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backupFile="1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3980" windowHeight="8835" activeTab="4"/>
  </bookViews>
  <sheets>
    <sheet name="PF1" sheetId="12" r:id="rId1"/>
    <sheet name="PF2" sheetId="13" r:id="rId2"/>
    <sheet name="PF3" sheetId="14" r:id="rId3"/>
    <sheet name="PFWtdAvg" sheetId="15" r:id="rId4"/>
    <sheet name="Common Assumpt" sheetId="2" r:id="rId5"/>
    <sheet name="RAROC" sheetId="6" r:id="rId6"/>
    <sheet name="Sensit041100" sheetId="11" r:id="rId7"/>
    <sheet name="Elba" sheetId="5" r:id="rId8"/>
    <sheet name="CURVES" sheetId="9" r:id="rId9"/>
    <sheet name="USInf97" sheetId="10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ecoUpdate">CURVES!$N$10</definedName>
    <definedName name="arb">Elba!$B$214</definedName>
    <definedName name="booklife">[1]ASS!$T$86</definedName>
    <definedName name="BrentUpdate">CURVES!$N$11</definedName>
    <definedName name="Choices_Wrapper" localSheetId="4">'Common Assumpt'!Choices_Wrapper</definedName>
    <definedName name="Choices_Wrapper" localSheetId="7">Elba!Choices_Wrapper</definedName>
    <definedName name="Choices_Wrapper" localSheetId="0">'PF1'!Choices_Wrapper</definedName>
    <definedName name="Choices_Wrapper" localSheetId="1">'PF2'!Choices_Wrapper</definedName>
    <definedName name="Choices_Wrapper" localSheetId="2">'PF3'!Choices_Wrapper</definedName>
    <definedName name="Choices_Wrapper" localSheetId="6">Sensit041100!Choices_Wrapper</definedName>
    <definedName name="Choices_Wrapper">[0]!Choices_Wrapper</definedName>
    <definedName name="cp" localSheetId="0">'PF1'!#REF!</definedName>
    <definedName name="cp" localSheetId="1">'PF2'!#REF!</definedName>
    <definedName name="cp" localSheetId="2">'PF3'!#REF!</definedName>
    <definedName name="cp">#REF!</definedName>
    <definedName name="driftswitch" localSheetId="9">USInf97!$F$8</definedName>
    <definedName name="driftswitch">#REF!</definedName>
    <definedName name="EQUITY">[3]ASS!$X$83</definedName>
    <definedName name="GasSwitch" localSheetId="8">CURVES!$F$3</definedName>
    <definedName name="GasSwitch">#REF!</definedName>
    <definedName name="GasUpdate">CURVES!$M$8</definedName>
    <definedName name="IntCvgFrBox">[1]FIN!#REF!</definedName>
    <definedName name="Miles">[4]OthProjCost!$K$9</definedName>
    <definedName name="ML">'Common Assumpt'!$F$17</definedName>
    <definedName name="MOSYR1">[3]ASS!$D$17</definedName>
    <definedName name="NB">'Common Assumpt'!$F$18</definedName>
    <definedName name="OilSwitch" localSheetId="8">CURVES!$F$4</definedName>
    <definedName name="OilSwitch">#REF!</definedName>
    <definedName name="OilUpdate">CURVES!$M$9</definedName>
    <definedName name="prcpi">[2]Sum!$E$23</definedName>
    <definedName name="_xlnm.Print_Area" localSheetId="8">CURVES!$A$1:$O$79</definedName>
    <definedName name="_xlnm.Print_Area" localSheetId="7">Elba!$A$1:$AA$213</definedName>
    <definedName name="_xlnm.Print_Area" localSheetId="0">'PF1'!$A$1:$AC$32</definedName>
    <definedName name="_xlnm.Print_Area" localSheetId="1">'PF2'!$A$1:$AC$32</definedName>
    <definedName name="_xlnm.Print_Area" localSheetId="2">'PF3'!$A$1:$AC$32</definedName>
    <definedName name="_xlnm.Print_Area" localSheetId="3">PFWtdAvg!$A$1:$AC$32</definedName>
    <definedName name="_xlnm.Print_Area" localSheetId="5">RAROC!$A$1:$H$89,RAROC!$I$23:$R$44</definedName>
    <definedName name="_xlnm.Print_Titles" localSheetId="7">Elba!$A:$A,Elba!$1:$3</definedName>
    <definedName name="REFERENCE_DATE" localSheetId="8">CURVES!$A$23:$A$363</definedName>
    <definedName name="REFERENCE_DATE">#REF!</definedName>
    <definedName name="shiftswitch2" localSheetId="8">CURVES!$F$15</definedName>
    <definedName name="shiftswitch2">#REF!</definedName>
    <definedName name="shiftswitch4" localSheetId="9">USInf97!$F$7</definedName>
    <definedName name="ShipNum">[1]ASS!#REF!</definedName>
    <definedName name="switch">RAROC!$D$5</definedName>
    <definedName name="TERM">[3]ASS!$E$18</definedName>
    <definedName name="tranche2TOYr">[1]ASS!#REF!</definedName>
    <definedName name="uscpi">[2]Sum!$E$22</definedName>
    <definedName name="VZ" localSheetId="0">'PF1'!#REF!</definedName>
    <definedName name="VZ" localSheetId="1">'PF2'!#REF!</definedName>
    <definedName name="VZ" localSheetId="2">'PF3'!#REF!</definedName>
    <definedName name="VZ">#REF!</definedName>
    <definedName name="ZA0" localSheetId="8">"Crystal Ball Data : Ver. 4.0.7"</definedName>
    <definedName name="ZA0" localSheetId="5">"Crystal Ball Data : Ver. 4.0.7"</definedName>
    <definedName name="ZA0" localSheetId="9">"Crystal Ball Data : Ver. 4.0.5"</definedName>
    <definedName name="ZA0">"Crystal Ball Data : Ver. 4.0"</definedName>
    <definedName name="ZA0A" localSheetId="8">582+753</definedName>
    <definedName name="ZA0A" localSheetId="5">537+9037</definedName>
    <definedName name="ZA0A" localSheetId="9">924+9400</definedName>
    <definedName name="ZA0A">479+842</definedName>
    <definedName name="ZA0C" localSheetId="8">0+0</definedName>
    <definedName name="ZA0C" localSheetId="5">5+124</definedName>
    <definedName name="ZA0C" localSheetId="9">0+0</definedName>
    <definedName name="ZA0C">0+0</definedName>
    <definedName name="ZA0D" localSheetId="8">0+0</definedName>
    <definedName name="ZA0D" localSheetId="5">0+0</definedName>
    <definedName name="ZA0D" localSheetId="9">0+0</definedName>
    <definedName name="ZA0F" localSheetId="8">0+139</definedName>
    <definedName name="ZA0F" localSheetId="5">170+392</definedName>
    <definedName name="ZA0F" localSheetId="9">2+116</definedName>
    <definedName name="ZA0F">2+109</definedName>
    <definedName name="ZA0T" localSheetId="8">27771192+0</definedName>
    <definedName name="ZA0T" localSheetId="5">339690368+0</definedName>
    <definedName name="ZA0T" localSheetId="9">-1505156911+0</definedName>
    <definedName name="ZA0T">43347870+0</definedName>
    <definedName name="_ZA136" localSheetId="8">CURVES!$E$73+"aE73"+17153+0+1</definedName>
    <definedName name="_ZA137" localSheetId="8">CURVES!$E$74+"aE74"+17153+0+1</definedName>
    <definedName name="_ZA138" localSheetId="8">CURVES!$E$75+"aE75"+17153+0+1</definedName>
    <definedName name="_ZA139" localSheetId="8">CURVES!$E$76+"aE76"+17153+0+1</definedName>
    <definedName name="_ZA140" localSheetId="8">CURVES!$E$77+"aE77"+17153+0+1</definedName>
    <definedName name="_ZA141" localSheetId="8">CURVES!$E$78+"aE78"+17153+0+1</definedName>
    <definedName name="_ZA142" localSheetId="8">CURVES!$E$79+"aE79"+17153+0+1</definedName>
    <definedName name="_ZA143" localSheetId="8">CURVES!$E$80+"aE80"+17153+0+1</definedName>
    <definedName name="_ZA144" localSheetId="8">CURVES!$E$81+"aE81"+17153+0+1</definedName>
    <definedName name="_ZA145" localSheetId="8">CURVES!$E$82+"aE82"+17153+0+1</definedName>
    <definedName name="_ZA146" localSheetId="8">CURVES!$E$83+"aE83"+17153+0+1</definedName>
    <definedName name="_ZA147" localSheetId="8">CURVES!$E$84+"aE84"+17153+0+1</definedName>
    <definedName name="_ZA148" localSheetId="8">CURVES!$E$85+"aE85"+17153+0+1</definedName>
    <definedName name="_ZA149" localSheetId="8">CURVES!$E$86+"aE86"+17153+0+1</definedName>
    <definedName name="_ZA150" localSheetId="8">CURVES!$E$87+"aE87"+17153+0+1</definedName>
    <definedName name="_ZA151" localSheetId="8">CURVES!$E$88+"aE88"+17153+0+1</definedName>
    <definedName name="_ZA152" localSheetId="8">CURVES!$E$89+"aE89"+17153+0+1</definedName>
    <definedName name="_ZA153" localSheetId="8">CURVES!$E$90+"aE90"+17153+0+1</definedName>
    <definedName name="_ZA154" localSheetId="8">CURVES!$E$91+"aE91"+17153+0+1</definedName>
    <definedName name="_ZA155" localSheetId="8">CURVES!$E$92+"aE92"+17153+0+1</definedName>
    <definedName name="_ZA156" localSheetId="8">CURVES!$E$93+"aE93"+17153+0+1</definedName>
    <definedName name="_ZA157" localSheetId="8">CURVES!$E$94+"aE94"+17153+0+1</definedName>
    <definedName name="_ZA158" localSheetId="8">CURVES!$E$95+"aE95"+17153+0+1</definedName>
    <definedName name="_ZA159" localSheetId="8">CURVES!$E$96+"aE96"+17153+0+1</definedName>
    <definedName name="_ZA160" localSheetId="8">CURVES!$E$97+"aE97"+17153+0+1</definedName>
    <definedName name="_ZA161" localSheetId="8">CURVES!$E$98+"aE98"+17153+0+1</definedName>
    <definedName name="_ZA162" localSheetId="8">CURVES!$E$99+"aE99"+17153+0+1</definedName>
    <definedName name="_ZA163" localSheetId="8">CURVES!$E$100+"aE100"+17153+0+1</definedName>
    <definedName name="_ZA164" localSheetId="8">CURVES!$E$101+"aE101"+17153+0+1</definedName>
    <definedName name="_ZA165" localSheetId="8">CURVES!$E$102+"aE102"+17153+0+1</definedName>
    <definedName name="_ZA166" localSheetId="8">CURVES!$E$103+"aE103"+17153+0+1</definedName>
    <definedName name="_ZA167" localSheetId="8">CURVES!$E$104+"aE104"+17153+0+1</definedName>
    <definedName name="_ZA168" localSheetId="8">CURVES!$E$105+"aE105"+17153+0+1</definedName>
    <definedName name="_ZA169" localSheetId="8">CURVES!$E$106+"aE106"+17153+0+1</definedName>
    <definedName name="_ZA170" localSheetId="8">CURVES!$E$107+"aE107"+17153+0+1</definedName>
    <definedName name="_ZA171" localSheetId="8">CURVES!$E$108+"aE108"+17153+0+1</definedName>
    <definedName name="_ZA172" localSheetId="8">CURVES!$E$109+"aE109"+17153+0+1</definedName>
    <definedName name="_ZA173" localSheetId="8">CURVES!$E$110+"aE110"+17153+0+1</definedName>
    <definedName name="_ZA174" localSheetId="8">CURVES!$E$111+"aE111"+17153+0+1</definedName>
    <definedName name="_ZA175" localSheetId="8">CURVES!$E$112+"aE112"+17153+0+1</definedName>
    <definedName name="_ZA176" localSheetId="8">CURVES!$E$113+"aE113"+17153+0+1</definedName>
    <definedName name="_ZA177" localSheetId="8">CURVES!$E$114+"aE114"+17153+0+1</definedName>
    <definedName name="_ZA178" localSheetId="8">CURVES!$E$115+"aE115"+17153+0+1</definedName>
    <definedName name="_ZA179" localSheetId="8">CURVES!$E$116+"aE116"+17153+0+1</definedName>
    <definedName name="_ZA180" localSheetId="8">CURVES!$E$117+"aE117"+17153+0+1</definedName>
    <definedName name="_ZA181" localSheetId="8">CURVES!$E$118+"aE118"+17153+0+1</definedName>
    <definedName name="_ZA182" localSheetId="8">CURVES!$E$119+"aE119"+17153+0+1</definedName>
    <definedName name="_ZA183" localSheetId="8">CURVES!$E$120+"aE120"+17153+0+1</definedName>
    <definedName name="_ZA184" localSheetId="8">CURVES!$E$121+"aE121"+17153+0+1</definedName>
    <definedName name="_ZA185" localSheetId="8">CURVES!$E$122+"aE122"+17153+0+1</definedName>
    <definedName name="_ZA186" localSheetId="8">CURVES!$E$123+"aE123"+17153+0+1</definedName>
    <definedName name="_ZA187" localSheetId="8">CURVES!$E$124+"aE124"+17153+0+1</definedName>
    <definedName name="_ZA188" localSheetId="8">CURVES!$E$125+"aE125"+17153+0+1</definedName>
    <definedName name="_ZA189" localSheetId="8">CURVES!$E$126+"aE126"+17153+0+1</definedName>
    <definedName name="_ZA190" localSheetId="8">CURVES!$E$127+"aE127"+17153+0+1</definedName>
    <definedName name="_ZA191" localSheetId="8">CURVES!$E$128+"aE128"+17153+0+1</definedName>
    <definedName name="_ZA192" localSheetId="8">CURVES!$E$129+"aE129"+17153+0+1</definedName>
    <definedName name="_ZA193" localSheetId="8">CURVES!$E$130+"aE130"+17153+0+1</definedName>
    <definedName name="_ZA194" localSheetId="8">CURVES!$E$131+"aE131"+17153+0+1</definedName>
    <definedName name="_ZA195" localSheetId="8">CURVES!$E$132+"aE132"+17153+0+1</definedName>
    <definedName name="_ZA196" localSheetId="8">CURVES!$E$133+"aE133"+17153+0+1</definedName>
    <definedName name="_ZA197" localSheetId="8">CURVES!$E$134+"aE134"+17153+0+1</definedName>
    <definedName name="_ZA198" localSheetId="8">CURVES!$E$135+"aE135"+17153+0+1</definedName>
    <definedName name="_ZA199" localSheetId="8">CURVES!$E$136+"aE136"+17153+0+1</definedName>
    <definedName name="_ZA200" localSheetId="8">CURVES!$E$137+"aE137"+17153+0+1</definedName>
    <definedName name="_ZA201" localSheetId="8">CURVES!$E$138+"aE138"+17153+0+1</definedName>
    <definedName name="_ZA202" localSheetId="8">CURVES!$E$139+"aE139"+17153+0+1</definedName>
    <definedName name="_ZA203" localSheetId="8">CURVES!$E$140+"aE140"+17153+0+1</definedName>
    <definedName name="_ZA204" localSheetId="8">CURVES!$E$141+"aE141"+17153+0+1</definedName>
    <definedName name="_ZA205" localSheetId="8">CURVES!$E$142+"aE142"+17153+0+1</definedName>
    <definedName name="_ZA206" localSheetId="8">CURVES!$E$143+"aE143"+17153+0+1</definedName>
    <definedName name="_ZA207" localSheetId="8">CURVES!$E$144+"aE144"+17153+0+1</definedName>
    <definedName name="_ZA208" localSheetId="8">CURVES!$E$145+"aE145"+17153+0+1</definedName>
    <definedName name="_ZA209" localSheetId="8">CURVES!$E$146+"aE146"+17153+0+1</definedName>
    <definedName name="_ZA210" localSheetId="8">CURVES!$E$147+"aE147"+17153+0+1</definedName>
    <definedName name="_ZA211" localSheetId="8">CURVES!$E$148+"aE148"+17153+0+1</definedName>
    <definedName name="_ZA212" localSheetId="8">CURVES!$E$149+"aE149"+17153+0+1</definedName>
    <definedName name="_ZA213" localSheetId="8">CURVES!$E$150+"aE150"+17153+0+1</definedName>
    <definedName name="_ZA214" localSheetId="8">CURVES!$E$151+"aE151"+17153+0+1</definedName>
    <definedName name="_ZA215" localSheetId="8">CURVES!$E$152+"aE152"+17153+0+1</definedName>
    <definedName name="_ZA216" localSheetId="8">CURVES!$E$153+"aE153"+17153+0+1</definedName>
    <definedName name="_ZA217" localSheetId="8">CURVES!$E$154+"aE154"+17153+0+1</definedName>
    <definedName name="_ZA218" localSheetId="8">CURVES!$E$155+"aE155"+17153+0+1</definedName>
    <definedName name="_ZA219" localSheetId="8">CURVES!$E$156+"aE156"+17153+0+1</definedName>
    <definedName name="_ZA220" localSheetId="8">CURVES!$E$157+"aE157"+17153+0+1</definedName>
    <definedName name="_ZA221" localSheetId="8">CURVES!$E$158+"aE158"+17153+0+1</definedName>
    <definedName name="_ZA222" localSheetId="8">CURVES!$E$159+"aE159"+17153+0+1</definedName>
    <definedName name="_ZA223" localSheetId="8">CURVES!$E$160+"aE160"+17153+0+1</definedName>
    <definedName name="_ZA224" localSheetId="8">CURVES!$E$161+"aE161"+17153+0+1</definedName>
    <definedName name="_ZA225" localSheetId="8">CURVES!$E$162+"aE162"+17153+0+1</definedName>
    <definedName name="_ZA226" localSheetId="8">CURVES!$E$163+"aE163"+17153+0+1</definedName>
    <definedName name="_ZA227" localSheetId="8">CURVES!$E$164+"aE164"+17153+0+1</definedName>
    <definedName name="_ZA228" localSheetId="8">CURVES!$E$165+"aE165"+17153+0+1</definedName>
    <definedName name="_ZA229" localSheetId="8">CURVES!$E$166+"aE166"+17153+0+1</definedName>
    <definedName name="_ZA230" localSheetId="8">CURVES!$E$167+"aE167"+17153+0+1</definedName>
    <definedName name="_ZA231" localSheetId="8">CURVES!$E$168+"aE168"+17153+0+1</definedName>
    <definedName name="_ZA232" localSheetId="8">CURVES!$E$169+"aE169"+17153+0+1</definedName>
    <definedName name="_ZA233" localSheetId="8">CURVES!$E$170+"aE170"+17153+0+1</definedName>
    <definedName name="_ZA234" localSheetId="8">CURVES!$E$171+"aE171"+17153+0+1</definedName>
    <definedName name="_ZA235" localSheetId="8">CURVES!$E$172+"aE172"+17153+0+1</definedName>
    <definedName name="_ZA236" localSheetId="8">CURVES!$E$173+"aE173"+17153+0+1</definedName>
    <definedName name="_ZA237" localSheetId="8">CURVES!$E$174+"aE174"+17153+0+1</definedName>
    <definedName name="_ZA238" localSheetId="8">CURVES!$E$175+"aE175"+17153+0+1</definedName>
    <definedName name="_ZA239" localSheetId="8">CURVES!$E$176+"aE176"+17153+0+1</definedName>
    <definedName name="_ZA240" localSheetId="8">CURVES!$E$177+"aE177"+17153+0+1</definedName>
    <definedName name="_ZA241" localSheetId="8">CURVES!$E$178+"aE178"+17153+0+1</definedName>
    <definedName name="_ZA242" localSheetId="8">CURVES!$E$179+"aE179"+17153+0+1</definedName>
    <definedName name="_ZA243" localSheetId="8">CURVES!$E$180+"aE180"+17153+0+1</definedName>
    <definedName name="_ZA244" localSheetId="8">CURVES!$E$181+"aE181"+17153+0+1</definedName>
    <definedName name="_ZA245" localSheetId="8">CURVES!$E$182+"aE182"+17153+0+1</definedName>
    <definedName name="_ZA246" localSheetId="8">CURVES!$E$183+"aE183"+17153+0+1</definedName>
    <definedName name="_ZA247" localSheetId="8">CURVES!$E$184+"aE184"+17153+0+1</definedName>
    <definedName name="_ZA248" localSheetId="8">CURVES!$E$185+"aE185"+17153+0+1</definedName>
    <definedName name="_ZA249" localSheetId="8">CURVES!$E$186+"aE186"+17153+0+1</definedName>
    <definedName name="_ZA250" localSheetId="8">CURVES!$E$187+"aE187"+17153+0+1</definedName>
    <definedName name="_ZA251" localSheetId="8">CURVES!$E$188+"aE188"+17153+0+1</definedName>
    <definedName name="_ZA252" localSheetId="8">CURVES!$E$189+"aE189"+17153+0+1</definedName>
    <definedName name="_ZA253" localSheetId="8">CURVES!$E$190+"aE190"+17153+0+1</definedName>
    <definedName name="_ZA254" localSheetId="8">CURVES!$E$191+"aE191"+17153+0+1</definedName>
    <definedName name="_ZA255" localSheetId="8">CURVES!$E$192+"aE192"+17153+0+1</definedName>
    <definedName name="_ZA256" localSheetId="8">CURVES!$E$193+"aE193"+17153+0+1</definedName>
    <definedName name="_ZA257" localSheetId="8">CURVES!$E$194+"aE194"+17153+0+1</definedName>
    <definedName name="_ZA258" localSheetId="8">CURVES!$E$195+"aE195"+17153+0+1</definedName>
    <definedName name="_ZA259" localSheetId="8">CURVES!$E$196+"aE196"+17153+0+1</definedName>
    <definedName name="_ZA260" localSheetId="8">CURVES!$E$197+"aE197"+17153+0+1</definedName>
    <definedName name="_ZA261" localSheetId="8">CURVES!$E$198+"aE198"+17153+0+1</definedName>
    <definedName name="_ZA262" localSheetId="8">CURVES!$E$199+"aE199"+17153+0+1</definedName>
    <definedName name="_ZA263" localSheetId="8">CURVES!$E$200+"aE200"+17153+0+1</definedName>
    <definedName name="_ZA264" localSheetId="8">CURVES!$E$201+"aE201"+17153+0+1</definedName>
    <definedName name="_ZA265" localSheetId="8">CURVES!$E$202+"aE202"+17153+0+1</definedName>
    <definedName name="_ZA266" localSheetId="8">CURVES!$E$203+"aE203"+17153+0+1</definedName>
    <definedName name="_ZA267" localSheetId="8">CURVES!$E$204+"aE204"+17153+0+1</definedName>
    <definedName name="_ZA268" localSheetId="8">CURVES!$E$205+"aE205"+17153+0+1</definedName>
    <definedName name="_ZA269" localSheetId="8">CURVES!$E$206+"aE206"+17153+0+1</definedName>
    <definedName name="_ZA270" localSheetId="8">CURVES!$E$207+"aE207"+17153+0+1</definedName>
    <definedName name="_ZA271" localSheetId="8">CURVES!$E$208+"aE208"+17153+0+1</definedName>
    <definedName name="_ZA272" localSheetId="8">CURVES!$E$209+"aE209"+17153+0+1</definedName>
    <definedName name="_ZA273" localSheetId="8">CURVES!$E$210+"aE210"+17153+0+1</definedName>
    <definedName name="_ZA274" localSheetId="8">CURVES!$E$211+"aE211"+17153+0+1</definedName>
    <definedName name="_ZA275" localSheetId="8">CURVES!$E$212+"aE212"+17153+0+1</definedName>
    <definedName name="_ZA276" localSheetId="8">CURVES!$E$213+"aE213"+17153+0+1</definedName>
    <definedName name="_ZA277" localSheetId="8">CURVES!$E$214+"aE214"+17153+0+1</definedName>
    <definedName name="_ZA278" localSheetId="8">CURVES!$E$215+"aE215"+17153+0+1</definedName>
    <definedName name="_ZA279" localSheetId="8">CURVES!$E$216+"aE216"+17153+0+1</definedName>
    <definedName name="_ZA280" localSheetId="8">CURVES!$E$217+"aE217"+17153+0+1</definedName>
    <definedName name="_ZA281" localSheetId="8">CURVES!$E$218+"aE218"+17153+0+1</definedName>
    <definedName name="_ZA282" localSheetId="8">CURVES!$E$219+"aE219"+17153+0+1</definedName>
    <definedName name="_ZA283" localSheetId="8">CURVES!$E$220+"aE220"+17153+0+1</definedName>
    <definedName name="_ZA284" localSheetId="8">CURVES!$E$221+"aE221"+17153+0+1</definedName>
    <definedName name="_ZA285" localSheetId="8">CURVES!$E$222+"aE222"+17153+0+1</definedName>
    <definedName name="_ZA286" localSheetId="8">CURVES!$E$223+"aE223"+17153+0+1</definedName>
    <definedName name="_ZA287" localSheetId="8">CURVES!$E$224+"aE224"+17153+0+1</definedName>
    <definedName name="_ZA288" localSheetId="8">CURVES!$E$225+"aE225"+17153+0+1</definedName>
    <definedName name="_ZA289" localSheetId="8">CURVES!$E$226+"aE226"+17153+0+1</definedName>
    <definedName name="_ZA290" localSheetId="8">CURVES!$E$227+"aE227"+17153+0+1</definedName>
    <definedName name="_ZA291" localSheetId="8">CURVES!$E$228+"aE228"+17153+0+1</definedName>
    <definedName name="_ZA292" localSheetId="8">CURVES!$E$229+"aE229"+17153+0+1</definedName>
    <definedName name="_ZA293" localSheetId="8">CURVES!$E$230+"aE230"+17153+0+1</definedName>
    <definedName name="_ZA294" localSheetId="8">CURVES!$E$231+"aE231"+17153+0+1</definedName>
    <definedName name="_ZA295" localSheetId="8">CURVES!$E$232+"aE232"+17153+0+1</definedName>
    <definedName name="_ZA296" localSheetId="8">CURVES!$E$233+"aE233"+17153+0+1</definedName>
    <definedName name="_ZA297" localSheetId="8">CURVES!$E$234+"aE234"+17153+0+1</definedName>
    <definedName name="_ZA298" localSheetId="8">CURVES!$E$235+"aE235"+17153+0+1</definedName>
    <definedName name="_ZA299" localSheetId="8">CURVES!$E$236+"aE236"+17153+0+1</definedName>
    <definedName name="_ZA300" localSheetId="8">CURVES!$E$237+"aE237"+17153+0+1</definedName>
    <definedName name="_ZA301" localSheetId="8">CURVES!$E$238+"aE238"+17153+0+1</definedName>
    <definedName name="_ZA302" localSheetId="8">CURVES!$E$239+"aE239"+17153+0+1</definedName>
    <definedName name="_ZA303" localSheetId="8">CURVES!$E$240+"aE240"+17153+0+1</definedName>
    <definedName name="_ZA304" localSheetId="8">CURVES!$E$241+"aE241"+17153+0+1</definedName>
    <definedName name="_ZA305" localSheetId="8">CURVES!$E$242+"aE242"+17153+0+1</definedName>
    <definedName name="_ZA306" localSheetId="8">CURVES!$E$243+"aE243"+17153+0+1</definedName>
    <definedName name="_ZA307" localSheetId="8">CURVES!$E$244+"aE244"+17153+0+1</definedName>
    <definedName name="_ZA308" localSheetId="8">CURVES!$E$245+"aE245"+17153+0+1</definedName>
    <definedName name="_ZA309" localSheetId="8">CURVES!$E$246+"aE246"+17153+0+1</definedName>
    <definedName name="_ZA310" localSheetId="8">CURVES!$E$247+"aE247"+17153+0+1</definedName>
    <definedName name="_ZA311" localSheetId="8">CURVES!$E$248+"aE248"+17153+0+1</definedName>
    <definedName name="_ZA312" localSheetId="8">CURVES!$E$249+"aE249"+17153+0+1</definedName>
    <definedName name="_ZA313" localSheetId="8">CURVES!$E$250+"aE250"+17153+0+1</definedName>
    <definedName name="_ZA314" localSheetId="8">CURVES!$E$251+"aE251"+17153+0+1</definedName>
    <definedName name="_ZA315" localSheetId="8">CURVES!$E$252+"aE252"+17153+0+1</definedName>
    <definedName name="_ZA316" localSheetId="8">CURVES!$E$253+"aE253"+17153+0+1</definedName>
    <definedName name="_ZA317" localSheetId="8">CURVES!$E$254+"aE254"+17153+0+1</definedName>
    <definedName name="_ZA318" localSheetId="8">CURVES!$E$255+"aE255"+17153+0+1</definedName>
    <definedName name="_ZA319" localSheetId="8">CURVES!$E$256+"aE256"+17153+0+1</definedName>
    <definedName name="_ZA320" localSheetId="8">CURVES!$E$257+"aE257"+17153+0+1</definedName>
    <definedName name="_ZA321" localSheetId="8">CURVES!$E$258+"aE258"+17153+0+1</definedName>
    <definedName name="_ZA322" localSheetId="8">CURVES!$E$259+"aE259"+17153+0+1</definedName>
    <definedName name="_ZA323" localSheetId="8">CURVES!$E$260+"aE260"+17153+0+1</definedName>
    <definedName name="_ZA324" localSheetId="8">CURVES!$E$261+"aE261"+17153+0+1</definedName>
    <definedName name="_ZA325" localSheetId="8">CURVES!$E$262+"aE262"+17153+0+1</definedName>
    <definedName name="_ZA326" localSheetId="8">CURVES!$E$263+"aE263"+17153+0+1</definedName>
    <definedName name="_ZA327" localSheetId="8">CURVES!$E$264+"aE264"+17153+0+1</definedName>
    <definedName name="_ZA328" localSheetId="8">CURVES!$E$265+"aE265"+17153+0+1</definedName>
    <definedName name="_ZA329" localSheetId="8">CURVES!$E$266+"aE266"+17153+0+1</definedName>
    <definedName name="_ZA330" localSheetId="8">CURVES!$E$267+"aE267"+17153+0+1</definedName>
    <definedName name="_ZA331" localSheetId="8">CURVES!$E$268+"aE268"+17153+0+1</definedName>
    <definedName name="_ZA332" localSheetId="8">CURVES!$E$269+"aE269"+17153+0+1</definedName>
    <definedName name="_ZA333" localSheetId="8">CURVES!$E$270+"aE270"+17153+0+1</definedName>
    <definedName name="_ZA334" localSheetId="8">CURVES!$E$271+"aE271"+17153+0+1</definedName>
    <definedName name="_ZA335" localSheetId="8">CURVES!$E$272+"aE272"+17153+0+1</definedName>
    <definedName name="_ZA336" localSheetId="8">CURVES!$E$273+"aE273"+17153+0+1</definedName>
    <definedName name="_ZA337" localSheetId="8">CURVES!$E$274+"aE274"+17153+0+1</definedName>
    <definedName name="_ZA338" localSheetId="8">CURVES!$E$275+"aE275"+17153+0+1</definedName>
    <definedName name="_ZA339" localSheetId="8">CURVES!$E$276+"aE276"+17153+0+1</definedName>
    <definedName name="_ZA340" localSheetId="8">CURVES!$E$277+"aE277"+17153+0+1</definedName>
    <definedName name="_ZA341" localSheetId="8">CURVES!$E$278+"aE278"+17153+0+1</definedName>
    <definedName name="_ZA342" localSheetId="8">CURVES!$E$279+"aE279"+17153+0+1</definedName>
    <definedName name="_ZA343" localSheetId="8">CURVES!$E$280+"aE280"+17153+0+1</definedName>
    <definedName name="_ZA344" localSheetId="8">CURVES!$E$281+"aE281"+17153+0+1</definedName>
    <definedName name="_ZA345" localSheetId="8">CURVES!$E$282+"aE282"+17153+0+1</definedName>
    <definedName name="_ZA346" localSheetId="8">CURVES!$E$283+"aE283"+17153+0+1</definedName>
    <definedName name="_ZA347" localSheetId="8">CURVES!$E$284+"aE284"+17153+0+1</definedName>
    <definedName name="_ZA348" localSheetId="8">CURVES!$E$285+"aE285"+17153+0+1</definedName>
    <definedName name="_ZA349" localSheetId="8">CURVES!$E$286+"aE286"+17153+0+1</definedName>
    <definedName name="_ZA386" localSheetId="8">CURVES!$J$73+"aJ73"+17153+0+1</definedName>
    <definedName name="_ZA387" localSheetId="8">CURVES!$J$74+"aJ74"+17153+0+1</definedName>
    <definedName name="_ZA388" localSheetId="8">CURVES!$J$75+"aJ75"+17153+0+1</definedName>
    <definedName name="_ZA389" localSheetId="8">CURVES!$J$76+"aJ76"+17153+0+1</definedName>
    <definedName name="_ZA390" localSheetId="8">CURVES!$J$77+"aJ77"+17153+0+1</definedName>
    <definedName name="_ZA391" localSheetId="8">CURVES!$J$78+"aJ78"+17153+0+1</definedName>
    <definedName name="_ZA392" localSheetId="8">CURVES!$J$79+"aJ79"+17153+0+1</definedName>
    <definedName name="_ZA393" localSheetId="8">CURVES!$J$80+"aJ80"+17153+0+1</definedName>
    <definedName name="_ZA394" localSheetId="8">CURVES!$J$81+"aJ81"+17153+0+1</definedName>
    <definedName name="_ZA395" localSheetId="8">CURVES!$J$82+"aJ82"+17153+0+1</definedName>
    <definedName name="_ZA396" localSheetId="8">CURVES!$J$83+"aJ83"+17153+0+1</definedName>
    <definedName name="_ZA397" localSheetId="8">CURVES!$J$84+"aJ84"+17153+0+1</definedName>
    <definedName name="_ZA398" localSheetId="8">CURVES!$J$85+"aJ85"+17153+0+1</definedName>
    <definedName name="_ZA399" localSheetId="8">CURVES!$J$86+"aJ86"+17153+0+1</definedName>
    <definedName name="_ZA400" localSheetId="8">CURVES!$J$87+"aJ87"+17153+0+1</definedName>
    <definedName name="_ZA401" localSheetId="8">CURVES!$J$88+"aJ88"+17153+0+1</definedName>
    <definedName name="_ZA402" localSheetId="8">CURVES!$J$89+"aJ89"+17153+0+1</definedName>
    <definedName name="_ZA403" localSheetId="8">CURVES!$J$90+"aJ90"+17153+0+1</definedName>
    <definedName name="_ZA404" localSheetId="8">CURVES!$J$91+"aJ91"+17153+0+1</definedName>
    <definedName name="_ZA405" localSheetId="8">CURVES!$J$92+"aJ92"+17153+0+1</definedName>
    <definedName name="_ZA406" localSheetId="8">CURVES!$J$93+"aJ93"+17153+0+1</definedName>
    <definedName name="_ZA407" localSheetId="8">CURVES!$J$94+"aJ94"+17153+0+1</definedName>
    <definedName name="_ZA408" localSheetId="8">CURVES!$J$95+"aJ95"+17153+0+1</definedName>
    <definedName name="_ZA409" localSheetId="8">CURVES!$J$96+"aJ96"+17153+0+1</definedName>
    <definedName name="_ZA410" localSheetId="8">CURVES!$J$97+"aJ97"+17153+0+1</definedName>
    <definedName name="_ZA411" localSheetId="8">CURVES!$J$98+"aJ98"+17153+0+1</definedName>
    <definedName name="_ZA412" localSheetId="8">CURVES!$J$99+"aJ99"+17153+0+1</definedName>
    <definedName name="_ZA413" localSheetId="8">CURVES!$J$100+"aJ100"+17153+0+1</definedName>
    <definedName name="_ZA414" localSheetId="8">CURVES!$J$101+"aJ101"+17153+0+1</definedName>
    <definedName name="_ZA415" localSheetId="8">CURVES!$J$102+"aJ102"+17153+0+1</definedName>
    <definedName name="_ZA416" localSheetId="8">CURVES!$J$103+"aJ103"+17153+0+1</definedName>
    <definedName name="_ZA417" localSheetId="8">CURVES!$J$104+"aJ104"+17153+0+1</definedName>
    <definedName name="_ZA418" localSheetId="8">CURVES!$J$105+"aJ105"+17153+0+1</definedName>
    <definedName name="_ZA419" localSheetId="8">CURVES!$J$106+"aJ106"+17153+0+1</definedName>
    <definedName name="_ZA420" localSheetId="8">CURVES!$J$107+"aJ107"+17153+0+1</definedName>
    <definedName name="_ZA421" localSheetId="8">CURVES!$J$108+"aJ108"+17153+0+1</definedName>
    <definedName name="_ZA422" localSheetId="8">CURVES!$J$109+"aJ109"+17153+0+1</definedName>
    <definedName name="_ZA423" localSheetId="8">CURVES!$J$110+"aJ110"+17153+0+1</definedName>
    <definedName name="_ZA424" localSheetId="8">CURVES!$J$111+"aJ111"+17153+0+1</definedName>
    <definedName name="_ZA425" localSheetId="8">CURVES!$J$112+"aJ112"+17153+0+1</definedName>
    <definedName name="_ZA426" localSheetId="8">CURVES!$J$113+"aJ113"+17153+0+1</definedName>
    <definedName name="_ZA427" localSheetId="8">CURVES!$J$114+"aJ114"+17153+0+1</definedName>
    <definedName name="_ZA428" localSheetId="8">CURVES!$J$115+"aJ115"+17153+0+1</definedName>
    <definedName name="_ZA429" localSheetId="8">CURVES!$J$116+"aJ116"+17153+0+1</definedName>
    <definedName name="_ZA430" localSheetId="8">CURVES!$J$117+"aJ117"+17153+0+1</definedName>
    <definedName name="_ZA431" localSheetId="8">CURVES!$J$118+"aJ118"+17153+0+1</definedName>
    <definedName name="_ZA432" localSheetId="8">CURVES!$J$119+"aJ119"+17153+0+1</definedName>
    <definedName name="_ZA433" localSheetId="8">CURVES!$J$120+"aJ120"+17153+0+1</definedName>
    <definedName name="_ZA434" localSheetId="8">CURVES!$J$121+"aJ121"+17153+0+1</definedName>
    <definedName name="_ZA435" localSheetId="8">CURVES!$J$122+"aJ122"+17153+0+1</definedName>
    <definedName name="_ZA436" localSheetId="8">CURVES!$J$123+"aJ123"+17153+0+1</definedName>
    <definedName name="_ZA437" localSheetId="8">CURVES!$J$124+"aJ124"+17153+0+1</definedName>
    <definedName name="_ZA438" localSheetId="8">CURVES!$J$125+"aJ125"+17153+0+1</definedName>
    <definedName name="_ZA439" localSheetId="8">CURVES!$J$126+"aJ126"+17153+0+1</definedName>
    <definedName name="_ZA440" localSheetId="8">CURVES!$J$127+"aJ127"+17153+0+1</definedName>
    <definedName name="_ZA441" localSheetId="8">CURVES!$J$128+"aJ128"+17153+0+1</definedName>
    <definedName name="_ZA442" localSheetId="8">CURVES!$J$129+"aJ129"+17153+0+1</definedName>
    <definedName name="_ZA443" localSheetId="8">CURVES!$J$130+"aJ130"+17153+0+1</definedName>
    <definedName name="_ZA444" localSheetId="8">CURVES!$J$131+"aJ131"+17153+0+1</definedName>
    <definedName name="_ZA445" localSheetId="8">CURVES!$J$132+"aJ132"+17153+0+1</definedName>
    <definedName name="_ZA446" localSheetId="8">CURVES!$J$133+"aJ133"+17153+0+1</definedName>
    <definedName name="_ZA447" localSheetId="8">CURVES!$J$134+"aJ134"+17153+0+1</definedName>
    <definedName name="_ZA448" localSheetId="8">CURVES!$J$135+"aJ135"+17153+0+1</definedName>
    <definedName name="_ZA449" localSheetId="8">CURVES!$J$136+"aJ136"+17153+0+1</definedName>
    <definedName name="_ZA450" localSheetId="8">CURVES!$J$137+"aJ137"+17153+0+1</definedName>
    <definedName name="_ZA451" localSheetId="8">CURVES!$J$138+"aJ138"+17153+0+1</definedName>
    <definedName name="_ZA452" localSheetId="8">CURVES!$J$139+"aJ139"+17153+0+1</definedName>
    <definedName name="_ZA453" localSheetId="8">CURVES!$J$140+"aJ140"+17153+0+1</definedName>
    <definedName name="_ZA454" localSheetId="8">CURVES!$J$141+"aJ141"+17153+0+1</definedName>
    <definedName name="_ZA455" localSheetId="8">CURVES!$J$142+"aJ142"+17153+0+1</definedName>
    <definedName name="_ZA456" localSheetId="8">CURVES!$J$143+"aJ143"+17153+0+1</definedName>
    <definedName name="_ZA457" localSheetId="8">CURVES!$J$144+"aJ144"+17153+0+1</definedName>
    <definedName name="_ZA458" localSheetId="8">CURVES!$J$145+"aJ145"+17153+0+1</definedName>
    <definedName name="_ZA459" localSheetId="8">CURVES!$J$146+"aJ146"+17153+0+1</definedName>
    <definedName name="_ZA460" localSheetId="8">CURVES!$J$147+"aJ147"+17153+0+1</definedName>
    <definedName name="_ZA461" localSheetId="8">CURVES!$J$148+"aJ148"+17153+0+1</definedName>
    <definedName name="_ZA462" localSheetId="8">CURVES!$J$149+"aJ149"+17153+0+1</definedName>
    <definedName name="_ZA463" localSheetId="8">CURVES!$J$150+"aJ150"+17153+0+1</definedName>
    <definedName name="_ZA464" localSheetId="8">CURVES!$J$151+"aJ151"+17153+0+1</definedName>
    <definedName name="_ZA465" localSheetId="8">CURVES!$J$152+"aJ152"+17153+0+1</definedName>
    <definedName name="_ZA466" localSheetId="8">CURVES!$J$153+"aJ153"+17153+0+1</definedName>
    <definedName name="_ZA467" localSheetId="8">CURVES!$J$154+"aJ154"+17153+0+1</definedName>
    <definedName name="_ZA468" localSheetId="8">CURVES!$J$155+"aJ155"+17153+0+1</definedName>
    <definedName name="_ZA469" localSheetId="8">CURVES!$J$156+"aJ156"+17153+0+1</definedName>
    <definedName name="_ZA470" localSheetId="8">CURVES!$J$157+"aJ157"+17153+0+1</definedName>
    <definedName name="_ZA471" localSheetId="8">CURVES!$J$158+"aJ158"+17153+0+1</definedName>
    <definedName name="_ZA472" localSheetId="8">CURVES!$J$159+"aJ159"+17153+0+1</definedName>
    <definedName name="_ZA473" localSheetId="8">CURVES!$J$160+"aJ160"+17153+0+1</definedName>
    <definedName name="_ZA474" localSheetId="8">CURVES!$J$161+"aJ161"+17153+0+1</definedName>
    <definedName name="_ZA475" localSheetId="8">CURVES!$J$162+"aJ162"+17153+0+1</definedName>
    <definedName name="_ZA476" localSheetId="8">CURVES!$J$163+"aJ163"+17153+0+1</definedName>
    <definedName name="_ZA477" localSheetId="8">CURVES!$J$164+"aJ164"+17153+0+1</definedName>
    <definedName name="_ZA478" localSheetId="8">CURVES!$J$165+"aJ165"+17153+0+1</definedName>
    <definedName name="_ZA479" localSheetId="8">CURVES!$J$166+"aJ166"+17153+0+1</definedName>
    <definedName name="_ZA480" localSheetId="8">CURVES!$J$167+"aJ167"+17153+0+1</definedName>
    <definedName name="_ZA481" localSheetId="8">CURVES!$J$168+"aJ168"+17153+0+1</definedName>
    <definedName name="_ZA482" localSheetId="8">CURVES!$J$169+"aJ169"+17153+0+1</definedName>
    <definedName name="_ZA483" localSheetId="8">CURVES!$J$170+"aJ170"+17153+0+1</definedName>
    <definedName name="_ZA484" localSheetId="8">CURVES!$J$171+"aJ171"+17153+0+1</definedName>
    <definedName name="_ZA485" localSheetId="8">CURVES!$J$172+"aJ172"+17153+0+1</definedName>
    <definedName name="_ZA486" localSheetId="8">CURVES!$J$173+"aJ173"+17153+0+1</definedName>
    <definedName name="_ZA487" localSheetId="8">CURVES!$J$174+"aJ174"+17153+0+1</definedName>
    <definedName name="_ZA488" localSheetId="8">CURVES!$J$175+"aJ175"+17153+0+1</definedName>
    <definedName name="_ZA489" localSheetId="8">CURVES!$J$176+"aJ176"+17153+0+1</definedName>
    <definedName name="_ZA490" localSheetId="8">CURVES!$J$177+"aJ177"+17153+0+1</definedName>
    <definedName name="_ZA491" localSheetId="8">CURVES!$J$178+"aJ178"+17153+0+1</definedName>
    <definedName name="_ZA492" localSheetId="8">CURVES!$J$179+"aJ179"+17153+0+1</definedName>
    <definedName name="_ZA493" localSheetId="8">CURVES!$J$180+"aJ180"+17153+0+1</definedName>
    <definedName name="_ZA494" localSheetId="8">CURVES!$J$181+"aJ181"+17153+0+1</definedName>
    <definedName name="_ZA495" localSheetId="8">CURVES!$J$182+"aJ182"+17153+0+1</definedName>
    <definedName name="_ZA496" localSheetId="8">CURVES!$J$183+"aJ183"+17153+0+1</definedName>
    <definedName name="_ZA497" localSheetId="8">CURVES!$J$184+"aJ184"+17153+0+1</definedName>
    <definedName name="_ZA498" localSheetId="8">CURVES!$J$185+"aJ185"+17153+0+1</definedName>
    <definedName name="_ZA499" localSheetId="8">CURVES!$J$186+"aJ186"+17153+0+1</definedName>
    <definedName name="_ZA500" localSheetId="8">CURVES!$J$187+"aJ187"+17153+0+1</definedName>
    <definedName name="_ZA501" localSheetId="8">CURVES!$J$188+"aJ188"+17153+0+1</definedName>
    <definedName name="_ZA502" localSheetId="8">CURVES!$J$189+"aJ189"+17153+0+1</definedName>
    <definedName name="_ZA503" localSheetId="8">CURVES!$J$190+"aJ190"+17153+0+1</definedName>
    <definedName name="_ZA504" localSheetId="8">CURVES!$J$191+"aJ191"+17153+0+1</definedName>
    <definedName name="_ZA505" localSheetId="8">CURVES!$J$192+"aJ192"+17153+0+1</definedName>
    <definedName name="_ZA506" localSheetId="8">CURVES!$J$193+"aJ193"+17153+0+1</definedName>
    <definedName name="_ZA507" localSheetId="8">CURVES!$J$194+"aJ194"+17153+0+1</definedName>
    <definedName name="_ZA508" localSheetId="8">CURVES!$J$195+"aJ195"+17153+0+1</definedName>
    <definedName name="_ZA509" localSheetId="8">CURVES!$J$196+"aJ196"+17153+0+1</definedName>
    <definedName name="_ZA510" localSheetId="8">CURVES!$J$197+"aJ197"+17153+0+1</definedName>
    <definedName name="_ZA511" localSheetId="8">CURVES!$J$198+"aJ198"+17153+0+1</definedName>
    <definedName name="_ZA512" localSheetId="8">CURVES!$J$199+"aJ199"+17153+0+1</definedName>
    <definedName name="_ZA513" localSheetId="8">CURVES!$J$200+"aJ200"+17153+0+1</definedName>
    <definedName name="_ZA514" localSheetId="8">CURVES!$J$201+"aJ201"+17153+0+1</definedName>
    <definedName name="_ZA515" localSheetId="8">CURVES!$J$202+"aJ202"+17153+0+1</definedName>
    <definedName name="_ZA516" localSheetId="8">CURVES!$J$203+"aJ203"+17153+0+1</definedName>
    <definedName name="_ZA517" localSheetId="8">CURVES!$J$204+"aJ204"+17153+0+1</definedName>
    <definedName name="_ZA518" localSheetId="8">CURVES!$J$205+"aJ205"+17153+0+1</definedName>
    <definedName name="_ZA519" localSheetId="8">CURVES!$J$206+"aJ206"+17153+0+1</definedName>
    <definedName name="_ZA520" localSheetId="8">CURVES!$J$207+"aJ207"+17153+0+1</definedName>
    <definedName name="_ZA521" localSheetId="8">CURVES!$J$208+"aJ208"+17153+0+1</definedName>
    <definedName name="_ZA522" localSheetId="8">CURVES!$J$209+"aJ209"+17153+0+1</definedName>
    <definedName name="_ZA523" localSheetId="8">CURVES!$J$210+"aJ210"+17153+0+1</definedName>
    <definedName name="_ZA524" localSheetId="8">CURVES!$J$211+"aJ211"+17153+0+1</definedName>
    <definedName name="_ZA525" localSheetId="8">CURVES!$J$212+"aJ212"+17153+0+1</definedName>
    <definedName name="_ZA526" localSheetId="8">CURVES!$J$213+"aJ213"+17153+0+1</definedName>
    <definedName name="_ZA527" localSheetId="8">CURVES!$J$214+"aJ214"+17153+0+1</definedName>
    <definedName name="_ZA528" localSheetId="8">CURVES!$J$215+"aJ215"+17153+0+1</definedName>
    <definedName name="_ZA529" localSheetId="8">CURVES!$J$216+"aJ216"+17153+0+1</definedName>
    <definedName name="_ZA530" localSheetId="8">CURVES!$J$217+"aJ217"+17153+0+1</definedName>
    <definedName name="_ZA531" localSheetId="8">CURVES!$J$218+"aJ218"+17153+0+1</definedName>
    <definedName name="_ZA532" localSheetId="8">CURVES!$J$219+"aJ219"+17153+0+1</definedName>
    <definedName name="_ZA533" localSheetId="8">CURVES!$J$220+"aJ220"+17153+0+1</definedName>
    <definedName name="_ZA534" localSheetId="8">CURVES!$J$221+"aJ221"+17153+0+1</definedName>
    <definedName name="_ZA535" localSheetId="8">CURVES!$J$222+"aJ222"+17153+0+1</definedName>
    <definedName name="_ZA536" localSheetId="8">CURVES!$J$223+"aJ223"+17153+0+1</definedName>
    <definedName name="_ZA537" localSheetId="8">CURVES!$J$224+"aJ224"+17153+0+1</definedName>
    <definedName name="_ZA538" localSheetId="8">CURVES!$J$225+"aJ225"+17153+0+1</definedName>
    <definedName name="_ZA539" localSheetId="8">CURVES!$J$226+"aJ226"+17153+0+1</definedName>
    <definedName name="_ZA540" localSheetId="8">CURVES!$J$227+"aJ227"+17153+0+1</definedName>
    <definedName name="_ZA541" localSheetId="8">CURVES!$J$228+"aJ228"+17153+0+1</definedName>
    <definedName name="_ZA542" localSheetId="8">CURVES!$J$229+"aJ229"+17153+0+1</definedName>
    <definedName name="_ZA543" localSheetId="8">CURVES!$J$230+"aJ230"+17153+0+1</definedName>
    <definedName name="_ZA544" localSheetId="8">CURVES!$J$231+"aJ231"+17153+0+1</definedName>
    <definedName name="_ZA545" localSheetId="8">CURVES!$J$232+"aJ232"+17153+0+1</definedName>
    <definedName name="_ZA546" localSheetId="8">CURVES!$J$233+"aJ233"+17153+0+1</definedName>
    <definedName name="_ZA547" localSheetId="8">CURVES!$J$234+"aJ234"+17153+0+1</definedName>
    <definedName name="_ZA548" localSheetId="8">CURVES!$J$235+"aJ235"+17153+0+1</definedName>
    <definedName name="_ZA549" localSheetId="8">CURVES!$J$236+"aJ236"+17153+0+1</definedName>
    <definedName name="_ZA550" localSheetId="8">CURVES!$J$237+"aJ237"+17153+0+1</definedName>
    <definedName name="_ZA551" localSheetId="8">CURVES!$J$238+"aJ238"+17153+0+1</definedName>
    <definedName name="_ZA552" localSheetId="8">CURVES!$J$239+"aJ239"+17153+0+1</definedName>
    <definedName name="_ZA553" localSheetId="8">CURVES!$J$240+"aJ240"+17153+0+1</definedName>
    <definedName name="_ZA554" localSheetId="8">CURVES!$J$241+"aJ241"+17153+0+1</definedName>
    <definedName name="_ZA555" localSheetId="8">CURVES!$J$242+"aJ242"+17153+0+1</definedName>
    <definedName name="_ZA556" localSheetId="8">CURVES!$J$243+"aJ243"+17153+0+1</definedName>
    <definedName name="_ZA557" localSheetId="8">CURVES!$J$244+"aJ244"+17153+0+1</definedName>
    <definedName name="_ZA558" localSheetId="8">CURVES!$J$245+"aJ245"+17153+0+1</definedName>
    <definedName name="_ZA559" localSheetId="8">CURVES!$J$246+"aJ246"+17153+0+1</definedName>
    <definedName name="_ZA560" localSheetId="8">CURVES!$J$247+"aJ247"+17153+0+1</definedName>
    <definedName name="_ZA561" localSheetId="8">CURVES!$J$248+"aJ248"+17153+0+1</definedName>
    <definedName name="_ZA562" localSheetId="8">CURVES!$J$249+"aJ249"+17153+0+1</definedName>
    <definedName name="_ZA563" localSheetId="8">CURVES!$J$250+"aJ250"+17153+0+1</definedName>
    <definedName name="_ZA564" localSheetId="8">CURVES!$J$251+"aJ251"+17153+0+1</definedName>
    <definedName name="_ZA565" localSheetId="8">CURVES!$J$252+"aJ252"+17153+0+1</definedName>
    <definedName name="_ZA566" localSheetId="8">CURVES!$J$253+"aJ253"+17153+0+1</definedName>
    <definedName name="_ZA567" localSheetId="8">CURVES!$J$254+"aJ254"+17153+0+1</definedName>
    <definedName name="_ZA568" localSheetId="8">CURVES!$J$255+"aJ255"+17153+0+1</definedName>
    <definedName name="_ZA569" localSheetId="8">CURVES!$J$256+"aJ256"+17153+0+1</definedName>
    <definedName name="_ZA570" localSheetId="8">CURVES!$J$257+"aJ257"+17153+0+1</definedName>
    <definedName name="_ZA571" localSheetId="8">CURVES!$J$258+"aJ258"+17153+0+1</definedName>
    <definedName name="_ZA572" localSheetId="8">CURVES!$J$259+"aJ259"+17153+0+1</definedName>
    <definedName name="_ZA573" localSheetId="8">CURVES!$J$260+"aJ260"+17153+0+1</definedName>
    <definedName name="_ZA574" localSheetId="8">CURVES!$J$261+"aJ261"+17153+0+1</definedName>
    <definedName name="_ZA575" localSheetId="8">CURVES!$J$262+"aJ262"+17153+0+1</definedName>
    <definedName name="_ZA576" localSheetId="8">CURVES!$J$263+"aJ263"+17153+0+1</definedName>
    <definedName name="_ZA577" localSheetId="8">CURVES!$J$264+"aJ264"+17153+0+1</definedName>
    <definedName name="_ZA578" localSheetId="8">CURVES!$J$265+"aJ265"+17153+0+1</definedName>
    <definedName name="_ZA579" localSheetId="8">CURVES!$J$266+"aJ266"+17153+0+1</definedName>
    <definedName name="_ZA580" localSheetId="8">CURVES!$J$267+"aJ267"+17153+0+1</definedName>
    <definedName name="_ZA581" localSheetId="8">CURVES!$J$268+"aJ268"+17153+0+1</definedName>
    <definedName name="_ZA582" localSheetId="8">CURVES!$J$269+"aJ269"+17153+0+1</definedName>
    <definedName name="_ZA583" localSheetId="8">CURVES!$J$270+"aJ270"+17153+0+1</definedName>
    <definedName name="_ZA584" localSheetId="8">CURVES!$J$271+"aJ271"+17153+0+1</definedName>
    <definedName name="_ZA585" localSheetId="8">CURVES!$J$272+"aJ272"+17153+0+1</definedName>
    <definedName name="_ZA586" localSheetId="8">CURVES!$J$273+"aJ273"+17153+0+1</definedName>
    <definedName name="_ZA587" localSheetId="8">CURVES!$J$274+"aJ274"+17153+0+1</definedName>
    <definedName name="_ZA588" localSheetId="8">CURVES!$J$275+"aJ275"+17153+0+1</definedName>
    <definedName name="_ZA589" localSheetId="8">CURVES!$J$276+"aJ276"+17153+0+1</definedName>
    <definedName name="_ZA590" localSheetId="8">CURVES!$J$277+"aJ277"+17153+0+1</definedName>
    <definedName name="_ZA591" localSheetId="8">CURVES!$J$278+"aJ278"+17153+0+1</definedName>
    <definedName name="_ZA592" localSheetId="8">CURVES!$J$279+"aJ279"+17153+0+1</definedName>
    <definedName name="_ZA593" localSheetId="8">CURVES!$J$280+"aJ280"+17153+0+1</definedName>
    <definedName name="_ZA594" localSheetId="8">CURVES!$J$281+"aJ281"+17153+0+1</definedName>
    <definedName name="_ZA595" localSheetId="8">CURVES!$J$282+"aJ282"+17153+0+1</definedName>
    <definedName name="_ZA596" localSheetId="8">CURVES!$J$283+"aJ283"+17153+0+1</definedName>
    <definedName name="_ZA597" localSheetId="8">CURVES!$J$284+"aJ284"+17153+0+1</definedName>
    <definedName name="_ZA598" localSheetId="8">CURVES!$J$285+"aJ285"+17153+0+1</definedName>
    <definedName name="_ZA599" localSheetId="8">CURVES!$J$286+"aJ286"+17153+0+1</definedName>
    <definedName name="_ZA600" localSheetId="8">CURVES!$E$287+"aE287"+17153+0+1</definedName>
    <definedName name="_ZA601" localSheetId="8">CURVES!$E$288+"aE288"+17153+0+1</definedName>
    <definedName name="_ZA602" localSheetId="8">CURVES!$E$289+"aE289"+17153+0+1</definedName>
    <definedName name="_ZA603" localSheetId="8">CURVES!$E$290+"aE290"+17153+0+1</definedName>
    <definedName name="_ZA604" localSheetId="8">CURVES!$E$291+"aE291"+17153+0+1</definedName>
    <definedName name="_ZA605" localSheetId="8">CURVES!$E$292+"aE292"+17153+0+1</definedName>
    <definedName name="_ZA606" localSheetId="8">CURVES!$E$293+"aE293"+17153+0+1</definedName>
    <definedName name="_ZA607" localSheetId="8">CURVES!$E$294+"aE294"+17153+0+1</definedName>
    <definedName name="_ZA608" localSheetId="8">CURVES!$E$295+"aE295"+17153+0+1</definedName>
    <definedName name="_ZA609" localSheetId="8">CURVES!$E$296+"aE296"+17153+0+1</definedName>
    <definedName name="_ZA610" localSheetId="8">CURVES!$E$297+"aE297"+17153+0+1</definedName>
    <definedName name="_ZA611" localSheetId="8">CURVES!$E$298+"aE298"+17153+0+1</definedName>
    <definedName name="_ZA612" localSheetId="8">CURVES!$E$299+"aE299"+17153+0+1</definedName>
    <definedName name="_ZA613" localSheetId="8">CURVES!$E$300+"aE300"+17153+0+1</definedName>
    <definedName name="_ZA614" localSheetId="8">CURVES!$E$301+"aE301"+17153+0+1</definedName>
    <definedName name="_ZA615" localSheetId="8">CURVES!$E$302+"aE302"+17153+0+1</definedName>
    <definedName name="_ZA616" localSheetId="8">CURVES!$E$303+"aE303"+17153+0+1</definedName>
    <definedName name="_ZA617" localSheetId="8">CURVES!$E$304+"aE304"+17153+0+1</definedName>
    <definedName name="_ZA618" localSheetId="8">CURVES!$E$305+"aE305"+17153+0+1</definedName>
    <definedName name="_ZA619" localSheetId="8">CURVES!$E$306+"aE306"+17153+0+1</definedName>
    <definedName name="_ZA620" localSheetId="8">CURVES!$E$307+"aE307"+17153+0+1</definedName>
    <definedName name="_ZA621" localSheetId="8">CURVES!$E$308+"aE308"+17153+0+1</definedName>
    <definedName name="_ZA622" localSheetId="8">CURVES!$E$309+"aE309"+17153+0+1</definedName>
    <definedName name="_ZA623" localSheetId="8">CURVES!$E$310+"aE310"+17153+0+1</definedName>
    <definedName name="_ZA624" localSheetId="8">CURVES!$E$311+"aE311"+17153+0+1</definedName>
    <definedName name="_ZA625" localSheetId="8">CURVES!$E$312+"aE312"+17153+0+1</definedName>
    <definedName name="_ZA626" localSheetId="8">CURVES!$E$313+"aE313"+17153+0+1</definedName>
    <definedName name="_ZA627" localSheetId="8">CURVES!$E$314+"aE314"+17153+0+1</definedName>
    <definedName name="_ZA628" localSheetId="8">CURVES!$E$315+"aE315"+17153+0+1</definedName>
    <definedName name="_ZA629" localSheetId="8">CURVES!$E$316+"aE316"+17153+0+1</definedName>
    <definedName name="_ZA630" localSheetId="8">CURVES!$E$317+"aE317"+17153+0+1</definedName>
    <definedName name="_ZA631" localSheetId="8">CURVES!$E$318+"aE318"+17153+0+1</definedName>
    <definedName name="_ZA632" localSheetId="8">CURVES!$E$319+"aE319"+17153+0+1</definedName>
    <definedName name="_ZA633" localSheetId="8">CURVES!$E$320+"aE320"+17153+0+1</definedName>
    <definedName name="_ZA634" localSheetId="8">CURVES!$E$321+"aE321"+17153+0+1</definedName>
    <definedName name="_ZA635" localSheetId="8">CURVES!$E$322+"aE322"+17153+0+1</definedName>
    <definedName name="_ZA636" localSheetId="8">CURVES!$E$323+"aE323"+17153+0+1</definedName>
    <definedName name="_ZA637" localSheetId="8">CURVES!$E$324+"aE324"+17153+0+1</definedName>
    <definedName name="_ZA638" localSheetId="8">CURVES!$E$325+"aE325"+17153+0+1</definedName>
    <definedName name="_ZA639" localSheetId="8">CURVES!$E$326+"aE326"+17153+0+1</definedName>
    <definedName name="_ZA640" localSheetId="8">CURVES!$E$327+"aE327"+17153+0+1</definedName>
    <definedName name="_ZA641" localSheetId="8">CURVES!$E$328+"aE328"+17153+0+1</definedName>
    <definedName name="_ZA642" localSheetId="8">CURVES!$E$329+"aE329"+17153+0+1</definedName>
    <definedName name="_ZA643" localSheetId="8">CURVES!$E$330+"aE330"+17153+0+1</definedName>
    <definedName name="_ZA644" localSheetId="8">CURVES!$E$331+"aE331"+17153+0+1</definedName>
    <definedName name="_ZA645" localSheetId="8">CURVES!$E$332+"aE332"+17153+0+1</definedName>
    <definedName name="_ZA646" localSheetId="8">CURVES!$E$333+"aE333"+17153+0+1</definedName>
    <definedName name="_ZA647" localSheetId="8">CURVES!$E$334+"aE334"+17153+0+1</definedName>
    <definedName name="_ZA648" localSheetId="8">CURVES!$E$335+"aE335"+17153+0+1</definedName>
    <definedName name="_ZA649" localSheetId="8">CURVES!$E$336+"aE336"+17153+0+1</definedName>
    <definedName name="_ZA650" localSheetId="8">CURVES!$E$337+"aE337"+17153+0+1</definedName>
    <definedName name="_ZA651" localSheetId="8">CURVES!$E$338+"aE338"+17153+0+1</definedName>
    <definedName name="_ZA652" localSheetId="8">CURVES!$E$339+"aE339"+17153+0+1</definedName>
    <definedName name="_ZA653" localSheetId="8">CURVES!$E$340+"aE340"+17153+0+1</definedName>
    <definedName name="_ZA654" localSheetId="8">CURVES!$E$341+"aE341"+17153+0+1</definedName>
    <definedName name="_ZA655" localSheetId="8">CURVES!$E$342+"aE342"+17153+0+1</definedName>
    <definedName name="_ZA656" localSheetId="8">CURVES!$E$343+"aE343"+17153+0+1</definedName>
    <definedName name="_ZA657" localSheetId="8">CURVES!$E$344+"aE344"+17153+0+1</definedName>
    <definedName name="_ZA658" localSheetId="8">CURVES!$E$345+"aE345"+17153+0+1</definedName>
    <definedName name="_ZA659" localSheetId="8">CURVES!$E$346+"aE346"+17153+0+1</definedName>
    <definedName name="_ZA660" localSheetId="8">CURVES!$E$347+"aE347"+17153+0+1</definedName>
    <definedName name="_ZA661" localSheetId="8">CURVES!$E$348+"aE348"+17153+0+1</definedName>
    <definedName name="_ZA662" localSheetId="8">CURVES!$E$349+"aE349"+17153+0+1</definedName>
    <definedName name="_ZA663" localSheetId="8">CURVES!$E$350+"aE350"+17153+0+1</definedName>
    <definedName name="_ZA664" localSheetId="8">CURVES!$E$351+"aE351"+17153+0+1</definedName>
    <definedName name="_ZA665" localSheetId="8">CURVES!$E$352+"aE352"+17153+0+1</definedName>
    <definedName name="_ZA666" localSheetId="8">CURVES!$E$353+"aE353"+17153+0+1</definedName>
    <definedName name="_ZA667" localSheetId="8">CURVES!$E$354+"aE354"+17153+0+1</definedName>
    <definedName name="_ZA668" localSheetId="8">CURVES!$E$355+"aE355"+17153+0+1</definedName>
    <definedName name="_ZA669" localSheetId="8">CURVES!$E$356+"aE356"+17153+0+1</definedName>
    <definedName name="_ZA670" localSheetId="8">CURVES!$E$357+"aE357"+17153+0+1</definedName>
    <definedName name="_ZA671" localSheetId="8">CURVES!$E$358+"aE358"+17153+0+1</definedName>
    <definedName name="_ZA672" localSheetId="8">CURVES!$E$359+"aE359"+17153+0+1</definedName>
    <definedName name="_ZA673" localSheetId="8">CURVES!$E$360+"aE360"+17153+0+1</definedName>
    <definedName name="_ZA674" localSheetId="8">CURVES!$E$361+"aE361"+17153+0+1</definedName>
    <definedName name="_ZA675" localSheetId="8">CURVES!$E$362+"aE362"+17153+0+1</definedName>
    <definedName name="_ZA676" localSheetId="8">CURVES!$E$363+"aE363"+17153+0+1</definedName>
    <definedName name="_ZA677" localSheetId="8">CURVES!$J$287+"aJ287"+17153+0+1</definedName>
    <definedName name="_ZA678" localSheetId="8">CURVES!$J$288+"aJ288"+17153+0+1</definedName>
    <definedName name="_ZA679" localSheetId="8">CURVES!$J$289+"aJ289"+17153+0+1</definedName>
    <definedName name="_ZA680" localSheetId="8">CURVES!$J$290+"aJ290"+17153+0+1</definedName>
    <definedName name="_ZA681" localSheetId="8">CURVES!$J$291+"aJ291"+17153+0+1</definedName>
    <definedName name="_ZA682" localSheetId="8">CURVES!$J$292+"aJ292"+17153+0+1</definedName>
    <definedName name="_ZA683" localSheetId="8">CURVES!$J$293+"aJ293"+17153+0+1</definedName>
    <definedName name="_ZA684" localSheetId="8">CURVES!$J$294+"aJ294"+17153+0+1</definedName>
    <definedName name="_ZA685" localSheetId="8">CURVES!$J$295+"aJ295"+17153+0+1</definedName>
    <definedName name="_ZA686" localSheetId="8">CURVES!$J$296+"aJ296"+17153+0+1</definedName>
    <definedName name="_ZA687" localSheetId="8">CURVES!$J$297+"aJ297"+17153+0+1</definedName>
    <definedName name="_ZA688" localSheetId="8">CURVES!$J$298+"aJ298"+17153+0+1</definedName>
    <definedName name="_ZA689" localSheetId="8">CURVES!$J$299+"aJ299"+17153+0+1</definedName>
    <definedName name="_ZA690" localSheetId="8">CURVES!$J$300+"aJ300"+17153+0+1</definedName>
    <definedName name="_ZA691" localSheetId="8">CURVES!$J$301+"aJ301"+17153+0+1</definedName>
    <definedName name="_ZA692" localSheetId="8">CURVES!$J$302+"aJ302"+17153+0+1</definedName>
    <definedName name="_ZA693" localSheetId="8">CURVES!$J$303+"aJ303"+17153+0+1</definedName>
    <definedName name="_ZA694" localSheetId="8">CURVES!$J$304+"aJ304"+17153+0+1</definedName>
    <definedName name="_ZA695" localSheetId="8">CURVES!$J$305+"aJ305"+17153+0+1</definedName>
    <definedName name="_ZA696" localSheetId="8">CURVES!$J$306+"aJ306"+17153+0+1</definedName>
    <definedName name="_ZA697" localSheetId="8">CURVES!$J$307+"aJ307"+17153+0+1</definedName>
    <definedName name="_ZA698" localSheetId="8">CURVES!$J$308+"aJ308"+17153+0+1</definedName>
    <definedName name="_ZA699" localSheetId="8">CURVES!$J$309+"aJ309"+17153+0+1</definedName>
    <definedName name="_ZA700" localSheetId="8">CURVES!$J$310+"aJ310"+17153+0+1</definedName>
    <definedName name="_ZA701" localSheetId="8">CURVES!$J$311+"aJ311"+17153+0+1</definedName>
    <definedName name="_ZA702" localSheetId="8">CURVES!$J$312+"aJ312"+17153+0+1</definedName>
    <definedName name="_ZA703" localSheetId="8">CURVES!$J$313+"aJ313"+17153+0+1</definedName>
    <definedName name="_ZA704" localSheetId="8">CURVES!$J$314+"aJ314"+17153+0+1</definedName>
    <definedName name="_ZA705" localSheetId="8">CURVES!$J$315+"aJ315"+17153+0+1</definedName>
    <definedName name="_ZA706" localSheetId="8">CURVES!$J$316+"aJ316"+17153+0+1</definedName>
    <definedName name="_ZA707" localSheetId="8">CURVES!$J$317+"aJ317"+17153+0+1</definedName>
    <definedName name="_ZA708" localSheetId="8">CURVES!$J$318+"aJ318"+17153+0+1</definedName>
    <definedName name="_ZA709" localSheetId="8">CURVES!$J$319+"aJ319"+17153+0+1</definedName>
    <definedName name="_ZA710" localSheetId="8">CURVES!$J$320+"aJ320"+17153+0+1</definedName>
    <definedName name="_ZA711" localSheetId="8">CURVES!$J$321+"aJ321"+17153+0+1</definedName>
    <definedName name="_ZA712" localSheetId="8">CURVES!$J$322+"aJ322"+17153+0+1</definedName>
    <definedName name="_ZA713" localSheetId="8">CURVES!$J$323+"aJ323"+17153+0+1</definedName>
    <definedName name="_ZA714" localSheetId="8">CURVES!$J$324+"aJ324"+17153+0+1</definedName>
    <definedName name="_ZA715" localSheetId="8">CURVES!$J$325+"aJ325"+17153+0+1</definedName>
    <definedName name="_ZA716" localSheetId="8">CURVES!$J$326+"aJ326"+17153+0+1</definedName>
    <definedName name="_ZA717" localSheetId="8">CURVES!$J$327+"aJ327"+17153+0+1</definedName>
    <definedName name="_ZA718" localSheetId="8">CURVES!$J$328+"aJ328"+17153+0+1</definedName>
    <definedName name="_ZA719" localSheetId="8">CURVES!$J$329+"aJ329"+17153+0+1</definedName>
    <definedName name="_ZA720" localSheetId="8">CURVES!$J$330+"aJ330"+17153+0+1</definedName>
    <definedName name="_ZA721" localSheetId="8">CURVES!$J$331+"aJ331"+17153+0+1</definedName>
    <definedName name="_ZA722" localSheetId="8">CURVES!$J$332+"aJ332"+17153+0+1</definedName>
    <definedName name="_ZA723" localSheetId="8">CURVES!$J$333+"aJ333"+17153+0+1</definedName>
    <definedName name="_ZA724" localSheetId="8">CURVES!$J$334+"aJ334"+17153+0+1</definedName>
    <definedName name="_ZA725" localSheetId="8">CURVES!$J$335+"aJ335"+17153+0+1</definedName>
    <definedName name="_ZA726" localSheetId="8">CURVES!$J$336+"aJ336"+17153+0+1</definedName>
    <definedName name="_ZA727" localSheetId="8">CURVES!$J$337+"aJ337"+17153+0+1</definedName>
    <definedName name="_ZA728" localSheetId="8">CURVES!$J$338+"aJ338"+17153+0+1</definedName>
    <definedName name="_ZA729" localSheetId="8">CURVES!$J$339+"aJ339"+17153+0+1</definedName>
    <definedName name="_ZA730" localSheetId="8">CURVES!$J$340+"aJ340"+17153+0+1</definedName>
    <definedName name="_ZA731" localSheetId="8">CURVES!$J$341+"aJ341"+17153+0+1</definedName>
    <definedName name="_ZA732" localSheetId="8">CURVES!$J$342+"aJ342"+17153+0+1</definedName>
    <definedName name="_ZA733" localSheetId="8">CURVES!$J$343+"aJ343"+17153+0+1</definedName>
    <definedName name="_ZA734" localSheetId="8">CURVES!$J$344+"aJ344"+17153+0+1</definedName>
    <definedName name="_ZA735" localSheetId="8">CURVES!$J$345+"aJ345"+17153+0+1</definedName>
    <definedName name="_ZA736" localSheetId="8">CURVES!$J$346+"aJ346"+17153+0+1</definedName>
    <definedName name="_ZA737" localSheetId="8">CURVES!$J$347+"aJ347"+17153+0+1</definedName>
    <definedName name="_ZA738" localSheetId="8">CURVES!$J$348+"aJ348"+17153+0+1</definedName>
    <definedName name="_ZA739" localSheetId="8">CURVES!$J$349+"aJ349"+17153+0+1</definedName>
    <definedName name="_ZA740" localSheetId="8">CURVES!$J$350+"aJ350"+17153+0+1</definedName>
    <definedName name="_ZA741" localSheetId="8">CURVES!$J$351+"aJ351"+17153+0+1</definedName>
    <definedName name="_ZA742" localSheetId="8">CURVES!$J$352+"aJ352"+17153+0+1</definedName>
    <definedName name="_ZA743" localSheetId="8">CURVES!$J$353+"aJ353"+17153+0+1</definedName>
    <definedName name="_ZA744" localSheetId="8">CURVES!$J$354+"aJ354"+17153+0+1</definedName>
    <definedName name="_ZA745" localSheetId="8">CURVES!$J$355+"aJ355"+17153+0+1</definedName>
    <definedName name="_ZA746" localSheetId="8">CURVES!$J$356+"aJ356"+17153+0+1</definedName>
    <definedName name="_ZA747" localSheetId="8">CURVES!$J$357+"aJ357"+17153+0+1</definedName>
    <definedName name="_ZA748" localSheetId="8">CURVES!$J$358+"aJ358"+17153+0+1</definedName>
    <definedName name="_ZA749" localSheetId="8">CURVES!$J$359+"aJ359"+17153+0+1</definedName>
    <definedName name="_ZA750" localSheetId="8">CURVES!$J$360+"aJ360"+17153+0+1</definedName>
    <definedName name="_ZA751" localSheetId="8">CURVES!$J$361+"aJ361"+17153+0+1</definedName>
    <definedName name="_ZA752" localSheetId="8">CURVES!$J$362+"aJ362"+17153+0+1</definedName>
    <definedName name="_ZA753" localSheetId="8">CURVES!$J$363+"aJ363"+17153+0+1</definedName>
    <definedName name="_ZA853" localSheetId="9">USInf97!$B$34+"aB34"+16929+0+1</definedName>
    <definedName name="_ZA854" localSheetId="9">USInf97!$B$35+"aB35"+16929+0+1</definedName>
    <definedName name="_ZA855" localSheetId="9">USInf97!$B$36+"aB36"+16929+0+1</definedName>
    <definedName name="_ZA856" localSheetId="9">USInf97!$B$37+"aB37"+16929+0+1</definedName>
    <definedName name="_ZA857" localSheetId="9">USInf97!$B$38+"aB38"+16929+0+1</definedName>
    <definedName name="ZA857AA" localSheetId="5">2+0.15+0+2+0.85+1+9</definedName>
    <definedName name="_ZA858" localSheetId="9">USInf97!$B$39+"aB39"+16929+0+1</definedName>
    <definedName name="_ZA859" localSheetId="9">USInf97!$B$40+"aB40"+16929+0+1</definedName>
    <definedName name="_ZA860" localSheetId="9">USInf97!$B$41+"aB41"+16929+0+1</definedName>
    <definedName name="_ZA861" localSheetId="9">USInf97!$B$42+"aB42"+16929+0+1</definedName>
    <definedName name="_ZA862" localSheetId="9">USInf97!$B$43+"aB43"+16929+0+1</definedName>
    <definedName name="_ZA863" localSheetId="9">USInf97!$B$44+"aB44"+16929+0+1</definedName>
    <definedName name="_ZA864" localSheetId="9">USInf97!$B$45+"aB45"+16929+0+1</definedName>
    <definedName name="_ZA865" localSheetId="9">USInf97!$B$46+"aB46"+16929+0+1</definedName>
    <definedName name="_ZA866" localSheetId="9">USInf97!$B$47+"aB47"+16929+0+1</definedName>
    <definedName name="_ZA867" localSheetId="9">USInf97!$B$48+"aB48"+16929+0+1</definedName>
    <definedName name="ZA867AA" localSheetId="5">2+0.95+0+2+0.05+1+9</definedName>
    <definedName name="_ZA868" localSheetId="9">USInf97!$B$49+"aB49"+16929+0+1</definedName>
    <definedName name="_ZA869" localSheetId="5">RAROC!$E$10+"aRAROC"+545+RAROC!$G$10+0+16.5+RAROC!$G$11+0+0.2</definedName>
    <definedName name="_ZA869" localSheetId="9">USInf97!$B$50+"aB50"+16929+0+1</definedName>
    <definedName name="ZA869AA" localSheetId="5">2+0.02+3+2+0.02+4+2+0.03+5+2+0.04+6+2+0.06+7+2+0.08+8+2+0.09+9+2+0.11+10+2+0.127462686567164+11+2+0.16+12+2+0.2+13+2+0.06+14+9</definedName>
    <definedName name="ZA869AB" localSheetId="5">2+0.05+14+9</definedName>
    <definedName name="_ZA870" localSheetId="5">RAROC!$E$14+"lE14"+16929+574+0.6+1+2+5+1+5+4+9+0+4+0+8</definedName>
    <definedName name="_ZA870" localSheetId="9">USInf97!$B$51+"aB51"+16929+0+1</definedName>
    <definedName name="ZA870AA" localSheetId="5">2+0.02+2+2+0.18+3+2+0.6+4+2+0.2+5+9</definedName>
    <definedName name="_ZA871" localSheetId="9">USInf97!$B$52+"aB52"+16929+0+1</definedName>
    <definedName name="_ZA872" localSheetId="9">USInf97!$B$53+"aB53"+16929+0+1</definedName>
    <definedName name="_ZA873" localSheetId="9">USInf97!$B$54+"aB54"+16929+0+1</definedName>
    <definedName name="_ZA874" localSheetId="5">RAROC!$E$24+"PBE19"+16929+RAROC!$H$24+0+0.174+RAROC!$H$25+0+0.005+"-"+0.194</definedName>
    <definedName name="_ZA874" localSheetId="9">USInf97!$B$55+"aB55"+16929+0+1</definedName>
    <definedName name="_ZA875" localSheetId="5">RAROC!$E$28+"PBE23"+16929+RAROC!$H$28+0+0.769+RAROC!$H$29+0+0.01+"-"+0.809</definedName>
    <definedName name="_ZA875" localSheetId="9">USInf97!$B$56+"aB56"+16929+0+1</definedName>
    <definedName name="_ZA876" localSheetId="9">USInf97!$B$57+"aB57"+16929+0+1</definedName>
    <definedName name="_ZA877" localSheetId="9">USInf97!$B$58+"aB58"+16929+0+1</definedName>
    <definedName name="_ZA878" localSheetId="9">USInf97!$B$59+"aB59"+16929+0+1</definedName>
    <definedName name="ZA878AA" localSheetId="5">2+0.15+0+2+0.85+1+9</definedName>
    <definedName name="_ZA879" localSheetId="9">USInf97!$B$60+"aB60"+16929+0+1</definedName>
    <definedName name="ZA879AA" localSheetId="5">2+0.15+0+2+0.85+1+9</definedName>
    <definedName name="_ZA880" localSheetId="5">RAROC!$J$24+"PBJ19"+16929+RAROC!$M$24+0+0.154417327663107+RAROC!$M$25+0+0.01+"-"+0.194417327663107</definedName>
    <definedName name="_ZA880" localSheetId="9">USInf97!$B$61+"aB61"+16929+0+1</definedName>
    <definedName name="_ZA881" localSheetId="5">RAROC!$J$28+"PBJ23"+16929+RAROC!$M$28+0+0.213+RAROC!$M$29+0+0.01+"-"+0.253</definedName>
    <definedName name="_ZA881" localSheetId="9">USInf97!$B$62+"aB62"+16929+0+1</definedName>
    <definedName name="_ZA882" localSheetId="5">RAROC!$O$28+"PBO23"+16929+RAROC!$R$28+0+0.477+RAROC!$R$29+0+0.01+"-"+0.517</definedName>
    <definedName name="_ZA882" localSheetId="9">USInf97!$B$63+"aB63"+16929+0+1</definedName>
    <definedName name="_ZA883" localSheetId="5">RAROC!$O$24+"PBO19"+16929+RAROC!$R$24+0+0.25942111047402+RAROC!$R$25+0+0.005+"-"+0.27942111047402</definedName>
    <definedName name="_ZA883" localSheetId="9">USInf97!$B$64+"aB64"+16929+0+1</definedName>
    <definedName name="_ZA884" localSheetId="5">RAROC!$E$33+"PBE28"+16929+RAROC!$H$33+0+0.428+RAROC!$H$34+0+0.005+"-"+0.448</definedName>
    <definedName name="_ZA884" localSheetId="9">USInf97!$B$65+"aB65"+16929+0+1</definedName>
    <definedName name="_ZA885" localSheetId="5">RAROC!$E$37+"PBE32"+16929+RAROC!$H$37+0+0.916+RAROC!$H$38+0+0.01+"-"+0.956</definedName>
    <definedName name="_ZA885" localSheetId="9">USInf97!$B$66+"aB66"+16929+0+1</definedName>
    <definedName name="_ZA886" localSheetId="5">RAROC!$J$33+"PBJ28"+16929+RAROC!$M$33+0+0.119+RAROC!$M$34+0+0.01+"-"+0.159</definedName>
    <definedName name="_ZA886" localSheetId="9">USInf97!$B$67+"aB67"+16929+0+1</definedName>
    <definedName name="_ZA887" localSheetId="5">RAROC!$J$37+"PBJ32"+16929+RAROC!$M$37+0+0.254+RAROC!$M$38+0+0.01+"-"+0.294</definedName>
    <definedName name="_ZA887" localSheetId="9">USInf97!$B$68+"aB68"+16929+0+1</definedName>
    <definedName name="_ZA888" localSheetId="5">RAROC!$O$33+"PBO28"+16929+RAROC!$R$33+0+0.227+RAROC!$R$34+0+0.005+"-"+0.247</definedName>
    <definedName name="_ZA888" localSheetId="9">USInf97!$B$69+"aB69"+16929+0+1</definedName>
    <definedName name="_ZA889" localSheetId="5">RAROC!$O$37+"PBO32"+16929+RAROC!$R$37+0+0.535+RAROC!$R$38+0+0.01+"-"+0.575</definedName>
    <definedName name="_ZA889" localSheetId="9">USInf97!$B$70+"aB70"+16929+0+1</definedName>
    <definedName name="_ZA890" localSheetId="5">RAROC!$E$40+"EAE35"+17449+RAROC!$H$40+0+0.02+RAROC!$H$41+0+0.005+0+RAROC!$H$40+0+0.02</definedName>
    <definedName name="_ZA890" localSheetId="9">USInf97!$B$71+"aB71"+16929+0+1</definedName>
    <definedName name="_ZA891" localSheetId="5">RAROC!$E$43+"EAE38"+17153+RAROC!$H$43+0+3.223+RAROC!$H$44+0+0.05+0+RAROC!$H$43+0+3.223</definedName>
    <definedName name="_ZA891" localSheetId="9">USInf97!$B$72+"aB72"+16929+0+1</definedName>
    <definedName name="_ZA892" localSheetId="5">RAROC!$E$46+"eAE41"+16901+RAROC!$H$46+0+0.666666666666667+RAROC!$H$47+0+0.05</definedName>
    <definedName name="_ZA892" localSheetId="9">USInf97!$B$73+"aB73"+16929+0+1</definedName>
    <definedName name="_ZA893" localSheetId="5">RAROC!$E$51+"eAE46"+16901+RAROC!$H$51+0+0.5+RAROC!$H$52+0+0.05</definedName>
    <definedName name="_ZA893" localSheetId="9">USInf97!$B$74+"aB74"+16929+0+1</definedName>
    <definedName name="_ZA894" localSheetId="5">RAROC!$E$55+"eAE50"+1065+RAROC!$H$55+0+0.25+RAROC!$H$56+0+0.02</definedName>
    <definedName name="_ZA894" localSheetId="9">USInf97!$B$75+"aB75"+16929+0+1</definedName>
    <definedName name="_ZA895" localSheetId="5">RAROC!$E$58+"eAE53"+517+RAROC!$H$58+0+0.0135+RAROC!$H$59+0+0.0005</definedName>
    <definedName name="_ZA895" localSheetId="9">USInf97!$B$76+"aB76"+16929+0+1</definedName>
    <definedName name="_ZA896" localSheetId="5">RAROC!$E$63+"eAE58"+17441+RAROC!$H$63+0+5.8222388509+RAROC!$H$64+0+0.5</definedName>
    <definedName name="_ZA896" localSheetId="9">USInf97!$B$77+"aB77"+16929+0+1</definedName>
    <definedName name="_ZA897" localSheetId="5">RAROC!$E$66+"eAE61"+17441+RAROC!$H$66+0+5.5884170635+RAROC!$H$67+0+0.5</definedName>
    <definedName name="_ZA897" localSheetId="9">USInf97!$B$78+"aB78"+16929+0+1</definedName>
    <definedName name="_ZA898" localSheetId="5">RAROC!$E$69+"eAE64"+17441+RAROC!$H$69+0+0.0266154761904762+RAROC!$H$70+0+0.01</definedName>
    <definedName name="_ZA898" localSheetId="9">USInf97!$B$79+"aB79"+16929+0+1</definedName>
    <definedName name="_ZA899" localSheetId="5">RAROC!$E$72+"eAE67"+16901+RAROC!$H$72+0+0.025+RAROC!$H$73+0+0.002</definedName>
    <definedName name="_ZA899" localSheetId="9">USInf97!$B$80+"aB80"+16929+0+1</definedName>
    <definedName name="_ZA9001" localSheetId="5">RAROC!$E$76+"eAE71"+16901+RAROC!$H$76+0+0.75+RAROC!$H$77+0+0.05</definedName>
    <definedName name="_ZA9001" localSheetId="9">USInf97!$B$81+"aB81"+16929+0+1</definedName>
    <definedName name="_ZA9002" localSheetId="5">RAROC!$E$80+"eAE75"+16937+RAROC!$H$80+0+1+RAROC!$H$81+0+0.05</definedName>
    <definedName name="_ZA9002" localSheetId="9">USInf97!$B$82+"aB82"+16929+0+1</definedName>
    <definedName name="_ZA9003" localSheetId="5">RAROC!$E$83+"eAE78"+16901+RAROC!$H$83+0+0.5+RAROC!$H$84+0+0.05</definedName>
    <definedName name="_ZA9003" localSheetId="9">USInf97!$B$83+"aB83"+16929+0+1</definedName>
    <definedName name="_ZA9004" localSheetId="5">RAROC!$E$87+"lE85"+16417+448+0.6+1+1+3+1+3+3+3+0+3+0+8</definedName>
    <definedName name="_ZA9004" localSheetId="9">USInf97!$B$84+"aB84"+16929+0+1</definedName>
    <definedName name="ZA9004AA" localSheetId="5">2+0.2+1+2+0.2+2+2+0.6+3+9</definedName>
    <definedName name="_ZA9005" localSheetId="9">USInf97!$B$85+"aB85"+16929+0+1</definedName>
    <definedName name="_ZA9006" localSheetId="9">USInf97!$B$86+"aB86"+16929+0+1</definedName>
    <definedName name="_ZA9007" localSheetId="5">RAROC!$E$19+"pAE82"+545+RAROC!$H$19+0+1.65+RAROC!$H$20+0+0.1</definedName>
    <definedName name="_ZA9007" localSheetId="9">USInf97!$B$87+"aB87"+16929+0+1</definedName>
    <definedName name="ZA9007AA" localSheetId="5">2+0.4+1+2+0.2+2+2+0.4+3+9</definedName>
    <definedName name="_ZA9008" localSheetId="9">USInf97!$B$88+"aB88"+16929+0+1</definedName>
    <definedName name="_ZA9009" localSheetId="5">RAROC!$L$6+"dDefault this year?  (0=YES, 1=NO)"+545+RAROC!$L$5+0+0.987353640170845+1</definedName>
    <definedName name="_ZA9009" localSheetId="9">USInf97!$B$89+"aB89"+16929+0+1</definedName>
    <definedName name="_ZA9010" localSheetId="5">RAROC!$M$6+"dM6"+16929+RAROC!$M$5+0+0.987353640170845+1</definedName>
    <definedName name="_ZA9010" localSheetId="9">USInf97!$B$90+"aB90"+16929+0+1</definedName>
    <definedName name="_ZA9011" localSheetId="5">RAROC!$N$6+"dN6"+16929+RAROC!$N$5+0+0.987353640170845+1</definedName>
    <definedName name="_ZA9011" localSheetId="9">USInf97!$B$91+"aB91"+16929+0+1</definedName>
    <definedName name="_ZA9012" localSheetId="5">RAROC!$O$6+"dO6"+16929+RAROC!$O$5+0+0.987353640170845+1</definedName>
    <definedName name="_ZA9012" localSheetId="9">USInf97!$B$92+"aB92"+16929+0+1</definedName>
    <definedName name="_ZA9013" localSheetId="5">RAROC!$P$6+"dP6"+16929+RAROC!$P$5+0+0.987353640170845+1</definedName>
    <definedName name="_ZA9013" localSheetId="9">USInf97!$B$93+"aB93"+16929+0+1</definedName>
    <definedName name="_ZA9014" localSheetId="5">RAROC!$Q$6+"dQ6"+16929+RAROC!$Q$5+0+0.987353640170845+1</definedName>
    <definedName name="_ZA9014" localSheetId="9">USInf97!$B$94+"aB94"+16929+0+1</definedName>
    <definedName name="_ZA9015" localSheetId="5">RAROC!$R$6+"dR6"+16929+RAROC!$R$5+0+0.987353640170845+1</definedName>
    <definedName name="_ZA9015" localSheetId="9">USInf97!$B$95+"aB95"+16929+0+1</definedName>
    <definedName name="_ZA9016" localSheetId="5">RAROC!$S$6+"dS6"+16929+RAROC!$S$5+0+0.987353640170845+1</definedName>
    <definedName name="_ZA9016" localSheetId="9">USInf97!$B$96+"aB96"+16929+0+1</definedName>
    <definedName name="_ZA9017" localSheetId="5">RAROC!$T$6+"dT6"+16929+RAROC!$T$5+0+0.987353640170845+1</definedName>
    <definedName name="_ZA9017" localSheetId="9">USInf97!$B$97+"aB97"+16929+0+1</definedName>
    <definedName name="_ZA9018" localSheetId="5">RAROC!$U$6+"dU6"+16929+RAROC!$U$5+0+0.987353640170845+1</definedName>
    <definedName name="_ZA9018" localSheetId="9">USInf97!$B$98+"aB98"+16929+0+1</definedName>
    <definedName name="_ZA9019" localSheetId="5">RAROC!$V$6+"dV6"+16929+RAROC!$V$5+0+0.987353640170845+1</definedName>
    <definedName name="_ZA9019" localSheetId="9">USInf97!$B$99+"aB99"+16929+0+1</definedName>
    <definedName name="_ZA9020" localSheetId="5">RAROC!$W$6+"dW6"+16929+RAROC!$W$5+0+0.987353640170845+1</definedName>
    <definedName name="_ZA9020" localSheetId="9">USInf97!$B$100+"aB100"+16929+0+1</definedName>
    <definedName name="_ZA9021" localSheetId="5">RAROC!$X$6+"dX6"+16929+RAROC!$X$5+0+0.987353640170845+1</definedName>
    <definedName name="_ZA9021" localSheetId="9">USInf97!$B$101+"aB101"+16929+0+1</definedName>
    <definedName name="_ZA9022" localSheetId="5">RAROC!$Y$6+"dY6"+16929+RAROC!$Y$5+0+0.987353640170845+1</definedName>
    <definedName name="_ZA9022" localSheetId="9">USInf97!$B$102+"aB102"+16929+0+1</definedName>
    <definedName name="_ZA9023" localSheetId="5">RAROC!$Z$6+"dZ6"+16929+RAROC!$Z$5+0+0.987353640170845+1</definedName>
    <definedName name="_ZA9023" localSheetId="9">USInf97!$B$103+"aB103"+16929+0+1</definedName>
    <definedName name="_ZA9024" localSheetId="5">RAROC!$AA$6+"dAA6"+16929+RAROC!$AA$5+0+0.987353640170845+1</definedName>
    <definedName name="_ZA9024" localSheetId="9">USInf97!$B$104+"aB104"+16929+0+1</definedName>
    <definedName name="_ZA9025" localSheetId="5">RAROC!$AB$6+"dAB6"+16929+RAROC!$AB$5+0+0.987353640170845+1</definedName>
    <definedName name="_ZA9025" localSheetId="9">USInf97!$B$105+"aB105"+16929+0+1</definedName>
    <definedName name="_ZA9026" localSheetId="5">RAROC!$AC$6+"dAC6"+16929+RAROC!$AC$5+0+0.987353640170845+1</definedName>
    <definedName name="_ZA9026" localSheetId="9">USInf97!$B$106+"aB106"+16929+0+1</definedName>
    <definedName name="_ZA9027" localSheetId="5">RAROC!$AD$6+"dAD6"+16929+RAROC!$AD$5+0+0.987353640170845+1</definedName>
    <definedName name="_ZA9027" localSheetId="9">USInf97!$B$107+"aB107"+16929+0+1</definedName>
    <definedName name="_ZA9028" localSheetId="5">RAROC!$M$43+"eAM41"+17153+RAROC!$P$43+0+2.046+RAROC!$P$44+0+0.15</definedName>
    <definedName name="_ZA9028" localSheetId="9">USInf97!$B$108+"aB108"+16929+0+1</definedName>
    <definedName name="_ZA9029" localSheetId="5">RAROC!$H$10+"aYear 2"+545+RAROC!$J$10+0+15.8+RAROC!$J$11+0+0.2</definedName>
    <definedName name="_ZA9029" localSheetId="9">USInf97!$B$109+"aB109"+16929+0+1</definedName>
    <definedName name="ZA9029AA" localSheetId="5">2+0.04+0+2+0.01+3+2+0.02+4+2+0.03+5+2+0.04+6+2+0.06+7+2+0.07+8+2+0.09+9+2+0.11+10+2+0.127462686567164+11+2+0.15+12+2+0.2+13+8</definedName>
    <definedName name="ZA9029AB" localSheetId="5">2+0.05+14+9</definedName>
    <definedName name="_ZA9030" localSheetId="5">RAROC!$K$10+"aYear 3"+545+RAROC!$M$10+0+15.18+RAROC!$M$11+0+0.2</definedName>
    <definedName name="_ZA9030" localSheetId="9">USInf97!$B$110+"aB110"+16929+0+1</definedName>
    <definedName name="ZA9030AA" localSheetId="5">2+0.08+0+2+0.01+3+2+0.01+4+2+0.02+5+2+0.04+6+2+0.06+7+2+0.07+8+2+0.09+9+2+0.11+10+2+0.127462686567164+11+2+0.15+12+2+0.19+13+8</definedName>
    <definedName name="ZA9030AB" localSheetId="5">2+0.04+14+9</definedName>
    <definedName name="_ZA9031" localSheetId="5">RAROC!$N$10+"aYear 4"+545+RAROC!$P$10+0+14.52+RAROC!$P$11+0+0.2</definedName>
    <definedName name="_ZA9031" localSheetId="9">USInf97!$B$111+"aB111"+16929+0+1</definedName>
    <definedName name="ZA9031AA" localSheetId="5">2+0.12+0+2+0.01+3+2+0.01+4+2+0.02+5+2+0.03+6+2+0.05+7+2+0.07+8+2+0.09+9+2+0.11+10+2+0.127462686567164+11+2+0.15+12+2+0.17+13+8</definedName>
    <definedName name="ZA9031AB" localSheetId="5">2+0.04+14+9</definedName>
    <definedName name="_ZA9032" localSheetId="5">RAROC!$Q$10+"aYear 5"+545+RAROC!$S$10+0+13.86+RAROC!$S$11+0+0.2</definedName>
    <definedName name="_ZA9032" localSheetId="9">USInf97!$B$112+"aB112"+16929+0+1</definedName>
    <definedName name="ZA9032AA" localSheetId="5">2+0.16+0+2+0.01+3+2+0.02+4+2+0.03+5+2+0.04+6+2+0.05+7+2+0.07+8+2+0.08+9+2+0.1+10+2+0.11+11+2+0.13+12+2+0.16+13+8</definedName>
    <definedName name="ZA9032AB" localSheetId="5">2+0.04+14+9</definedName>
    <definedName name="_ZA9033" localSheetId="5">RAROC!$H$14+"lYear 2"+545+574+0.55+1+0+5+1+5+5+9+0+5+0+8</definedName>
    <definedName name="_ZA9033" localSheetId="9">USInf97!$B$113+"aB113"+16929+0+1</definedName>
    <definedName name="ZA9033AA" localSheetId="5">2+0.04+0+2+0.02+2+2+0.2+3+2+0.55+4+2+0.19+5+9</definedName>
    <definedName name="_ZA9034" localSheetId="5">RAROC!$K$14+"lYear 3"+545+574+0.55+1+0+5+1+0+5+9+0+5+0+8</definedName>
    <definedName name="_ZA9034" localSheetId="9">USInf97!$B$114+"aB114"+16929+0+1</definedName>
    <definedName name="ZA9034AA" localSheetId="5">2+0.08+0+2+0.02+2+2+0.17+3+2+0.55+4+2+0.18+5+9</definedName>
    <definedName name="_ZA9035" localSheetId="5">RAROC!$N$14+"lYear 4"+545+574+0.55+1+0+5+1+5+5+9+0+5+0+8</definedName>
    <definedName name="_ZA9035" localSheetId="9">USInf97!$B$115+"aB115"+16929+0+1</definedName>
    <definedName name="ZA9035AA" localSheetId="5">2+0.12+0+2+0.02+2+2+0.15+3+2+0.55+4+2+0.16+5+9</definedName>
    <definedName name="_ZA9036" localSheetId="5">RAROC!$Q$14+"lYear 5"+545+574+0.55+1+0+5+1+5+5+9+0+5+0+8</definedName>
    <definedName name="_ZA9036" localSheetId="9">USInf97!$B$116+"aB116"+16929+0+1</definedName>
    <definedName name="ZA9036AA" localSheetId="5">2+0.16+0+2+0.02+2+2+0.12+3+2+0.55+4+2+0.15+5+9</definedName>
    <definedName name="_ZA9037" localSheetId="5">RAROC!$E$91+"pBE91"+16929+RAROC!$H$91+0+1+RAROC!$H$92+0+0.05</definedName>
    <definedName name="_ZA9037" localSheetId="9">USInf97!$B$117+"aB117"+16929+0+1</definedName>
    <definedName name="_ZA9038" localSheetId="9">USInf97!$B$118+"aB118"+16929+0+1</definedName>
    <definedName name="_ZA9039" localSheetId="9">USInf97!$B$119+"aB119"+16929+0+1</definedName>
    <definedName name="_ZA9040" localSheetId="9">USInf97!$B$120+"aB120"+16929+0+1</definedName>
    <definedName name="_ZA9041" localSheetId="9">USInf97!$B$121+"aB121"+16929+0+1</definedName>
    <definedName name="_ZA9042" localSheetId="9">USInf97!$B$122+"aB122"+16929+0+1</definedName>
    <definedName name="_ZA9043" localSheetId="9">USInf97!$B$123+"aB123"+16929+0+1</definedName>
    <definedName name="_ZA9044" localSheetId="9">USInf97!$B$124+"aB124"+16929+0+1</definedName>
    <definedName name="_ZA9045" localSheetId="9">USInf97!$B$125+"aB125"+16929+0+1</definedName>
    <definedName name="_ZA9046" localSheetId="9">USInf97!$B$126+"aB126"+16929+0+1</definedName>
    <definedName name="_ZA9047" localSheetId="9">USInf97!$B$127+"aB127"+16929+0+1</definedName>
    <definedName name="_ZA9048" localSheetId="9">USInf97!$B$128+"aB128"+16929+0+1</definedName>
    <definedName name="_ZA9049" localSheetId="9">USInf97!$B$129+"aB129"+16929+0+1</definedName>
    <definedName name="_ZA9050" localSheetId="9">USInf97!$B$130+"aB130"+16929+0+1</definedName>
    <definedName name="_ZA9051" localSheetId="9">USInf97!$B$131+"aB131"+16929+0+1</definedName>
    <definedName name="_ZA9052" localSheetId="9">USInf97!$B$132+"aB132"+16929+0+1</definedName>
    <definedName name="_ZA9053" localSheetId="9">USInf97!$B$133+"aB133"+16929+0+1</definedName>
    <definedName name="_ZA9054" localSheetId="9">USInf97!$B$134+"aB134"+16929+0+1</definedName>
    <definedName name="_ZA9055" localSheetId="9">USInf97!$B$135+"aB135"+16929+0+1</definedName>
    <definedName name="_ZA9056" localSheetId="9">USInf97!$B$136+"aB136"+16929+0+1</definedName>
    <definedName name="_ZA9057" localSheetId="9">USInf97!$B$137+"aB137"+16929+0+1</definedName>
    <definedName name="_ZA9058" localSheetId="9">USInf97!$B$138+"aB138"+16929+0+1</definedName>
    <definedName name="_ZA9059" localSheetId="9">USInf97!$B$139+"aB139"+16929+0+1</definedName>
    <definedName name="_ZA9060" localSheetId="9">USInf97!$B$140+"aB140"+16929+0+1</definedName>
    <definedName name="_ZA9061" localSheetId="9">USInf97!$B$141+"aB141"+16929+0+1</definedName>
    <definedName name="_ZA9062" localSheetId="9">USInf97!$B$142+"aB142"+16929+0+1</definedName>
    <definedName name="_ZA9063" localSheetId="9">USInf97!$B$143+"aB143"+16929+0+1</definedName>
    <definedName name="_ZA9064" localSheetId="9">USInf97!$B$144+"aB144"+16929+0+1</definedName>
    <definedName name="_ZA9065" localSheetId="9">USInf97!$B$145+"aB145"+16929+0+1</definedName>
    <definedName name="_ZA9066" localSheetId="9">USInf97!$B$146+"aB146"+16929+0+1</definedName>
    <definedName name="_ZA9067" localSheetId="9">USInf97!$B$147+"aB147"+16929+0+1</definedName>
    <definedName name="_ZA9068" localSheetId="9">USInf97!$B$148+"aB148"+16929+0+1</definedName>
    <definedName name="_ZA9069" localSheetId="9">USInf97!$B$149+"aB149"+16929+0+1</definedName>
    <definedName name="_ZA9070" localSheetId="9">USInf97!$B$150+"aB150"+16929+0+1</definedName>
    <definedName name="_ZA9071" localSheetId="9">USInf97!$B$151+"aB151"+16929+0+1</definedName>
    <definedName name="_ZA9072" localSheetId="9">USInf97!$B$152+"aB152"+16929+0+1</definedName>
    <definedName name="_ZA9073" localSheetId="9">USInf97!$B$153+"aB153"+16929+0+1</definedName>
    <definedName name="_ZA9074" localSheetId="9">USInf97!$B$154+"aB154"+16929+0+1</definedName>
    <definedName name="_ZA9075" localSheetId="9">USInf97!$B$155+"aB155"+16929+0+1</definedName>
    <definedName name="_ZA9076" localSheetId="9">USInf97!$B$156+"aB156"+16929+0+1</definedName>
    <definedName name="_ZA9077" localSheetId="9">USInf97!$B$157+"aB157"+16929+0+1</definedName>
    <definedName name="_ZA9078" localSheetId="9">USInf97!$B$158+"aB158"+16929+0+1</definedName>
    <definedName name="_ZA9079" localSheetId="9">USInf97!$B$159+"aB159"+16929+0+1</definedName>
    <definedName name="_ZA9080" localSheetId="9">USInf97!$B$160+"aB160"+16929+0+1</definedName>
    <definedName name="_ZA9081" localSheetId="9">USInf97!$B$161+"aB161"+16929+0+1</definedName>
    <definedName name="_ZA9082" localSheetId="9">USInf97!$B$162+"aB162"+16929+0+1</definedName>
    <definedName name="_ZA9083" localSheetId="9">USInf97!$B$163+"aB163"+16929+0+1</definedName>
    <definedName name="_ZA9084" localSheetId="9">USInf97!$B$164+"aB164"+16929+0+1</definedName>
    <definedName name="_ZA9085" localSheetId="9">USInf97!$B$165+"aB165"+16929+0+1</definedName>
    <definedName name="_ZA9086" localSheetId="9">USInf97!$B$166+"aB166"+16929+0+1</definedName>
    <definedName name="_ZA9087" localSheetId="9">USInf97!$B$167+"aB167"+16929+0+1</definedName>
    <definedName name="_ZA9088" localSheetId="9">USInf97!$B$168+"aB168"+16929+0+1</definedName>
    <definedName name="_ZA9089" localSheetId="9">USInf97!$B$169+"aB169"+16929+0+1</definedName>
    <definedName name="_ZA9090" localSheetId="9">USInf97!$B$170+"aB170"+16929+0+1</definedName>
    <definedName name="_ZA9091" localSheetId="9">USInf97!$B$171+"aB171"+16929+0+1</definedName>
    <definedName name="_ZA9092" localSheetId="9">USInf97!$B$172+"aB172"+16929+0+1</definedName>
    <definedName name="_ZA9093" localSheetId="9">USInf97!$B$173+"aB173"+16929+0+1</definedName>
    <definedName name="_ZA9094" localSheetId="9">USInf97!$B$174+"aB174"+16929+0+1</definedName>
    <definedName name="_ZA9095" localSheetId="9">USInf97!$B$175+"aB175"+16929+0+1</definedName>
    <definedName name="_ZA9096" localSheetId="9">USInf97!$B$176+"aB176"+16929+0+1</definedName>
    <definedName name="_ZA9097" localSheetId="9">USInf97!$B$177+"aB177"+16929+0+1</definedName>
    <definedName name="_ZA9098" localSheetId="9">USInf97!$B$178+"aB178"+16929+0+1</definedName>
    <definedName name="_ZA9099" localSheetId="9">USInf97!$B$179+"aB179"+16929+0+1</definedName>
    <definedName name="_ZA9100" localSheetId="9">USInf97!$B$180+"aB180"+16929+0+1</definedName>
    <definedName name="_ZA9101" localSheetId="9">USInf97!$B$181+"aB181"+16929+0+1</definedName>
    <definedName name="_ZA9102" localSheetId="9">USInf97!$B$182+"aB182"+16929+0+1</definedName>
    <definedName name="_ZA9103" localSheetId="9">USInf97!$B$183+"aB183"+16929+0+1</definedName>
    <definedName name="_ZA9104" localSheetId="9">USInf97!$B$184+"aB184"+16929+0+1</definedName>
    <definedName name="_ZA9105" localSheetId="9">USInf97!$B$185+"aB185"+16929+0+1</definedName>
    <definedName name="_ZA9106" localSheetId="9">USInf97!$B$186+"aB186"+16929+0+1</definedName>
    <definedName name="_ZA9107" localSheetId="9">USInf97!$B$187+"aB187"+16929+0+1</definedName>
    <definedName name="_ZA9108" localSheetId="9">USInf97!$B$188+"aB188"+16929+0+1</definedName>
    <definedName name="_ZA9109" localSheetId="9">USInf97!$B$189+"aB189"+16929+0+1</definedName>
    <definedName name="_ZA9110" localSheetId="9">USInf97!$B$190+"aB190"+16929+0+1</definedName>
    <definedName name="_ZA9111" localSheetId="9">USInf97!$B$191+"aB191"+16929+0+1</definedName>
    <definedName name="_ZA9112" localSheetId="9">USInf97!$B$192+"aB192"+16929+0+1</definedName>
    <definedName name="_ZA9113" localSheetId="9">USInf97!$B$193+"aB193"+16929+0+1</definedName>
    <definedName name="_ZA9114" localSheetId="9">USInf97!$B$194+"aB194"+16929+0+1</definedName>
    <definedName name="_ZA9115" localSheetId="9">USInf97!$B$195+"aB195"+16929+0+1</definedName>
    <definedName name="_ZA9116" localSheetId="9">USInf97!$B$196+"aB196"+16929+0+1</definedName>
    <definedName name="_ZA9117" localSheetId="9">USInf97!$B$197+"aB197"+16929+0+1</definedName>
    <definedName name="_ZA9118" localSheetId="9">USInf97!$B$198+"aB198"+16929+0+1</definedName>
    <definedName name="_ZA9119" localSheetId="9">USInf97!$B$199+"aB199"+16929+0+1</definedName>
    <definedName name="_ZA9120" localSheetId="9">USInf97!$B$200+"aB200"+16929+0+1</definedName>
    <definedName name="_ZA9121" localSheetId="9">USInf97!$B$201+"aB201"+16929+0+1</definedName>
    <definedName name="_ZA9122" localSheetId="9">USInf97!$B$202+"aB202"+16929+0+1</definedName>
    <definedName name="_ZA9123" localSheetId="9">USInf97!$B$203+"aB203"+16929+0+1</definedName>
    <definedName name="_ZA9124" localSheetId="9">USInf97!$B$204+"aB204"+16929+0+1</definedName>
    <definedName name="_ZA9125" localSheetId="9">USInf97!$B$205+"aB205"+16929+0+1</definedName>
    <definedName name="_ZA9126" localSheetId="9">USInf97!$B$206+"aB206"+16929+0+1</definedName>
    <definedName name="_ZA9127" localSheetId="9">USInf97!$B$207+"aB207"+16929+0+1</definedName>
    <definedName name="_ZA9128" localSheetId="9">USInf97!$B$208+"aB208"+16929+0+1</definedName>
    <definedName name="_ZA9129" localSheetId="9">USInf97!$B$209+"aB209"+16929+0+1</definedName>
    <definedName name="_ZA9130" localSheetId="9">USInf97!$B$210+"aB210"+16929+0+1</definedName>
    <definedName name="_ZA9131" localSheetId="9">USInf97!$B$211+"aB211"+16929+0+1</definedName>
    <definedName name="_ZA9132" localSheetId="9">USInf97!$B$212+"aB212"+16929+0+1</definedName>
    <definedName name="_ZA9133" localSheetId="9">USInf97!$B$213+"aB213"+16929+0+1</definedName>
    <definedName name="_ZA9134" localSheetId="9">USInf97!$B$214+"aB214"+16929+0+1</definedName>
    <definedName name="_ZA9135" localSheetId="9">USInf97!$B$215+"aB215"+16929+0+1</definedName>
    <definedName name="_ZA9136" localSheetId="9">USInf97!$B$216+"aB216"+16929+0+1</definedName>
    <definedName name="_ZA9137" localSheetId="9">USInf97!$B$217+"aB217"+16929+0+1</definedName>
    <definedName name="_ZA9138" localSheetId="9">USInf97!$B$218+"aB218"+16929+0+1</definedName>
    <definedName name="_ZA9139" localSheetId="9">USInf97!$B$219+"aB219"+16929+0+1</definedName>
    <definedName name="_ZA9140" localSheetId="9">USInf97!$B$220+"aB220"+16929+0+1</definedName>
    <definedName name="_ZA9141" localSheetId="9">USInf97!$B$221+"aB221"+16929+0+1</definedName>
    <definedName name="_ZA9142" localSheetId="9">USInf97!$B$222+"aB222"+16929+0+1</definedName>
    <definedName name="_ZA9143" localSheetId="9">USInf97!$B$223+"aB223"+16929+0+1</definedName>
    <definedName name="_ZA9144" localSheetId="9">USInf97!$B$224+"aB224"+16929+0+1</definedName>
    <definedName name="_ZA9145" localSheetId="9">USInf97!$B$225+"aB225"+16929+0+1</definedName>
    <definedName name="_ZA9146" localSheetId="9">USInf97!$B$226+"aB226"+16929+0+1</definedName>
    <definedName name="_ZA9147" localSheetId="9">USInf97!$B$227+"aB227"+16929+0+1</definedName>
    <definedName name="_ZA9148" localSheetId="9">USInf97!$B$228+"aB228"+16929+0+1</definedName>
    <definedName name="_ZA9149" localSheetId="9">USInf97!$B$229+"aB229"+16929+0+1</definedName>
    <definedName name="_ZA9150" localSheetId="9">USInf97!$B$230+"aB230"+16929+0+1</definedName>
    <definedName name="_ZA9151" localSheetId="9">USInf97!$B$231+"aB231"+16929+0+1</definedName>
    <definedName name="_ZA9152" localSheetId="9">USInf97!$B$232+"aB232"+16929+0+1</definedName>
    <definedName name="_ZA9153" localSheetId="9">USInf97!$B$233+"aB233"+16929+0+1</definedName>
    <definedName name="_ZA9154" localSheetId="9">USInf97!$B$234+"aB234"+16929+0+1</definedName>
    <definedName name="_ZA9155" localSheetId="9">USInf97!$B$235+"aB235"+16929+0+1</definedName>
    <definedName name="_ZA9156" localSheetId="9">USInf97!$B$236+"aB236"+16929+0+1</definedName>
    <definedName name="_ZA9157" localSheetId="9">USInf97!$B$237+"aB237"+16929+0+1</definedName>
    <definedName name="_ZA9158" localSheetId="9">USInf97!$B$238+"aB238"+16929+0+1</definedName>
    <definedName name="_ZA9159" localSheetId="9">USInf97!$B$239+"aB239"+16929+0+1</definedName>
    <definedName name="_ZA9160" localSheetId="9">USInf97!$B$240+"aB240"+16929+0+1</definedName>
    <definedName name="_ZA9161" localSheetId="9">USInf97!$B$241+"aB241"+16929+0+1</definedName>
    <definedName name="_ZA9162" localSheetId="9">USInf97!$B$242+"aB242"+16929+0+1</definedName>
    <definedName name="_ZA9163" localSheetId="9">USInf97!$B$243+"aB243"+16929+0+1</definedName>
    <definedName name="_ZA9164" localSheetId="9">USInf97!$B$244+"aB244"+16929+0+1</definedName>
    <definedName name="_ZA9165" localSheetId="9">USInf97!$B$245+"aB245"+16929+0+1</definedName>
    <definedName name="_ZA9166" localSheetId="9">USInf97!$B$246+"aB246"+16929+0+1</definedName>
    <definedName name="_ZA9167" localSheetId="9">USInf97!$B$247+"aB247"+16929+0+1</definedName>
    <definedName name="_ZA9168" localSheetId="9">USInf97!$B$248+"aB248"+16929+0+1</definedName>
    <definedName name="_ZA9169" localSheetId="9">USInf97!$B$249+"aB249"+16929+0+1</definedName>
    <definedName name="_ZA9170" localSheetId="9">USInf97!$B$250+"aB250"+16929+0+1</definedName>
    <definedName name="_ZA9171" localSheetId="9">USInf97!$B$251+"aB251"+16929+0+1</definedName>
    <definedName name="_ZA9172" localSheetId="9">USInf97!$B$252+"aB252"+16929+0+1</definedName>
    <definedName name="_ZA9173" localSheetId="9">USInf97!$B$253+"aB253"+16929+0+1</definedName>
    <definedName name="_ZA9174" localSheetId="9">USInf97!$B$254+"aB254"+16929+0+1</definedName>
    <definedName name="_ZA9175" localSheetId="9">USInf97!$B$255+"aB255"+16929+0+1</definedName>
    <definedName name="_ZA9176" localSheetId="9">USInf97!$B$256+"aB256"+16929+0+1</definedName>
    <definedName name="_ZA9177" localSheetId="9">USInf97!$B$257+"aB257"+16929+0+1</definedName>
    <definedName name="_ZA9178" localSheetId="9">USInf97!$B$258+"aB258"+16929+0+1</definedName>
    <definedName name="_ZA9179" localSheetId="9">USInf97!$B$259+"aB259"+16929+0+1</definedName>
    <definedName name="_ZA9180" localSheetId="9">USInf97!$B$260+"aB260"+16929+0+1</definedName>
    <definedName name="_ZA9181" localSheetId="9">USInf97!$B$261+"aB261"+16929+0+1</definedName>
    <definedName name="_ZA9182" localSheetId="9">USInf97!$B$262+"aB262"+16929+0+1</definedName>
    <definedName name="_ZA9183" localSheetId="9">USInf97!$B$263+"aB263"+16929+0+1</definedName>
    <definedName name="_ZA9184" localSheetId="9">USInf97!$B$264+"aB264"+16929+0+1</definedName>
    <definedName name="_ZA9185" localSheetId="9">USInf97!$B$265+"aB265"+16929+0+1</definedName>
    <definedName name="_ZA9186" localSheetId="9">USInf97!$B$266+"aB266"+16929+0+1</definedName>
    <definedName name="_ZA9187" localSheetId="9">USInf97!$B$267+"aB267"+16929+0+1</definedName>
    <definedName name="_ZA9188" localSheetId="9">USInf97!$B$268+"aB268"+16929+0+1</definedName>
    <definedName name="_ZA9189" localSheetId="9">USInf97!$B$269+"aB269"+16929+0+1</definedName>
    <definedName name="_ZA9190" localSheetId="9">USInf97!$B$270+"aB270"+16929+0+1</definedName>
    <definedName name="_ZA9191" localSheetId="9">USInf97!$B$271+"aB271"+16929+0+1</definedName>
    <definedName name="_ZA9192" localSheetId="9">USInf97!$B$272+"aB272"+16929+0+1</definedName>
    <definedName name="_ZA9193" localSheetId="9">USInf97!$B$273+"aB273"+16929+0+1</definedName>
    <definedName name="_ZA9194" localSheetId="9">USInf97!$B$274+"aB274"+16929+0+1</definedName>
    <definedName name="_ZA9195" localSheetId="9">USInf97!$B$275+"aB275"+16929+0+1</definedName>
    <definedName name="_ZA9196" localSheetId="9">USInf97!$B$276+"aB276"+16929+0+1</definedName>
    <definedName name="_ZA9197" localSheetId="9">USInf97!$B$277+"aB277"+16929+0+1</definedName>
    <definedName name="_ZA9198" localSheetId="9">USInf97!$B$278+"aB278"+16929+0+1</definedName>
    <definedName name="_ZA9199" localSheetId="9">USInf97!$B$279+"aB279"+16929+0+1</definedName>
    <definedName name="_ZA9200" localSheetId="9">USInf97!$B$280+"aB280"+16929+0+1</definedName>
    <definedName name="_ZA9201" localSheetId="9">USInf97!$B$281+"aB281"+16929+0+1</definedName>
    <definedName name="_ZA9202" localSheetId="9">USInf97!$B$282+"aB282"+16929+0+1</definedName>
    <definedName name="_ZA9203" localSheetId="9">USInf97!$B$283+"aB283"+16929+0+1</definedName>
    <definedName name="_ZA9204" localSheetId="9">USInf97!$B$284+"aB284"+16929+0+1</definedName>
    <definedName name="_ZA9205" localSheetId="9">USInf97!$B$285+"aB285"+16929+0+1</definedName>
    <definedName name="_ZA9206" localSheetId="9">USInf97!$B$286+"aB286"+16929+0+1</definedName>
    <definedName name="_ZA9207" localSheetId="9">USInf97!$B$287+"aB287"+16929+0+1</definedName>
    <definedName name="_ZA9208" localSheetId="9">USInf97!$B$288+"aB288"+16929+0+1</definedName>
    <definedName name="_ZA9209" localSheetId="9">USInf97!$B$289+"aB289"+16929+0+1</definedName>
    <definedName name="_ZA9210" localSheetId="9">USInf97!$B$290+"aB290"+16929+0+1</definedName>
    <definedName name="_ZA9211" localSheetId="9">USInf97!$B$291+"aB291"+16929+0+1</definedName>
    <definedName name="_ZA9212" localSheetId="9">USInf97!$B$292+"aB292"+16929+0+1</definedName>
    <definedName name="_ZA9213" localSheetId="9">USInf97!$B$293+"aB293"+16929+0+1</definedName>
    <definedName name="_ZA9214" localSheetId="9">USInf97!$B$294+"aB294"+16929+0+1</definedName>
    <definedName name="_ZA9215" localSheetId="9">USInf97!$B$295+"aB295"+16929+0+1</definedName>
    <definedName name="_ZA9216" localSheetId="9">USInf97!$B$296+"aB296"+16929+0+1</definedName>
    <definedName name="_ZA9217" localSheetId="9">USInf97!$B$297+"aB297"+16929+0+1</definedName>
    <definedName name="_ZA9218" localSheetId="9">USInf97!$B$298+"aB298"+16929+0+1</definedName>
    <definedName name="_ZA9219" localSheetId="9">USInf97!$B$299+"aB299"+16929+0+1</definedName>
    <definedName name="_ZA9220" localSheetId="9">USInf97!$B$300+"aB300"+16929+0+1</definedName>
    <definedName name="_ZA9221" localSheetId="9">USInf97!$B$301+"aB301"+16929+0+1</definedName>
    <definedName name="_ZA9222" localSheetId="9">USInf97!$B$302+"aB302"+16929+0+1</definedName>
    <definedName name="_ZA9223" localSheetId="9">USInf97!$B$303+"aB303"+16929+0+1</definedName>
    <definedName name="_ZA9224" localSheetId="9">USInf97!$B$304+"aB304"+16929+0+1</definedName>
    <definedName name="_ZA9225" localSheetId="9">USInf97!$B$305+"aB305"+16929+0+1</definedName>
    <definedName name="_ZA9226" localSheetId="9">USInf97!$B$306+"aB306"+16929+0+1</definedName>
    <definedName name="_ZA9227" localSheetId="9">USInf97!$B$307+"aB307"+16929+0+1</definedName>
    <definedName name="_ZA9228" localSheetId="9">USInf97!$B$308+"aB308"+16929+0+1</definedName>
    <definedName name="_ZA9229" localSheetId="9">USInf97!$B$309+"aB309"+16929+0+1</definedName>
    <definedName name="_ZA9230" localSheetId="9">USInf97!$B$310+"aB310"+16929+0+1</definedName>
    <definedName name="_ZA9231" localSheetId="9">USInf97!$B$311+"aB311"+16929+0+1</definedName>
    <definedName name="_ZA9232" localSheetId="9">USInf97!$B$312+"aB312"+16929+0+1</definedName>
    <definedName name="_ZA9233" localSheetId="9">USInf97!$B$313+"aB313"+16929+0+1</definedName>
    <definedName name="_ZA9234" localSheetId="9">USInf97!$B$314+"aB314"+16929+0+1</definedName>
    <definedName name="_ZA9235" localSheetId="9">USInf97!$B$315+"aB315"+16929+0+1</definedName>
    <definedName name="_ZA9236" localSheetId="9">USInf97!$B$316+"aB316"+16929+0+1</definedName>
    <definedName name="_ZA9237" localSheetId="9">USInf97!$B$317+"aB317"+16929+0+1</definedName>
    <definedName name="_ZA9238" localSheetId="9">USInf97!$B$318+"aB318"+16929+0+1</definedName>
    <definedName name="_ZA9239" localSheetId="9">USInf97!$B$319+"aB319"+16929+0+1</definedName>
    <definedName name="_ZA9240" localSheetId="9">USInf97!$B$320+"aB320"+16929+0+1</definedName>
    <definedName name="_ZA9241" localSheetId="9">USInf97!$B$321+"aB321"+16929+0+1</definedName>
    <definedName name="_ZA9242" localSheetId="9">USInf97!$B$322+"aB322"+16929+0+1</definedName>
    <definedName name="_ZA9243" localSheetId="9">USInf97!$B$323+"aB323"+16929+0+1</definedName>
    <definedName name="_ZA9244" localSheetId="9">USInf97!$B$324+"aB324"+16929+0+1</definedName>
    <definedName name="_ZA9245" localSheetId="9">USInf97!$B$325+"aB325"+16929+0+1</definedName>
    <definedName name="_ZA9246" localSheetId="9">USInf97!$B$326+"aB326"+16929+0+1</definedName>
    <definedName name="_ZA9247" localSheetId="9">USInf97!$B$327+"aB327"+16929+0+1</definedName>
    <definedName name="_ZA9248" localSheetId="9">USInf97!$B$328+"aB328"+16929+0+1</definedName>
    <definedName name="_ZA9249" localSheetId="9">USInf97!$B$329+"aB329"+16929+0+1</definedName>
    <definedName name="_ZA9250" localSheetId="9">USInf97!$B$330+"aB330"+16929+0+1</definedName>
    <definedName name="_ZA9251" localSheetId="9">USInf97!$B$331+"aB331"+16929+0+1</definedName>
    <definedName name="_ZA9252" localSheetId="9">USInf97!$B$332+"aB332"+16929+0+1</definedName>
    <definedName name="_ZA9253" localSheetId="9">USInf97!$B$333+"aB333"+16929+0+1</definedName>
    <definedName name="_ZA9254" localSheetId="9">USInf97!$B$334+"aB334"+16929+0+1</definedName>
    <definedName name="_ZA9255" localSheetId="9">USInf97!$B$335+"aB335"+16929+0+1</definedName>
    <definedName name="_ZA9256" localSheetId="9">USInf97!$B$336+"aB336"+16929+0+1</definedName>
    <definedName name="_ZA9257" localSheetId="9">USInf97!$B$337+"aB337"+16929+0+1</definedName>
    <definedName name="_ZA9258" localSheetId="9">USInf97!$B$338+"aB338"+16929+0+1</definedName>
    <definedName name="_ZA9259" localSheetId="9">USInf97!$B$339+"aB339"+16929+0+1</definedName>
    <definedName name="_ZA9260" localSheetId="9">USInf97!$B$340+"aB340"+16929+0+1</definedName>
    <definedName name="_ZA9261" localSheetId="9">USInf97!$B$341+"aB341"+16929+0+1</definedName>
    <definedName name="_ZA9262" localSheetId="9">USInf97!$B$342+"aB342"+16929+0+1</definedName>
    <definedName name="_ZA9263" localSheetId="9">USInf97!$B$343+"aB343"+16929+0+1</definedName>
    <definedName name="_ZA9264" localSheetId="9">USInf97!$B$344+"aB344"+16929+0+1</definedName>
    <definedName name="_ZA9265" localSheetId="9">USInf97!$B$345+"aB345"+16929+0+1</definedName>
    <definedName name="_ZA9266" localSheetId="9">USInf97!$B$346+"aB346"+16929+0+1</definedName>
    <definedName name="_ZA9267" localSheetId="9">USInf97!$B$347+"aB347"+16929+0+1</definedName>
    <definedName name="_ZA9268" localSheetId="9">USInf97!$B$348+"aB348"+16929+0+1</definedName>
    <definedName name="_ZA9269" localSheetId="9">USInf97!$B$349+"aB349"+16929+0+1</definedName>
    <definedName name="_ZA9270" localSheetId="9">USInf97!$B$350+"aB350"+16929+0+1</definedName>
    <definedName name="_ZA9271" localSheetId="9">USInf97!$B$351+"aB351"+16929+0+1</definedName>
    <definedName name="_ZA9272" localSheetId="9">USInf97!$B$352+"aB352"+16929+0+1</definedName>
    <definedName name="_ZA9273" localSheetId="9">USInf97!$B$353+"aB353"+16929+0+1</definedName>
    <definedName name="_ZA9274" localSheetId="9">USInf97!$B$354+"aB354"+16929+0+1</definedName>
    <definedName name="_ZA9275" localSheetId="9">USInf97!$B$355+"aB355"+16929+0+1</definedName>
    <definedName name="_ZA9276" localSheetId="9">USInf97!$B$356+"aB356"+16929+0+1</definedName>
    <definedName name="_ZA9277" localSheetId="9">USInf97!$B$357+"aB357"+16929+0+1</definedName>
    <definedName name="_ZA9278" localSheetId="9">USInf97!$B$358+"aB358"+16929+0+1</definedName>
    <definedName name="_ZA9279" localSheetId="9">USInf97!$B$359+"aB359"+16929+0+1</definedName>
    <definedName name="_ZA9280" localSheetId="9">USInf97!$B$360+"aB360"+16929+0+1</definedName>
    <definedName name="_ZA9281" localSheetId="9">USInf97!$B$361+"aB361"+16929+0+1</definedName>
    <definedName name="_ZA9282" localSheetId="9">USInf97!$B$362+"aB362"+16929+0+1</definedName>
    <definedName name="_ZA9283" localSheetId="9">USInf97!$B$363+"aB363"+16929+0+1</definedName>
    <definedName name="_ZA9284" localSheetId="9">USInf97!$B$364+"aB364"+16929+0+1</definedName>
    <definedName name="_ZA9285" localSheetId="9">USInf97!$B$365+"aB365"+16929+0+1</definedName>
    <definedName name="_ZA9286" localSheetId="9">USInf97!$B$366+"aB366"+16929+0+1</definedName>
    <definedName name="_ZA9287" localSheetId="9">USInf97!$B$367+"aB367"+16929+0+1</definedName>
    <definedName name="_ZA9288" localSheetId="9">USInf97!$B$368+"aB368"+16929+0+1</definedName>
    <definedName name="_ZA9289" localSheetId="9">USInf97!$B$369+"aB369"+16929+0+1</definedName>
    <definedName name="_ZA9290" localSheetId="9">USInf97!$B$370+"aB370"+16929+0+1</definedName>
    <definedName name="_ZA9291" localSheetId="9">USInf97!$B$371+"aB371"+16929+0+1</definedName>
    <definedName name="_ZA9292" localSheetId="9">USInf97!$B$372+"aB372"+16929+0+1</definedName>
    <definedName name="_ZA9293" localSheetId="9">USInf97!$B$373+"aB373"+16929+0+1</definedName>
    <definedName name="_ZA9294" localSheetId="9">USInf97!$B$374+"aB374"+16929+0+1</definedName>
    <definedName name="_ZA9295" localSheetId="9">USInf97!$B$375+"aB375"+16929+0+1</definedName>
    <definedName name="_ZA9296" localSheetId="9">USInf97!$B$376+"aB376"+16929+0+1</definedName>
    <definedName name="_ZA9297" localSheetId="9">USInf97!$B$377+"aB377"+16929+0+1</definedName>
    <definedName name="_ZA9298" localSheetId="9">USInf97!$B$378+"aB378"+16929+0+1</definedName>
    <definedName name="_ZA9299" localSheetId="9">USInf97!$B$379+"aB379"+16929+0+1</definedName>
    <definedName name="_ZA9300" localSheetId="9">USInf97!$B$380+"aB380"+16929+0+1</definedName>
    <definedName name="_ZA9301" localSheetId="9">USInf97!$B$381+"aB381"+16929+0+1</definedName>
    <definedName name="_ZA9302" localSheetId="9">USInf97!$B$382+"aB382"+16929+0+1</definedName>
    <definedName name="_ZA9303" localSheetId="9">USInf97!$B$383+"aB383"+16929+0+1</definedName>
    <definedName name="_ZA9304" localSheetId="9">USInf97!$B$384+"aB384"+16929+0+1</definedName>
    <definedName name="_ZA9305" localSheetId="9">USInf97!$B$385+"aB385"+16929+0+1</definedName>
    <definedName name="_ZA9306" localSheetId="9">USInf97!$B$386+"aB386"+16929+0+1</definedName>
    <definedName name="_ZA9307" localSheetId="9">USInf97!$B$387+"aB387"+16929+0+1</definedName>
    <definedName name="_ZA9308" localSheetId="9">USInf97!$B$388+"aB388"+16929+0+1</definedName>
    <definedName name="_ZA9309" localSheetId="9">USInf97!$B$389+"aB389"+16929+0+1</definedName>
    <definedName name="_ZA9310" localSheetId="9">USInf97!$B$390+"aB390"+16929+0+1</definedName>
    <definedName name="_ZA9311" localSheetId="9">USInf97!$B$391+"aB391"+16929+0+1</definedName>
    <definedName name="_ZA9312" localSheetId="9">USInf97!$B$392+"aB392"+16929+0+1</definedName>
    <definedName name="_ZA9313" localSheetId="9">USInf97!$B$393+"aB393"+16929+0+1</definedName>
    <definedName name="_ZA9314" localSheetId="9">USInf97!$B$394+"aB394"+16929+0+1</definedName>
    <definedName name="_ZA9315" localSheetId="9">USInf97!$B$395+"aB395"+16929+0+1</definedName>
    <definedName name="_ZA9316" localSheetId="9">USInf97!$B$396+"aB396"+16929+0+1</definedName>
    <definedName name="_ZA9317" localSheetId="9">USInf97!$B$397+"aB397"+16929+0+1</definedName>
    <definedName name="_ZA9318" localSheetId="9">USInf97!$B$398+"aB398"+16929+0+1</definedName>
    <definedName name="_ZA9319" localSheetId="9">USInf97!$B$399+"aB399"+16929+0+1</definedName>
    <definedName name="_ZA9320" localSheetId="9">USInf97!$B$400+"aB400"+16929+0+1</definedName>
    <definedName name="_ZA9321" localSheetId="9">USInf97!$B$401+"aB401"+16929+0+1</definedName>
    <definedName name="_ZA9322" localSheetId="9">USInf97!$B$402+"aB402"+16929+0+1</definedName>
    <definedName name="_ZA9323" localSheetId="9">USInf97!$B$403+"aB403"+16929+0+1</definedName>
    <definedName name="_ZA9324" localSheetId="9">USInf97!$B$404+"aB404"+16929+0+1</definedName>
    <definedName name="_ZA9325" localSheetId="9">USInf97!$B$405+"aB405"+16929+0+1</definedName>
    <definedName name="_ZA9326" localSheetId="9">USInf97!$B$406+"aB406"+16929+0+1</definedName>
    <definedName name="_ZA9327" localSheetId="9">USInf97!$B$407+"aB407"+16929+0+1</definedName>
    <definedName name="_ZA9328" localSheetId="9">USInf97!$B$408+"aB408"+16929+0+1</definedName>
    <definedName name="_ZA9329" localSheetId="9">USInf97!$B$409+"aB409"+16929+0+1</definedName>
    <definedName name="_ZA9330" localSheetId="9">USInf97!$B$410+"aB410"+16929+0+1</definedName>
    <definedName name="_ZA9331" localSheetId="9">USInf97!$B$411+"aB411"+16929+0+1</definedName>
    <definedName name="_ZA9332" localSheetId="9">USInf97!$B$412+"aB412"+16929+0+1</definedName>
    <definedName name="_ZA9333" localSheetId="9">USInf97!$B$413+"aB413"+16929+0+1</definedName>
    <definedName name="_ZA9334" localSheetId="9">USInf97!$B$414+"aB414"+16929+0+1</definedName>
    <definedName name="_ZA9335" localSheetId="9">USInf97!$B$415+"aB415"+16929+0+1</definedName>
    <definedName name="_ZA9336" localSheetId="9">USInf97!$B$416+"aB416"+16929+0+1</definedName>
    <definedName name="_ZA9337" localSheetId="9">USInf97!$B$417+"aB417"+16929+0+1</definedName>
    <definedName name="_ZA9338" localSheetId="9">USInf97!$B$418+"aB418"+16929+0+1</definedName>
    <definedName name="_ZA9339" localSheetId="9">USInf97!$B$419+"aB419"+16929+0+1</definedName>
    <definedName name="_ZA9340" localSheetId="9">USInf97!$B$420+"aB420"+16929+0+1</definedName>
    <definedName name="_ZA9341" localSheetId="9">USInf97!$B$421+"aB421"+16929+0+1</definedName>
    <definedName name="_ZA9342" localSheetId="9">USInf97!$B$422+"aB422"+16929+0+1</definedName>
    <definedName name="_ZA9343" localSheetId="9">USInf97!$B$423+"aB423"+16929+0+1</definedName>
    <definedName name="_ZA9344" localSheetId="9">USInf97!$B$424+"aB424"+16929+0+1</definedName>
    <definedName name="_ZA9345" localSheetId="9">USInf97!$B$425+"aB425"+16929+0+1</definedName>
    <definedName name="_ZA9346" localSheetId="9">USInf97!$B$426+"aB426"+16929+0+1</definedName>
    <definedName name="_ZA9347" localSheetId="9">USInf97!$B$427+"aB427"+16929+0+1</definedName>
    <definedName name="_ZA9348" localSheetId="9">USInf97!$B$428+"aB428"+16929+0+1</definedName>
    <definedName name="_ZA9349" localSheetId="9">USInf97!$B$429+"aB429"+16929+0+1</definedName>
    <definedName name="_ZA9350" localSheetId="9">USInf97!$B$430+"aB430"+16929+0+1</definedName>
    <definedName name="_ZA9351" localSheetId="9">USInf97!$B$431+"aB431"+16929+0+1</definedName>
    <definedName name="_ZA9352" localSheetId="9">USInf97!$B$432+"aB432"+16929+0+1</definedName>
    <definedName name="_ZA9353" localSheetId="9">USInf97!$B$433+"aB433"+16929+0+1</definedName>
    <definedName name="_ZA9354" localSheetId="9">USInf97!$B$434+"aB434"+16929+0+1</definedName>
    <definedName name="_ZA9355" localSheetId="9">USInf97!$B$435+"aB435"+16929+0+1</definedName>
    <definedName name="_ZA9356" localSheetId="9">USInf97!$B$436+"aB436"+16929+0+1</definedName>
    <definedName name="_ZA9357" localSheetId="9">USInf97!$B$437+"aB437"+16929+0+1</definedName>
    <definedName name="_ZA9358" localSheetId="9">USInf97!$B$438+"aB438"+16929+0+1</definedName>
    <definedName name="_ZA9359" localSheetId="9">USInf97!$B$439+"aB439"+16929+0+1</definedName>
    <definedName name="_ZA9360" localSheetId="9">USInf97!$B$440+"aB440"+16929+0+1</definedName>
    <definedName name="_ZA9361" localSheetId="9">USInf97!$B$441+"aB441"+16929+0+1</definedName>
    <definedName name="_ZA9362" localSheetId="9">USInf97!$B$442+"aB442"+16929+0+1</definedName>
    <definedName name="_ZA9363" localSheetId="9">USInf97!$B$443+"aB443"+16929+0+1</definedName>
    <definedName name="_ZA9364" localSheetId="9">USInf97!$B$444+"aB444"+16929+0+1</definedName>
    <definedName name="_ZA9365" localSheetId="9">USInf97!$B$445+"aB445"+16929+0+1</definedName>
    <definedName name="_ZA9366" localSheetId="9">USInf97!$B$446+"aB446"+16929+0+1</definedName>
    <definedName name="_ZA9367" localSheetId="9">USInf97!$B$447+"aB447"+16929+0+1</definedName>
    <definedName name="_ZA9368" localSheetId="9">USInf97!$B$448+"aB448"+16929+0+1</definedName>
    <definedName name="_ZA9369" localSheetId="9">USInf97!$B$449+"aB449"+16929+0+1</definedName>
    <definedName name="_ZA9370" localSheetId="9">USInf97!$B$450+"aB450"+16929+0+1</definedName>
    <definedName name="_ZA9371" localSheetId="9">USInf97!$B$451+"aB451"+16929+0+1</definedName>
    <definedName name="_ZA9372" localSheetId="9">USInf97!$B$452+"aB452"+16929+0+1</definedName>
    <definedName name="_ZA9373" localSheetId="9">USInf97!$B$453+"aB453"+16929+0+1</definedName>
    <definedName name="_ZA9374" localSheetId="9">USInf97!$B$454+"aB454"+16929+0+1</definedName>
    <definedName name="_ZA9375" localSheetId="9">USInf97!$B$455+"aB455"+16929+0+1</definedName>
    <definedName name="_ZA9376" localSheetId="9">USInf97!$B$456+"aB456"+16929+0+1</definedName>
    <definedName name="_ZA9377" localSheetId="9">USInf97!$B$457+"aB457"+16929+0+1</definedName>
    <definedName name="_ZA9378" localSheetId="9">USInf97!$B$458+"aB458"+16929+0+1</definedName>
    <definedName name="_ZA9379" localSheetId="9">USInf97!$B$459+"aB459"+16929+0+1</definedName>
    <definedName name="_ZA9380" localSheetId="9">USInf97!$B$460+"aB460"+16929+0+1</definedName>
    <definedName name="_ZA9381" localSheetId="9">USInf97!$B$461+"aB461"+16929+0+1</definedName>
    <definedName name="_ZA9382" localSheetId="9">USInf97!$B$462+"aB462"+16929+0+1</definedName>
    <definedName name="_ZA9383" localSheetId="9">USInf97!$B$463+"aB463"+16929+0+1</definedName>
    <definedName name="_ZA9384" localSheetId="9">USInf97!$B$464+"aB464"+16929+0+1</definedName>
    <definedName name="_ZA9385" localSheetId="9">USInf97!$B$465+"aB465"+16929+0+1</definedName>
    <definedName name="_ZA9386" localSheetId="9">USInf97!$B$466+"aB466"+16929+0+1</definedName>
    <definedName name="_ZA9387" localSheetId="9">USInf97!$B$467+"aB467"+16929+0+1</definedName>
    <definedName name="_ZA9388" localSheetId="9">USInf97!$B$468+"aB468"+16929+0+1</definedName>
    <definedName name="_ZA9389" localSheetId="9">USInf97!$B$469+"aB469"+16929+0+1</definedName>
    <definedName name="_ZA9390" localSheetId="9">USInf97!$B$470+"aB470"+16929+0+1</definedName>
    <definedName name="_ZA9391" localSheetId="9">USInf97!$B$471+"aB471"+16929+0+1</definedName>
    <definedName name="_ZA9392" localSheetId="9">USInf97!$B$472+"aB472"+16929+0+1</definedName>
    <definedName name="_ZA9393" localSheetId="9">USInf97!$B$473+"aB473"+16929+0+1</definedName>
    <definedName name="_ZA9394" localSheetId="9">USInf97!$B$474+"aB474"+16929+0+1</definedName>
    <definedName name="_ZA9395" localSheetId="9">USInf97!$B$475+"aB475"+16929+0+1</definedName>
    <definedName name="_ZA9396" localSheetId="9">USInf97!$B$476+"aB476"+16929+0+1</definedName>
    <definedName name="_ZA9397" localSheetId="9">USInf97!$B$477+"aB477"+16929+0+1</definedName>
    <definedName name="_ZA9398" localSheetId="9">USInf97!$B$478+"aB478"+16929+0+1</definedName>
    <definedName name="_ZA9399" localSheetId="9">USInf97!$B$479+"aB479"+16929+0+1</definedName>
    <definedName name="_ZC112" localSheetId="5">RAROC!$E$14+RAROC!$E$10+0+0.5</definedName>
    <definedName name="_ZC121" localSheetId="5">RAROC!$H$14+RAROC!$H$10+0+0.5</definedName>
    <definedName name="_ZC122" localSheetId="5">RAROC!$K$14+RAROC!$K$10+0+0.5</definedName>
    <definedName name="_ZC123" localSheetId="5">RAROC!$N$14+RAROC!$N$10+0+0.5</definedName>
    <definedName name="_ZC124" localSheetId="5">RAROC!$Q$14+RAROC!$Q$10+0+0.5</definedName>
    <definedName name="_ZF225" localSheetId="5">RAROC!$L$46+"CFOUT00"+""+33+33+441+0+0+0+0+4+3+"-"+"+"+2.6+50+2</definedName>
    <definedName name="_ZF226" localSheetId="5">RAROC!$M$46+"CFOUT01"+""+33+33+441+0+0+0+0+4+3+"-"+"+"+2.6+50+2</definedName>
    <definedName name="_ZF227" localSheetId="5">RAROC!$N$46+"CFOUT02"+""+33+33+441+0+0+0+0+4+3+"-"+"+"+2.6+50+2</definedName>
    <definedName name="_ZF228" localSheetId="5">RAROC!$O$46+"CFOUT03"+""+33+33+441+0+0+0+0+4+3+"-"+"+"+2.6+50+2</definedName>
    <definedName name="_ZF229" localSheetId="5">RAROC!$P$46+"CFOUT04"+""+33+33+441+0+0+0+0+4+3+"-"+"+"+2.6+50+2</definedName>
    <definedName name="_ZF230" localSheetId="5">RAROC!$Q$46+"CFOUT05"+""+33+33+441+0+0+0+0+4+3+"-"+"+"+2.6+50+2</definedName>
    <definedName name="_ZF231" localSheetId="5">RAROC!$R$46+"CFOUT06"+""+33+33+441+0+0+0+0+4+3+"-"+"+"+2.6+50+2</definedName>
    <definedName name="_ZF232" localSheetId="5">RAROC!$S$46+"CFOUT07"+""+33+33+441+0+0+0+0+4+3+"-"+"+"+2.6+50+2</definedName>
    <definedName name="_ZF233" localSheetId="5">RAROC!$T$46+"CFOUT08"+""+33+33+441+0+0+0+0+4+3+"-"+"+"+2.6+50+2</definedName>
    <definedName name="_ZF234" localSheetId="5">RAROC!$U$46+"CFOUT09"+""+33+33+441+0+0+0+0+4+3+"-"+"+"+2.6+50+2</definedName>
    <definedName name="_ZF235" localSheetId="5">RAROC!$V$46+"CFOUT10"+""+33+33+441+0+0+0+0+4+3+"-"+"+"+2.6+50+2</definedName>
    <definedName name="_ZF236" localSheetId="5">RAROC!$W$46+"CFOUT11"+""+33+33+441+0+0+0+0+4+3+"-"+"+"+2.6+50+2</definedName>
    <definedName name="_ZF237" localSheetId="5">RAROC!$X$46+"CFOUT12"+""+33+33+441+0+0+0+0+4+3+"-"+"+"+2.6+50+2</definedName>
    <definedName name="_ZF238" localSheetId="5">RAROC!$Y$46+"CFOUT13"+""+33+33+441+0+0+0+0+4+3+"-"+"+"+2.6+50+2</definedName>
    <definedName name="_ZF239" localSheetId="5">RAROC!$Z$46+"CFOUT14"+""+33+33+441+0+0+0+0+4+3+"-"+"+"+2.6+50+2</definedName>
    <definedName name="_ZF240" localSheetId="5">RAROC!$AA$46+"CFOUT15"+""+33+33+441+0+0+0+0+4+3+"-"+"+"+2.6+50+2</definedName>
    <definedName name="_ZF241" localSheetId="5">RAROC!$AB$46+"CFOUT16"+""+33+33+441+0+0+0+0+4+3+"-"+"+"+2.6+50+2</definedName>
    <definedName name="_ZF242" localSheetId="5">RAROC!$AC$46+"CFOUT17"+""+33+33+441+0+0+0+0+4+3+"-"+"+"+2.6+50+2</definedName>
    <definedName name="_ZF243" localSheetId="5">RAROC!$AD$46+"CFOUT18"+""+33+33+441+0+0+0+0+4+3+"-"+"+"+2.6+50+2</definedName>
    <definedName name="_ZF244" localSheetId="5">RAROC!$AE$46+"CFOUT19"+""+33+33+441+0+0+0+0+4+3+"-"+"+"+2.6+50+2</definedName>
    <definedName name="_ZF245" localSheetId="5">RAROC!$AF$46+"CFOUT20"+""+33+33+441+0+0+0+0+4+3+"-"+"+"+2.6+50+2</definedName>
    <definedName name="_ZF246" localSheetId="5">RAROC!$L$48+"CFIN00"+""+33+33+441+0+0+0+0+4+3+"-"+"+"+2.6+50+2</definedName>
    <definedName name="_ZF247" localSheetId="5">RAROC!$M$48+"CFIN01"+""+33+33+441+0+0+0+0+4+3+"-"+"+"+2.6+50+2</definedName>
    <definedName name="_ZF248" localSheetId="5">RAROC!$N$48+"CFIN02"+""+33+33+441+0+0+0+0+4+3+"-"+"+"+2.6+50+2</definedName>
    <definedName name="_ZF249" localSheetId="5">RAROC!$O$48+"CFIN03"+""+33+33+441+0+0+0+0+4+3+"-"+"+"+2.6+50+2</definedName>
    <definedName name="_ZF250" localSheetId="5">RAROC!$P$48+"CFIN04"+""+33+33+441+0+0+0+0+4+3+"-"+"+"+2.6+50+2</definedName>
    <definedName name="_ZF251" localSheetId="5">RAROC!$Q$48+"CFIN05"+""+33+33+441+0+0+0+0+4+3+"-"+"+"+2.6+50+2</definedName>
    <definedName name="_ZF252" localSheetId="5">RAROC!$R$48+"CFIN06"+""+33+33+441+0+0+0+0+4+3+"-"+"+"+2.6+50+2</definedName>
    <definedName name="_ZF253" localSheetId="5">RAROC!$S$48+"CFIN07"+""+33+33+441+0+0+0+0+4+3+"-"+"+"+2.6+50+2</definedName>
    <definedName name="_ZF254" localSheetId="5">RAROC!$T$48+"CFIN08"+""+33+33+441+0+0+0+0+4+3+"-"+"+"+2.6+50+2</definedName>
    <definedName name="_ZF255" localSheetId="5">RAROC!$U$48+"CFIN09"+""+33+33+441+0+0+0+0+4+3+"-"+"+"+2.6+50+2</definedName>
    <definedName name="_ZF256" localSheetId="5">RAROC!$V$48+"CFIN10"+""+33+33+441+0+0+0+0+4+3+"-"+"+"+2.6+50+2</definedName>
    <definedName name="_ZF257" localSheetId="5">RAROC!$W$48+"CFIN11"+""+33+33+441+0+0+0+0+4+3+"-"+"+"+2.6+50+2</definedName>
    <definedName name="_ZF258" localSheetId="5">RAROC!$X$48+"CFIN12"+""+33+33+441+0+0+0+0+4+3+"-"+"+"+2.6+50+2</definedName>
    <definedName name="_ZF259" localSheetId="5">RAROC!$Y$48+"CFIN13"+""+33+33+441+0+0+0+0+4+3+"-"+"+"+2.6+50+2</definedName>
    <definedName name="_ZF260" localSheetId="5">RAROC!$Z$48+"CFIN14"+""+33+33+441+0+0+0+0+4+3+"-"+"+"+2.6+50+2</definedName>
    <definedName name="_ZF261" localSheetId="5">RAROC!$AA$48+"CFIN15"+""+33+33+441+0+0+0+0+4+3+"-"+"+"+2.6+50+2</definedName>
    <definedName name="_ZF262" localSheetId="5">RAROC!$AB$48+"CFIN16"+""+33+33+441+0+0+0+0+4+3+"-"+"+"+2.6+50+2</definedName>
    <definedName name="_ZF263" localSheetId="5">RAROC!$AC$48+"CFIN17"+""+33+33+441+0+0+0+0+4+3+"-"+"+"+2.6+50+2</definedName>
    <definedName name="_ZF264" localSheetId="5">RAROC!$AD$48+"CFIN18"+""+33+33+441+0+0+0+0+4+3+"-"+"+"+2.6+50+2</definedName>
    <definedName name="_ZF265" localSheetId="5">RAROC!$AE$48+"CFIN19"+""+33+33+441+0+0+0+0+4+3+"-"+"+"+2.6+50+2</definedName>
    <definedName name="_ZF266" localSheetId="5">RAROC!$AF$48+"CFIN20"+""+33+33+441+0+0+0+0+4+3+"-"+"+"+2.6+50+2</definedName>
    <definedName name="_ZF267" localSheetId="5">RAROC!$L$50+"CI1-500"+""+33+33+441+0+0+0+0+4+3+"-"+"+"+2.6+50+2</definedName>
    <definedName name="_ZF268" localSheetId="5">RAROC!$M$50+"CI1-501"+""+33+33+441+0+0+0+0+4+3+"-"+"+"+2.6+50+2</definedName>
    <definedName name="_ZF269" localSheetId="5">RAROC!$N$50+"CI1-502"+""+33+33+441+0+0+0+0+4+3+"-"+"+"+2.6+50+2</definedName>
    <definedName name="_ZF270" localSheetId="5">RAROC!$O$50+"CI1-503"+""+33+33+441+0+0+0+0+4+3+"-"+"+"+2.6+50+2</definedName>
    <definedName name="_ZF271" localSheetId="5">RAROC!$P$50+"CI1-504"+""+33+33+441+0+0+0+0+4+3+"-"+"+"+2.6+50+2</definedName>
    <definedName name="_ZF272" localSheetId="5">RAROC!$Q$50+"CI1-505"+""+33+33+441+0+0+0+0+4+3+"-"+"+"+2.6+50+2</definedName>
    <definedName name="_ZF273" localSheetId="5">RAROC!$R$50+"CI1-506"+""+33+33+441+0+0+0+0+4+3+"-"+"+"+2.6+50+2</definedName>
    <definedName name="_ZF274" localSheetId="5">RAROC!$S$50+"CI1-507"+""+33+33+441+0+0+0+0+4+3+"-"+"+"+2.6+50+2</definedName>
    <definedName name="_ZF275" localSheetId="5">RAROC!$T$50+"CI1-508"+""+33+33+441+0+0+0+0+4+3+"-"+"+"+2.6+50+2</definedName>
    <definedName name="_ZF276" localSheetId="5">RAROC!$U$50+"CI1-509"+""+33+33+441+0+0+0+0+4+3+"-"+"+"+2.6+50+2</definedName>
    <definedName name="_ZF277" localSheetId="5">RAROC!$V$50+"CI1-510"+""+33+33+441+0+0+0+0+4+3+"-"+"+"+2.6+50+2</definedName>
    <definedName name="_ZF278" localSheetId="5">RAROC!$W$50+"CI1-511"+""+33+33+441+0+0+0+0+4+3+"-"+"+"+2.6+50+2</definedName>
    <definedName name="_ZF279" localSheetId="5">RAROC!$X$50+"CI1-512"+""+33+33+441+0+0+0+0+4+3+"-"+"+"+2.6+50+2</definedName>
    <definedName name="_ZF280" localSheetId="5">RAROC!$Y$50+"CI1-513"+""+33+33+441+0+0+0+0+4+3+"-"+"+"+2.6+50+2</definedName>
    <definedName name="_ZF281" localSheetId="5">RAROC!$Z$50+"CI1-514"+""+33+33+441+0+0+0+0+4+3+"-"+"+"+2.6+50+2</definedName>
    <definedName name="_ZF282" localSheetId="5">RAROC!$AA$50+"CI1-515"+""+33+33+441+0+0+0+0+4+3+"-"+"+"+2.6+50+2</definedName>
    <definedName name="_ZF283" localSheetId="5">RAROC!$AB$50+"CI1-516"+""+33+33+441+0+0+0+0+4+3+"-"+"+"+2.6+50+2</definedName>
    <definedName name="_ZF284" localSheetId="5">RAROC!$AC$50+"CI1-517"+""+33+33+441+0+0+0+0+4+3+"-"+"+"+2.6+50+2</definedName>
    <definedName name="_ZF285" localSheetId="5">RAROC!$AD$50+"CI1-518"+""+33+33+441+0+0+0+0+4+3+"-"+"+"+2.6+50+2</definedName>
    <definedName name="_ZF286" localSheetId="5">RAROC!$AE$50+"CI1-519"+""+33+33+441+0+0+0+0+4+3+"-"+"+"+2.6+50+2</definedName>
    <definedName name="_ZF287" localSheetId="5">RAROC!$AF$50+"CI1-520"+""+33+33+441+0+0+0+0+4+3+"-"+"+"+2.6+50+2</definedName>
    <definedName name="_ZF288" localSheetId="5">RAROC!$L$52+"CO1-500"+""+33+33+441+0+0+0+0+4+3+"-"+"+"+2.6+50+2</definedName>
    <definedName name="_ZF289" localSheetId="5">RAROC!$M$52+"CO1-501"+""+33+33+441+0+0+0+0+4+3+"-"+"+"+2.6+50+2</definedName>
    <definedName name="_ZF290" localSheetId="5">RAROC!$N$52+"CO1-502"+""+33+33+441+0+0+0+0+4+3+"-"+"+"+2.6+50+2</definedName>
    <definedName name="_ZF291" localSheetId="5">RAROC!$O$52+"CO1-503"+""+33+33+441+0+0+0+0+4+3+"-"+"+"+2.6+50+2</definedName>
    <definedName name="_ZF292" localSheetId="5">RAROC!$P$52+"CO1-504"+""+33+33+441+0+0+0+0+4+3+"-"+"+"+2.6+50+2</definedName>
    <definedName name="_ZF293" localSheetId="5">RAROC!$Q$52+"CO1-505"+""+33+33+441+0+0+0+0+4+3+"-"+"+"+2.6+50+2</definedName>
    <definedName name="_ZF294" localSheetId="5">RAROC!$R$52+"CO1-506"+""+33+33+441+0+0+0+0+4+3+"-"+"+"+2.6+50+2</definedName>
    <definedName name="_ZF295" localSheetId="5">RAROC!$S$52+"CO1-507"+""+33+33+441+0+0+0+0+4+3+"-"+"+"+2.6+50+2</definedName>
    <definedName name="_ZF296" localSheetId="5">RAROC!$T$52+"CO1-508"+""+33+33+441+0+0+0+0+4+3+"-"+"+"+2.6+50+2</definedName>
    <definedName name="_ZF297" localSheetId="5">RAROC!$U$52+"CO1-509"+""+33+33+441+0+0+0+0+4+3+"-"+"+"+2.6+50+2</definedName>
    <definedName name="_ZF298" localSheetId="5">RAROC!$V$52+"CO1-510"+""+33+33+441+0+0+0+0+4+3+"-"+"+"+2.6+50+2</definedName>
    <definedName name="_ZF299" localSheetId="5">RAROC!$W$52+"CO1-511"+""+33+33+441+0+0+0+0+4+3+"-"+"+"+2.6+50+2</definedName>
    <definedName name="_ZF300" localSheetId="5">RAROC!$X$52+"CO1-512"+""+33+33+441+0+0+0+0+4+3+"-"+"+"+2.6+50+2</definedName>
    <definedName name="_ZF301" localSheetId="5">RAROC!$Y$52+"CO1-513"+""+33+33+441+0+0+0+0+4+3+"-"+"+"+2.6+50+2</definedName>
    <definedName name="_ZF302" localSheetId="5">RAROC!$Z$52+"CO1-514"+""+33+33+441+0+0+0+0+4+3+"-"+"+"+2.6+50+2</definedName>
    <definedName name="_ZF303" localSheetId="5">RAROC!$AA$52+"CO1-515"+""+33+33+441+0+0+0+0+4+3+"-"+"+"+2.6+50+2</definedName>
    <definedName name="_ZF304" localSheetId="5">RAROC!$AB$52+"CO1-516"+""+33+33+441+0+0+0+0+4+3+"-"+"+"+2.6+50+2</definedName>
    <definedName name="_ZF305" localSheetId="5">RAROC!$AC$52+"CO1-517"+""+33+33+441+0+0+0+0+4+3+"-"+"+"+2.6+50+2</definedName>
    <definedName name="_ZF306" localSheetId="5">RAROC!$AD$52+"CO1-518"+""+33+33+441+0+0+0+0+4+3+"-"+"+"+2.6+50+2</definedName>
    <definedName name="_ZF307" localSheetId="5">RAROC!$AE$52+"CO1-519"+""+33+33+441+0+0+0+0+4+3+"-"+"+"+2.6+50+2</definedName>
    <definedName name="_ZF308" localSheetId="5">RAROC!$AF$52+"CO1-520"+""+33+33+441+0+0+0+0+4+3+"-"+"+"+2.6+50+2</definedName>
    <definedName name="_ZF309" localSheetId="5">RAROC!$L$54+"CO6+100"+""+33+33+441+0+0+0+0+4+3+"-"+"+"+2.6+50+2</definedName>
    <definedName name="_ZF310" localSheetId="5">RAROC!$M$54+"CO6+101"+""+33+33+441+0+0+0+0+4+3+"-"+"+"+2.6+50+2</definedName>
    <definedName name="_ZF311" localSheetId="5">RAROC!$N$54+"CO6+102"+""+33+33+441+0+0+0+0+4+3+"-"+"+"+2.6+50+2</definedName>
    <definedName name="_ZF312" localSheetId="5">RAROC!$O$54+"CO6+103"+""+33+33+441+0+0+0+0+4+3+"-"+"+"+2.6+50+2</definedName>
    <definedName name="_ZF313" localSheetId="5">RAROC!$P$54+"CO6+104"+""+33+33+441+0+0+0+0+4+3+"-"+"+"+2.6+50+2</definedName>
    <definedName name="_ZF314" localSheetId="5">RAROC!$Q$54+"CO6+105"+""+33+33+441+0+0+0+0+4+3+"-"+"+"+2.6+50+2</definedName>
    <definedName name="_ZF315" localSheetId="5">RAROC!$R$54+"CO6+106"+""+33+33+441+0+0+0+0+4+3+"-"+"+"+2.6+50+2</definedName>
    <definedName name="_ZF316" localSheetId="5">RAROC!$S$54+"CO6+107"+""+33+33+441+0+0+0+0+4+3+"-"+"+"+2.6+50+2</definedName>
    <definedName name="_ZF317" localSheetId="5">RAROC!$T$54+"CO6+108"+""+33+33+441+0+0+0+0+4+3+"-"+"+"+2.6+50+2</definedName>
    <definedName name="_ZF318" localSheetId="5">RAROC!$U$54+"CO6+109"+""+33+33+441+0+0+0+0+4+3+"-"+"+"+2.6+50+2</definedName>
    <definedName name="_ZF319" localSheetId="5">RAROC!$V$54+"CO6+110"+""+33+33+441+0+0+0+0+4+3+"-"+"+"+2.6+50+2</definedName>
    <definedName name="_ZF320" localSheetId="5">RAROC!$W$54+"CO6+111"+""+33+33+441+0+0+0+0+4+3+"-"+"+"+2.6+50+2</definedName>
    <definedName name="_ZF321" localSheetId="5">RAROC!$X$54+"CO6+112"+""+33+33+441+0+0+0+0+4+3+"-"+"+"+2.6+50+2</definedName>
    <definedName name="_ZF322" localSheetId="5">RAROC!$Y$54+"CO6+113"+""+33+33+441+0+0+0+0+4+3+"-"+"+"+2.6+50+2</definedName>
    <definedName name="_ZF323" localSheetId="5">RAROC!$Z$54+"CO6+114"+""+33+33+441+0+0+0+0+4+3+"-"+"+"+2.6+50+2</definedName>
    <definedName name="_ZF324" localSheetId="5">RAROC!$AA$54+"CO6+115"+""+33+33+441+0+0+0+0+4+3+"-"+"+"+2.6+50+2</definedName>
    <definedName name="_ZF325" localSheetId="5">RAROC!$AB$54+"CO6+116"+""+33+33+441+0+0+0+0+4+3+"-"+"+"+2.6+50+2</definedName>
    <definedName name="_ZF326" localSheetId="5">RAROC!$AC$54+"CO6+117"+""+33+33+441+0+0+0+0+4+3+"-"+"+"+2.6+50+2</definedName>
    <definedName name="_ZF327" localSheetId="5">RAROC!$AD$54+"CO6+118"+""+33+33+441+0+0+0+0+4+3+"-"+"+"+2.6+50+2</definedName>
    <definedName name="_ZF328" localSheetId="5">RAROC!$AE$54+"CO6+119"+""+33+33+441+0+0+0+0+4+3+"-"+"+"+2.6+50+2</definedName>
    <definedName name="_ZF329" localSheetId="5">RAROC!$AF$54+"CO6+120"+""+33+33+441+0+0+0+0+4+3+"-"+"+"+2.6+50+2</definedName>
    <definedName name="_ZF330" localSheetId="5">RAROC!$L$56+"CO6+200"+""+33+33+441+0+0+0+0+4+3+"-"+"+"+2.6+50+2</definedName>
    <definedName name="_ZF331" localSheetId="5">RAROC!$M$56+"CO6+201"+""+33+33+441+0+0+0+0+4+3+"-"+"+"+2.6+50+2</definedName>
    <definedName name="_ZF332" localSheetId="5">RAROC!$N$56+"CO6+202"+""+33+33+441+0+0+0+0+4+3+"-"+"+"+2.6+50+2</definedName>
    <definedName name="_ZF333" localSheetId="5">RAROC!$O$56+"CO6+203"+""+33+33+441+0+0+0+0+4+3+"-"+"+"+2.6+50+2</definedName>
    <definedName name="_ZF334" localSheetId="5">RAROC!$P$56+"CO6+204"+""+33+33+441+0+0+0+0+4+3+"-"+"+"+2.6+50+2</definedName>
    <definedName name="_ZF335" localSheetId="5">RAROC!$Q$56+"CO6+205"+""+33+33+441+0+0+0+0+4+3+"-"+"+"+2.6+50+2</definedName>
    <definedName name="_ZF336" localSheetId="5">RAROC!$R$56+"CO6+206"+""+33+33+441+0+0+0+0+4+3+"-"+"+"+2.6+50+2</definedName>
    <definedName name="_ZF337" localSheetId="5">RAROC!$S$56+"CO6+207"+""+33+33+441+0+0+0+0+4+3+"-"+"+"+2.6+50+2</definedName>
    <definedName name="_ZF338" localSheetId="5">RAROC!$T$56+"CO6+208"+""+33+33+441+0+0+0+0+4+3+"-"+"+"+2.6+50+2</definedName>
    <definedName name="_ZF339" localSheetId="5">RAROC!$U$56+"CO6+209"+""+33+33+441+0+0+0+0+4+3+"-"+"+"+2.6+50+2</definedName>
    <definedName name="_ZF340" localSheetId="5">RAROC!$V$56+"CO6+210"+""+33+33+441+0+0+0+0+4+3+"-"+"+"+2.6+50+2</definedName>
    <definedName name="_ZF341" localSheetId="5">RAROC!$W$56+"CO6+211"+""+33+33+441+0+0+0+0+4+3+"-"+"+"+2.6+50+2</definedName>
    <definedName name="_ZF342" localSheetId="5">RAROC!$X$56+"CO6+212"+""+33+33+441+0+0+0+0+4+3+"-"+"+"+2.6+50+2</definedName>
    <definedName name="_ZF343" localSheetId="5">RAROC!$Y$56+"CO6+213"+""+33+33+441+0+0+0+0+4+3+"-"+"+"+2.6+50+2</definedName>
    <definedName name="_ZF344" localSheetId="5">RAROC!$Z$56+"CO6+214"+""+33+33+441+0+0+0+0+4+3+"-"+"+"+2.6+50+2</definedName>
    <definedName name="_ZF345" localSheetId="5">RAROC!$AA$56+"CO6+215"+""+33+33+441+0+0+0+0+4+3+"-"+"+"+2.6+50+2</definedName>
    <definedName name="_ZF346" localSheetId="5">RAROC!$AB$56+"CO6+216"+""+33+33+441+0+0+0+0+4+3+"-"+"+"+2.6+50+2</definedName>
    <definedName name="_ZF347" localSheetId="5">RAROC!$AC$56+"CO6+217"+""+33+33+441+0+0+0+0+4+3+"-"+"+"+2.6+50+2</definedName>
    <definedName name="_ZF348" localSheetId="5">RAROC!$AD$56+"CO6+218"+""+33+33+441+0+0+0+0+4+3+"-"+"+"+2.6+50+2</definedName>
    <definedName name="_ZF349" localSheetId="5">RAROC!$AE$56+"CO6+219"+""+33+33+441+0+0+0+0+4+3+"-"+"+"+2.6+50+2</definedName>
    <definedName name="_ZF350" localSheetId="5">RAROC!$AF$56+"CO6+220"+""+33+33+441+0+0+0+0+4+3+"-"+"+"+2.6+50+2</definedName>
    <definedName name="_ZF351" localSheetId="5">RAROC!$L$58+"CI6+300"+""+33+33+441+0+0+0+0+4+3+"-"+"+"+2.6+50+2</definedName>
    <definedName name="_ZF352" localSheetId="5">RAROC!$M$58+"CI6+301"+""+33+33+441+0+0+0+0+4+3+"-"+"+"+2.6+50+2</definedName>
    <definedName name="_ZF353" localSheetId="5">RAROC!$N$58+"CI6+302"+""+33+33+441+0+0+0+0+4+3+"-"+"+"+2.6+50+2</definedName>
    <definedName name="_ZF354" localSheetId="5">RAROC!$O$58+"CI6+303"+""+33+33+441+0+0+0+0+4+3+"-"+"+"+2.6+50+2</definedName>
    <definedName name="_ZF355" localSheetId="5">RAROC!$P$58+"CI6+304"+""+33+33+441+0+0+0+0+4+3+"-"+"+"+2.6+50+2</definedName>
    <definedName name="_ZF356" localSheetId="5">RAROC!$Q$58+"CI6+305"+""+33+33+441+0+0+0+0+4+3+"-"+"+"+2.6+50+2</definedName>
    <definedName name="_ZF357" localSheetId="5">RAROC!$R$58+"CI6+306"+""+33+33+441+0+0+0+0+4+3+"-"+"+"+2.6+50+2</definedName>
    <definedName name="_ZF358" localSheetId="5">RAROC!$S$58+"CI6+307"+""+33+33+441+0+0+0+0+4+3+"-"+"+"+2.6+50+2</definedName>
    <definedName name="_ZF359" localSheetId="5">RAROC!$T$58+"CI6+308"+""+33+33+441+0+0+0+0+4+3+"-"+"+"+2.6+50+2</definedName>
    <definedName name="_ZF360" localSheetId="5">RAROC!$U$58+"CI6+309"+""+33+33+441+0+0+0+0+4+3+"-"+"+"+2.6+50+2</definedName>
    <definedName name="_ZF361" localSheetId="5">RAROC!$V$58+"CI6+310"+""+33+33+441+0+0+0+0+4+3+"-"+"+"+2.6+50+2</definedName>
    <definedName name="_ZF362" localSheetId="5">RAROC!$W$58+"CI6+311"+""+33+33+441+0+0+0+0+4+3+"-"+"+"+2.6+50+2</definedName>
    <definedName name="_ZF363" localSheetId="5">RAROC!$X$58+"CI6+312"+""+33+33+441+0+0+0+0+4+3+"-"+"+"+2.6+50+2</definedName>
    <definedName name="_ZF364" localSheetId="5">RAROC!$Y$58+"CI6+313"+""+33+33+441+0+0+0+0+4+3+"-"+"+"+2.6+50+2</definedName>
    <definedName name="_ZF365" localSheetId="5">RAROC!$Z$58+"CI6+314"+""+33+33+441+0+0+0+0+4+3+"-"+"+"+2.6+50+2</definedName>
    <definedName name="_ZF366" localSheetId="5">RAROC!$AA$58+"CI6+315"+""+33+33+441+0+0+0+0+4+3+"-"+"+"+2.6+50+2</definedName>
    <definedName name="_ZF367" localSheetId="5">RAROC!$AB$58+"CI6+316"+""+33+33+441+0+0+0+0+4+3+"-"+"+"+2.6+50+2</definedName>
    <definedName name="_ZF368" localSheetId="5">RAROC!$AC$58+"CI6+317"+""+33+33+441+0+0+0+0+4+3+"-"+"+"+2.6+50+2</definedName>
    <definedName name="_ZF369" localSheetId="5">RAROC!$AD$58+"CI6+318"+""+33+33+441+0+0+0+0+4+3+"-"+"+"+2.6+50+2</definedName>
    <definedName name="_ZF370" localSheetId="5">RAROC!$AE$58+"CI6+319"+""+33+33+441+0+0+0+0+4+3+"-"+"+"+2.6+50+2</definedName>
    <definedName name="_ZF371" localSheetId="5">RAROC!$AF$58+"CI6+320"+""+33+33+441+0+0+0+0+4+3+"-"+"+"+2.6+50+2</definedName>
    <definedName name="_ZF372" localSheetId="5">RAROC!$L$60+"CO6+300"+""+33+33+441+0+0+0+0+4+3+"-"+"+"+2.6+50+2</definedName>
    <definedName name="_ZF373" localSheetId="5">RAROC!$M$60+"CO6+301"+""+33+33+441+0+0+0+0+4+3+"-"+"+"+2.6+50+2</definedName>
    <definedName name="_ZF374" localSheetId="5">RAROC!$N$60+"CO6+302"+""+33+33+441+0+0+0+0+4+3+"-"+"+"+2.6+50+2</definedName>
    <definedName name="_ZF375" localSheetId="5">RAROC!$O$60+"CO6+303"+""+33+33+441+0+0+0+0+4+3+"-"+"+"+2.6+50+2</definedName>
    <definedName name="_ZF376" localSheetId="5">RAROC!$P$60+"CO6+304"+""+33+33+441+0+0+0+0+4+3+"-"+"+"+2.6+50+2</definedName>
    <definedName name="_ZF377" localSheetId="5">RAROC!$Q$60+"CO6+305"+""+33+33+441+0+0+0+0+4+3+"-"+"+"+2.6+50+2</definedName>
    <definedName name="_ZF378" localSheetId="5">RAROC!$R$60+"CO6+306"+""+33+33+441+0+0+0+0+4+3+"-"+"+"+2.6+50+2</definedName>
    <definedName name="_ZF379" localSheetId="5">RAROC!$S$60+"CO6+307"+""+33+33+441+0+0+0+0+4+3+"-"+"+"+2.6+50+2</definedName>
    <definedName name="_ZF380" localSheetId="5">RAROC!$T$60+"CO6+308"+""+33+33+441+0+0+0+0+4+3+"-"+"+"+2.6+50+2</definedName>
    <definedName name="_ZF381" localSheetId="5">RAROC!$U$60+"CO6+309"+""+33+33+441+0+0+0+0+4+3+"-"+"+"+2.6+50+2</definedName>
    <definedName name="_ZF382" localSheetId="5">RAROC!$V$60+"CO6+310"+""+33+33+441+0+0+0+0+4+3+"-"+"+"+2.6+50+2</definedName>
    <definedName name="_ZF383" localSheetId="5">RAROC!$W$60+"CO6+311"+""+33+33+441+0+0+0+0+4+3+"-"+"+"+2.6+50+2</definedName>
    <definedName name="_ZF384" localSheetId="5">RAROC!$X$60+"CO6+312"+""+33+33+441+0+0+0+0+4+3+"-"+"+"+2.6+50+2</definedName>
    <definedName name="_ZF385" localSheetId="5">RAROC!$Y$60+"CO6+313"+""+33+33+441+0+0+0+0+4+3+"-"+"+"+2.6+50+2</definedName>
    <definedName name="_ZF386" localSheetId="5">RAROC!$Z$60+"CO6+314"+""+33+33+441+0+0+0+0+4+3+"-"+"+"+2.6+50+2</definedName>
    <definedName name="_ZF387" localSheetId="5">RAROC!$AA$60+"CO6+315"+""+33+33+441+0+0+0+0+4+3+"-"+"+"+2.6+50+2</definedName>
    <definedName name="_ZF388" localSheetId="5">RAROC!$AB$60+"CO6+316"+""+33+33+441+0+0+0+0+4+3+"-"+"+"+2.6+50+2</definedName>
    <definedName name="_ZF389" localSheetId="5">RAROC!$AC$60+"CO6+317"+""+33+33+441+0+0+0+0+4+3+"-"+"+"+2.6+50+2</definedName>
    <definedName name="_ZF390" localSheetId="5">RAROC!$AD$60+"CO6+318"+""+33+33+441+0+0+0+0+4+3+"-"+"+"+2.6+50+2</definedName>
    <definedName name="_ZF391" localSheetId="5">RAROC!$AE$60+"CO6+319"+""+33+33+441+0+0+0+0+4+3+"-"+"+"+2.6+50+2</definedName>
    <definedName name="_ZF392" localSheetId="5">RAROC!$AF$60+"CO6+320"+""+33+33+441+0+0+0+0+4+3+"-"+"+"+2.6+50+2</definedName>
  </definedNames>
  <calcPr calcId="152511" fullCalcOnLoad="1"/>
</workbook>
</file>

<file path=xl/calcChain.xml><?xml version="1.0" encoding="utf-8"?>
<calcChain xmlns="http://schemas.openxmlformats.org/spreadsheetml/2006/main">
  <c r="D4" i="2" l="1"/>
  <c r="E4" i="2" s="1"/>
  <c r="C9" i="2"/>
  <c r="F13" i="2"/>
  <c r="F14" i="2" s="1"/>
  <c r="F18" i="2"/>
  <c r="D21" i="2"/>
  <c r="J23" i="2"/>
  <c r="K23" i="2"/>
  <c r="G25" i="2"/>
  <c r="G26" i="2"/>
  <c r="H26" i="2"/>
  <c r="I26" i="2"/>
  <c r="J26" i="2"/>
  <c r="G30" i="2"/>
  <c r="H30" i="2"/>
  <c r="I30" i="2"/>
  <c r="G31" i="2"/>
  <c r="H31" i="2"/>
  <c r="I31" i="2"/>
  <c r="J31" i="2"/>
  <c r="D38" i="2"/>
  <c r="N42" i="2"/>
  <c r="N43" i="2"/>
  <c r="G44" i="2"/>
  <c r="H51" i="2"/>
  <c r="M51" i="2"/>
  <c r="C67" i="2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D71" i="2"/>
  <c r="D72" i="2" s="1"/>
  <c r="D73" i="2" s="1"/>
  <c r="D74" i="2" s="1"/>
  <c r="D75" i="2" s="1"/>
  <c r="D76" i="2" s="1"/>
  <c r="D77" i="2" s="1"/>
  <c r="D78" i="2" s="1"/>
  <c r="D79" i="2"/>
  <c r="D80" i="2" s="1"/>
  <c r="D81" i="2" s="1"/>
  <c r="D82" i="2" s="1"/>
  <c r="D83" i="2" s="1"/>
  <c r="D84" i="2"/>
  <c r="D85" i="2" s="1"/>
  <c r="D86" i="2" s="1"/>
  <c r="N7" i="9"/>
  <c r="C8" i="9"/>
  <c r="D8" i="9"/>
  <c r="E8" i="9"/>
  <c r="F8" i="9"/>
  <c r="N8" i="9"/>
  <c r="C9" i="9"/>
  <c r="D9" i="9"/>
  <c r="E9" i="9"/>
  <c r="F9" i="9"/>
  <c r="N9" i="9"/>
  <c r="N10" i="9"/>
  <c r="N11" i="9"/>
  <c r="D20" i="9"/>
  <c r="N22" i="9" s="1"/>
  <c r="P23" i="9" s="1"/>
  <c r="I20" i="9"/>
  <c r="O22" i="9"/>
  <c r="R22" i="9"/>
  <c r="S22" i="9"/>
  <c r="T22" i="9"/>
  <c r="U22" i="9" s="1"/>
  <c r="V22" i="9" s="1"/>
  <c r="W22" i="9" s="1"/>
  <c r="X22" i="9" s="1"/>
  <c r="Y22" i="9" s="1"/>
  <c r="Z22" i="9" s="1"/>
  <c r="AA22" i="9" s="1"/>
  <c r="B23" i="9"/>
  <c r="D23" i="9"/>
  <c r="F23" i="9"/>
  <c r="I23" i="9"/>
  <c r="K23" i="9"/>
  <c r="Q23" i="9"/>
  <c r="B24" i="9"/>
  <c r="D24" i="9"/>
  <c r="F24" i="9"/>
  <c r="I24" i="9"/>
  <c r="K24" i="9"/>
  <c r="O24" i="9"/>
  <c r="P24" i="9"/>
  <c r="Q24" i="9"/>
  <c r="B25" i="9"/>
  <c r="D25" i="9"/>
  <c r="F25" i="9"/>
  <c r="I25" i="9"/>
  <c r="K25" i="9"/>
  <c r="M25" i="9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B26" i="9"/>
  <c r="D26" i="9"/>
  <c r="F26" i="9"/>
  <c r="I26" i="9"/>
  <c r="K26" i="9"/>
  <c r="B27" i="9"/>
  <c r="D27" i="9"/>
  <c r="F27" i="9"/>
  <c r="I27" i="9"/>
  <c r="K27" i="9"/>
  <c r="B28" i="9"/>
  <c r="D28" i="9"/>
  <c r="F28" i="9"/>
  <c r="I28" i="9"/>
  <c r="K28" i="9"/>
  <c r="B29" i="9"/>
  <c r="D29" i="9"/>
  <c r="F29" i="9"/>
  <c r="I29" i="9"/>
  <c r="K29" i="9"/>
  <c r="B30" i="9"/>
  <c r="D30" i="9"/>
  <c r="F30" i="9"/>
  <c r="I30" i="9"/>
  <c r="K30" i="9"/>
  <c r="B31" i="9"/>
  <c r="D31" i="9"/>
  <c r="F31" i="9"/>
  <c r="I31" i="9"/>
  <c r="K31" i="9"/>
  <c r="B32" i="9"/>
  <c r="D32" i="9"/>
  <c r="F32" i="9"/>
  <c r="F33" i="9" s="1"/>
  <c r="F34" i="9" s="1"/>
  <c r="F35" i="9" s="1"/>
  <c r="F36" i="9" s="1"/>
  <c r="F37" i="9" s="1"/>
  <c r="F38" i="9" s="1"/>
  <c r="F39" i="9" s="1"/>
  <c r="I32" i="9"/>
  <c r="K32" i="9"/>
  <c r="B33" i="9"/>
  <c r="D33" i="9"/>
  <c r="I33" i="9"/>
  <c r="K33" i="9"/>
  <c r="B34" i="9"/>
  <c r="D34" i="9"/>
  <c r="I34" i="9"/>
  <c r="K34" i="9"/>
  <c r="B35" i="9"/>
  <c r="D35" i="9"/>
  <c r="I35" i="9"/>
  <c r="K35" i="9"/>
  <c r="B36" i="9"/>
  <c r="D36" i="9"/>
  <c r="I36" i="9"/>
  <c r="K36" i="9"/>
  <c r="B37" i="9"/>
  <c r="D37" i="9"/>
  <c r="I37" i="9"/>
  <c r="K37" i="9"/>
  <c r="B38" i="9"/>
  <c r="D38" i="9"/>
  <c r="I38" i="9"/>
  <c r="K38" i="9"/>
  <c r="B39" i="9"/>
  <c r="D39" i="9"/>
  <c r="I39" i="9"/>
  <c r="K39" i="9"/>
  <c r="B40" i="9"/>
  <c r="D40" i="9"/>
  <c r="F40" i="9"/>
  <c r="I40" i="9"/>
  <c r="K40" i="9"/>
  <c r="B41" i="9"/>
  <c r="D41" i="9"/>
  <c r="I41" i="9"/>
  <c r="K41" i="9"/>
  <c r="B42" i="9"/>
  <c r="D42" i="9"/>
  <c r="I42" i="9"/>
  <c r="K42" i="9"/>
  <c r="B43" i="9"/>
  <c r="D43" i="9"/>
  <c r="I43" i="9"/>
  <c r="K43" i="9"/>
  <c r="B44" i="9"/>
  <c r="D44" i="9"/>
  <c r="I44" i="9"/>
  <c r="K44" i="9"/>
  <c r="B45" i="9"/>
  <c r="D45" i="9"/>
  <c r="I45" i="9"/>
  <c r="K45" i="9"/>
  <c r="B46" i="9"/>
  <c r="D46" i="9"/>
  <c r="I46" i="9"/>
  <c r="K46" i="9"/>
  <c r="B47" i="9"/>
  <c r="D47" i="9"/>
  <c r="I47" i="9"/>
  <c r="K47" i="9"/>
  <c r="B48" i="9"/>
  <c r="D48" i="9"/>
  <c r="I48" i="9"/>
  <c r="K48" i="9"/>
  <c r="B49" i="9"/>
  <c r="D49" i="9"/>
  <c r="I49" i="9"/>
  <c r="K49" i="9"/>
  <c r="B50" i="9"/>
  <c r="D50" i="9"/>
  <c r="I50" i="9"/>
  <c r="K50" i="9"/>
  <c r="B51" i="9"/>
  <c r="D51" i="9"/>
  <c r="I51" i="9"/>
  <c r="K51" i="9"/>
  <c r="B52" i="9"/>
  <c r="D52" i="9"/>
  <c r="I52" i="9"/>
  <c r="K52" i="9"/>
  <c r="B53" i="9"/>
  <c r="D53" i="9"/>
  <c r="I53" i="9"/>
  <c r="K53" i="9"/>
  <c r="K54" i="9" s="1"/>
  <c r="B54" i="9"/>
  <c r="D54" i="9"/>
  <c r="I54" i="9"/>
  <c r="B55" i="9"/>
  <c r="D55" i="9"/>
  <c r="I55" i="9"/>
  <c r="K55" i="9"/>
  <c r="K56" i="9" s="1"/>
  <c r="K57" i="9" s="1"/>
  <c r="K58" i="9" s="1"/>
  <c r="K59" i="9" s="1"/>
  <c r="B56" i="9"/>
  <c r="D56" i="9"/>
  <c r="I56" i="9"/>
  <c r="B57" i="9"/>
  <c r="D57" i="9"/>
  <c r="I57" i="9"/>
  <c r="B58" i="9"/>
  <c r="D58" i="9"/>
  <c r="I58" i="9"/>
  <c r="B59" i="9"/>
  <c r="D59" i="9"/>
  <c r="I59" i="9"/>
  <c r="B60" i="9"/>
  <c r="D60" i="9"/>
  <c r="I60" i="9"/>
  <c r="B61" i="9"/>
  <c r="D61" i="9"/>
  <c r="I61" i="9"/>
  <c r="B62" i="9"/>
  <c r="D62" i="9"/>
  <c r="I62" i="9"/>
  <c r="B63" i="9"/>
  <c r="D63" i="9"/>
  <c r="I63" i="9"/>
  <c r="B64" i="9"/>
  <c r="D64" i="9"/>
  <c r="I64" i="9"/>
  <c r="B65" i="9"/>
  <c r="D65" i="9"/>
  <c r="I65" i="9"/>
  <c r="B66" i="9"/>
  <c r="D66" i="9"/>
  <c r="I66" i="9"/>
  <c r="B67" i="9"/>
  <c r="D67" i="9"/>
  <c r="I67" i="9"/>
  <c r="B68" i="9"/>
  <c r="D68" i="9"/>
  <c r="I68" i="9"/>
  <c r="B69" i="9"/>
  <c r="D69" i="9"/>
  <c r="I69" i="9"/>
  <c r="B70" i="9"/>
  <c r="D70" i="9"/>
  <c r="I70" i="9"/>
  <c r="B71" i="9"/>
  <c r="D71" i="9"/>
  <c r="I71" i="9"/>
  <c r="B72" i="9"/>
  <c r="D72" i="9"/>
  <c r="I72" i="9"/>
  <c r="B73" i="9"/>
  <c r="D73" i="9"/>
  <c r="I73" i="9"/>
  <c r="B74" i="9"/>
  <c r="D74" i="9"/>
  <c r="I74" i="9"/>
  <c r="B75" i="9"/>
  <c r="D75" i="9"/>
  <c r="I75" i="9"/>
  <c r="B76" i="9"/>
  <c r="D76" i="9"/>
  <c r="I76" i="9"/>
  <c r="B77" i="9"/>
  <c r="D77" i="9"/>
  <c r="I77" i="9"/>
  <c r="B78" i="9"/>
  <c r="D78" i="9"/>
  <c r="I78" i="9"/>
  <c r="B79" i="9"/>
  <c r="D79" i="9"/>
  <c r="I79" i="9"/>
  <c r="B80" i="9"/>
  <c r="D80" i="9"/>
  <c r="I80" i="9"/>
  <c r="B81" i="9"/>
  <c r="D81" i="9"/>
  <c r="I81" i="9"/>
  <c r="B82" i="9"/>
  <c r="D82" i="9"/>
  <c r="I82" i="9"/>
  <c r="B83" i="9"/>
  <c r="D83" i="9"/>
  <c r="I83" i="9"/>
  <c r="B84" i="9"/>
  <c r="D84" i="9"/>
  <c r="I84" i="9"/>
  <c r="B85" i="9"/>
  <c r="D85" i="9"/>
  <c r="I85" i="9"/>
  <c r="B86" i="9"/>
  <c r="D86" i="9"/>
  <c r="I86" i="9"/>
  <c r="B87" i="9"/>
  <c r="D87" i="9"/>
  <c r="I87" i="9"/>
  <c r="B88" i="9"/>
  <c r="D88" i="9"/>
  <c r="I88" i="9"/>
  <c r="B89" i="9"/>
  <c r="D89" i="9"/>
  <c r="I89" i="9"/>
  <c r="B90" i="9"/>
  <c r="D90" i="9"/>
  <c r="I90" i="9"/>
  <c r="B91" i="9"/>
  <c r="D91" i="9"/>
  <c r="I91" i="9"/>
  <c r="B92" i="9"/>
  <c r="D92" i="9"/>
  <c r="I92" i="9"/>
  <c r="B93" i="9"/>
  <c r="D93" i="9"/>
  <c r="I93" i="9"/>
  <c r="B94" i="9"/>
  <c r="D94" i="9"/>
  <c r="I94" i="9"/>
  <c r="B95" i="9"/>
  <c r="D95" i="9"/>
  <c r="I95" i="9"/>
  <c r="B96" i="9"/>
  <c r="D96" i="9"/>
  <c r="I96" i="9"/>
  <c r="B97" i="9"/>
  <c r="D97" i="9"/>
  <c r="I97" i="9"/>
  <c r="B98" i="9"/>
  <c r="D98" i="9"/>
  <c r="I98" i="9"/>
  <c r="B99" i="9"/>
  <c r="D99" i="9"/>
  <c r="I99" i="9"/>
  <c r="B100" i="9"/>
  <c r="D100" i="9"/>
  <c r="I100" i="9"/>
  <c r="B101" i="9"/>
  <c r="D101" i="9"/>
  <c r="I101" i="9"/>
  <c r="B102" i="9"/>
  <c r="D102" i="9"/>
  <c r="I102" i="9"/>
  <c r="B103" i="9"/>
  <c r="D103" i="9"/>
  <c r="I103" i="9"/>
  <c r="B104" i="9"/>
  <c r="D104" i="9"/>
  <c r="I104" i="9"/>
  <c r="B105" i="9"/>
  <c r="D105" i="9"/>
  <c r="I105" i="9"/>
  <c r="B106" i="9"/>
  <c r="D106" i="9"/>
  <c r="I106" i="9"/>
  <c r="B107" i="9"/>
  <c r="D107" i="9"/>
  <c r="I107" i="9"/>
  <c r="B108" i="9"/>
  <c r="D108" i="9"/>
  <c r="I108" i="9"/>
  <c r="B109" i="9"/>
  <c r="D109" i="9"/>
  <c r="I109" i="9"/>
  <c r="B110" i="9"/>
  <c r="D110" i="9"/>
  <c r="I110" i="9"/>
  <c r="B111" i="9"/>
  <c r="D111" i="9"/>
  <c r="I111" i="9"/>
  <c r="B112" i="9"/>
  <c r="D112" i="9"/>
  <c r="I112" i="9"/>
  <c r="B113" i="9"/>
  <c r="D113" i="9"/>
  <c r="I113" i="9"/>
  <c r="B114" i="9"/>
  <c r="D114" i="9"/>
  <c r="I114" i="9"/>
  <c r="B115" i="9"/>
  <c r="D115" i="9"/>
  <c r="I115" i="9"/>
  <c r="B116" i="9"/>
  <c r="D116" i="9"/>
  <c r="I116" i="9"/>
  <c r="B117" i="9"/>
  <c r="D117" i="9"/>
  <c r="I117" i="9"/>
  <c r="B118" i="9"/>
  <c r="D118" i="9"/>
  <c r="I118" i="9"/>
  <c r="B119" i="9"/>
  <c r="D119" i="9"/>
  <c r="I119" i="9"/>
  <c r="B120" i="9"/>
  <c r="D120" i="9"/>
  <c r="I120" i="9"/>
  <c r="B121" i="9"/>
  <c r="D121" i="9"/>
  <c r="I121" i="9"/>
  <c r="B122" i="9"/>
  <c r="D122" i="9"/>
  <c r="I122" i="9"/>
  <c r="B123" i="9"/>
  <c r="D123" i="9"/>
  <c r="I123" i="9"/>
  <c r="B124" i="9"/>
  <c r="D124" i="9"/>
  <c r="I124" i="9"/>
  <c r="B125" i="9"/>
  <c r="D125" i="9"/>
  <c r="I125" i="9"/>
  <c r="B126" i="9"/>
  <c r="D126" i="9"/>
  <c r="I126" i="9"/>
  <c r="B127" i="9"/>
  <c r="D127" i="9"/>
  <c r="I127" i="9"/>
  <c r="B128" i="9"/>
  <c r="D128" i="9"/>
  <c r="I128" i="9"/>
  <c r="B129" i="9"/>
  <c r="D129" i="9"/>
  <c r="I129" i="9"/>
  <c r="B130" i="9"/>
  <c r="D130" i="9"/>
  <c r="I130" i="9"/>
  <c r="B131" i="9"/>
  <c r="D131" i="9"/>
  <c r="I131" i="9"/>
  <c r="B132" i="9"/>
  <c r="D132" i="9"/>
  <c r="I132" i="9"/>
  <c r="B133" i="9"/>
  <c r="D133" i="9"/>
  <c r="I133" i="9"/>
  <c r="B134" i="9"/>
  <c r="D134" i="9"/>
  <c r="I134" i="9"/>
  <c r="B135" i="9"/>
  <c r="D135" i="9"/>
  <c r="I135" i="9"/>
  <c r="B136" i="9"/>
  <c r="D136" i="9"/>
  <c r="I136" i="9"/>
  <c r="B137" i="9"/>
  <c r="D137" i="9"/>
  <c r="I137" i="9"/>
  <c r="B138" i="9"/>
  <c r="D138" i="9"/>
  <c r="I138" i="9"/>
  <c r="B139" i="9"/>
  <c r="D139" i="9"/>
  <c r="I139" i="9"/>
  <c r="B140" i="9"/>
  <c r="D140" i="9"/>
  <c r="I140" i="9"/>
  <c r="B141" i="9"/>
  <c r="D141" i="9"/>
  <c r="I141" i="9"/>
  <c r="B142" i="9"/>
  <c r="D142" i="9"/>
  <c r="I142" i="9"/>
  <c r="B143" i="9"/>
  <c r="D143" i="9"/>
  <c r="I143" i="9"/>
  <c r="B144" i="9"/>
  <c r="D144" i="9"/>
  <c r="I144" i="9"/>
  <c r="B145" i="9"/>
  <c r="D145" i="9"/>
  <c r="I145" i="9"/>
  <c r="B146" i="9"/>
  <c r="D146" i="9"/>
  <c r="I146" i="9"/>
  <c r="B147" i="9"/>
  <c r="D147" i="9"/>
  <c r="I147" i="9"/>
  <c r="B148" i="9"/>
  <c r="D148" i="9"/>
  <c r="I148" i="9"/>
  <c r="B149" i="9"/>
  <c r="D149" i="9"/>
  <c r="I149" i="9"/>
  <c r="B150" i="9"/>
  <c r="D150" i="9"/>
  <c r="I150" i="9"/>
  <c r="B151" i="9"/>
  <c r="D151" i="9"/>
  <c r="I151" i="9"/>
  <c r="B152" i="9"/>
  <c r="D152" i="9"/>
  <c r="I152" i="9"/>
  <c r="B153" i="9"/>
  <c r="D153" i="9"/>
  <c r="I153" i="9"/>
  <c r="B154" i="9"/>
  <c r="D154" i="9"/>
  <c r="I154" i="9"/>
  <c r="B155" i="9"/>
  <c r="D155" i="9"/>
  <c r="I155" i="9"/>
  <c r="B156" i="9"/>
  <c r="D156" i="9"/>
  <c r="I156" i="9"/>
  <c r="B157" i="9"/>
  <c r="D157" i="9"/>
  <c r="I157" i="9"/>
  <c r="B158" i="9"/>
  <c r="D158" i="9"/>
  <c r="I158" i="9"/>
  <c r="B159" i="9"/>
  <c r="D159" i="9"/>
  <c r="I159" i="9"/>
  <c r="B160" i="9"/>
  <c r="D160" i="9"/>
  <c r="I160" i="9"/>
  <c r="B161" i="9"/>
  <c r="D161" i="9"/>
  <c r="I161" i="9"/>
  <c r="B162" i="9"/>
  <c r="D162" i="9"/>
  <c r="I162" i="9"/>
  <c r="B163" i="9"/>
  <c r="D163" i="9"/>
  <c r="I163" i="9"/>
  <c r="B164" i="9"/>
  <c r="D164" i="9"/>
  <c r="I164" i="9"/>
  <c r="B165" i="9"/>
  <c r="D165" i="9"/>
  <c r="I165" i="9"/>
  <c r="B166" i="9"/>
  <c r="D166" i="9"/>
  <c r="I166" i="9"/>
  <c r="B167" i="9"/>
  <c r="D167" i="9"/>
  <c r="I167" i="9"/>
  <c r="B168" i="9"/>
  <c r="D168" i="9"/>
  <c r="I168" i="9"/>
  <c r="B169" i="9"/>
  <c r="D169" i="9"/>
  <c r="I169" i="9"/>
  <c r="B170" i="9"/>
  <c r="D170" i="9"/>
  <c r="I170" i="9"/>
  <c r="B171" i="9"/>
  <c r="D171" i="9"/>
  <c r="I171" i="9"/>
  <c r="B172" i="9"/>
  <c r="D172" i="9"/>
  <c r="I172" i="9"/>
  <c r="B173" i="9"/>
  <c r="D173" i="9"/>
  <c r="I173" i="9"/>
  <c r="B174" i="9"/>
  <c r="D174" i="9"/>
  <c r="I174" i="9"/>
  <c r="B175" i="9"/>
  <c r="D175" i="9"/>
  <c r="I175" i="9"/>
  <c r="B176" i="9"/>
  <c r="D176" i="9"/>
  <c r="I176" i="9"/>
  <c r="B177" i="9"/>
  <c r="D177" i="9"/>
  <c r="I177" i="9"/>
  <c r="B178" i="9"/>
  <c r="D178" i="9"/>
  <c r="I178" i="9"/>
  <c r="B179" i="9"/>
  <c r="D179" i="9"/>
  <c r="I179" i="9"/>
  <c r="B180" i="9"/>
  <c r="D180" i="9"/>
  <c r="I180" i="9"/>
  <c r="B181" i="9"/>
  <c r="D181" i="9"/>
  <c r="I181" i="9"/>
  <c r="B182" i="9"/>
  <c r="D182" i="9"/>
  <c r="I182" i="9"/>
  <c r="B183" i="9"/>
  <c r="D183" i="9"/>
  <c r="I183" i="9"/>
  <c r="B184" i="9"/>
  <c r="D184" i="9"/>
  <c r="I184" i="9"/>
  <c r="B185" i="9"/>
  <c r="D185" i="9"/>
  <c r="I185" i="9"/>
  <c r="B186" i="9"/>
  <c r="D186" i="9"/>
  <c r="I186" i="9"/>
  <c r="B187" i="9"/>
  <c r="D187" i="9"/>
  <c r="I187" i="9"/>
  <c r="B188" i="9"/>
  <c r="D188" i="9"/>
  <c r="I188" i="9"/>
  <c r="B189" i="9"/>
  <c r="D189" i="9"/>
  <c r="I189" i="9"/>
  <c r="B190" i="9"/>
  <c r="D190" i="9"/>
  <c r="I190" i="9"/>
  <c r="B191" i="9"/>
  <c r="D191" i="9"/>
  <c r="I191" i="9"/>
  <c r="B192" i="9"/>
  <c r="D192" i="9"/>
  <c r="I192" i="9"/>
  <c r="B193" i="9"/>
  <c r="D193" i="9"/>
  <c r="I193" i="9"/>
  <c r="B194" i="9"/>
  <c r="D194" i="9"/>
  <c r="I194" i="9"/>
  <c r="B195" i="9"/>
  <c r="D195" i="9"/>
  <c r="I195" i="9"/>
  <c r="B196" i="9"/>
  <c r="D196" i="9"/>
  <c r="I196" i="9"/>
  <c r="B197" i="9"/>
  <c r="D197" i="9"/>
  <c r="I197" i="9"/>
  <c r="B198" i="9"/>
  <c r="D198" i="9"/>
  <c r="I198" i="9"/>
  <c r="B199" i="9"/>
  <c r="D199" i="9"/>
  <c r="I199" i="9"/>
  <c r="B200" i="9"/>
  <c r="D200" i="9"/>
  <c r="I200" i="9"/>
  <c r="B201" i="9"/>
  <c r="D201" i="9"/>
  <c r="I201" i="9"/>
  <c r="B202" i="9"/>
  <c r="D202" i="9"/>
  <c r="I202" i="9"/>
  <c r="B203" i="9"/>
  <c r="D203" i="9"/>
  <c r="I203" i="9"/>
  <c r="B204" i="9"/>
  <c r="D204" i="9"/>
  <c r="I204" i="9"/>
  <c r="B205" i="9"/>
  <c r="D205" i="9"/>
  <c r="I205" i="9"/>
  <c r="B206" i="9"/>
  <c r="D206" i="9"/>
  <c r="I206" i="9"/>
  <c r="B207" i="9"/>
  <c r="D207" i="9"/>
  <c r="I207" i="9"/>
  <c r="B208" i="9"/>
  <c r="D208" i="9"/>
  <c r="I208" i="9"/>
  <c r="B209" i="9"/>
  <c r="D209" i="9"/>
  <c r="I209" i="9"/>
  <c r="B210" i="9"/>
  <c r="D210" i="9"/>
  <c r="I210" i="9"/>
  <c r="B211" i="9"/>
  <c r="D211" i="9"/>
  <c r="I211" i="9"/>
  <c r="B212" i="9"/>
  <c r="D212" i="9"/>
  <c r="I212" i="9"/>
  <c r="B213" i="9"/>
  <c r="D213" i="9"/>
  <c r="I213" i="9"/>
  <c r="B214" i="9"/>
  <c r="D214" i="9"/>
  <c r="I214" i="9"/>
  <c r="B215" i="9"/>
  <c r="D215" i="9"/>
  <c r="I215" i="9"/>
  <c r="B216" i="9"/>
  <c r="D216" i="9"/>
  <c r="I216" i="9"/>
  <c r="B217" i="9"/>
  <c r="D217" i="9"/>
  <c r="I217" i="9"/>
  <c r="B218" i="9"/>
  <c r="D218" i="9"/>
  <c r="I218" i="9"/>
  <c r="B219" i="9"/>
  <c r="D219" i="9"/>
  <c r="I219" i="9"/>
  <c r="B220" i="9"/>
  <c r="D220" i="9"/>
  <c r="I220" i="9"/>
  <c r="B221" i="9"/>
  <c r="D221" i="9"/>
  <c r="I221" i="9"/>
  <c r="B222" i="9"/>
  <c r="D222" i="9"/>
  <c r="I222" i="9"/>
  <c r="B223" i="9"/>
  <c r="D223" i="9"/>
  <c r="I223" i="9"/>
  <c r="B224" i="9"/>
  <c r="D224" i="9"/>
  <c r="I224" i="9"/>
  <c r="B225" i="9"/>
  <c r="D225" i="9"/>
  <c r="I225" i="9"/>
  <c r="B226" i="9"/>
  <c r="D226" i="9"/>
  <c r="I226" i="9"/>
  <c r="B227" i="9"/>
  <c r="D227" i="9"/>
  <c r="I227" i="9"/>
  <c r="B228" i="9"/>
  <c r="D228" i="9"/>
  <c r="I228" i="9"/>
  <c r="B229" i="9"/>
  <c r="D229" i="9"/>
  <c r="I229" i="9"/>
  <c r="B230" i="9"/>
  <c r="D230" i="9"/>
  <c r="I230" i="9"/>
  <c r="B231" i="9"/>
  <c r="D231" i="9"/>
  <c r="I231" i="9"/>
  <c r="B232" i="9"/>
  <c r="D232" i="9"/>
  <c r="I232" i="9"/>
  <c r="B233" i="9"/>
  <c r="D233" i="9"/>
  <c r="I233" i="9"/>
  <c r="B234" i="9"/>
  <c r="D234" i="9"/>
  <c r="I234" i="9"/>
  <c r="B235" i="9"/>
  <c r="D235" i="9"/>
  <c r="I235" i="9"/>
  <c r="B236" i="9"/>
  <c r="D236" i="9"/>
  <c r="I236" i="9"/>
  <c r="B237" i="9"/>
  <c r="D237" i="9"/>
  <c r="I237" i="9"/>
  <c r="B238" i="9"/>
  <c r="D238" i="9"/>
  <c r="I238" i="9"/>
  <c r="B239" i="9"/>
  <c r="D239" i="9"/>
  <c r="I239" i="9"/>
  <c r="B240" i="9"/>
  <c r="D240" i="9"/>
  <c r="I240" i="9"/>
  <c r="B241" i="9"/>
  <c r="D241" i="9"/>
  <c r="I241" i="9"/>
  <c r="B242" i="9"/>
  <c r="D242" i="9"/>
  <c r="I242" i="9"/>
  <c r="B243" i="9"/>
  <c r="D243" i="9"/>
  <c r="I243" i="9"/>
  <c r="B244" i="9"/>
  <c r="D244" i="9"/>
  <c r="I244" i="9"/>
  <c r="B245" i="9"/>
  <c r="D245" i="9"/>
  <c r="I245" i="9"/>
  <c r="B246" i="9"/>
  <c r="D246" i="9"/>
  <c r="I246" i="9"/>
  <c r="B247" i="9"/>
  <c r="D247" i="9"/>
  <c r="I247" i="9"/>
  <c r="B248" i="9"/>
  <c r="D248" i="9"/>
  <c r="I248" i="9"/>
  <c r="B249" i="9"/>
  <c r="D249" i="9"/>
  <c r="I249" i="9"/>
  <c r="B250" i="9"/>
  <c r="D250" i="9"/>
  <c r="I250" i="9"/>
  <c r="B251" i="9"/>
  <c r="D251" i="9"/>
  <c r="I251" i="9"/>
  <c r="B252" i="9"/>
  <c r="D252" i="9"/>
  <c r="I252" i="9"/>
  <c r="B253" i="9"/>
  <c r="D253" i="9"/>
  <c r="I253" i="9"/>
  <c r="B254" i="9"/>
  <c r="D254" i="9"/>
  <c r="I254" i="9"/>
  <c r="B255" i="9"/>
  <c r="D255" i="9"/>
  <c r="I255" i="9"/>
  <c r="B256" i="9"/>
  <c r="D256" i="9"/>
  <c r="G256" i="9"/>
  <c r="I256" i="9"/>
  <c r="B257" i="9"/>
  <c r="D257" i="9"/>
  <c r="I257" i="9"/>
  <c r="B258" i="9"/>
  <c r="D258" i="9"/>
  <c r="I258" i="9"/>
  <c r="B259" i="9"/>
  <c r="D259" i="9"/>
  <c r="I259" i="9"/>
  <c r="B260" i="9"/>
  <c r="D260" i="9"/>
  <c r="I260" i="9"/>
  <c r="B261" i="9"/>
  <c r="D261" i="9"/>
  <c r="I261" i="9"/>
  <c r="B262" i="9"/>
  <c r="D262" i="9"/>
  <c r="I262" i="9"/>
  <c r="B263" i="9"/>
  <c r="D263" i="9"/>
  <c r="I263" i="9"/>
  <c r="B264" i="9"/>
  <c r="D264" i="9"/>
  <c r="I264" i="9"/>
  <c r="B265" i="9"/>
  <c r="D265" i="9"/>
  <c r="I265" i="9"/>
  <c r="B266" i="9"/>
  <c r="D266" i="9"/>
  <c r="I266" i="9"/>
  <c r="B267" i="9"/>
  <c r="D267" i="9"/>
  <c r="I267" i="9"/>
  <c r="B268" i="9"/>
  <c r="D268" i="9"/>
  <c r="I268" i="9"/>
  <c r="B269" i="9"/>
  <c r="D269" i="9"/>
  <c r="I269" i="9"/>
  <c r="B270" i="9"/>
  <c r="D270" i="9"/>
  <c r="I270" i="9"/>
  <c r="B271" i="9"/>
  <c r="D271" i="9"/>
  <c r="I271" i="9"/>
  <c r="B272" i="9"/>
  <c r="D272" i="9"/>
  <c r="I272" i="9"/>
  <c r="B273" i="9"/>
  <c r="D273" i="9"/>
  <c r="I273" i="9"/>
  <c r="B274" i="9"/>
  <c r="D274" i="9"/>
  <c r="I274" i="9"/>
  <c r="B275" i="9"/>
  <c r="D275" i="9"/>
  <c r="I275" i="9"/>
  <c r="B276" i="9"/>
  <c r="D276" i="9"/>
  <c r="I276" i="9"/>
  <c r="B277" i="9"/>
  <c r="D277" i="9"/>
  <c r="I277" i="9"/>
  <c r="B278" i="9"/>
  <c r="D278" i="9"/>
  <c r="I278" i="9"/>
  <c r="B279" i="9"/>
  <c r="D279" i="9"/>
  <c r="I279" i="9"/>
  <c r="B280" i="9"/>
  <c r="D280" i="9"/>
  <c r="I280" i="9"/>
  <c r="B281" i="9"/>
  <c r="D281" i="9"/>
  <c r="I281" i="9"/>
  <c r="B282" i="9"/>
  <c r="D282" i="9"/>
  <c r="I282" i="9"/>
  <c r="B283" i="9"/>
  <c r="D283" i="9"/>
  <c r="I283" i="9"/>
  <c r="B284" i="9"/>
  <c r="D284" i="9"/>
  <c r="I284" i="9"/>
  <c r="B285" i="9"/>
  <c r="D285" i="9"/>
  <c r="I285" i="9"/>
  <c r="B286" i="9"/>
  <c r="D286" i="9"/>
  <c r="I286" i="9"/>
  <c r="B287" i="9"/>
  <c r="D287" i="9"/>
  <c r="B288" i="9"/>
  <c r="D288" i="9"/>
  <c r="B289" i="9"/>
  <c r="D289" i="9"/>
  <c r="B290" i="9"/>
  <c r="D290" i="9"/>
  <c r="B291" i="9"/>
  <c r="D291" i="9"/>
  <c r="B292" i="9"/>
  <c r="D292" i="9"/>
  <c r="B293" i="9"/>
  <c r="D293" i="9"/>
  <c r="B294" i="9"/>
  <c r="D294" i="9"/>
  <c r="B295" i="9"/>
  <c r="D295" i="9"/>
  <c r="B296" i="9"/>
  <c r="D296" i="9"/>
  <c r="B297" i="9"/>
  <c r="D297" i="9"/>
  <c r="B298" i="9"/>
  <c r="D298" i="9"/>
  <c r="B299" i="9"/>
  <c r="D299" i="9"/>
  <c r="B300" i="9"/>
  <c r="D300" i="9"/>
  <c r="B301" i="9"/>
  <c r="D301" i="9"/>
  <c r="B302" i="9"/>
  <c r="D302" i="9"/>
  <c r="B303" i="9"/>
  <c r="D303" i="9"/>
  <c r="B304" i="9"/>
  <c r="D304" i="9"/>
  <c r="B305" i="9"/>
  <c r="D305" i="9"/>
  <c r="B306" i="9"/>
  <c r="D306" i="9"/>
  <c r="B307" i="9"/>
  <c r="D307" i="9"/>
  <c r="B308" i="9"/>
  <c r="D308" i="9"/>
  <c r="B309" i="9"/>
  <c r="D309" i="9"/>
  <c r="B310" i="9"/>
  <c r="D310" i="9"/>
  <c r="B311" i="9"/>
  <c r="D311" i="9"/>
  <c r="B312" i="9"/>
  <c r="D312" i="9"/>
  <c r="B313" i="9"/>
  <c r="D313" i="9"/>
  <c r="B314" i="9"/>
  <c r="D314" i="9"/>
  <c r="B315" i="9"/>
  <c r="D315" i="9"/>
  <c r="B316" i="9"/>
  <c r="D316" i="9"/>
  <c r="B317" i="9"/>
  <c r="D317" i="9"/>
  <c r="B318" i="9"/>
  <c r="D318" i="9"/>
  <c r="B319" i="9"/>
  <c r="D319" i="9"/>
  <c r="B320" i="9"/>
  <c r="D320" i="9"/>
  <c r="B321" i="9"/>
  <c r="D321" i="9"/>
  <c r="B322" i="9"/>
  <c r="D322" i="9"/>
  <c r="B323" i="9"/>
  <c r="D323" i="9"/>
  <c r="B324" i="9"/>
  <c r="D324" i="9"/>
  <c r="B325" i="9"/>
  <c r="D325" i="9"/>
  <c r="B326" i="9"/>
  <c r="D326" i="9"/>
  <c r="B327" i="9"/>
  <c r="D327" i="9"/>
  <c r="B328" i="9"/>
  <c r="D328" i="9"/>
  <c r="B329" i="9"/>
  <c r="D329" i="9"/>
  <c r="B330" i="9"/>
  <c r="D330" i="9"/>
  <c r="B331" i="9"/>
  <c r="D331" i="9"/>
  <c r="B332" i="9"/>
  <c r="D332" i="9"/>
  <c r="B333" i="9"/>
  <c r="D333" i="9"/>
  <c r="B334" i="9"/>
  <c r="D334" i="9"/>
  <c r="B335" i="9"/>
  <c r="D335" i="9"/>
  <c r="B336" i="9"/>
  <c r="D336" i="9"/>
  <c r="B337" i="9"/>
  <c r="D337" i="9"/>
  <c r="B338" i="9"/>
  <c r="D338" i="9"/>
  <c r="B339" i="9"/>
  <c r="D339" i="9"/>
  <c r="B340" i="9"/>
  <c r="D340" i="9"/>
  <c r="B341" i="9"/>
  <c r="D341" i="9"/>
  <c r="B342" i="9"/>
  <c r="D342" i="9"/>
  <c r="B343" i="9"/>
  <c r="D343" i="9"/>
  <c r="B344" i="9"/>
  <c r="D344" i="9"/>
  <c r="B345" i="9"/>
  <c r="D345" i="9"/>
  <c r="B346" i="9"/>
  <c r="D346" i="9"/>
  <c r="B347" i="9"/>
  <c r="D347" i="9"/>
  <c r="B348" i="9"/>
  <c r="D348" i="9"/>
  <c r="B349" i="9"/>
  <c r="D349" i="9"/>
  <c r="B350" i="9"/>
  <c r="D350" i="9"/>
  <c r="B351" i="9"/>
  <c r="D351" i="9"/>
  <c r="B352" i="9"/>
  <c r="D352" i="9"/>
  <c r="B353" i="9"/>
  <c r="D353" i="9"/>
  <c r="B354" i="9"/>
  <c r="D354" i="9"/>
  <c r="B355" i="9"/>
  <c r="D355" i="9"/>
  <c r="B356" i="9"/>
  <c r="D356" i="9"/>
  <c r="B357" i="9"/>
  <c r="D357" i="9"/>
  <c r="B358" i="9"/>
  <c r="D358" i="9"/>
  <c r="B359" i="9"/>
  <c r="D359" i="9"/>
  <c r="B360" i="9"/>
  <c r="D360" i="9"/>
  <c r="B361" i="9"/>
  <c r="D361" i="9"/>
  <c r="B362" i="9"/>
  <c r="D362" i="9"/>
  <c r="B363" i="9"/>
  <c r="D363" i="9"/>
  <c r="E4" i="5"/>
  <c r="G5" i="5"/>
  <c r="H5" i="5"/>
  <c r="F6" i="5"/>
  <c r="G6" i="5"/>
  <c r="G7" i="5" s="1"/>
  <c r="F7" i="5"/>
  <c r="L8" i="5" s="1"/>
  <c r="I8" i="5"/>
  <c r="M8" i="5"/>
  <c r="Q8" i="5"/>
  <c r="U8" i="5"/>
  <c r="G10" i="5"/>
  <c r="F11" i="5"/>
  <c r="G11" i="5"/>
  <c r="H11" i="5"/>
  <c r="I11" i="5"/>
  <c r="J11" i="5"/>
  <c r="J15" i="5" s="1"/>
  <c r="K11" i="5"/>
  <c r="K8" i="5" s="1"/>
  <c r="L11" i="5"/>
  <c r="M11" i="5"/>
  <c r="N11" i="5"/>
  <c r="N15" i="5" s="1"/>
  <c r="O11" i="5"/>
  <c r="P11" i="5"/>
  <c r="Q11" i="5"/>
  <c r="R11" i="5"/>
  <c r="R15" i="5" s="1"/>
  <c r="S11" i="5"/>
  <c r="S15" i="5" s="1"/>
  <c r="T11" i="5"/>
  <c r="U11" i="5"/>
  <c r="V11" i="5"/>
  <c r="V15" i="5" s="1"/>
  <c r="W11" i="5"/>
  <c r="X11" i="5"/>
  <c r="Y11" i="5"/>
  <c r="F12" i="5"/>
  <c r="F16" i="5" s="1"/>
  <c r="G12" i="5"/>
  <c r="G16" i="5" s="1"/>
  <c r="H12" i="5"/>
  <c r="I12" i="5"/>
  <c r="J12" i="5"/>
  <c r="K12" i="5"/>
  <c r="L12" i="5"/>
  <c r="L16" i="5" s="1"/>
  <c r="M12" i="5"/>
  <c r="N12" i="5"/>
  <c r="N16" i="5" s="1"/>
  <c r="O12" i="5"/>
  <c r="O16" i="5" s="1"/>
  <c r="P12" i="5"/>
  <c r="Q12" i="5"/>
  <c r="R12" i="5"/>
  <c r="R16" i="5" s="1"/>
  <c r="R18" i="5" s="1"/>
  <c r="S12" i="5"/>
  <c r="T12" i="5"/>
  <c r="U12" i="5"/>
  <c r="V12" i="5"/>
  <c r="W12" i="5"/>
  <c r="X12" i="5"/>
  <c r="Y12" i="5"/>
  <c r="F14" i="5"/>
  <c r="F15" i="5"/>
  <c r="M15" i="5"/>
  <c r="O15" i="5"/>
  <c r="Q15" i="5"/>
  <c r="Q17" i="5" s="1"/>
  <c r="Y15" i="5"/>
  <c r="H16" i="5"/>
  <c r="I16" i="5"/>
  <c r="J16" i="5"/>
  <c r="Q16" i="5"/>
  <c r="T16" i="5"/>
  <c r="V16" i="5"/>
  <c r="X16" i="5"/>
  <c r="O17" i="5"/>
  <c r="Q18" i="5"/>
  <c r="G20" i="5"/>
  <c r="H20" i="5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X24" i="5" s="1"/>
  <c r="Y21" i="5"/>
  <c r="Z21" i="5"/>
  <c r="X22" i="5"/>
  <c r="Y22" i="5"/>
  <c r="Y24" i="5" s="1"/>
  <c r="Z22" i="5"/>
  <c r="F24" i="5"/>
  <c r="G24" i="5"/>
  <c r="H24" i="5"/>
  <c r="I24" i="5"/>
  <c r="J24" i="5"/>
  <c r="K24" i="5"/>
  <c r="Z24" i="5"/>
  <c r="D27" i="5"/>
  <c r="D4" i="5" s="1"/>
  <c r="E27" i="5"/>
  <c r="F27" i="5"/>
  <c r="F4" i="5" s="1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D42" i="5"/>
  <c r="D43" i="5"/>
  <c r="AA51" i="5"/>
  <c r="D54" i="5"/>
  <c r="E54" i="5"/>
  <c r="E58" i="5" s="1"/>
  <c r="E163" i="5" s="1"/>
  <c r="F54" i="5"/>
  <c r="AA54" i="5"/>
  <c r="D55" i="5"/>
  <c r="E55" i="5"/>
  <c r="F55" i="5"/>
  <c r="AA55" i="5"/>
  <c r="D56" i="5"/>
  <c r="E56" i="5"/>
  <c r="F56" i="5"/>
  <c r="AA56" i="5"/>
  <c r="D58" i="5"/>
  <c r="D63" i="5"/>
  <c r="E63" i="5"/>
  <c r="D64" i="5"/>
  <c r="E64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D70" i="5"/>
  <c r="D71" i="5"/>
  <c r="D125" i="5" s="1"/>
  <c r="D73" i="5"/>
  <c r="D126" i="5" s="1"/>
  <c r="E73" i="5"/>
  <c r="F73" i="5"/>
  <c r="G73" i="5"/>
  <c r="H73" i="5"/>
  <c r="I73" i="5"/>
  <c r="I126" i="5" s="1"/>
  <c r="J73" i="5"/>
  <c r="K73" i="5"/>
  <c r="L73" i="5"/>
  <c r="L126" i="5" s="1"/>
  <c r="M73" i="5"/>
  <c r="N73" i="5"/>
  <c r="O73" i="5"/>
  <c r="P73" i="5"/>
  <c r="Q73" i="5"/>
  <c r="R73" i="5"/>
  <c r="S73" i="5"/>
  <c r="T73" i="5"/>
  <c r="T126" i="5" s="1"/>
  <c r="U73" i="5"/>
  <c r="V73" i="5"/>
  <c r="W73" i="5"/>
  <c r="X73" i="5"/>
  <c r="Y73" i="5"/>
  <c r="Y126" i="5" s="1"/>
  <c r="Z73" i="5"/>
  <c r="AA73" i="5"/>
  <c r="F77" i="5"/>
  <c r="F144" i="5" s="1"/>
  <c r="J77" i="5"/>
  <c r="M77" i="5"/>
  <c r="N77" i="5"/>
  <c r="O77" i="5"/>
  <c r="Q77" i="5"/>
  <c r="R77" i="5"/>
  <c r="V77" i="5"/>
  <c r="Y77" i="5"/>
  <c r="AA77" i="5"/>
  <c r="F78" i="5"/>
  <c r="J78" i="5"/>
  <c r="M78" i="5"/>
  <c r="N78" i="5"/>
  <c r="O78" i="5"/>
  <c r="Q78" i="5"/>
  <c r="R78" i="5"/>
  <c r="V78" i="5"/>
  <c r="Y78" i="5"/>
  <c r="AA78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H89" i="5"/>
  <c r="H90" i="5"/>
  <c r="H91" i="5"/>
  <c r="C93" i="5"/>
  <c r="C94" i="5"/>
  <c r="C95" i="5" s="1"/>
  <c r="F99" i="5"/>
  <c r="G99" i="5"/>
  <c r="H99" i="5"/>
  <c r="I99" i="5"/>
  <c r="X99" i="5"/>
  <c r="AA99" i="5"/>
  <c r="F100" i="5"/>
  <c r="G100" i="5"/>
  <c r="H100" i="5"/>
  <c r="I100" i="5"/>
  <c r="L100" i="5"/>
  <c r="N100" i="5"/>
  <c r="O100" i="5"/>
  <c r="Q100" i="5"/>
  <c r="R100" i="5"/>
  <c r="T100" i="5"/>
  <c r="V100" i="5"/>
  <c r="X100" i="5"/>
  <c r="AA100" i="5"/>
  <c r="F101" i="5"/>
  <c r="G101" i="5"/>
  <c r="H101" i="5"/>
  <c r="I101" i="5"/>
  <c r="J101" i="5"/>
  <c r="K101" i="5"/>
  <c r="X101" i="5"/>
  <c r="Y101" i="5"/>
  <c r="Z101" i="5"/>
  <c r="AA101" i="5"/>
  <c r="E104" i="5"/>
  <c r="F104" i="5"/>
  <c r="H104" i="5"/>
  <c r="J104" i="5"/>
  <c r="M104" i="5"/>
  <c r="N104" i="5"/>
  <c r="R104" i="5"/>
  <c r="U104" i="5"/>
  <c r="V104" i="5"/>
  <c r="X104" i="5"/>
  <c r="Z104" i="5"/>
  <c r="H105" i="5"/>
  <c r="H106" i="5"/>
  <c r="F110" i="5"/>
  <c r="H110" i="5"/>
  <c r="I110" i="5" s="1"/>
  <c r="J110" i="5"/>
  <c r="M110" i="5"/>
  <c r="N110" i="5"/>
  <c r="R110" i="5"/>
  <c r="U110" i="5"/>
  <c r="X110" i="5"/>
  <c r="Y110" i="5"/>
  <c r="Z110" i="5"/>
  <c r="H111" i="5"/>
  <c r="H112" i="5"/>
  <c r="H113" i="5"/>
  <c r="C115" i="5"/>
  <c r="C116" i="5"/>
  <c r="C117" i="5"/>
  <c r="D123" i="5"/>
  <c r="E123" i="5"/>
  <c r="AA123" i="5"/>
  <c r="E126" i="5"/>
  <c r="F126" i="5"/>
  <c r="G126" i="5"/>
  <c r="H126" i="5"/>
  <c r="J126" i="5"/>
  <c r="K126" i="5"/>
  <c r="M126" i="5"/>
  <c r="N126" i="5"/>
  <c r="O126" i="5"/>
  <c r="P126" i="5"/>
  <c r="Q126" i="5"/>
  <c r="R126" i="5"/>
  <c r="S126" i="5"/>
  <c r="U126" i="5"/>
  <c r="V126" i="5"/>
  <c r="W126" i="5"/>
  <c r="X126" i="5"/>
  <c r="Z126" i="5"/>
  <c r="AA126" i="5"/>
  <c r="D141" i="5"/>
  <c r="E141" i="5"/>
  <c r="F141" i="5"/>
  <c r="D144" i="5"/>
  <c r="E144" i="5"/>
  <c r="J144" i="5"/>
  <c r="M144" i="5"/>
  <c r="N144" i="5"/>
  <c r="O144" i="5"/>
  <c r="Q144" i="5"/>
  <c r="R144" i="5"/>
  <c r="V144" i="5"/>
  <c r="Y144" i="5"/>
  <c r="AA144" i="5"/>
  <c r="D145" i="5"/>
  <c r="E145" i="5"/>
  <c r="F145" i="5"/>
  <c r="G145" i="5"/>
  <c r="H145" i="5"/>
  <c r="I145" i="5"/>
  <c r="X145" i="5"/>
  <c r="AA145" i="5"/>
  <c r="D146" i="5"/>
  <c r="E146" i="5"/>
  <c r="F146" i="5"/>
  <c r="AA146" i="5"/>
  <c r="D157" i="5"/>
  <c r="E157" i="5"/>
  <c r="D161" i="5"/>
  <c r="E161" i="5"/>
  <c r="D163" i="5"/>
  <c r="D183" i="5"/>
  <c r="E183" i="5"/>
  <c r="D189" i="5"/>
  <c r="D200" i="5" s="1"/>
  <c r="E189" i="5"/>
  <c r="E204" i="5" s="1"/>
  <c r="D190" i="5"/>
  <c r="E190" i="5"/>
  <c r="D192" i="5"/>
  <c r="E192" i="5"/>
  <c r="F192" i="5"/>
  <c r="G192" i="5"/>
  <c r="G209" i="5" s="1"/>
  <c r="H192" i="5"/>
  <c r="I192" i="5"/>
  <c r="J192" i="5"/>
  <c r="J209" i="5" s="1"/>
  <c r="K192" i="5"/>
  <c r="D196" i="5"/>
  <c r="E196" i="5"/>
  <c r="E205" i="5" s="1"/>
  <c r="D201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D204" i="5"/>
  <c r="D208" i="5" s="1"/>
  <c r="D205" i="5"/>
  <c r="C209" i="5"/>
  <c r="D209" i="5"/>
  <c r="F209" i="5"/>
  <c r="H209" i="5"/>
  <c r="I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C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C211" i="5"/>
  <c r="H6" i="12"/>
  <c r="I12" i="12"/>
  <c r="F15" i="12"/>
  <c r="E15" i="12" s="1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F16" i="12"/>
  <c r="F17" i="12" s="1"/>
  <c r="E17" i="12"/>
  <c r="M18" i="12" s="1"/>
  <c r="L18" i="12"/>
  <c r="P18" i="12"/>
  <c r="F19" i="12"/>
  <c r="P19" i="12"/>
  <c r="P20" i="12"/>
  <c r="L22" i="12"/>
  <c r="M22" i="12"/>
  <c r="N22" i="12"/>
  <c r="P22" i="12"/>
  <c r="Q22" i="12"/>
  <c r="R22" i="12"/>
  <c r="T22" i="12"/>
  <c r="U22" i="12"/>
  <c r="V22" i="12"/>
  <c r="X22" i="12"/>
  <c r="Y22" i="12"/>
  <c r="H6" i="13"/>
  <c r="I12" i="13"/>
  <c r="F15" i="13"/>
  <c r="E15" i="13" s="1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F16" i="13"/>
  <c r="F17" i="13" s="1"/>
  <c r="E17" i="13"/>
  <c r="M18" i="13"/>
  <c r="P18" i="13"/>
  <c r="G19" i="13"/>
  <c r="K22" i="13"/>
  <c r="N22" i="13"/>
  <c r="P22" i="13"/>
  <c r="S22" i="13"/>
  <c r="V22" i="13"/>
  <c r="X22" i="13"/>
  <c r="H5" i="14"/>
  <c r="H6" i="14"/>
  <c r="I10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F16" i="14"/>
  <c r="E17" i="14"/>
  <c r="F17" i="14"/>
  <c r="L18" i="14"/>
  <c r="M18" i="14"/>
  <c r="P18" i="14"/>
  <c r="E19" i="14"/>
  <c r="F19" i="14"/>
  <c r="G19" i="14"/>
  <c r="Y22" i="14"/>
  <c r="Y24" i="14"/>
  <c r="Y26" i="14"/>
  <c r="H6" i="15"/>
  <c r="I10" i="15"/>
  <c r="F15" i="15"/>
  <c r="E15" i="15" s="1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F16" i="15"/>
  <c r="E17" i="15"/>
  <c r="F17" i="15"/>
  <c r="P18" i="15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E40" i="6"/>
  <c r="C7" i="2" s="1"/>
  <c r="AE48" i="6"/>
  <c r="AE69" i="6" s="1"/>
  <c r="AF48" i="6"/>
  <c r="L50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L58" i="6"/>
  <c r="E63" i="6"/>
  <c r="G42" i="2" s="1"/>
  <c r="H5" i="15" s="1"/>
  <c r="K63" i="6"/>
  <c r="E66" i="6"/>
  <c r="G43" i="2" s="1"/>
  <c r="D41" i="5" s="1"/>
  <c r="AF69" i="6"/>
  <c r="X22" i="14" s="1"/>
  <c r="E72" i="6"/>
  <c r="G45" i="2" s="1"/>
  <c r="E76" i="6"/>
  <c r="I49" i="2" s="1"/>
  <c r="F17" i="11"/>
  <c r="F24" i="11"/>
  <c r="F31" i="11"/>
  <c r="F45" i="11"/>
  <c r="F52" i="11"/>
  <c r="F59" i="11"/>
  <c r="F66" i="11"/>
  <c r="G66" i="11"/>
  <c r="M2" i="10" a="1"/>
  <c r="P2" i="10" s="1"/>
  <c r="U2" i="10"/>
  <c r="AC2" i="10"/>
  <c r="AF2" i="10"/>
  <c r="AI2" i="10"/>
  <c r="AQ2" i="10"/>
  <c r="AY2" i="10"/>
  <c r="C4" i="10"/>
  <c r="D4" i="10"/>
  <c r="F12" i="10"/>
  <c r="F13" i="10"/>
  <c r="G13" i="10"/>
  <c r="F14" i="10"/>
  <c r="G14" i="10"/>
  <c r="H14" i="10"/>
  <c r="F15" i="10"/>
  <c r="G15" i="10"/>
  <c r="H15" i="10" s="1"/>
  <c r="F16" i="10"/>
  <c r="G16" i="10"/>
  <c r="H16" i="10"/>
  <c r="F17" i="10"/>
  <c r="G17" i="10"/>
  <c r="H17" i="10" s="1"/>
  <c r="F18" i="10"/>
  <c r="G18" i="10"/>
  <c r="H18" i="10"/>
  <c r="F19" i="10"/>
  <c r="G19" i="10"/>
  <c r="H19" i="10" s="1"/>
  <c r="F20" i="10"/>
  <c r="G20" i="10"/>
  <c r="H20" i="10"/>
  <c r="F21" i="10"/>
  <c r="G21" i="10"/>
  <c r="H21" i="10" s="1"/>
  <c r="F22" i="10"/>
  <c r="G22" i="10"/>
  <c r="H22" i="10"/>
  <c r="F23" i="10"/>
  <c r="G23" i="10"/>
  <c r="H23" i="10" s="1"/>
  <c r="F24" i="10"/>
  <c r="G24" i="10"/>
  <c r="H24" i="10"/>
  <c r="K13" i="10" s="1"/>
  <c r="F25" i="10"/>
  <c r="G25" i="10"/>
  <c r="H25" i="10" s="1"/>
  <c r="F26" i="10"/>
  <c r="G26" i="10"/>
  <c r="H26" i="10"/>
  <c r="F27" i="10"/>
  <c r="G27" i="10"/>
  <c r="H27" i="10" s="1"/>
  <c r="D28" i="10"/>
  <c r="F28" i="10"/>
  <c r="G28" i="10"/>
  <c r="H28" i="10" s="1"/>
  <c r="D29" i="10"/>
  <c r="F29" i="10"/>
  <c r="G29" i="10"/>
  <c r="H29" i="10" s="1"/>
  <c r="D30" i="10"/>
  <c r="F30" i="10"/>
  <c r="G30" i="10"/>
  <c r="H30" i="10"/>
  <c r="D31" i="10"/>
  <c r="F31" i="10"/>
  <c r="G31" i="10"/>
  <c r="H31" i="10"/>
  <c r="D32" i="10"/>
  <c r="F32" i="10"/>
  <c r="G32" i="10"/>
  <c r="H32" i="10"/>
  <c r="D33" i="10"/>
  <c r="F33" i="10"/>
  <c r="G33" i="10"/>
  <c r="H33" i="10" s="1"/>
  <c r="D34" i="10"/>
  <c r="F34" i="10"/>
  <c r="G34" i="10"/>
  <c r="H34" i="10"/>
  <c r="D35" i="10"/>
  <c r="F35" i="10"/>
  <c r="G35" i="10"/>
  <c r="H35" i="10" s="1"/>
  <c r="D36" i="10"/>
  <c r="F36" i="10"/>
  <c r="G36" i="10"/>
  <c r="H36" i="10" s="1"/>
  <c r="D37" i="10"/>
  <c r="F37" i="10"/>
  <c r="G37" i="10"/>
  <c r="H37" i="10" s="1"/>
  <c r="D38" i="10"/>
  <c r="F38" i="10"/>
  <c r="G38" i="10"/>
  <c r="H38" i="10"/>
  <c r="D39" i="10"/>
  <c r="F39" i="10"/>
  <c r="G39" i="10"/>
  <c r="H39" i="10"/>
  <c r="D40" i="10"/>
  <c r="F40" i="10"/>
  <c r="G40" i="10"/>
  <c r="H40" i="10"/>
  <c r="D41" i="10"/>
  <c r="F41" i="10"/>
  <c r="G41" i="10"/>
  <c r="H41" i="10" s="1"/>
  <c r="D42" i="10"/>
  <c r="F42" i="10"/>
  <c r="G42" i="10"/>
  <c r="H42" i="10"/>
  <c r="D43" i="10"/>
  <c r="F43" i="10"/>
  <c r="G43" i="10"/>
  <c r="H43" i="10" s="1"/>
  <c r="D44" i="10"/>
  <c r="F44" i="10"/>
  <c r="G44" i="10"/>
  <c r="H44" i="10" s="1"/>
  <c r="D45" i="10"/>
  <c r="F45" i="10"/>
  <c r="G45" i="10"/>
  <c r="H45" i="10" s="1"/>
  <c r="D46" i="10"/>
  <c r="F46" i="10"/>
  <c r="G46" i="10"/>
  <c r="H46" i="10"/>
  <c r="D47" i="10"/>
  <c r="F47" i="10"/>
  <c r="G47" i="10"/>
  <c r="H47" i="10"/>
  <c r="D48" i="10"/>
  <c r="F48" i="10"/>
  <c r="G48" i="10"/>
  <c r="H48" i="10"/>
  <c r="K15" i="10" s="1"/>
  <c r="D49" i="10"/>
  <c r="F49" i="10"/>
  <c r="G49" i="10"/>
  <c r="H49" i="10" s="1"/>
  <c r="D50" i="10"/>
  <c r="G50" i="10"/>
  <c r="H50" i="10"/>
  <c r="D51" i="10"/>
  <c r="G51" i="10"/>
  <c r="H51" i="10" s="1"/>
  <c r="D52" i="10"/>
  <c r="G52" i="10"/>
  <c r="H52" i="10"/>
  <c r="D53" i="10"/>
  <c r="G53" i="10"/>
  <c r="H53" i="10" s="1"/>
  <c r="D54" i="10"/>
  <c r="G54" i="10"/>
  <c r="H54" i="10"/>
  <c r="D55" i="10"/>
  <c r="G55" i="10"/>
  <c r="H55" i="10" s="1"/>
  <c r="D56" i="10"/>
  <c r="G56" i="10"/>
  <c r="H56" i="10"/>
  <c r="D57" i="10"/>
  <c r="G57" i="10"/>
  <c r="H57" i="10" s="1"/>
  <c r="D58" i="10"/>
  <c r="G58" i="10"/>
  <c r="H58" i="10"/>
  <c r="D59" i="10"/>
  <c r="G59" i="10"/>
  <c r="H59" i="10" s="1"/>
  <c r="D60" i="10"/>
  <c r="G60" i="10"/>
  <c r="H60" i="10"/>
  <c r="D61" i="10"/>
  <c r="G61" i="10"/>
  <c r="H61" i="10" s="1"/>
  <c r="D62" i="10"/>
  <c r="G62" i="10"/>
  <c r="H62" i="10"/>
  <c r="D63" i="10"/>
  <c r="G63" i="10"/>
  <c r="H63" i="10" s="1"/>
  <c r="D64" i="10"/>
  <c r="G64" i="10"/>
  <c r="H64" i="10"/>
  <c r="D65" i="10"/>
  <c r="G65" i="10"/>
  <c r="H65" i="10" s="1"/>
  <c r="D66" i="10"/>
  <c r="G66" i="10"/>
  <c r="H66" i="10"/>
  <c r="D67" i="10"/>
  <c r="G67" i="10"/>
  <c r="H67" i="10" s="1"/>
  <c r="D68" i="10"/>
  <c r="G68" i="10"/>
  <c r="H68" i="10"/>
  <c r="D69" i="10"/>
  <c r="G69" i="10"/>
  <c r="H69" i="10" s="1"/>
  <c r="D70" i="10"/>
  <c r="G70" i="10"/>
  <c r="H70" i="10"/>
  <c r="D71" i="10"/>
  <c r="G71" i="10"/>
  <c r="H71" i="10" s="1"/>
  <c r="D72" i="10"/>
  <c r="G72" i="10"/>
  <c r="H72" i="10"/>
  <c r="D73" i="10"/>
  <c r="G73" i="10"/>
  <c r="H73" i="10" s="1"/>
  <c r="D74" i="10"/>
  <c r="G74" i="10"/>
  <c r="H74" i="10"/>
  <c r="D75" i="10"/>
  <c r="G75" i="10"/>
  <c r="H75" i="10" s="1"/>
  <c r="D76" i="10"/>
  <c r="G76" i="10"/>
  <c r="H76" i="10"/>
  <c r="D77" i="10"/>
  <c r="G77" i="10"/>
  <c r="H77" i="10" s="1"/>
  <c r="D78" i="10"/>
  <c r="G78" i="10"/>
  <c r="H78" i="10"/>
  <c r="D79" i="10"/>
  <c r="G79" i="10"/>
  <c r="H79" i="10" s="1"/>
  <c r="D80" i="10"/>
  <c r="G80" i="10"/>
  <c r="H80" i="10"/>
  <c r="D81" i="10"/>
  <c r="G81" i="10"/>
  <c r="H81" i="10" s="1"/>
  <c r="D82" i="10"/>
  <c r="G82" i="10"/>
  <c r="H82" i="10"/>
  <c r="D83" i="10"/>
  <c r="G83" i="10"/>
  <c r="H83" i="10" s="1"/>
  <c r="D84" i="10"/>
  <c r="G84" i="10"/>
  <c r="H84" i="10"/>
  <c r="D85" i="10"/>
  <c r="G85" i="10"/>
  <c r="H85" i="10" s="1"/>
  <c r="D86" i="10"/>
  <c r="G86" i="10"/>
  <c r="H86" i="10"/>
  <c r="D87" i="10"/>
  <c r="G87" i="10"/>
  <c r="H87" i="10" s="1"/>
  <c r="D88" i="10"/>
  <c r="G88" i="10"/>
  <c r="H88" i="10" s="1"/>
  <c r="D89" i="10"/>
  <c r="G89" i="10"/>
  <c r="H89" i="10" s="1"/>
  <c r="D90" i="10"/>
  <c r="G90" i="10"/>
  <c r="H90" i="10" s="1"/>
  <c r="D91" i="10"/>
  <c r="G91" i="10"/>
  <c r="H91" i="10" s="1"/>
  <c r="D92" i="10"/>
  <c r="G92" i="10"/>
  <c r="H92" i="10"/>
  <c r="D93" i="10"/>
  <c r="G93" i="10"/>
  <c r="H93" i="10" s="1"/>
  <c r="D94" i="10"/>
  <c r="G94" i="10"/>
  <c r="H94" i="10"/>
  <c r="D95" i="10"/>
  <c r="G95" i="10"/>
  <c r="H95" i="10" s="1"/>
  <c r="D96" i="10"/>
  <c r="G96" i="10"/>
  <c r="H96" i="10" s="1"/>
  <c r="D97" i="10"/>
  <c r="G97" i="10"/>
  <c r="H97" i="10" s="1"/>
  <c r="D98" i="10"/>
  <c r="G98" i="10"/>
  <c r="H98" i="10" s="1"/>
  <c r="K19" i="10" s="1"/>
  <c r="D99" i="10"/>
  <c r="G99" i="10"/>
  <c r="H99" i="10" s="1"/>
  <c r="D100" i="10"/>
  <c r="G100" i="10"/>
  <c r="H100" i="10" s="1"/>
  <c r="D101" i="10"/>
  <c r="G101" i="10"/>
  <c r="H101" i="10" s="1"/>
  <c r="D102" i="10"/>
  <c r="G102" i="10"/>
  <c r="H102" i="10"/>
  <c r="D103" i="10"/>
  <c r="G103" i="10"/>
  <c r="H103" i="10" s="1"/>
  <c r="D104" i="10"/>
  <c r="G104" i="10"/>
  <c r="H104" i="10" s="1"/>
  <c r="D105" i="10"/>
  <c r="G105" i="10"/>
  <c r="H105" i="10" s="1"/>
  <c r="D106" i="10"/>
  <c r="G106" i="10"/>
  <c r="H106" i="10" s="1"/>
  <c r="D107" i="10"/>
  <c r="G107" i="10"/>
  <c r="H107" i="10" s="1"/>
  <c r="D108" i="10"/>
  <c r="G108" i="10"/>
  <c r="H108" i="10" s="1"/>
  <c r="D109" i="10"/>
  <c r="G109" i="10"/>
  <c r="H109" i="10" s="1"/>
  <c r="D110" i="10"/>
  <c r="G110" i="10"/>
  <c r="H110" i="10" s="1"/>
  <c r="D111" i="10"/>
  <c r="G111" i="10"/>
  <c r="H111" i="10" s="1"/>
  <c r="D112" i="10"/>
  <c r="G112" i="10"/>
  <c r="H112" i="10" s="1"/>
  <c r="D113" i="10"/>
  <c r="G113" i="10"/>
  <c r="H113" i="10" s="1"/>
  <c r="D114" i="10"/>
  <c r="G114" i="10"/>
  <c r="H114" i="10" s="1"/>
  <c r="D115" i="10"/>
  <c r="G115" i="10"/>
  <c r="H115" i="10" s="1"/>
  <c r="D116" i="10"/>
  <c r="G116" i="10"/>
  <c r="H116" i="10" s="1"/>
  <c r="D117" i="10"/>
  <c r="G117" i="10"/>
  <c r="H117" i="10" s="1"/>
  <c r="D118" i="10"/>
  <c r="G118" i="10"/>
  <c r="H118" i="10" s="1"/>
  <c r="D119" i="10"/>
  <c r="G119" i="10"/>
  <c r="H119" i="10" s="1"/>
  <c r="D120" i="10"/>
  <c r="G120" i="10"/>
  <c r="H120" i="10" s="1"/>
  <c r="D121" i="10"/>
  <c r="G121" i="10"/>
  <c r="H121" i="10" s="1"/>
  <c r="D122" i="10"/>
  <c r="G122" i="10"/>
  <c r="H122" i="10" s="1"/>
  <c r="D123" i="10"/>
  <c r="G123" i="10"/>
  <c r="H123" i="10" s="1"/>
  <c r="D124" i="10"/>
  <c r="G124" i="10"/>
  <c r="H124" i="10" s="1"/>
  <c r="D125" i="10"/>
  <c r="G125" i="10"/>
  <c r="H125" i="10" s="1"/>
  <c r="D126" i="10"/>
  <c r="G126" i="10"/>
  <c r="H126" i="10" s="1"/>
  <c r="D127" i="10"/>
  <c r="G127" i="10"/>
  <c r="H127" i="10" s="1"/>
  <c r="D128" i="10"/>
  <c r="G128" i="10"/>
  <c r="H128" i="10" s="1"/>
  <c r="D129" i="10"/>
  <c r="G129" i="10"/>
  <c r="H129" i="10" s="1"/>
  <c r="D130" i="10"/>
  <c r="G130" i="10"/>
  <c r="H130" i="10" s="1"/>
  <c r="D131" i="10"/>
  <c r="G131" i="10"/>
  <c r="H131" i="10" s="1"/>
  <c r="D132" i="10"/>
  <c r="G132" i="10"/>
  <c r="H132" i="10" s="1"/>
  <c r="D133" i="10"/>
  <c r="G133" i="10"/>
  <c r="H133" i="10" s="1"/>
  <c r="D134" i="10"/>
  <c r="G134" i="10"/>
  <c r="H134" i="10" s="1"/>
  <c r="D135" i="10"/>
  <c r="G135" i="10"/>
  <c r="H135" i="10" s="1"/>
  <c r="D136" i="10"/>
  <c r="G136" i="10"/>
  <c r="H136" i="10" s="1"/>
  <c r="D137" i="10"/>
  <c r="G137" i="10"/>
  <c r="H137" i="10" s="1"/>
  <c r="D138" i="10"/>
  <c r="G138" i="10"/>
  <c r="H138" i="10" s="1"/>
  <c r="D139" i="10"/>
  <c r="G139" i="10"/>
  <c r="H139" i="10" s="1"/>
  <c r="D140" i="10"/>
  <c r="G140" i="10"/>
  <c r="H140" i="10" s="1"/>
  <c r="D141" i="10"/>
  <c r="G141" i="10"/>
  <c r="H141" i="10" s="1"/>
  <c r="D142" i="10"/>
  <c r="G142" i="10"/>
  <c r="H142" i="10" s="1"/>
  <c r="D143" i="10"/>
  <c r="G143" i="10"/>
  <c r="H143" i="10" s="1"/>
  <c r="D144" i="10"/>
  <c r="G144" i="10"/>
  <c r="H144" i="10" s="1"/>
  <c r="D145" i="10"/>
  <c r="G145" i="10"/>
  <c r="H145" i="10" s="1"/>
  <c r="D146" i="10"/>
  <c r="G146" i="10"/>
  <c r="H146" i="10" s="1"/>
  <c r="D147" i="10"/>
  <c r="G147" i="10"/>
  <c r="H147" i="10" s="1"/>
  <c r="D148" i="10"/>
  <c r="G148" i="10"/>
  <c r="H148" i="10" s="1"/>
  <c r="D149" i="10"/>
  <c r="G149" i="10"/>
  <c r="H149" i="10" s="1"/>
  <c r="D150" i="10"/>
  <c r="G150" i="10"/>
  <c r="H150" i="10" s="1"/>
  <c r="D151" i="10"/>
  <c r="G151" i="10"/>
  <c r="H151" i="10" s="1"/>
  <c r="D152" i="10"/>
  <c r="G152" i="10"/>
  <c r="H152" i="10" s="1"/>
  <c r="D153" i="10"/>
  <c r="G153" i="10"/>
  <c r="H153" i="10" s="1"/>
  <c r="D154" i="10"/>
  <c r="G154" i="10"/>
  <c r="H154" i="10" s="1"/>
  <c r="D155" i="10"/>
  <c r="G155" i="10"/>
  <c r="H155" i="10" s="1"/>
  <c r="D156" i="10"/>
  <c r="G156" i="10"/>
  <c r="H156" i="10"/>
  <c r="D157" i="10"/>
  <c r="G157" i="10"/>
  <c r="H157" i="10" s="1"/>
  <c r="D158" i="10"/>
  <c r="G158" i="10"/>
  <c r="H158" i="10"/>
  <c r="D159" i="10"/>
  <c r="G159" i="10"/>
  <c r="H159" i="10" s="1"/>
  <c r="D160" i="10"/>
  <c r="G160" i="10"/>
  <c r="H160" i="10"/>
  <c r="D161" i="10"/>
  <c r="G161" i="10"/>
  <c r="H161" i="10" s="1"/>
  <c r="D162" i="10"/>
  <c r="G162" i="10"/>
  <c r="H162" i="10" s="1"/>
  <c r="D163" i="10"/>
  <c r="G163" i="10"/>
  <c r="H163" i="10" s="1"/>
  <c r="D164" i="10"/>
  <c r="G164" i="10"/>
  <c r="H164" i="10"/>
  <c r="D165" i="10"/>
  <c r="G165" i="10"/>
  <c r="H165" i="10" s="1"/>
  <c r="D166" i="10"/>
  <c r="G166" i="10"/>
  <c r="H166" i="10"/>
  <c r="D167" i="10"/>
  <c r="G167" i="10"/>
  <c r="H167" i="10" s="1"/>
  <c r="D168" i="10"/>
  <c r="G168" i="10"/>
  <c r="H168" i="10"/>
  <c r="D169" i="10"/>
  <c r="G169" i="10"/>
  <c r="H169" i="10" s="1"/>
  <c r="D170" i="10"/>
  <c r="G170" i="10"/>
  <c r="H170" i="10" s="1"/>
  <c r="D171" i="10"/>
  <c r="G171" i="10"/>
  <c r="H171" i="10" s="1"/>
  <c r="D172" i="10"/>
  <c r="G172" i="10"/>
  <c r="H172" i="10"/>
  <c r="D173" i="10"/>
  <c r="G173" i="10"/>
  <c r="H173" i="10" s="1"/>
  <c r="D174" i="10"/>
  <c r="G174" i="10"/>
  <c r="H174" i="10"/>
  <c r="D175" i="10"/>
  <c r="G175" i="10"/>
  <c r="H175" i="10" s="1"/>
  <c r="D176" i="10"/>
  <c r="G176" i="10"/>
  <c r="H176" i="10"/>
  <c r="D177" i="10"/>
  <c r="G177" i="10"/>
  <c r="H177" i="10" s="1"/>
  <c r="D178" i="10"/>
  <c r="G178" i="10"/>
  <c r="H178" i="10" s="1"/>
  <c r="D179" i="10"/>
  <c r="G179" i="10"/>
  <c r="H179" i="10" s="1"/>
  <c r="D180" i="10"/>
  <c r="G180" i="10"/>
  <c r="H180" i="10"/>
  <c r="D181" i="10"/>
  <c r="G181" i="10"/>
  <c r="H181" i="10" s="1"/>
  <c r="D182" i="10"/>
  <c r="G182" i="10"/>
  <c r="H182" i="10"/>
  <c r="D183" i="10"/>
  <c r="G183" i="10"/>
  <c r="H183" i="10" s="1"/>
  <c r="D184" i="10"/>
  <c r="G184" i="10"/>
  <c r="H184" i="10"/>
  <c r="D185" i="10"/>
  <c r="G185" i="10"/>
  <c r="H185" i="10" s="1"/>
  <c r="D186" i="10"/>
  <c r="G186" i="10"/>
  <c r="H186" i="10" s="1"/>
  <c r="D187" i="10"/>
  <c r="G187" i="10"/>
  <c r="H187" i="10" s="1"/>
  <c r="D188" i="10"/>
  <c r="G188" i="10"/>
  <c r="H188" i="10"/>
  <c r="D189" i="10"/>
  <c r="G189" i="10"/>
  <c r="H189" i="10" s="1"/>
  <c r="D190" i="10"/>
  <c r="G190" i="10"/>
  <c r="H190" i="10"/>
  <c r="D191" i="10"/>
  <c r="G191" i="10"/>
  <c r="H191" i="10" s="1"/>
  <c r="D192" i="10"/>
  <c r="G192" i="10"/>
  <c r="H192" i="10"/>
  <c r="D193" i="10"/>
  <c r="G193" i="10"/>
  <c r="H193" i="10" s="1"/>
  <c r="D194" i="10"/>
  <c r="G194" i="10"/>
  <c r="H194" i="10" s="1"/>
  <c r="D195" i="10"/>
  <c r="G195" i="10"/>
  <c r="H195" i="10" s="1"/>
  <c r="D196" i="10"/>
  <c r="G196" i="10"/>
  <c r="H196" i="10"/>
  <c r="D197" i="10"/>
  <c r="G197" i="10"/>
  <c r="H197" i="10" s="1"/>
  <c r="D198" i="10"/>
  <c r="G198" i="10"/>
  <c r="H198" i="10"/>
  <c r="D199" i="10"/>
  <c r="G199" i="10"/>
  <c r="H199" i="10" s="1"/>
  <c r="D200" i="10"/>
  <c r="G200" i="10"/>
  <c r="H200" i="10"/>
  <c r="D201" i="10"/>
  <c r="G201" i="10"/>
  <c r="H201" i="10" s="1"/>
  <c r="D202" i="10"/>
  <c r="G202" i="10"/>
  <c r="H202" i="10" s="1"/>
  <c r="D203" i="10"/>
  <c r="G203" i="10"/>
  <c r="H203" i="10" s="1"/>
  <c r="D204" i="10"/>
  <c r="G204" i="10"/>
  <c r="H204" i="10"/>
  <c r="D205" i="10"/>
  <c r="G205" i="10"/>
  <c r="H205" i="10" s="1"/>
  <c r="D206" i="10"/>
  <c r="G206" i="10"/>
  <c r="H206" i="10"/>
  <c r="D207" i="10"/>
  <c r="G207" i="10"/>
  <c r="H207" i="10" s="1"/>
  <c r="D208" i="10"/>
  <c r="G208" i="10"/>
  <c r="H208" i="10"/>
  <c r="D209" i="10"/>
  <c r="G209" i="10"/>
  <c r="H209" i="10" s="1"/>
  <c r="D210" i="10"/>
  <c r="G210" i="10"/>
  <c r="H210" i="10" s="1"/>
  <c r="D211" i="10"/>
  <c r="G211" i="10"/>
  <c r="H211" i="10" s="1"/>
  <c r="D212" i="10"/>
  <c r="G212" i="10"/>
  <c r="H212" i="10"/>
  <c r="D213" i="10"/>
  <c r="G213" i="10"/>
  <c r="H213" i="10" s="1"/>
  <c r="D214" i="10"/>
  <c r="G214" i="10"/>
  <c r="H214" i="10"/>
  <c r="D215" i="10"/>
  <c r="G215" i="10"/>
  <c r="H215" i="10" s="1"/>
  <c r="D216" i="10"/>
  <c r="G216" i="10"/>
  <c r="H216" i="10"/>
  <c r="D217" i="10"/>
  <c r="G217" i="10"/>
  <c r="H217" i="10" s="1"/>
  <c r="D218" i="10"/>
  <c r="G218" i="10"/>
  <c r="H218" i="10" s="1"/>
  <c r="D219" i="10"/>
  <c r="G219" i="10"/>
  <c r="H219" i="10" s="1"/>
  <c r="D220" i="10"/>
  <c r="G220" i="10"/>
  <c r="H220" i="10"/>
  <c r="D221" i="10"/>
  <c r="G221" i="10"/>
  <c r="H221" i="10" s="1"/>
  <c r="D222" i="10"/>
  <c r="G222" i="10"/>
  <c r="H222" i="10"/>
  <c r="D223" i="10"/>
  <c r="G223" i="10"/>
  <c r="H223" i="10" s="1"/>
  <c r="D224" i="10"/>
  <c r="G224" i="10"/>
  <c r="H224" i="10"/>
  <c r="D225" i="10"/>
  <c r="G225" i="10"/>
  <c r="H225" i="10" s="1"/>
  <c r="D226" i="10"/>
  <c r="G226" i="10"/>
  <c r="H226" i="10" s="1"/>
  <c r="D227" i="10"/>
  <c r="G227" i="10"/>
  <c r="H227" i="10" s="1"/>
  <c r="D228" i="10"/>
  <c r="G228" i="10"/>
  <c r="H228" i="10"/>
  <c r="D229" i="10"/>
  <c r="G229" i="10"/>
  <c r="H229" i="10" s="1"/>
  <c r="D230" i="10"/>
  <c r="G230" i="10"/>
  <c r="H230" i="10"/>
  <c r="D231" i="10"/>
  <c r="G231" i="10"/>
  <c r="H231" i="10" s="1"/>
  <c r="D232" i="10"/>
  <c r="G232" i="10"/>
  <c r="H232" i="10"/>
  <c r="D233" i="10"/>
  <c r="G233" i="10"/>
  <c r="H233" i="10" s="1"/>
  <c r="D234" i="10"/>
  <c r="G234" i="10"/>
  <c r="H234" i="10" s="1"/>
  <c r="D235" i="10"/>
  <c r="G235" i="10"/>
  <c r="H235" i="10" s="1"/>
  <c r="D236" i="10"/>
  <c r="G236" i="10"/>
  <c r="H236" i="10"/>
  <c r="D237" i="10"/>
  <c r="G237" i="10"/>
  <c r="H237" i="10" s="1"/>
  <c r="D238" i="10"/>
  <c r="G238" i="10"/>
  <c r="H238" i="10"/>
  <c r="D239" i="10"/>
  <c r="G239" i="10"/>
  <c r="H239" i="10" s="1"/>
  <c r="D240" i="10"/>
  <c r="G240" i="10"/>
  <c r="H240" i="10"/>
  <c r="D241" i="10"/>
  <c r="G241" i="10"/>
  <c r="H241" i="10" s="1"/>
  <c r="D242" i="10"/>
  <c r="G242" i="10"/>
  <c r="H242" i="10" s="1"/>
  <c r="D243" i="10"/>
  <c r="G243" i="10"/>
  <c r="H243" i="10" s="1"/>
  <c r="D244" i="10"/>
  <c r="G244" i="10"/>
  <c r="H244" i="10"/>
  <c r="D245" i="10"/>
  <c r="G245" i="10"/>
  <c r="H245" i="10" s="1"/>
  <c r="D246" i="10"/>
  <c r="G246" i="10"/>
  <c r="H246" i="10"/>
  <c r="D247" i="10"/>
  <c r="G247" i="10"/>
  <c r="H247" i="10" s="1"/>
  <c r="D248" i="10"/>
  <c r="G248" i="10"/>
  <c r="H248" i="10"/>
  <c r="D249" i="10"/>
  <c r="G249" i="10"/>
  <c r="H249" i="10" s="1"/>
  <c r="D250" i="10"/>
  <c r="G250" i="10"/>
  <c r="H250" i="10" s="1"/>
  <c r="D251" i="10"/>
  <c r="G251" i="10"/>
  <c r="H251" i="10" s="1"/>
  <c r="D252" i="10"/>
  <c r="G252" i="10"/>
  <c r="H252" i="10"/>
  <c r="D253" i="10"/>
  <c r="G253" i="10"/>
  <c r="H253" i="10" s="1"/>
  <c r="D254" i="10"/>
  <c r="G254" i="10"/>
  <c r="H254" i="10"/>
  <c r="D255" i="10"/>
  <c r="G255" i="10"/>
  <c r="H255" i="10" s="1"/>
  <c r="D256" i="10"/>
  <c r="G256" i="10"/>
  <c r="H256" i="10"/>
  <c r="D257" i="10"/>
  <c r="G257" i="10"/>
  <c r="H257" i="10" s="1"/>
  <c r="D258" i="10"/>
  <c r="G258" i="10"/>
  <c r="H258" i="10" s="1"/>
  <c r="D259" i="10"/>
  <c r="G259" i="10"/>
  <c r="H259" i="10" s="1"/>
  <c r="D260" i="10"/>
  <c r="G260" i="10"/>
  <c r="H260" i="10"/>
  <c r="D261" i="10"/>
  <c r="G261" i="10"/>
  <c r="H261" i="10" s="1"/>
  <c r="D262" i="10"/>
  <c r="G262" i="10"/>
  <c r="H262" i="10"/>
  <c r="D263" i="10"/>
  <c r="G263" i="10"/>
  <c r="H263" i="10" s="1"/>
  <c r="D264" i="10"/>
  <c r="G264" i="10"/>
  <c r="H264" i="10"/>
  <c r="D265" i="10"/>
  <c r="G265" i="10"/>
  <c r="H265" i="10" s="1"/>
  <c r="D266" i="10"/>
  <c r="G266" i="10"/>
  <c r="H266" i="10" s="1"/>
  <c r="D267" i="10"/>
  <c r="G267" i="10"/>
  <c r="H267" i="10" s="1"/>
  <c r="D268" i="10"/>
  <c r="G268" i="10"/>
  <c r="H268" i="10"/>
  <c r="D269" i="10"/>
  <c r="G269" i="10"/>
  <c r="H269" i="10" s="1"/>
  <c r="D270" i="10"/>
  <c r="G270" i="10"/>
  <c r="H270" i="10"/>
  <c r="D271" i="10"/>
  <c r="G271" i="10"/>
  <c r="H271" i="10" s="1"/>
  <c r="D272" i="10"/>
  <c r="G272" i="10"/>
  <c r="H272" i="10"/>
  <c r="D273" i="10"/>
  <c r="G273" i="10"/>
  <c r="H273" i="10" s="1"/>
  <c r="D274" i="10"/>
  <c r="G274" i="10"/>
  <c r="H274" i="10" s="1"/>
  <c r="D275" i="10"/>
  <c r="G275" i="10"/>
  <c r="H275" i="10" s="1"/>
  <c r="D276" i="10"/>
  <c r="G276" i="10"/>
  <c r="H276" i="10"/>
  <c r="D277" i="10"/>
  <c r="G277" i="10"/>
  <c r="H277" i="10" s="1"/>
  <c r="D278" i="10"/>
  <c r="G278" i="10"/>
  <c r="H278" i="10"/>
  <c r="D279" i="10"/>
  <c r="G279" i="10"/>
  <c r="H279" i="10" s="1"/>
  <c r="D280" i="10"/>
  <c r="G280" i="10"/>
  <c r="H280" i="10"/>
  <c r="D281" i="10"/>
  <c r="G281" i="10"/>
  <c r="H281" i="10" s="1"/>
  <c r="D282" i="10"/>
  <c r="G282" i="10"/>
  <c r="H282" i="10" s="1"/>
  <c r="D283" i="10"/>
  <c r="G283" i="10"/>
  <c r="H283" i="10" s="1"/>
  <c r="D284" i="10"/>
  <c r="G284" i="10"/>
  <c r="H284" i="10"/>
  <c r="D285" i="10"/>
  <c r="G285" i="10"/>
  <c r="H285" i="10" s="1"/>
  <c r="D286" i="10"/>
  <c r="G286" i="10"/>
  <c r="H286" i="10"/>
  <c r="D287" i="10"/>
  <c r="G287" i="10"/>
  <c r="H287" i="10" s="1"/>
  <c r="D288" i="10"/>
  <c r="G288" i="10"/>
  <c r="H288" i="10"/>
  <c r="D289" i="10"/>
  <c r="G289" i="10"/>
  <c r="H289" i="10" s="1"/>
  <c r="D290" i="10"/>
  <c r="G290" i="10"/>
  <c r="H290" i="10" s="1"/>
  <c r="D291" i="10"/>
  <c r="G291" i="10"/>
  <c r="H291" i="10" s="1"/>
  <c r="D292" i="10"/>
  <c r="G292" i="10"/>
  <c r="H292" i="10"/>
  <c r="D293" i="10"/>
  <c r="G293" i="10"/>
  <c r="H293" i="10" s="1"/>
  <c r="D294" i="10"/>
  <c r="G294" i="10"/>
  <c r="H294" i="10"/>
  <c r="D295" i="10"/>
  <c r="G295" i="10"/>
  <c r="H295" i="10" s="1"/>
  <c r="D296" i="10"/>
  <c r="G296" i="10"/>
  <c r="H296" i="10"/>
  <c r="D297" i="10"/>
  <c r="G297" i="10"/>
  <c r="H297" i="10" s="1"/>
  <c r="D298" i="10"/>
  <c r="G298" i="10"/>
  <c r="H298" i="10" s="1"/>
  <c r="D299" i="10"/>
  <c r="G299" i="10"/>
  <c r="H299" i="10" s="1"/>
  <c r="D300" i="10"/>
  <c r="G300" i="10"/>
  <c r="H300" i="10"/>
  <c r="D301" i="10"/>
  <c r="G301" i="10"/>
  <c r="H301" i="10" s="1"/>
  <c r="D302" i="10"/>
  <c r="G302" i="10"/>
  <c r="H302" i="10"/>
  <c r="D303" i="10"/>
  <c r="G303" i="10"/>
  <c r="H303" i="10" s="1"/>
  <c r="D304" i="10"/>
  <c r="G304" i="10"/>
  <c r="H304" i="10"/>
  <c r="D305" i="10"/>
  <c r="G305" i="10"/>
  <c r="H305" i="10" s="1"/>
  <c r="D306" i="10"/>
  <c r="G306" i="10"/>
  <c r="H306" i="10" s="1"/>
  <c r="D307" i="10"/>
  <c r="G307" i="10"/>
  <c r="H307" i="10" s="1"/>
  <c r="D308" i="10"/>
  <c r="G308" i="10"/>
  <c r="H308" i="10"/>
  <c r="D309" i="10"/>
  <c r="G309" i="10"/>
  <c r="H309" i="10" s="1"/>
  <c r="D310" i="10"/>
  <c r="G310" i="10"/>
  <c r="H310" i="10"/>
  <c r="D311" i="10"/>
  <c r="G311" i="10"/>
  <c r="H311" i="10" s="1"/>
  <c r="D312" i="10"/>
  <c r="G312" i="10"/>
  <c r="H312" i="10"/>
  <c r="D313" i="10"/>
  <c r="G313" i="10"/>
  <c r="H313" i="10" s="1"/>
  <c r="D314" i="10"/>
  <c r="G314" i="10"/>
  <c r="H314" i="10" s="1"/>
  <c r="D315" i="10"/>
  <c r="G315" i="10"/>
  <c r="H315" i="10" s="1"/>
  <c r="D316" i="10"/>
  <c r="G316" i="10"/>
  <c r="H316" i="10"/>
  <c r="D317" i="10"/>
  <c r="G317" i="10"/>
  <c r="H317" i="10" s="1"/>
  <c r="D318" i="10"/>
  <c r="G318" i="10"/>
  <c r="H318" i="10"/>
  <c r="D319" i="10"/>
  <c r="G319" i="10"/>
  <c r="H319" i="10" s="1"/>
  <c r="D320" i="10"/>
  <c r="G320" i="10"/>
  <c r="H320" i="10"/>
  <c r="D321" i="10"/>
  <c r="G321" i="10"/>
  <c r="H321" i="10" s="1"/>
  <c r="D322" i="10"/>
  <c r="G322" i="10"/>
  <c r="H322" i="10" s="1"/>
  <c r="D323" i="10"/>
  <c r="G323" i="10"/>
  <c r="H323" i="10" s="1"/>
  <c r="D324" i="10"/>
  <c r="G324" i="10"/>
  <c r="H324" i="10"/>
  <c r="D325" i="10"/>
  <c r="G325" i="10"/>
  <c r="H325" i="10" s="1"/>
  <c r="D326" i="10"/>
  <c r="G326" i="10"/>
  <c r="H326" i="10"/>
  <c r="D327" i="10"/>
  <c r="G327" i="10"/>
  <c r="H327" i="10" s="1"/>
  <c r="D328" i="10"/>
  <c r="G328" i="10"/>
  <c r="H328" i="10"/>
  <c r="D329" i="10"/>
  <c r="G329" i="10"/>
  <c r="H329" i="10" s="1"/>
  <c r="D330" i="10"/>
  <c r="G330" i="10"/>
  <c r="H330" i="10" s="1"/>
  <c r="D331" i="10"/>
  <c r="G331" i="10"/>
  <c r="H331" i="10" s="1"/>
  <c r="D332" i="10"/>
  <c r="G332" i="10"/>
  <c r="H332" i="10"/>
  <c r="D333" i="10"/>
  <c r="G333" i="10"/>
  <c r="H333" i="10" s="1"/>
  <c r="D334" i="10"/>
  <c r="G334" i="10"/>
  <c r="H334" i="10"/>
  <c r="D335" i="10"/>
  <c r="G335" i="10"/>
  <c r="H335" i="10" s="1"/>
  <c r="D336" i="10"/>
  <c r="G336" i="10"/>
  <c r="H336" i="10"/>
  <c r="D337" i="10"/>
  <c r="G337" i="10"/>
  <c r="H337" i="10" s="1"/>
  <c r="D338" i="10"/>
  <c r="G338" i="10"/>
  <c r="H338" i="10" s="1"/>
  <c r="D339" i="10"/>
  <c r="G339" i="10"/>
  <c r="H339" i="10" s="1"/>
  <c r="D340" i="10"/>
  <c r="G340" i="10"/>
  <c r="H340" i="10"/>
  <c r="D341" i="10"/>
  <c r="G341" i="10"/>
  <c r="H341" i="10" s="1"/>
  <c r="D342" i="10"/>
  <c r="G342" i="10"/>
  <c r="H342" i="10"/>
  <c r="D343" i="10"/>
  <c r="G343" i="10"/>
  <c r="H343" i="10" s="1"/>
  <c r="D344" i="10"/>
  <c r="G344" i="10"/>
  <c r="H344" i="10"/>
  <c r="D345" i="10"/>
  <c r="G345" i="10"/>
  <c r="H345" i="10"/>
  <c r="D346" i="10"/>
  <c r="G346" i="10"/>
  <c r="H346" i="10"/>
  <c r="D347" i="10"/>
  <c r="G347" i="10"/>
  <c r="H347" i="10"/>
  <c r="D348" i="10"/>
  <c r="G348" i="10"/>
  <c r="H348" i="10"/>
  <c r="D349" i="10"/>
  <c r="G349" i="10"/>
  <c r="H349" i="10"/>
  <c r="D350" i="10"/>
  <c r="G350" i="10"/>
  <c r="H350" i="10"/>
  <c r="D351" i="10"/>
  <c r="G351" i="10"/>
  <c r="H351" i="10"/>
  <c r="D352" i="10"/>
  <c r="G352" i="10"/>
  <c r="H352" i="10"/>
  <c r="D353" i="10"/>
  <c r="G353" i="10"/>
  <c r="H353" i="10"/>
  <c r="D354" i="10"/>
  <c r="G354" i="10"/>
  <c r="H354" i="10"/>
  <c r="D355" i="10"/>
  <c r="G355" i="10"/>
  <c r="H355" i="10"/>
  <c r="D356" i="10"/>
  <c r="G356" i="10"/>
  <c r="H356" i="10"/>
  <c r="D357" i="10"/>
  <c r="G357" i="10"/>
  <c r="H357" i="10"/>
  <c r="D358" i="10"/>
  <c r="G358" i="10"/>
  <c r="H358" i="10"/>
  <c r="D359" i="10"/>
  <c r="G359" i="10"/>
  <c r="H359" i="10"/>
  <c r="D360" i="10"/>
  <c r="G360" i="10"/>
  <c r="H360" i="10"/>
  <c r="K41" i="10" s="1"/>
  <c r="D361" i="10"/>
  <c r="G361" i="10"/>
  <c r="H361" i="10"/>
  <c r="D362" i="10"/>
  <c r="G362" i="10"/>
  <c r="H362" i="10"/>
  <c r="D363" i="10"/>
  <c r="G363" i="10"/>
  <c r="H363" i="10"/>
  <c r="D364" i="10"/>
  <c r="G364" i="10"/>
  <c r="H364" i="10"/>
  <c r="D365" i="10"/>
  <c r="G365" i="10"/>
  <c r="H365" i="10"/>
  <c r="D366" i="10"/>
  <c r="G366" i="10"/>
  <c r="H366" i="10"/>
  <c r="D367" i="10"/>
  <c r="G367" i="10"/>
  <c r="H367" i="10"/>
  <c r="D368" i="10"/>
  <c r="G368" i="10"/>
  <c r="H368" i="10"/>
  <c r="D369" i="10"/>
  <c r="G369" i="10"/>
  <c r="H369" i="10"/>
  <c r="D370" i="10"/>
  <c r="G370" i="10"/>
  <c r="H370" i="10"/>
  <c r="D371" i="10"/>
  <c r="G371" i="10"/>
  <c r="H371" i="10"/>
  <c r="D372" i="10"/>
  <c r="G372" i="10"/>
  <c r="H372" i="10"/>
  <c r="D373" i="10"/>
  <c r="G373" i="10"/>
  <c r="H373" i="10"/>
  <c r="D374" i="10"/>
  <c r="G374" i="10"/>
  <c r="H374" i="10"/>
  <c r="D375" i="10"/>
  <c r="G375" i="10"/>
  <c r="H375" i="10"/>
  <c r="D376" i="10"/>
  <c r="G376" i="10"/>
  <c r="H376" i="10"/>
  <c r="D377" i="10"/>
  <c r="G377" i="10"/>
  <c r="H377" i="10"/>
  <c r="D378" i="10"/>
  <c r="G378" i="10"/>
  <c r="H378" i="10"/>
  <c r="D379" i="10"/>
  <c r="G379" i="10"/>
  <c r="H379" i="10"/>
  <c r="D380" i="10"/>
  <c r="G380" i="10"/>
  <c r="H380" i="10"/>
  <c r="D381" i="10"/>
  <c r="G381" i="10"/>
  <c r="H381" i="10"/>
  <c r="D382" i="10"/>
  <c r="G382" i="10"/>
  <c r="H382" i="10"/>
  <c r="D383" i="10"/>
  <c r="G383" i="10"/>
  <c r="H383" i="10"/>
  <c r="D384" i="10"/>
  <c r="G384" i="10"/>
  <c r="H384" i="10"/>
  <c r="D385" i="10"/>
  <c r="G385" i="10"/>
  <c r="H385" i="10"/>
  <c r="D386" i="10"/>
  <c r="G386" i="10"/>
  <c r="H386" i="10"/>
  <c r="D387" i="10"/>
  <c r="G387" i="10"/>
  <c r="H387" i="10"/>
  <c r="D388" i="10"/>
  <c r="G388" i="10"/>
  <c r="H388" i="10"/>
  <c r="D389" i="10"/>
  <c r="G389" i="10"/>
  <c r="H389" i="10"/>
  <c r="D390" i="10"/>
  <c r="G390" i="10"/>
  <c r="H390" i="10"/>
  <c r="D391" i="10"/>
  <c r="G391" i="10"/>
  <c r="H391" i="10"/>
  <c r="D392" i="10"/>
  <c r="G392" i="10"/>
  <c r="H392" i="10"/>
  <c r="D393" i="10"/>
  <c r="G393" i="10"/>
  <c r="H393" i="10"/>
  <c r="D394" i="10"/>
  <c r="G394" i="10"/>
  <c r="H394" i="10"/>
  <c r="D395" i="10"/>
  <c r="G395" i="10"/>
  <c r="H395" i="10"/>
  <c r="D396" i="10"/>
  <c r="G396" i="10"/>
  <c r="H396" i="10"/>
  <c r="D397" i="10"/>
  <c r="G397" i="10"/>
  <c r="H397" i="10"/>
  <c r="D398" i="10"/>
  <c r="G398" i="10"/>
  <c r="H398" i="10"/>
  <c r="D399" i="10"/>
  <c r="G399" i="10"/>
  <c r="H399" i="10"/>
  <c r="D400" i="10"/>
  <c r="G400" i="10"/>
  <c r="H400" i="10"/>
  <c r="D401" i="10"/>
  <c r="G401" i="10"/>
  <c r="H401" i="10"/>
  <c r="D402" i="10"/>
  <c r="G402" i="10"/>
  <c r="H402" i="10"/>
  <c r="D403" i="10"/>
  <c r="G403" i="10"/>
  <c r="H403" i="10"/>
  <c r="D404" i="10"/>
  <c r="G404" i="10"/>
  <c r="H404" i="10"/>
  <c r="D405" i="10"/>
  <c r="G405" i="10"/>
  <c r="H405" i="10"/>
  <c r="D406" i="10"/>
  <c r="G406" i="10"/>
  <c r="H406" i="10"/>
  <c r="D407" i="10"/>
  <c r="G407" i="10"/>
  <c r="H407" i="10"/>
  <c r="D408" i="10"/>
  <c r="G408" i="10"/>
  <c r="H408" i="10"/>
  <c r="D409" i="10"/>
  <c r="G409" i="10"/>
  <c r="H409" i="10"/>
  <c r="D410" i="10"/>
  <c r="G410" i="10"/>
  <c r="H410" i="10"/>
  <c r="D411" i="10"/>
  <c r="G411" i="10"/>
  <c r="H411" i="10"/>
  <c r="D412" i="10"/>
  <c r="G412" i="10"/>
  <c r="H412" i="10"/>
  <c r="D413" i="10"/>
  <c r="G413" i="10"/>
  <c r="H413" i="10"/>
  <c r="D414" i="10"/>
  <c r="G414" i="10"/>
  <c r="H414" i="10"/>
  <c r="D415" i="10"/>
  <c r="G415" i="10"/>
  <c r="H415" i="10"/>
  <c r="D416" i="10"/>
  <c r="G416" i="10"/>
  <c r="H416" i="10"/>
  <c r="D417" i="10"/>
  <c r="G417" i="10"/>
  <c r="H417" i="10"/>
  <c r="D418" i="10"/>
  <c r="G418" i="10"/>
  <c r="H418" i="10"/>
  <c r="D419" i="10"/>
  <c r="G419" i="10"/>
  <c r="H419" i="10"/>
  <c r="D420" i="10"/>
  <c r="G420" i="10"/>
  <c r="H420" i="10"/>
  <c r="D421" i="10"/>
  <c r="G421" i="10"/>
  <c r="H421" i="10"/>
  <c r="D422" i="10"/>
  <c r="G422" i="10"/>
  <c r="H422" i="10"/>
  <c r="D423" i="10"/>
  <c r="G423" i="10"/>
  <c r="H423" i="10"/>
  <c r="D424" i="10"/>
  <c r="G424" i="10"/>
  <c r="H424" i="10"/>
  <c r="D425" i="10"/>
  <c r="G425" i="10"/>
  <c r="H425" i="10"/>
  <c r="D426" i="10"/>
  <c r="G426" i="10"/>
  <c r="H426" i="10"/>
  <c r="D427" i="10"/>
  <c r="G427" i="10"/>
  <c r="H427" i="10"/>
  <c r="D428" i="10"/>
  <c r="G428" i="10"/>
  <c r="H428" i="10"/>
  <c r="D429" i="10"/>
  <c r="G429" i="10"/>
  <c r="H429" i="10"/>
  <c r="D430" i="10"/>
  <c r="G430" i="10"/>
  <c r="H430" i="10"/>
  <c r="D431" i="10"/>
  <c r="G431" i="10"/>
  <c r="H431" i="10"/>
  <c r="D432" i="10"/>
  <c r="G432" i="10"/>
  <c r="H432" i="10"/>
  <c r="D433" i="10"/>
  <c r="G433" i="10"/>
  <c r="H433" i="10"/>
  <c r="D434" i="10"/>
  <c r="G434" i="10"/>
  <c r="H434" i="10"/>
  <c r="D435" i="10"/>
  <c r="G435" i="10"/>
  <c r="H435" i="10"/>
  <c r="D436" i="10"/>
  <c r="G436" i="10"/>
  <c r="H436" i="10"/>
  <c r="D437" i="10"/>
  <c r="G437" i="10"/>
  <c r="H437" i="10"/>
  <c r="D438" i="10"/>
  <c r="G438" i="10"/>
  <c r="H438" i="10"/>
  <c r="D439" i="10"/>
  <c r="G439" i="10"/>
  <c r="H439" i="10"/>
  <c r="D440" i="10"/>
  <c r="G440" i="10"/>
  <c r="H440" i="10"/>
  <c r="D441" i="10"/>
  <c r="G441" i="10"/>
  <c r="H441" i="10"/>
  <c r="D442" i="10"/>
  <c r="G442" i="10"/>
  <c r="H442" i="10"/>
  <c r="D443" i="10"/>
  <c r="G443" i="10"/>
  <c r="H443" i="10"/>
  <c r="D444" i="10"/>
  <c r="G444" i="10"/>
  <c r="H444" i="10"/>
  <c r="D445" i="10"/>
  <c r="G445" i="10"/>
  <c r="H445" i="10"/>
  <c r="D446" i="10"/>
  <c r="G446" i="10"/>
  <c r="H446" i="10"/>
  <c r="D447" i="10"/>
  <c r="G447" i="10"/>
  <c r="H447" i="10"/>
  <c r="D448" i="10"/>
  <c r="G448" i="10"/>
  <c r="H448" i="10"/>
  <c r="D449" i="10"/>
  <c r="G449" i="10"/>
  <c r="H449" i="10"/>
  <c r="D450" i="10"/>
  <c r="G450" i="10"/>
  <c r="H450" i="10"/>
  <c r="D451" i="10"/>
  <c r="G451" i="10"/>
  <c r="H451" i="10"/>
  <c r="D452" i="10"/>
  <c r="G452" i="10"/>
  <c r="H452" i="10"/>
  <c r="D453" i="10"/>
  <c r="G453" i="10"/>
  <c r="H453" i="10"/>
  <c r="D454" i="10"/>
  <c r="G454" i="10"/>
  <c r="H454" i="10"/>
  <c r="D455" i="10"/>
  <c r="G455" i="10"/>
  <c r="H455" i="10"/>
  <c r="D456" i="10"/>
  <c r="G456" i="10"/>
  <c r="H456" i="10"/>
  <c r="D457" i="10"/>
  <c r="G457" i="10"/>
  <c r="H457" i="10"/>
  <c r="D458" i="10"/>
  <c r="G458" i="10"/>
  <c r="H458" i="10"/>
  <c r="D459" i="10"/>
  <c r="G459" i="10"/>
  <c r="H459" i="10"/>
  <c r="D460" i="10"/>
  <c r="G460" i="10"/>
  <c r="H460" i="10"/>
  <c r="D461" i="10"/>
  <c r="G461" i="10"/>
  <c r="H461" i="10"/>
  <c r="D462" i="10"/>
  <c r="G462" i="10"/>
  <c r="H462" i="10"/>
  <c r="D463" i="10"/>
  <c r="G463" i="10"/>
  <c r="H463" i="10"/>
  <c r="D464" i="10"/>
  <c r="G464" i="10"/>
  <c r="H464" i="10"/>
  <c r="D465" i="10"/>
  <c r="G465" i="10"/>
  <c r="H465" i="10"/>
  <c r="D466" i="10"/>
  <c r="G466" i="10"/>
  <c r="H466" i="10"/>
  <c r="D467" i="10"/>
  <c r="G467" i="10"/>
  <c r="H467" i="10"/>
  <c r="D468" i="10"/>
  <c r="G468" i="10"/>
  <c r="H468" i="10"/>
  <c r="D469" i="10"/>
  <c r="G469" i="10"/>
  <c r="H469" i="10"/>
  <c r="D470" i="10"/>
  <c r="G470" i="10"/>
  <c r="H470" i="10"/>
  <c r="D471" i="10"/>
  <c r="G471" i="10"/>
  <c r="H471" i="10"/>
  <c r="D472" i="10"/>
  <c r="G472" i="10"/>
  <c r="H472" i="10"/>
  <c r="D473" i="10"/>
  <c r="G473" i="10"/>
  <c r="H473" i="10"/>
  <c r="D474" i="10"/>
  <c r="G474" i="10"/>
  <c r="H474" i="10"/>
  <c r="D475" i="10"/>
  <c r="G475" i="10"/>
  <c r="H475" i="10"/>
  <c r="D476" i="10"/>
  <c r="G476" i="10"/>
  <c r="H476" i="10"/>
  <c r="D477" i="10"/>
  <c r="G477" i="10"/>
  <c r="H477" i="10" s="1"/>
  <c r="D478" i="10"/>
  <c r="G478" i="10"/>
  <c r="H478" i="10"/>
  <c r="D479" i="10"/>
  <c r="G479" i="10"/>
  <c r="H479" i="10" s="1"/>
  <c r="K50" i="10" l="1"/>
  <c r="K27" i="10"/>
  <c r="K30" i="10"/>
  <c r="K23" i="10"/>
  <c r="K21" i="10"/>
  <c r="L18" i="15"/>
  <c r="K26" i="10"/>
  <c r="K49" i="10"/>
  <c r="K47" i="10"/>
  <c r="K45" i="10"/>
  <c r="K40" i="10"/>
  <c r="K37" i="10"/>
  <c r="K33" i="10"/>
  <c r="K29" i="10"/>
  <c r="K25" i="10"/>
  <c r="K36" i="10"/>
  <c r="K38" i="10"/>
  <c r="K34" i="10"/>
  <c r="K48" i="10"/>
  <c r="K46" i="10"/>
  <c r="K44" i="10"/>
  <c r="K43" i="10"/>
  <c r="K42" i="10"/>
  <c r="F50" i="10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F132" i="10" s="1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F154" i="10" s="1"/>
  <c r="F155" i="10" s="1"/>
  <c r="F156" i="10" s="1"/>
  <c r="F157" i="10" s="1"/>
  <c r="F158" i="10" s="1"/>
  <c r="F159" i="10" s="1"/>
  <c r="F160" i="10" s="1"/>
  <c r="F161" i="10" s="1"/>
  <c r="F162" i="10" s="1"/>
  <c r="F163" i="10" s="1"/>
  <c r="F164" i="10" s="1"/>
  <c r="F165" i="10" s="1"/>
  <c r="F166" i="10" s="1"/>
  <c r="F167" i="10" s="1"/>
  <c r="F168" i="10" s="1"/>
  <c r="F169" i="10" s="1"/>
  <c r="F170" i="10" s="1"/>
  <c r="F171" i="10" s="1"/>
  <c r="F172" i="10" s="1"/>
  <c r="F173" i="10" s="1"/>
  <c r="F174" i="10" s="1"/>
  <c r="F175" i="10" s="1"/>
  <c r="F176" i="10" s="1"/>
  <c r="F177" i="10" s="1"/>
  <c r="F178" i="10" s="1"/>
  <c r="F179" i="10" s="1"/>
  <c r="F180" i="10" s="1"/>
  <c r="F181" i="10" s="1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 s="1"/>
  <c r="F192" i="10" s="1"/>
  <c r="F193" i="10" s="1"/>
  <c r="F194" i="10" s="1"/>
  <c r="F195" i="10" s="1"/>
  <c r="F196" i="10" s="1"/>
  <c r="F197" i="10" s="1"/>
  <c r="F198" i="10" s="1"/>
  <c r="F199" i="10" s="1"/>
  <c r="F200" i="10" s="1"/>
  <c r="F201" i="10" s="1"/>
  <c r="F202" i="10" s="1"/>
  <c r="F203" i="10" s="1"/>
  <c r="F204" i="10" s="1"/>
  <c r="F205" i="10" s="1"/>
  <c r="F206" i="10" s="1"/>
  <c r="F207" i="10" s="1"/>
  <c r="F208" i="10" s="1"/>
  <c r="F209" i="10" s="1"/>
  <c r="F210" i="10" s="1"/>
  <c r="F211" i="10" s="1"/>
  <c r="F212" i="10" s="1"/>
  <c r="F213" i="10" s="1"/>
  <c r="F214" i="10" s="1"/>
  <c r="F215" i="10" s="1"/>
  <c r="F216" i="10" s="1"/>
  <c r="F217" i="10" s="1"/>
  <c r="F218" i="10" s="1"/>
  <c r="F219" i="10" s="1"/>
  <c r="F220" i="10" s="1"/>
  <c r="F221" i="10" s="1"/>
  <c r="F222" i="10" s="1"/>
  <c r="F223" i="10" s="1"/>
  <c r="F224" i="10" s="1"/>
  <c r="F225" i="10" s="1"/>
  <c r="F226" i="10" s="1"/>
  <c r="F227" i="10" s="1"/>
  <c r="F228" i="10" s="1"/>
  <c r="F229" i="10" s="1"/>
  <c r="F230" i="10" s="1"/>
  <c r="F231" i="10" s="1"/>
  <c r="F232" i="10" s="1"/>
  <c r="F233" i="10" s="1"/>
  <c r="F234" i="10" s="1"/>
  <c r="F235" i="10" s="1"/>
  <c r="F236" i="10" s="1"/>
  <c r="F237" i="10" s="1"/>
  <c r="F238" i="10" s="1"/>
  <c r="F239" i="10" s="1"/>
  <c r="F240" i="10" s="1"/>
  <c r="F241" i="10" s="1"/>
  <c r="F242" i="10" s="1"/>
  <c r="F243" i="10" s="1"/>
  <c r="F244" i="10" s="1"/>
  <c r="F245" i="10" s="1"/>
  <c r="F246" i="10" s="1"/>
  <c r="F247" i="10" s="1"/>
  <c r="F248" i="10" s="1"/>
  <c r="F249" i="10" s="1"/>
  <c r="F250" i="10" s="1"/>
  <c r="F251" i="10" s="1"/>
  <c r="F252" i="10" s="1"/>
  <c r="F253" i="10" s="1"/>
  <c r="F254" i="10" s="1"/>
  <c r="F255" i="10" s="1"/>
  <c r="F256" i="10" s="1"/>
  <c r="F257" i="10" s="1"/>
  <c r="F258" i="10" s="1"/>
  <c r="F259" i="10" s="1"/>
  <c r="F260" i="10" s="1"/>
  <c r="F261" i="10" s="1"/>
  <c r="F262" i="10" s="1"/>
  <c r="F263" i="10" s="1"/>
  <c r="F264" i="10" s="1"/>
  <c r="F265" i="10" s="1"/>
  <c r="F266" i="10" s="1"/>
  <c r="F267" i="10" s="1"/>
  <c r="F268" i="10" s="1"/>
  <c r="F269" i="10" s="1"/>
  <c r="F270" i="10" s="1"/>
  <c r="F271" i="10" s="1"/>
  <c r="F272" i="10" s="1"/>
  <c r="F273" i="10" s="1"/>
  <c r="F274" i="10" s="1"/>
  <c r="F275" i="10" s="1"/>
  <c r="F276" i="10" s="1"/>
  <c r="F277" i="10" s="1"/>
  <c r="F278" i="10" s="1"/>
  <c r="F279" i="10" s="1"/>
  <c r="F280" i="10" s="1"/>
  <c r="F281" i="10" s="1"/>
  <c r="F282" i="10" s="1"/>
  <c r="F283" i="10" s="1"/>
  <c r="F284" i="10" s="1"/>
  <c r="F285" i="10" s="1"/>
  <c r="F286" i="10" s="1"/>
  <c r="F287" i="10" s="1"/>
  <c r="F288" i="10" s="1"/>
  <c r="F289" i="10" s="1"/>
  <c r="F290" i="10" s="1"/>
  <c r="F291" i="10" s="1"/>
  <c r="F292" i="10" s="1"/>
  <c r="F293" i="10" s="1"/>
  <c r="F294" i="10" s="1"/>
  <c r="F295" i="10" s="1"/>
  <c r="F296" i="10" s="1"/>
  <c r="F297" i="10" s="1"/>
  <c r="F298" i="10" s="1"/>
  <c r="F299" i="10" s="1"/>
  <c r="F300" i="10" s="1"/>
  <c r="F301" i="10" s="1"/>
  <c r="F302" i="10" s="1"/>
  <c r="F303" i="10" s="1"/>
  <c r="F304" i="10" s="1"/>
  <c r="F305" i="10" s="1"/>
  <c r="F306" i="10" s="1"/>
  <c r="F307" i="10" s="1"/>
  <c r="F308" i="10" s="1"/>
  <c r="F309" i="10" s="1"/>
  <c r="F310" i="10" s="1"/>
  <c r="F311" i="10" s="1"/>
  <c r="F312" i="10" s="1"/>
  <c r="F313" i="10" s="1"/>
  <c r="F314" i="10" s="1"/>
  <c r="F315" i="10" s="1"/>
  <c r="F316" i="10" s="1"/>
  <c r="F317" i="10" s="1"/>
  <c r="F318" i="10" s="1"/>
  <c r="F319" i="10" s="1"/>
  <c r="F320" i="10" s="1"/>
  <c r="F321" i="10" s="1"/>
  <c r="F322" i="10" s="1"/>
  <c r="F323" i="10" s="1"/>
  <c r="F324" i="10" s="1"/>
  <c r="F325" i="10" s="1"/>
  <c r="F326" i="10" s="1"/>
  <c r="F327" i="10" s="1"/>
  <c r="F328" i="10" s="1"/>
  <c r="F329" i="10" s="1"/>
  <c r="F330" i="10" s="1"/>
  <c r="F331" i="10" s="1"/>
  <c r="F332" i="10" s="1"/>
  <c r="F333" i="10" s="1"/>
  <c r="F334" i="10" s="1"/>
  <c r="F335" i="10" s="1"/>
  <c r="F336" i="10" s="1"/>
  <c r="F337" i="10" s="1"/>
  <c r="F338" i="10" s="1"/>
  <c r="F339" i="10" s="1"/>
  <c r="F340" i="10" s="1"/>
  <c r="F341" i="10" s="1"/>
  <c r="F342" i="10" s="1"/>
  <c r="F343" i="10" s="1"/>
  <c r="F344" i="10" s="1"/>
  <c r="F345" i="10" s="1"/>
  <c r="F346" i="10" s="1"/>
  <c r="F347" i="10" s="1"/>
  <c r="F348" i="10" s="1"/>
  <c r="F349" i="10" s="1"/>
  <c r="F350" i="10" s="1"/>
  <c r="F351" i="10" s="1"/>
  <c r="F352" i="10" s="1"/>
  <c r="F353" i="10" s="1"/>
  <c r="F354" i="10" s="1"/>
  <c r="F355" i="10" s="1"/>
  <c r="F356" i="10" s="1"/>
  <c r="F357" i="10" s="1"/>
  <c r="F358" i="10" s="1"/>
  <c r="F359" i="10" s="1"/>
  <c r="F360" i="10" s="1"/>
  <c r="F361" i="10" s="1"/>
  <c r="F362" i="10" s="1"/>
  <c r="F363" i="10" s="1"/>
  <c r="F364" i="10" s="1"/>
  <c r="F365" i="10" s="1"/>
  <c r="F366" i="10" s="1"/>
  <c r="F367" i="10" s="1"/>
  <c r="F368" i="10" s="1"/>
  <c r="F369" i="10" s="1"/>
  <c r="F370" i="10" s="1"/>
  <c r="F371" i="10" s="1"/>
  <c r="F372" i="10" s="1"/>
  <c r="F373" i="10" s="1"/>
  <c r="F374" i="10" s="1"/>
  <c r="F375" i="10" s="1"/>
  <c r="F376" i="10" s="1"/>
  <c r="F377" i="10" s="1"/>
  <c r="F378" i="10" s="1"/>
  <c r="F379" i="10" s="1"/>
  <c r="F380" i="10" s="1"/>
  <c r="F381" i="10" s="1"/>
  <c r="F382" i="10" s="1"/>
  <c r="F383" i="10" s="1"/>
  <c r="F384" i="10" s="1"/>
  <c r="F385" i="10" s="1"/>
  <c r="F386" i="10" s="1"/>
  <c r="F387" i="10" s="1"/>
  <c r="F388" i="10" s="1"/>
  <c r="F389" i="10" s="1"/>
  <c r="F390" i="10" s="1"/>
  <c r="F391" i="10" s="1"/>
  <c r="F392" i="10" s="1"/>
  <c r="F393" i="10" s="1"/>
  <c r="F394" i="10" s="1"/>
  <c r="F395" i="10" s="1"/>
  <c r="F396" i="10" s="1"/>
  <c r="F397" i="10" s="1"/>
  <c r="F398" i="10" s="1"/>
  <c r="F399" i="10" s="1"/>
  <c r="F400" i="10" s="1"/>
  <c r="F401" i="10" s="1"/>
  <c r="F402" i="10" s="1"/>
  <c r="F403" i="10" s="1"/>
  <c r="F404" i="10" s="1"/>
  <c r="F405" i="10" s="1"/>
  <c r="F406" i="10" s="1"/>
  <c r="F407" i="10" s="1"/>
  <c r="F408" i="10" s="1"/>
  <c r="F409" i="10" s="1"/>
  <c r="F410" i="10" s="1"/>
  <c r="F411" i="10" s="1"/>
  <c r="F412" i="10" s="1"/>
  <c r="F413" i="10" s="1"/>
  <c r="F414" i="10" s="1"/>
  <c r="F415" i="10" s="1"/>
  <c r="F416" i="10" s="1"/>
  <c r="F417" i="10" s="1"/>
  <c r="F418" i="10" s="1"/>
  <c r="F419" i="10" s="1"/>
  <c r="F420" i="10" s="1"/>
  <c r="F421" i="10" s="1"/>
  <c r="F422" i="10" s="1"/>
  <c r="F423" i="10" s="1"/>
  <c r="F424" i="10" s="1"/>
  <c r="F425" i="10" s="1"/>
  <c r="F426" i="10" s="1"/>
  <c r="F427" i="10" s="1"/>
  <c r="F428" i="10" s="1"/>
  <c r="F429" i="10" s="1"/>
  <c r="F430" i="10" s="1"/>
  <c r="F431" i="10" s="1"/>
  <c r="F432" i="10" s="1"/>
  <c r="F433" i="10" s="1"/>
  <c r="F434" i="10" s="1"/>
  <c r="F435" i="10" s="1"/>
  <c r="F436" i="10" s="1"/>
  <c r="F437" i="10" s="1"/>
  <c r="F438" i="10" s="1"/>
  <c r="F439" i="10" s="1"/>
  <c r="F440" i="10" s="1"/>
  <c r="F441" i="10" s="1"/>
  <c r="F442" i="10" s="1"/>
  <c r="F443" i="10" s="1"/>
  <c r="F444" i="10" s="1"/>
  <c r="F445" i="10" s="1"/>
  <c r="F446" i="10" s="1"/>
  <c r="F447" i="10" s="1"/>
  <c r="F448" i="10" s="1"/>
  <c r="F449" i="10" s="1"/>
  <c r="F450" i="10" s="1"/>
  <c r="F451" i="10" s="1"/>
  <c r="F452" i="10" s="1"/>
  <c r="F453" i="10" s="1"/>
  <c r="F454" i="10" s="1"/>
  <c r="F455" i="10" s="1"/>
  <c r="F456" i="10" s="1"/>
  <c r="F457" i="10" s="1"/>
  <c r="F458" i="10" s="1"/>
  <c r="F459" i="10" s="1"/>
  <c r="F460" i="10" s="1"/>
  <c r="F461" i="10" s="1"/>
  <c r="F462" i="10" s="1"/>
  <c r="F463" i="10" s="1"/>
  <c r="F464" i="10" s="1"/>
  <c r="F465" i="10" s="1"/>
  <c r="F466" i="10" s="1"/>
  <c r="F467" i="10" s="1"/>
  <c r="F468" i="10" s="1"/>
  <c r="F469" i="10" s="1"/>
  <c r="F470" i="10" s="1"/>
  <c r="F471" i="10" s="1"/>
  <c r="F472" i="10" s="1"/>
  <c r="F473" i="10" s="1"/>
  <c r="F474" i="10" s="1"/>
  <c r="F475" i="10" s="1"/>
  <c r="F476" i="10" s="1"/>
  <c r="F477" i="10" s="1"/>
  <c r="F478" i="10" s="1"/>
  <c r="F479" i="10" s="1"/>
  <c r="M18" i="15"/>
  <c r="K32" i="10"/>
  <c r="K24" i="10"/>
  <c r="K28" i="10"/>
  <c r="K22" i="10"/>
  <c r="K20" i="10"/>
  <c r="K18" i="10"/>
  <c r="L52" i="6"/>
  <c r="E201" i="5"/>
  <c r="D128" i="5"/>
  <c r="K39" i="10"/>
  <c r="K35" i="10"/>
  <c r="K31" i="10"/>
  <c r="C132" i="5"/>
  <c r="C137" i="5"/>
  <c r="G12" i="10"/>
  <c r="H12" i="10" s="1"/>
  <c r="H13" i="10"/>
  <c r="K17" i="10"/>
  <c r="X22" i="15"/>
  <c r="AN2" i="10"/>
  <c r="S2" i="10"/>
  <c r="AK2" i="10"/>
  <c r="K16" i="10"/>
  <c r="K14" i="10"/>
  <c r="N2" i="10"/>
  <c r="V2" i="10"/>
  <c r="AD2" i="10"/>
  <c r="AL2" i="10"/>
  <c r="AT2" i="10"/>
  <c r="O2" i="10"/>
  <c r="W2" i="10"/>
  <c r="AE2" i="10"/>
  <c r="AM2" i="10"/>
  <c r="AU2" i="10"/>
  <c r="Q2" i="10"/>
  <c r="Y2" i="10"/>
  <c r="AG2" i="10"/>
  <c r="AO2" i="10"/>
  <c r="AW2" i="10"/>
  <c r="R2" i="10"/>
  <c r="Z2" i="10"/>
  <c r="AH2" i="10"/>
  <c r="AP2" i="10"/>
  <c r="AX2" i="10"/>
  <c r="M2" i="10"/>
  <c r="T2" i="10"/>
  <c r="AB2" i="10"/>
  <c r="AJ2" i="10"/>
  <c r="AR2" i="10"/>
  <c r="K55" i="6"/>
  <c r="AV2" i="10"/>
  <c r="AA2" i="10"/>
  <c r="W22" i="14"/>
  <c r="D7" i="2"/>
  <c r="D30" i="5"/>
  <c r="D36" i="5" s="1"/>
  <c r="D127" i="5" s="1"/>
  <c r="M20" i="13"/>
  <c r="AS2" i="10"/>
  <c r="X2" i="10"/>
  <c r="E19" i="13"/>
  <c r="M19" i="13"/>
  <c r="Q22" i="13"/>
  <c r="Y22" i="13"/>
  <c r="L18" i="13"/>
  <c r="F19" i="13"/>
  <c r="F19" i="15" s="1"/>
  <c r="R22" i="13"/>
  <c r="P19" i="13"/>
  <c r="L22" i="13"/>
  <c r="AA22" i="13" s="1"/>
  <c r="T22" i="13"/>
  <c r="M22" i="13"/>
  <c r="U22" i="13"/>
  <c r="O22" i="13"/>
  <c r="W22" i="13"/>
  <c r="Y24" i="13"/>
  <c r="H5" i="13"/>
  <c r="B192" i="5"/>
  <c r="E209" i="5"/>
  <c r="B209" i="5" s="1"/>
  <c r="D46" i="5"/>
  <c r="E200" i="5"/>
  <c r="E208" i="5"/>
  <c r="AA45" i="5"/>
  <c r="G45" i="5"/>
  <c r="E45" i="5"/>
  <c r="F45" i="5"/>
  <c r="D45" i="5"/>
  <c r="H5" i="12"/>
  <c r="P20" i="13"/>
  <c r="M19" i="12"/>
  <c r="M20" i="12" s="1"/>
  <c r="E19" i="12"/>
  <c r="E19" i="15" s="1"/>
  <c r="S78" i="5"/>
  <c r="S77" i="5"/>
  <c r="Y24" i="12"/>
  <c r="W22" i="12"/>
  <c r="O22" i="12"/>
  <c r="H107" i="5"/>
  <c r="H115" i="5" s="1"/>
  <c r="H117" i="5" s="1"/>
  <c r="H135" i="5" s="1"/>
  <c r="S22" i="12"/>
  <c r="K22" i="12"/>
  <c r="G19" i="12"/>
  <c r="G19" i="15" s="1"/>
  <c r="J100" i="5"/>
  <c r="H19" i="13" s="1"/>
  <c r="J99" i="5"/>
  <c r="V110" i="5"/>
  <c r="K104" i="5"/>
  <c r="S104" i="5"/>
  <c r="AA104" i="5"/>
  <c r="D104" i="5"/>
  <c r="L104" i="5"/>
  <c r="T104" i="5"/>
  <c r="G104" i="5"/>
  <c r="O104" i="5"/>
  <c r="W104" i="5"/>
  <c r="I104" i="5"/>
  <c r="Q104" i="5"/>
  <c r="Y104" i="5"/>
  <c r="K110" i="5"/>
  <c r="S110" i="5"/>
  <c r="AA110" i="5"/>
  <c r="D110" i="5"/>
  <c r="L110" i="5"/>
  <c r="T110" i="5"/>
  <c r="G110" i="5"/>
  <c r="O110" i="5"/>
  <c r="W110" i="5"/>
  <c r="Q110" i="5"/>
  <c r="E110" i="5"/>
  <c r="H116" i="5"/>
  <c r="P110" i="5"/>
  <c r="P104" i="5"/>
  <c r="N24" i="9"/>
  <c r="F41" i="9"/>
  <c r="F42" i="9" s="1"/>
  <c r="F43" i="9" s="1"/>
  <c r="F44" i="9" s="1"/>
  <c r="F45" i="9" s="1"/>
  <c r="F46" i="9" s="1"/>
  <c r="F47" i="9" s="1"/>
  <c r="Y18" i="5"/>
  <c r="Y51" i="5" s="1"/>
  <c r="Y123" i="5" s="1"/>
  <c r="P16" i="5"/>
  <c r="O18" i="5"/>
  <c r="V17" i="5"/>
  <c r="V18" i="5"/>
  <c r="N17" i="5"/>
  <c r="N18" i="5"/>
  <c r="K15" i="5"/>
  <c r="H6" i="5"/>
  <c r="H7" i="5" s="1"/>
  <c r="I5" i="5"/>
  <c r="F17" i="5"/>
  <c r="F18" i="5"/>
  <c r="F51" i="5" s="1"/>
  <c r="F123" i="5" s="1"/>
  <c r="W16" i="5"/>
  <c r="W8" i="5"/>
  <c r="W15" i="5"/>
  <c r="G14" i="5"/>
  <c r="H10" i="5"/>
  <c r="R17" i="5"/>
  <c r="J17" i="5"/>
  <c r="O8" i="5"/>
  <c r="X15" i="5"/>
  <c r="P15" i="5"/>
  <c r="H15" i="5"/>
  <c r="Y8" i="5"/>
  <c r="AB22" i="9"/>
  <c r="AC22" i="9" s="1"/>
  <c r="AD22" i="9" s="1"/>
  <c r="AE22" i="9" s="1"/>
  <c r="AF22" i="9" s="1"/>
  <c r="AG22" i="9" s="1"/>
  <c r="AH22" i="9" s="1"/>
  <c r="AI22" i="9" s="1"/>
  <c r="AJ22" i="9" s="1"/>
  <c r="AK22" i="9" s="1"/>
  <c r="AL22" i="9" s="1"/>
  <c r="AM22" i="9" s="1"/>
  <c r="AN22" i="9" s="1"/>
  <c r="AO22" i="9" s="1"/>
  <c r="AP22" i="9" s="1"/>
  <c r="AQ22" i="9" s="1"/>
  <c r="F8" i="5"/>
  <c r="N8" i="5"/>
  <c r="V8" i="5"/>
  <c r="K16" i="5"/>
  <c r="S16" i="5"/>
  <c r="S18" i="5" s="1"/>
  <c r="H8" i="5"/>
  <c r="P8" i="5"/>
  <c r="X8" i="5"/>
  <c r="Z15" i="5"/>
  <c r="M16" i="5"/>
  <c r="M18" i="5" s="1"/>
  <c r="U16" i="5"/>
  <c r="J8" i="5"/>
  <c r="R8" i="5"/>
  <c r="Z8" i="5"/>
  <c r="K60" i="9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J18" i="5"/>
  <c r="Z16" i="5"/>
  <c r="I15" i="5"/>
  <c r="T8" i="5"/>
  <c r="G8" i="5"/>
  <c r="Y16" i="5"/>
  <c r="U15" i="5"/>
  <c r="G15" i="5"/>
  <c r="T15" i="5"/>
  <c r="L15" i="5"/>
  <c r="S8" i="5"/>
  <c r="M46" i="9"/>
  <c r="O25" i="9"/>
  <c r="J30" i="2"/>
  <c r="F4" i="2"/>
  <c r="G18" i="5" l="1"/>
  <c r="G17" i="5"/>
  <c r="G78" i="5"/>
  <c r="G77" i="5"/>
  <c r="G10" i="15"/>
  <c r="G10" i="14"/>
  <c r="G10" i="13"/>
  <c r="G10" i="12"/>
  <c r="L3" i="6"/>
  <c r="L48" i="6" s="1"/>
  <c r="U18" i="5"/>
  <c r="U17" i="5"/>
  <c r="U77" i="5"/>
  <c r="U78" i="5"/>
  <c r="M47" i="9"/>
  <c r="S144" i="5"/>
  <c r="Q18" i="14"/>
  <c r="I18" i="5"/>
  <c r="I17" i="5"/>
  <c r="I78" i="5"/>
  <c r="I77" i="5"/>
  <c r="I6" i="5"/>
  <c r="I7" i="5" s="1"/>
  <c r="J5" i="5"/>
  <c r="G16" i="13"/>
  <c r="G17" i="13" s="1"/>
  <c r="G16" i="15"/>
  <c r="G17" i="15" s="1"/>
  <c r="G16" i="12"/>
  <c r="G17" i="12" s="1"/>
  <c r="G16" i="14"/>
  <c r="G17" i="14" s="1"/>
  <c r="R18" i="12"/>
  <c r="E61" i="5"/>
  <c r="E175" i="5"/>
  <c r="K12" i="10"/>
  <c r="M3" i="10" s="1" a="1"/>
  <c r="L18" i="5"/>
  <c r="L17" i="5"/>
  <c r="L77" i="5"/>
  <c r="L78" i="5"/>
  <c r="H54" i="5"/>
  <c r="T18" i="5"/>
  <c r="T17" i="5"/>
  <c r="T77" i="5"/>
  <c r="R18" i="14" s="1"/>
  <c r="T78" i="5"/>
  <c r="U100" i="5"/>
  <c r="H17" i="5"/>
  <c r="H18" i="5"/>
  <c r="H77" i="5"/>
  <c r="H78" i="5"/>
  <c r="W17" i="5"/>
  <c r="W18" i="5"/>
  <c r="W78" i="5"/>
  <c r="W77" i="5"/>
  <c r="K18" i="5"/>
  <c r="K17" i="5"/>
  <c r="K77" i="5"/>
  <c r="K78" i="5"/>
  <c r="P17" i="5"/>
  <c r="P77" i="5"/>
  <c r="P18" i="5"/>
  <c r="P78" i="5"/>
  <c r="J145" i="5"/>
  <c r="J146" i="5" s="1"/>
  <c r="H19" i="14"/>
  <c r="I19" i="14"/>
  <c r="W22" i="15"/>
  <c r="G61" i="5"/>
  <c r="G175" i="5"/>
  <c r="D62" i="5"/>
  <c r="D176" i="5"/>
  <c r="Y26" i="13"/>
  <c r="Y22" i="15"/>
  <c r="Z17" i="5"/>
  <c r="Z18" i="5"/>
  <c r="Z51" i="5" s="1"/>
  <c r="Z123" i="5" s="1"/>
  <c r="Z78" i="5"/>
  <c r="Z77" i="5"/>
  <c r="X17" i="5"/>
  <c r="X18" i="5"/>
  <c r="X51" i="5" s="1"/>
  <c r="X123" i="5" s="1"/>
  <c r="X77" i="5"/>
  <c r="X78" i="5"/>
  <c r="H19" i="12"/>
  <c r="H19" i="15" s="1"/>
  <c r="G54" i="5"/>
  <c r="AA61" i="5"/>
  <c r="AA175" i="5"/>
  <c r="Y100" i="5"/>
  <c r="Y99" i="5"/>
  <c r="Y17" i="5"/>
  <c r="O26" i="9"/>
  <c r="W100" i="5"/>
  <c r="F61" i="5"/>
  <c r="F175" i="5"/>
  <c r="E7" i="2"/>
  <c r="E30" i="5"/>
  <c r="E36" i="5" s="1"/>
  <c r="E127" i="5" s="1"/>
  <c r="K72" i="9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O27" i="9"/>
  <c r="F48" i="9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AA22" i="12"/>
  <c r="Q18" i="12"/>
  <c r="Y24" i="15"/>
  <c r="Y26" i="12"/>
  <c r="Y26" i="15" s="1"/>
  <c r="H45" i="5"/>
  <c r="M17" i="5"/>
  <c r="M100" i="5"/>
  <c r="S100" i="5"/>
  <c r="H14" i="5"/>
  <c r="I10" i="5"/>
  <c r="D50" i="5"/>
  <c r="D61" i="5"/>
  <c r="D65" i="5" s="1"/>
  <c r="D175" i="5"/>
  <c r="D177" i="5" s="1"/>
  <c r="D179" i="5" s="1"/>
  <c r="D194" i="5" s="1"/>
  <c r="D210" i="5" s="1"/>
  <c r="L46" i="6"/>
  <c r="G4" i="2"/>
  <c r="G27" i="5"/>
  <c r="G4" i="5" s="1"/>
  <c r="G141" i="5" s="1"/>
  <c r="Z100" i="5"/>
  <c r="Z99" i="5"/>
  <c r="K99" i="5"/>
  <c r="K100" i="5"/>
  <c r="G11" i="13"/>
  <c r="G11" i="15"/>
  <c r="G11" i="12"/>
  <c r="G11" i="14"/>
  <c r="P100" i="5"/>
  <c r="S17" i="5"/>
  <c r="Q18" i="13"/>
  <c r="T19" i="13" l="1"/>
  <c r="T19" i="12"/>
  <c r="S19" i="12"/>
  <c r="S19" i="13"/>
  <c r="G12" i="12"/>
  <c r="H61" i="5"/>
  <c r="H175" i="5"/>
  <c r="X19" i="12"/>
  <c r="X19" i="13"/>
  <c r="W19" i="13"/>
  <c r="W19" i="12"/>
  <c r="X144" i="5"/>
  <c r="X146" i="5" s="1"/>
  <c r="W18" i="14"/>
  <c r="P144" i="5"/>
  <c r="O18" i="14"/>
  <c r="N18" i="14"/>
  <c r="S18" i="13"/>
  <c r="S20" i="13" s="1"/>
  <c r="S18" i="12"/>
  <c r="L144" i="5"/>
  <c r="K18" i="14"/>
  <c r="R18" i="13"/>
  <c r="J6" i="5"/>
  <c r="J7" i="5" s="1"/>
  <c r="K5" i="5"/>
  <c r="H16" i="12"/>
  <c r="H17" i="12" s="1"/>
  <c r="H16" i="14"/>
  <c r="H17" i="14" s="1"/>
  <c r="H16" i="13"/>
  <c r="H17" i="13" s="1"/>
  <c r="H16" i="15"/>
  <c r="H17" i="15" s="1"/>
  <c r="G12" i="14"/>
  <c r="Y19" i="14"/>
  <c r="Z145" i="5"/>
  <c r="D184" i="5"/>
  <c r="D186" i="5" s="1"/>
  <c r="D197" i="5"/>
  <c r="D211" i="5" s="1"/>
  <c r="N25" i="9"/>
  <c r="X18" i="12"/>
  <c r="Y18" i="12"/>
  <c r="Y18" i="13"/>
  <c r="X18" i="13"/>
  <c r="W144" i="5"/>
  <c r="U18" i="14"/>
  <c r="V18" i="14"/>
  <c r="M48" i="9"/>
  <c r="Q20" i="13"/>
  <c r="H4" i="2"/>
  <c r="H27" i="5"/>
  <c r="N18" i="12"/>
  <c r="O18" i="13"/>
  <c r="O18" i="12"/>
  <c r="N18" i="13"/>
  <c r="N20" i="13" s="1"/>
  <c r="J19" i="12"/>
  <c r="J19" i="13"/>
  <c r="J10" i="5"/>
  <c r="I14" i="5"/>
  <c r="L19" i="12"/>
  <c r="L19" i="13"/>
  <c r="L20" i="13" s="1"/>
  <c r="K19" i="12"/>
  <c r="K19" i="13"/>
  <c r="F7" i="2"/>
  <c r="F30" i="5"/>
  <c r="F36" i="5" s="1"/>
  <c r="F127" i="5" s="1"/>
  <c r="I19" i="12"/>
  <c r="J18" i="12"/>
  <c r="J18" i="13"/>
  <c r="I18" i="12"/>
  <c r="I18" i="13"/>
  <c r="G18" i="13"/>
  <c r="G20" i="13" s="1"/>
  <c r="G18" i="12"/>
  <c r="T144" i="5"/>
  <c r="S18" i="14"/>
  <c r="R18" i="15"/>
  <c r="I45" i="5"/>
  <c r="G12" i="15"/>
  <c r="K145" i="5"/>
  <c r="I19" i="13"/>
  <c r="K144" i="5"/>
  <c r="K146" i="5" s="1"/>
  <c r="J18" i="14"/>
  <c r="I18" i="14"/>
  <c r="I20" i="14" s="1"/>
  <c r="H144" i="5"/>
  <c r="H146" i="5" s="1"/>
  <c r="G18" i="14"/>
  <c r="G20" i="14" s="1"/>
  <c r="I144" i="5"/>
  <c r="I146" i="5" s="1"/>
  <c r="H18" i="14"/>
  <c r="H20" i="14" s="1"/>
  <c r="G144" i="5"/>
  <c r="G146" i="5" s="1"/>
  <c r="E18" i="14"/>
  <c r="E20" i="14" s="1"/>
  <c r="F18" i="14"/>
  <c r="F20" i="14" s="1"/>
  <c r="O19" i="12"/>
  <c r="O19" i="13"/>
  <c r="N19" i="12"/>
  <c r="N19" i="13"/>
  <c r="R19" i="12"/>
  <c r="Q19" i="12"/>
  <c r="Q20" i="12" s="1"/>
  <c r="R19" i="13"/>
  <c r="Q19" i="13"/>
  <c r="Q18" i="15"/>
  <c r="N26" i="9"/>
  <c r="F60" i="9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V19" i="13"/>
  <c r="V19" i="12"/>
  <c r="U19" i="12"/>
  <c r="U19" i="13"/>
  <c r="Z144" i="5"/>
  <c r="Z146" i="5" s="1"/>
  <c r="X18" i="14"/>
  <c r="Y18" i="14"/>
  <c r="Y20" i="14" s="1"/>
  <c r="N3" i="10"/>
  <c r="V3" i="10"/>
  <c r="AD3" i="10"/>
  <c r="AL3" i="10"/>
  <c r="AT3" i="10"/>
  <c r="O3" i="10"/>
  <c r="W3" i="10"/>
  <c r="AE3" i="10"/>
  <c r="AM3" i="10"/>
  <c r="AU3" i="10"/>
  <c r="Q3" i="10"/>
  <c r="Y3" i="10"/>
  <c r="AG3" i="10"/>
  <c r="AO3" i="10"/>
  <c r="AW3" i="10"/>
  <c r="R3" i="10"/>
  <c r="Z3" i="10"/>
  <c r="AH3" i="10"/>
  <c r="AP3" i="10"/>
  <c r="AX3" i="10"/>
  <c r="M3" i="10"/>
  <c r="T3" i="10"/>
  <c r="AB3" i="10"/>
  <c r="AJ3" i="10"/>
  <c r="AR3" i="10"/>
  <c r="AA3" i="10"/>
  <c r="AV3" i="10"/>
  <c r="AC3" i="10"/>
  <c r="AY3" i="10"/>
  <c r="P3" i="10"/>
  <c r="AK3" i="10"/>
  <c r="S3" i="10"/>
  <c r="AN3" i="10"/>
  <c r="U3" i="10"/>
  <c r="AQ3" i="10"/>
  <c r="X3" i="10"/>
  <c r="AF3" i="10"/>
  <c r="AI3" i="10"/>
  <c r="AS3" i="10"/>
  <c r="H18" i="12"/>
  <c r="H18" i="13"/>
  <c r="H20" i="13" s="1"/>
  <c r="L66" i="6"/>
  <c r="E18" i="12"/>
  <c r="F18" i="12"/>
  <c r="F18" i="13"/>
  <c r="F20" i="13" s="1"/>
  <c r="E18" i="13"/>
  <c r="E20" i="13" s="1"/>
  <c r="Y19" i="13"/>
  <c r="Y19" i="12"/>
  <c r="Y19" i="15" s="1"/>
  <c r="V18" i="12"/>
  <c r="V18" i="13"/>
  <c r="V20" i="13" s="1"/>
  <c r="U18" i="13"/>
  <c r="U20" i="13" s="1"/>
  <c r="U18" i="12"/>
  <c r="T18" i="13"/>
  <c r="T20" i="13" s="1"/>
  <c r="T18" i="12"/>
  <c r="K84" i="9"/>
  <c r="K85" i="9" s="1"/>
  <c r="K86" i="9" s="1"/>
  <c r="K87" i="9" s="1"/>
  <c r="K88" i="9" s="1"/>
  <c r="K89" i="9" s="1"/>
  <c r="K90" i="9" s="1"/>
  <c r="K91" i="9" s="1"/>
  <c r="K92" i="9" s="1"/>
  <c r="K93" i="9" s="1"/>
  <c r="K94" i="9" s="1"/>
  <c r="K95" i="9" s="1"/>
  <c r="O28" i="9"/>
  <c r="Y145" i="5"/>
  <c r="Y146" i="5" s="1"/>
  <c r="W19" i="14"/>
  <c r="X19" i="14"/>
  <c r="W18" i="13"/>
  <c r="W20" i="13" s="1"/>
  <c r="W18" i="12"/>
  <c r="K18" i="13"/>
  <c r="K18" i="12"/>
  <c r="T18" i="14"/>
  <c r="U144" i="5"/>
  <c r="G12" i="13"/>
  <c r="X19" i="15" l="1"/>
  <c r="V20" i="12"/>
  <c r="V18" i="15"/>
  <c r="I20" i="13"/>
  <c r="AA19" i="12"/>
  <c r="O20" i="12"/>
  <c r="O18" i="15"/>
  <c r="W20" i="12"/>
  <c r="W18" i="15"/>
  <c r="T20" i="12"/>
  <c r="T18" i="15"/>
  <c r="F18" i="15"/>
  <c r="F20" i="15" s="1"/>
  <c r="F20" i="12"/>
  <c r="J20" i="13"/>
  <c r="L20" i="12"/>
  <c r="N20" i="12"/>
  <c r="N18" i="15"/>
  <c r="Y20" i="13"/>
  <c r="AA18" i="14"/>
  <c r="E20" i="12"/>
  <c r="E18" i="15"/>
  <c r="E20" i="15" s="1"/>
  <c r="X20" i="14"/>
  <c r="R20" i="12"/>
  <c r="J20" i="12"/>
  <c r="J18" i="15"/>
  <c r="H4" i="5"/>
  <c r="H141" i="5" s="1"/>
  <c r="G89" i="5"/>
  <c r="G90" i="5"/>
  <c r="G105" i="5"/>
  <c r="G106" i="5"/>
  <c r="F106" i="5" s="1"/>
  <c r="E106" i="5" s="1"/>
  <c r="D106" i="5" s="1"/>
  <c r="G112" i="5"/>
  <c r="G111" i="5"/>
  <c r="Y20" i="12"/>
  <c r="Y18" i="15"/>
  <c r="Y20" i="15" s="1"/>
  <c r="I19" i="15"/>
  <c r="K10" i="5"/>
  <c r="J14" i="5"/>
  <c r="I4" i="2"/>
  <c r="I27" i="5"/>
  <c r="X18" i="15"/>
  <c r="X20" i="15" s="1"/>
  <c r="X20" i="12"/>
  <c r="S18" i="15"/>
  <c r="S20" i="12"/>
  <c r="W19" i="15"/>
  <c r="AA18" i="12"/>
  <c r="K18" i="15"/>
  <c r="K20" i="12"/>
  <c r="G7" i="2"/>
  <c r="G30" i="5"/>
  <c r="G36" i="5" s="1"/>
  <c r="G127" i="5" s="1"/>
  <c r="U20" i="12"/>
  <c r="U18" i="15"/>
  <c r="K20" i="13"/>
  <c r="AA18" i="13"/>
  <c r="H18" i="15"/>
  <c r="H20" i="15" s="1"/>
  <c r="H20" i="12"/>
  <c r="J54" i="5"/>
  <c r="J45" i="5"/>
  <c r="G20" i="12"/>
  <c r="G18" i="15"/>
  <c r="G20" i="15" s="1"/>
  <c r="I25" i="2"/>
  <c r="H84" i="5" s="1"/>
  <c r="H25" i="2"/>
  <c r="AA19" i="13"/>
  <c r="K6" i="5"/>
  <c r="K7" i="5" s="1"/>
  <c r="L5" i="5"/>
  <c r="I16" i="12"/>
  <c r="I17" i="12" s="1"/>
  <c r="I16" i="15"/>
  <c r="I17" i="15" s="1"/>
  <c r="I16" i="13"/>
  <c r="I17" i="13" s="1"/>
  <c r="I16" i="14"/>
  <c r="I17" i="14" s="1"/>
  <c r="K96" i="9"/>
  <c r="K97" i="9" s="1"/>
  <c r="K98" i="9" s="1"/>
  <c r="K99" i="9" s="1"/>
  <c r="K100" i="9" s="1"/>
  <c r="K101" i="9" s="1"/>
  <c r="K102" i="9" s="1"/>
  <c r="K103" i="9" s="1"/>
  <c r="K104" i="9" s="1"/>
  <c r="K105" i="9" s="1"/>
  <c r="K106" i="9" s="1"/>
  <c r="K107" i="9" s="1"/>
  <c r="O29" i="9"/>
  <c r="E42" i="5"/>
  <c r="F42" i="5" s="1"/>
  <c r="E41" i="5"/>
  <c r="E43" i="5"/>
  <c r="F43" i="5" s="1"/>
  <c r="F72" i="9"/>
  <c r="F73" i="9" s="1"/>
  <c r="F74" i="9" s="1"/>
  <c r="F75" i="9" s="1"/>
  <c r="F76" i="9" s="1"/>
  <c r="F77" i="9" s="1"/>
  <c r="F78" i="9" s="1"/>
  <c r="F79" i="9" s="1"/>
  <c r="F80" i="9" s="1"/>
  <c r="F81" i="9" s="1"/>
  <c r="F82" i="9" s="1"/>
  <c r="F83" i="9" s="1"/>
  <c r="I54" i="5"/>
  <c r="I61" i="5" s="1"/>
  <c r="I20" i="12"/>
  <c r="I18" i="15"/>
  <c r="I20" i="15" s="1"/>
  <c r="O20" i="13"/>
  <c r="M49" i="9"/>
  <c r="X20" i="13"/>
  <c r="R20" i="13"/>
  <c r="W20" i="14"/>
  <c r="N27" i="9" l="1"/>
  <c r="F105" i="5"/>
  <c r="G107" i="5"/>
  <c r="G43" i="5"/>
  <c r="F47" i="5"/>
  <c r="F63" i="5" s="1"/>
  <c r="J4" i="2"/>
  <c r="J27" i="5"/>
  <c r="J4" i="5" s="1"/>
  <c r="J141" i="5" s="1"/>
  <c r="F90" i="5"/>
  <c r="M50" i="9"/>
  <c r="E46" i="5"/>
  <c r="F41" i="5"/>
  <c r="M5" i="5"/>
  <c r="L6" i="5"/>
  <c r="L7" i="5" s="1"/>
  <c r="J16" i="14"/>
  <c r="J17" i="14" s="1"/>
  <c r="J16" i="15"/>
  <c r="J17" i="15" s="1"/>
  <c r="J16" i="12"/>
  <c r="J17" i="12" s="1"/>
  <c r="J16" i="13"/>
  <c r="J17" i="13" s="1"/>
  <c r="I175" i="5"/>
  <c r="F89" i="5"/>
  <c r="G91" i="5"/>
  <c r="G42" i="5"/>
  <c r="F48" i="5"/>
  <c r="K45" i="5"/>
  <c r="K54" i="5" s="1"/>
  <c r="L10" i="5"/>
  <c r="K14" i="5"/>
  <c r="W20" i="15"/>
  <c r="J25" i="2"/>
  <c r="H83" i="5"/>
  <c r="J61" i="5"/>
  <c r="J175" i="5"/>
  <c r="AA20" i="13"/>
  <c r="AA20" i="12"/>
  <c r="F112" i="5"/>
  <c r="G116" i="5"/>
  <c r="K108" i="9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F111" i="5"/>
  <c r="G113" i="5"/>
  <c r="F84" i="9"/>
  <c r="F85" i="9" s="1"/>
  <c r="F86" i="9" s="1"/>
  <c r="F87" i="9" s="1"/>
  <c r="F88" i="9" s="1"/>
  <c r="F89" i="9" s="1"/>
  <c r="F90" i="9" s="1"/>
  <c r="F91" i="9" s="1"/>
  <c r="F92" i="9" s="1"/>
  <c r="F93" i="9" s="1"/>
  <c r="F94" i="9" s="1"/>
  <c r="F95" i="9" s="1"/>
  <c r="I84" i="5"/>
  <c r="J84" i="5" s="1"/>
  <c r="G84" i="5"/>
  <c r="F84" i="5" s="1"/>
  <c r="E84" i="5" s="1"/>
  <c r="D84" i="5" s="1"/>
  <c r="H94" i="5"/>
  <c r="H7" i="2"/>
  <c r="H30" i="5"/>
  <c r="H36" i="5" s="1"/>
  <c r="H127" i="5" s="1"/>
  <c r="AA18" i="15"/>
  <c r="I4" i="5"/>
  <c r="I141" i="5" s="1"/>
  <c r="I89" i="5"/>
  <c r="I90" i="5"/>
  <c r="I112" i="5"/>
  <c r="I111" i="5"/>
  <c r="I105" i="5"/>
  <c r="I106" i="5"/>
  <c r="G94" i="5" l="1"/>
  <c r="I91" i="5"/>
  <c r="J89" i="5"/>
  <c r="F46" i="5"/>
  <c r="G41" i="5"/>
  <c r="N28" i="9"/>
  <c r="J106" i="5"/>
  <c r="J105" i="5"/>
  <c r="I107" i="5"/>
  <c r="G115" i="5"/>
  <c r="G117" i="5" s="1"/>
  <c r="G135" i="5" s="1"/>
  <c r="M51" i="9"/>
  <c r="K120" i="9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O31" i="9"/>
  <c r="M10" i="5"/>
  <c r="L14" i="5"/>
  <c r="N5" i="5"/>
  <c r="M6" i="5"/>
  <c r="M7" i="5" s="1"/>
  <c r="K16" i="13"/>
  <c r="K17" i="13" s="1"/>
  <c r="K16" i="12"/>
  <c r="K17" i="12" s="1"/>
  <c r="K16" i="15"/>
  <c r="K17" i="15" s="1"/>
  <c r="K16" i="14"/>
  <c r="K17" i="14" s="1"/>
  <c r="K84" i="5"/>
  <c r="F91" i="5"/>
  <c r="E89" i="5"/>
  <c r="F107" i="5"/>
  <c r="E105" i="5"/>
  <c r="F96" i="9"/>
  <c r="F97" i="9" s="1"/>
  <c r="F98" i="9" s="1"/>
  <c r="F99" i="9" s="1"/>
  <c r="F100" i="9" s="1"/>
  <c r="F101" i="9" s="1"/>
  <c r="F102" i="9" s="1"/>
  <c r="F103" i="9" s="1"/>
  <c r="F104" i="9" s="1"/>
  <c r="F105" i="9" s="1"/>
  <c r="F106" i="9" s="1"/>
  <c r="F107" i="9" s="1"/>
  <c r="F116" i="5"/>
  <c r="E112" i="5"/>
  <c r="K61" i="5"/>
  <c r="K175" i="5"/>
  <c r="E62" i="5"/>
  <c r="E65" i="5" s="1"/>
  <c r="E176" i="5"/>
  <c r="E177" i="5" s="1"/>
  <c r="E179" i="5" s="1"/>
  <c r="E194" i="5" s="1"/>
  <c r="E50" i="5"/>
  <c r="K4" i="2"/>
  <c r="K27" i="5"/>
  <c r="K4" i="5" s="1"/>
  <c r="K141" i="5" s="1"/>
  <c r="J111" i="5"/>
  <c r="I113" i="5"/>
  <c r="I7" i="2"/>
  <c r="I30" i="5"/>
  <c r="I36" i="5" s="1"/>
  <c r="I127" i="5" s="1"/>
  <c r="E111" i="5"/>
  <c r="F113" i="5"/>
  <c r="G47" i="5"/>
  <c r="H43" i="5"/>
  <c r="I116" i="5"/>
  <c r="J112" i="5"/>
  <c r="O30" i="9"/>
  <c r="H42" i="5"/>
  <c r="G48" i="5"/>
  <c r="L45" i="5"/>
  <c r="F94" i="5"/>
  <c r="E90" i="5"/>
  <c r="I94" i="5"/>
  <c r="J90" i="5"/>
  <c r="H85" i="5"/>
  <c r="H93" i="5" s="1"/>
  <c r="H95" i="5" s="1"/>
  <c r="H130" i="5" s="1"/>
  <c r="I83" i="5"/>
  <c r="G83" i="5"/>
  <c r="E210" i="5" l="1"/>
  <c r="L56" i="6"/>
  <c r="M14" i="5"/>
  <c r="N10" i="5"/>
  <c r="K112" i="5"/>
  <c r="J116" i="5"/>
  <c r="K90" i="5"/>
  <c r="J94" i="5"/>
  <c r="L54" i="5"/>
  <c r="G63" i="5"/>
  <c r="G56" i="5"/>
  <c r="D105" i="5"/>
  <c r="D107" i="5" s="1"/>
  <c r="E107" i="5"/>
  <c r="M54" i="5"/>
  <c r="M45" i="5"/>
  <c r="H41" i="5"/>
  <c r="G46" i="5"/>
  <c r="I42" i="5"/>
  <c r="H48" i="5"/>
  <c r="F115" i="5"/>
  <c r="F117" i="5" s="1"/>
  <c r="F135" i="5" s="1"/>
  <c r="L4" i="2"/>
  <c r="L27" i="5"/>
  <c r="L4" i="5" s="1"/>
  <c r="L141" i="5" s="1"/>
  <c r="D89" i="5"/>
  <c r="D91" i="5" s="1"/>
  <c r="E91" i="5"/>
  <c r="O5" i="5"/>
  <c r="N6" i="5"/>
  <c r="N7" i="5" s="1"/>
  <c r="L16" i="14"/>
  <c r="L17" i="14" s="1"/>
  <c r="L16" i="13"/>
  <c r="L17" i="13" s="1"/>
  <c r="L16" i="15"/>
  <c r="L17" i="15" s="1"/>
  <c r="L16" i="12"/>
  <c r="L17" i="12" s="1"/>
  <c r="F62" i="5"/>
  <c r="F176" i="5"/>
  <c r="F177" i="5" s="1"/>
  <c r="F179" i="5" s="1"/>
  <c r="F194" i="5" s="1"/>
  <c r="D90" i="5"/>
  <c r="D94" i="5" s="1"/>
  <c r="E94" i="5"/>
  <c r="D111" i="5"/>
  <c r="E113" i="5"/>
  <c r="E115" i="5" s="1"/>
  <c r="E117" i="5" s="1"/>
  <c r="E135" i="5" s="1"/>
  <c r="K89" i="5"/>
  <c r="J91" i="5"/>
  <c r="D112" i="5"/>
  <c r="D116" i="5" s="1"/>
  <c r="E116" i="5"/>
  <c r="L61" i="5"/>
  <c r="L175" i="5"/>
  <c r="J7" i="2"/>
  <c r="J30" i="5"/>
  <c r="J36" i="5" s="1"/>
  <c r="J127" i="5" s="1"/>
  <c r="I85" i="5"/>
  <c r="J83" i="5"/>
  <c r="I115" i="5"/>
  <c r="I117" i="5" s="1"/>
  <c r="I135" i="5" s="1"/>
  <c r="F108" i="9"/>
  <c r="F109" i="9" s="1"/>
  <c r="F110" i="9" s="1"/>
  <c r="F111" i="9" s="1"/>
  <c r="F112" i="9" s="1"/>
  <c r="F113" i="9" s="1"/>
  <c r="F114" i="9" s="1"/>
  <c r="F115" i="9" s="1"/>
  <c r="F116" i="9" s="1"/>
  <c r="F117" i="9" s="1"/>
  <c r="F118" i="9" s="1"/>
  <c r="F119" i="9" s="1"/>
  <c r="K132" i="9"/>
  <c r="K133" i="9" s="1"/>
  <c r="K134" i="9" s="1"/>
  <c r="K135" i="9" s="1"/>
  <c r="K136" i="9" s="1"/>
  <c r="K137" i="9" s="1"/>
  <c r="K138" i="9" s="1"/>
  <c r="K139" i="9" s="1"/>
  <c r="K140" i="9" s="1"/>
  <c r="K141" i="9" s="1"/>
  <c r="K142" i="9" s="1"/>
  <c r="K143" i="9" s="1"/>
  <c r="K106" i="5"/>
  <c r="I93" i="5"/>
  <c r="I95" i="5" s="1"/>
  <c r="I130" i="5" s="1"/>
  <c r="F83" i="5"/>
  <c r="G85" i="5"/>
  <c r="G93" i="5" s="1"/>
  <c r="G95" i="5" s="1"/>
  <c r="G130" i="5" s="1"/>
  <c r="E197" i="5"/>
  <c r="E184" i="5"/>
  <c r="E186" i="5" s="1"/>
  <c r="K105" i="5"/>
  <c r="J107" i="5"/>
  <c r="I43" i="5"/>
  <c r="H47" i="5"/>
  <c r="K111" i="5"/>
  <c r="J113" i="5"/>
  <c r="N29" i="9"/>
  <c r="L112" i="5" l="1"/>
  <c r="K116" i="5"/>
  <c r="K144" i="9"/>
  <c r="K145" i="9" s="1"/>
  <c r="K146" i="9" s="1"/>
  <c r="K147" i="9" s="1"/>
  <c r="K148" i="9" s="1"/>
  <c r="K149" i="9" s="1"/>
  <c r="K150" i="9" s="1"/>
  <c r="K151" i="9" s="1"/>
  <c r="K152" i="9" s="1"/>
  <c r="K153" i="9" s="1"/>
  <c r="K154" i="9" s="1"/>
  <c r="K155" i="9" s="1"/>
  <c r="O33" i="9"/>
  <c r="N14" i="5"/>
  <c r="O10" i="5"/>
  <c r="J115" i="5"/>
  <c r="J117" i="5" s="1"/>
  <c r="J135" i="5" s="1"/>
  <c r="N30" i="9"/>
  <c r="D113" i="5"/>
  <c r="D115" i="5" s="1"/>
  <c r="D117" i="5" s="1"/>
  <c r="D135" i="5" s="1"/>
  <c r="D136" i="5" s="1"/>
  <c r="D137" i="5" s="1"/>
  <c r="D138" i="5" s="1"/>
  <c r="D153" i="5" s="1"/>
  <c r="M4" i="2"/>
  <c r="M27" i="5"/>
  <c r="M4" i="5" s="1"/>
  <c r="M141" i="5" s="1"/>
  <c r="M61" i="5"/>
  <c r="M175" i="5"/>
  <c r="F120" i="9"/>
  <c r="F121" i="9" s="1"/>
  <c r="F122" i="9" s="1"/>
  <c r="F123" i="9" s="1"/>
  <c r="F124" i="9" s="1"/>
  <c r="F125" i="9" s="1"/>
  <c r="F126" i="9" s="1"/>
  <c r="F127" i="9" s="1"/>
  <c r="F128" i="9" s="1"/>
  <c r="F129" i="9" s="1"/>
  <c r="F130" i="9" s="1"/>
  <c r="F131" i="9" s="1"/>
  <c r="F85" i="5"/>
  <c r="F93" i="5" s="1"/>
  <c r="F95" i="5" s="1"/>
  <c r="F130" i="5" s="1"/>
  <c r="E83" i="5"/>
  <c r="N45" i="5"/>
  <c r="J43" i="5"/>
  <c r="I47" i="5"/>
  <c r="L84" i="5"/>
  <c r="M84" i="5" s="1"/>
  <c r="O6" i="5"/>
  <c r="O7" i="5" s="1"/>
  <c r="P5" i="5"/>
  <c r="M16" i="12"/>
  <c r="M17" i="12" s="1"/>
  <c r="M16" i="15"/>
  <c r="M17" i="15" s="1"/>
  <c r="M16" i="14"/>
  <c r="M17" i="14" s="1"/>
  <c r="M16" i="13"/>
  <c r="M17" i="13" s="1"/>
  <c r="I48" i="5"/>
  <c r="J42" i="5"/>
  <c r="L105" i="5"/>
  <c r="K107" i="5"/>
  <c r="K7" i="2"/>
  <c r="K30" i="5"/>
  <c r="K36" i="5" s="1"/>
  <c r="K127" i="5" s="1"/>
  <c r="I41" i="5"/>
  <c r="H46" i="5"/>
  <c r="O32" i="9"/>
  <c r="L60" i="6"/>
  <c r="E211" i="5"/>
  <c r="L111" i="5"/>
  <c r="K113" i="5"/>
  <c r="H56" i="5"/>
  <c r="H63" i="5" s="1"/>
  <c r="K83" i="5"/>
  <c r="J85" i="5"/>
  <c r="J93" i="5" s="1"/>
  <c r="J95" i="5" s="1"/>
  <c r="J130" i="5" s="1"/>
  <c r="L106" i="5"/>
  <c r="M106" i="5" s="1"/>
  <c r="K91" i="5"/>
  <c r="L89" i="5"/>
  <c r="F210" i="5"/>
  <c r="M56" i="6"/>
  <c r="G62" i="5"/>
  <c r="G176" i="5"/>
  <c r="G177" i="5" s="1"/>
  <c r="G179" i="5" s="1"/>
  <c r="G194" i="5" s="1"/>
  <c r="G55" i="5"/>
  <c r="L90" i="5"/>
  <c r="K94" i="5"/>
  <c r="M111" i="5" l="1"/>
  <c r="L113" i="5"/>
  <c r="N61" i="5"/>
  <c r="M105" i="5"/>
  <c r="L107" i="5"/>
  <c r="P6" i="5"/>
  <c r="P7" i="5" s="1"/>
  <c r="Q5" i="5"/>
  <c r="N16" i="12"/>
  <c r="N17" i="12" s="1"/>
  <c r="N16" i="13"/>
  <c r="N17" i="13" s="1"/>
  <c r="N16" i="14"/>
  <c r="N17" i="14" s="1"/>
  <c r="N16" i="15"/>
  <c r="N17" i="15" s="1"/>
  <c r="N31" i="9"/>
  <c r="L94" i="5"/>
  <c r="M90" i="5"/>
  <c r="L91" i="5"/>
  <c r="M89" i="5"/>
  <c r="H176" i="5"/>
  <c r="H177" i="5" s="1"/>
  <c r="H179" i="5" s="1"/>
  <c r="H194" i="5" s="1"/>
  <c r="H55" i="5"/>
  <c r="O45" i="5"/>
  <c r="K115" i="5"/>
  <c r="K117" i="5" s="1"/>
  <c r="K135" i="5" s="1"/>
  <c r="I46" i="5"/>
  <c r="J41" i="5"/>
  <c r="J48" i="5"/>
  <c r="K42" i="5"/>
  <c r="N54" i="5"/>
  <c r="O14" i="5"/>
  <c r="P10" i="5"/>
  <c r="G210" i="5"/>
  <c r="N56" i="6"/>
  <c r="D83" i="5"/>
  <c r="D85" i="5" s="1"/>
  <c r="D93" i="5" s="1"/>
  <c r="D95" i="5" s="1"/>
  <c r="D130" i="5" s="1"/>
  <c r="D131" i="5" s="1"/>
  <c r="D132" i="5" s="1"/>
  <c r="D133" i="5" s="1"/>
  <c r="D150" i="5" s="1"/>
  <c r="E85" i="5"/>
  <c r="E93" i="5" s="1"/>
  <c r="E95" i="5" s="1"/>
  <c r="E130" i="5" s="1"/>
  <c r="K156" i="9"/>
  <c r="K157" i="9" s="1"/>
  <c r="K158" i="9" s="1"/>
  <c r="K159" i="9" s="1"/>
  <c r="K160" i="9" s="1"/>
  <c r="K161" i="9" s="1"/>
  <c r="K162" i="9" s="1"/>
  <c r="K163" i="9" s="1"/>
  <c r="K164" i="9" s="1"/>
  <c r="K165" i="9" s="1"/>
  <c r="K166" i="9" s="1"/>
  <c r="K167" i="9" s="1"/>
  <c r="I56" i="5"/>
  <c r="I63" i="5" s="1"/>
  <c r="J47" i="5"/>
  <c r="K43" i="5"/>
  <c r="N4" i="2"/>
  <c r="N27" i="5"/>
  <c r="N4" i="5" s="1"/>
  <c r="N141" i="5" s="1"/>
  <c r="K85" i="5"/>
  <c r="K93" i="5" s="1"/>
  <c r="K95" i="5" s="1"/>
  <c r="K130" i="5" s="1"/>
  <c r="L83" i="5"/>
  <c r="L7" i="2"/>
  <c r="L30" i="5"/>
  <c r="L36" i="5" s="1"/>
  <c r="L127" i="5" s="1"/>
  <c r="F132" i="9"/>
  <c r="F133" i="9" s="1"/>
  <c r="F134" i="9" s="1"/>
  <c r="F135" i="9" s="1"/>
  <c r="F136" i="9" s="1"/>
  <c r="F137" i="9" s="1"/>
  <c r="F138" i="9" s="1"/>
  <c r="F139" i="9" s="1"/>
  <c r="F140" i="9" s="1"/>
  <c r="F141" i="9" s="1"/>
  <c r="F142" i="9" s="1"/>
  <c r="F143" i="9" s="1"/>
  <c r="L116" i="5"/>
  <c r="M112" i="5"/>
  <c r="K168" i="9" l="1"/>
  <c r="K169" i="9" s="1"/>
  <c r="K170" i="9" s="1"/>
  <c r="K171" i="9" s="1"/>
  <c r="K172" i="9" s="1"/>
  <c r="K173" i="9" s="1"/>
  <c r="K174" i="9" s="1"/>
  <c r="K175" i="9" s="1"/>
  <c r="K176" i="9" s="1"/>
  <c r="K177" i="9" s="1"/>
  <c r="K178" i="9" s="1"/>
  <c r="K179" i="9" s="1"/>
  <c r="P14" i="5"/>
  <c r="Q10" i="5"/>
  <c r="P54" i="5"/>
  <c r="P45" i="5"/>
  <c r="N32" i="9"/>
  <c r="K47" i="5"/>
  <c r="L43" i="5"/>
  <c r="N84" i="5"/>
  <c r="O84" i="5" s="1"/>
  <c r="H62" i="5"/>
  <c r="N175" i="5"/>
  <c r="F144" i="9"/>
  <c r="F145" i="9" s="1"/>
  <c r="F146" i="9" s="1"/>
  <c r="F147" i="9" s="1"/>
  <c r="F148" i="9" s="1"/>
  <c r="F149" i="9" s="1"/>
  <c r="F150" i="9" s="1"/>
  <c r="F151" i="9" s="1"/>
  <c r="F152" i="9" s="1"/>
  <c r="F153" i="9" s="1"/>
  <c r="F154" i="9" s="1"/>
  <c r="F155" i="9" s="1"/>
  <c r="N105" i="5"/>
  <c r="M107" i="5"/>
  <c r="M7" i="2"/>
  <c r="M30" i="5"/>
  <c r="M36" i="5" s="1"/>
  <c r="M127" i="5" s="1"/>
  <c r="L42" i="5"/>
  <c r="K48" i="5"/>
  <c r="N89" i="5"/>
  <c r="M91" i="5"/>
  <c r="M116" i="5"/>
  <c r="N112" i="5"/>
  <c r="N106" i="5"/>
  <c r="J46" i="5"/>
  <c r="K41" i="5"/>
  <c r="N90" i="5"/>
  <c r="M94" i="5"/>
  <c r="L115" i="5"/>
  <c r="L117" i="5" s="1"/>
  <c r="L135" i="5" s="1"/>
  <c r="J56" i="5"/>
  <c r="J63" i="5" s="1"/>
  <c r="H210" i="5"/>
  <c r="O56" i="6"/>
  <c r="L85" i="5"/>
  <c r="L93" i="5" s="1"/>
  <c r="L95" i="5" s="1"/>
  <c r="L130" i="5" s="1"/>
  <c r="M83" i="5"/>
  <c r="O175" i="5"/>
  <c r="O4" i="2"/>
  <c r="O27" i="5"/>
  <c r="O4" i="5" s="1"/>
  <c r="O141" i="5" s="1"/>
  <c r="O34" i="9"/>
  <c r="I55" i="5"/>
  <c r="I176" i="5" s="1"/>
  <c r="I177" i="5" s="1"/>
  <c r="I179" i="5" s="1"/>
  <c r="I194" i="5" s="1"/>
  <c r="O54" i="5"/>
  <c r="R5" i="5"/>
  <c r="Q6" i="5"/>
  <c r="Q7" i="5" s="1"/>
  <c r="O16" i="13"/>
  <c r="O17" i="13" s="1"/>
  <c r="O16" i="14"/>
  <c r="O17" i="14" s="1"/>
  <c r="O16" i="12"/>
  <c r="O17" i="12" s="1"/>
  <c r="O16" i="15"/>
  <c r="O17" i="15" s="1"/>
  <c r="N111" i="5"/>
  <c r="M113" i="5"/>
  <c r="I210" i="5" l="1"/>
  <c r="P56" i="6"/>
  <c r="N7" i="2"/>
  <c r="N30" i="5"/>
  <c r="N36" i="5" s="1"/>
  <c r="N127" i="5" s="1"/>
  <c r="M115" i="5"/>
  <c r="M117" i="5" s="1"/>
  <c r="M135" i="5" s="1"/>
  <c r="O111" i="5"/>
  <c r="N113" i="5"/>
  <c r="P61" i="5"/>
  <c r="P175" i="5"/>
  <c r="Q45" i="5"/>
  <c r="Q54" i="5" s="1"/>
  <c r="R10" i="5"/>
  <c r="Q14" i="5"/>
  <c r="N94" i="5"/>
  <c r="O90" i="5"/>
  <c r="P4" i="2"/>
  <c r="P27" i="5"/>
  <c r="P4" i="5" s="1"/>
  <c r="P141" i="5" s="1"/>
  <c r="M93" i="5"/>
  <c r="M95" i="5" s="1"/>
  <c r="M130" i="5" s="1"/>
  <c r="J62" i="5"/>
  <c r="J176" i="5"/>
  <c r="J177" i="5" s="1"/>
  <c r="J179" i="5" s="1"/>
  <c r="J194" i="5" s="1"/>
  <c r="J55" i="5"/>
  <c r="O106" i="5"/>
  <c r="M42" i="5"/>
  <c r="R6" i="5"/>
  <c r="R7" i="5" s="1"/>
  <c r="S5" i="5"/>
  <c r="P16" i="12"/>
  <c r="P17" i="12" s="1"/>
  <c r="P16" i="14"/>
  <c r="P17" i="14" s="1"/>
  <c r="P16" i="15"/>
  <c r="P17" i="15" s="1"/>
  <c r="P16" i="13"/>
  <c r="P17" i="13" s="1"/>
  <c r="N83" i="5"/>
  <c r="M85" i="5"/>
  <c r="M43" i="5"/>
  <c r="L47" i="5"/>
  <c r="K46" i="5"/>
  <c r="L41" i="5"/>
  <c r="N91" i="5"/>
  <c r="O89" i="5"/>
  <c r="N33" i="9"/>
  <c r="I62" i="5"/>
  <c r="O61" i="5"/>
  <c r="O112" i="5"/>
  <c r="N116" i="5"/>
  <c r="P84" i="5"/>
  <c r="F156" i="9"/>
  <c r="F157" i="9" s="1"/>
  <c r="F158" i="9" s="1"/>
  <c r="F159" i="9" s="1"/>
  <c r="F160" i="9" s="1"/>
  <c r="F161" i="9" s="1"/>
  <c r="F162" i="9" s="1"/>
  <c r="F163" i="9" s="1"/>
  <c r="F164" i="9" s="1"/>
  <c r="F165" i="9" s="1"/>
  <c r="F166" i="9" s="1"/>
  <c r="F167" i="9" s="1"/>
  <c r="K56" i="5"/>
  <c r="K63" i="5" s="1"/>
  <c r="O35" i="9"/>
  <c r="O105" i="5"/>
  <c r="N107" i="5"/>
  <c r="K180" i="9"/>
  <c r="K181" i="9" s="1"/>
  <c r="K182" i="9" s="1"/>
  <c r="K183" i="9" s="1"/>
  <c r="K184" i="9" s="1"/>
  <c r="K185" i="9" s="1"/>
  <c r="K186" i="9" s="1"/>
  <c r="K187" i="9" s="1"/>
  <c r="K188" i="9" s="1"/>
  <c r="K189" i="9" s="1"/>
  <c r="K190" i="9" s="1"/>
  <c r="K191" i="9" s="1"/>
  <c r="F168" i="9" l="1"/>
  <c r="F169" i="9" s="1"/>
  <c r="F170" i="9" s="1"/>
  <c r="F171" i="9" s="1"/>
  <c r="F172" i="9" s="1"/>
  <c r="F173" i="9" s="1"/>
  <c r="F174" i="9" s="1"/>
  <c r="F175" i="9" s="1"/>
  <c r="F176" i="9" s="1"/>
  <c r="F177" i="9" s="1"/>
  <c r="F178" i="9" s="1"/>
  <c r="F179" i="9" s="1"/>
  <c r="J210" i="5"/>
  <c r="Q56" i="6"/>
  <c r="N34" i="9"/>
  <c r="O36" i="9"/>
  <c r="N42" i="5"/>
  <c r="P90" i="5"/>
  <c r="O94" i="5"/>
  <c r="N85" i="5"/>
  <c r="O83" i="5"/>
  <c r="O7" i="2"/>
  <c r="O30" i="5"/>
  <c r="O36" i="5" s="1"/>
  <c r="O127" i="5" s="1"/>
  <c r="P89" i="5"/>
  <c r="O91" i="5"/>
  <c r="R14" i="5"/>
  <c r="S10" i="5"/>
  <c r="N93" i="5"/>
  <c r="N95" i="5" s="1"/>
  <c r="N130" i="5" s="1"/>
  <c r="Q61" i="5"/>
  <c r="Q175" i="5"/>
  <c r="P112" i="5"/>
  <c r="O116" i="5"/>
  <c r="L56" i="5"/>
  <c r="L63" i="5" s="1"/>
  <c r="P111" i="5"/>
  <c r="O113" i="5"/>
  <c r="O115" i="5" s="1"/>
  <c r="O117" i="5" s="1"/>
  <c r="O135" i="5" s="1"/>
  <c r="M47" i="5"/>
  <c r="N43" i="5"/>
  <c r="S6" i="5"/>
  <c r="S7" i="5" s="1"/>
  <c r="T5" i="5"/>
  <c r="Q16" i="12"/>
  <c r="Q17" i="12" s="1"/>
  <c r="Q16" i="13"/>
  <c r="Q17" i="13" s="1"/>
  <c r="Q16" i="15"/>
  <c r="Q17" i="15" s="1"/>
  <c r="Q16" i="14"/>
  <c r="Q17" i="14" s="1"/>
  <c r="R54" i="5"/>
  <c r="R45" i="5"/>
  <c r="K192" i="9"/>
  <c r="K193" i="9" s="1"/>
  <c r="K194" i="9" s="1"/>
  <c r="K195" i="9" s="1"/>
  <c r="K196" i="9" s="1"/>
  <c r="K197" i="9" s="1"/>
  <c r="K198" i="9" s="1"/>
  <c r="K199" i="9" s="1"/>
  <c r="K200" i="9" s="1"/>
  <c r="K201" i="9" s="1"/>
  <c r="K202" i="9" s="1"/>
  <c r="K203" i="9" s="1"/>
  <c r="M41" i="5"/>
  <c r="L46" i="5"/>
  <c r="P105" i="5"/>
  <c r="O107" i="5"/>
  <c r="K55" i="5"/>
  <c r="K62" i="5" s="1"/>
  <c r="P106" i="5"/>
  <c r="Q4" i="2"/>
  <c r="Q27" i="5"/>
  <c r="Q4" i="5" s="1"/>
  <c r="Q141" i="5" s="1"/>
  <c r="N115" i="5"/>
  <c r="N117" i="5" s="1"/>
  <c r="N135" i="5" s="1"/>
  <c r="K176" i="5" l="1"/>
  <c r="K177" i="5" s="1"/>
  <c r="K179" i="5" s="1"/>
  <c r="N35" i="9"/>
  <c r="R4" i="2"/>
  <c r="R27" i="5"/>
  <c r="R4" i="5" s="1"/>
  <c r="R141" i="5" s="1"/>
  <c r="Q105" i="5"/>
  <c r="P107" i="5"/>
  <c r="T10" i="5"/>
  <c r="S14" i="5"/>
  <c r="M56" i="5"/>
  <c r="M63" i="5" s="1"/>
  <c r="O42" i="5"/>
  <c r="O37" i="9"/>
  <c r="Q106" i="5"/>
  <c r="R106" i="5" s="1"/>
  <c r="R61" i="5"/>
  <c r="R175" i="5"/>
  <c r="Q90" i="5"/>
  <c r="P94" i="5"/>
  <c r="M46" i="5"/>
  <c r="N41" i="5"/>
  <c r="S45" i="5"/>
  <c r="P116" i="5"/>
  <c r="Q112" i="5"/>
  <c r="K204" i="9"/>
  <c r="K205" i="9" s="1"/>
  <c r="K206" i="9" s="1"/>
  <c r="K207" i="9" s="1"/>
  <c r="K208" i="9" s="1"/>
  <c r="K209" i="9" s="1"/>
  <c r="K210" i="9" s="1"/>
  <c r="K211" i="9" s="1"/>
  <c r="K212" i="9" s="1"/>
  <c r="K213" i="9" s="1"/>
  <c r="K214" i="9" s="1"/>
  <c r="K215" i="9" s="1"/>
  <c r="L55" i="5"/>
  <c r="U5" i="5"/>
  <c r="T6" i="5"/>
  <c r="T7" i="5" s="1"/>
  <c r="R16" i="14"/>
  <c r="R17" i="14" s="1"/>
  <c r="R16" i="12"/>
  <c r="R17" i="12" s="1"/>
  <c r="R16" i="13"/>
  <c r="R17" i="13" s="1"/>
  <c r="R16" i="15"/>
  <c r="R17" i="15" s="1"/>
  <c r="Q84" i="5"/>
  <c r="R84" i="5" s="1"/>
  <c r="O43" i="5"/>
  <c r="N47" i="5"/>
  <c r="P91" i="5"/>
  <c r="Q89" i="5"/>
  <c r="F180" i="9"/>
  <c r="F181" i="9" s="1"/>
  <c r="F182" i="9" s="1"/>
  <c r="F183" i="9" s="1"/>
  <c r="F184" i="9" s="1"/>
  <c r="F185" i="9" s="1"/>
  <c r="F186" i="9" s="1"/>
  <c r="F187" i="9" s="1"/>
  <c r="F188" i="9" s="1"/>
  <c r="F189" i="9" s="1"/>
  <c r="F190" i="9" s="1"/>
  <c r="F191" i="9" s="1"/>
  <c r="P7" i="2"/>
  <c r="P30" i="5"/>
  <c r="P36" i="5" s="1"/>
  <c r="P127" i="5" s="1"/>
  <c r="Q111" i="5"/>
  <c r="P113" i="5"/>
  <c r="P83" i="5"/>
  <c r="O85" i="5"/>
  <c r="O93" i="5" s="1"/>
  <c r="O95" i="5" s="1"/>
  <c r="O130" i="5" s="1"/>
  <c r="S4" i="2" l="1"/>
  <c r="S27" i="5"/>
  <c r="S4" i="5" s="1"/>
  <c r="S141" i="5" s="1"/>
  <c r="Q7" i="2"/>
  <c r="Q30" i="5"/>
  <c r="Q36" i="5" s="1"/>
  <c r="Q127" i="5" s="1"/>
  <c r="L176" i="5"/>
  <c r="L177" i="5" s="1"/>
  <c r="L179" i="5" s="1"/>
  <c r="F192" i="9"/>
  <c r="F193" i="9" s="1"/>
  <c r="F194" i="9" s="1"/>
  <c r="F195" i="9" s="1"/>
  <c r="F196" i="9" s="1"/>
  <c r="F197" i="9" s="1"/>
  <c r="F198" i="9" s="1"/>
  <c r="F199" i="9" s="1"/>
  <c r="F200" i="9" s="1"/>
  <c r="F201" i="9" s="1"/>
  <c r="F202" i="9" s="1"/>
  <c r="F203" i="9" s="1"/>
  <c r="L62" i="5"/>
  <c r="N36" i="9"/>
  <c r="O38" i="9"/>
  <c r="S54" i="5"/>
  <c r="S175" i="5" s="1"/>
  <c r="S106" i="5"/>
  <c r="K216" i="9"/>
  <c r="K217" i="9" s="1"/>
  <c r="K218" i="9" s="1"/>
  <c r="K219" i="9" s="1"/>
  <c r="K220" i="9" s="1"/>
  <c r="K221" i="9" s="1"/>
  <c r="K222" i="9" s="1"/>
  <c r="K223" i="9" s="1"/>
  <c r="K224" i="9" s="1"/>
  <c r="K225" i="9" s="1"/>
  <c r="K226" i="9" s="1"/>
  <c r="K227" i="9" s="1"/>
  <c r="O39" i="9"/>
  <c r="O41" i="5"/>
  <c r="N46" i="5"/>
  <c r="T14" i="5"/>
  <c r="U10" i="5"/>
  <c r="Q91" i="5"/>
  <c r="R89" i="5"/>
  <c r="P85" i="5"/>
  <c r="Q83" i="5"/>
  <c r="P93" i="5"/>
  <c r="P95" i="5" s="1"/>
  <c r="P130" i="5" s="1"/>
  <c r="T45" i="5"/>
  <c r="M176" i="5"/>
  <c r="M177" i="5" s="1"/>
  <c r="M179" i="5" s="1"/>
  <c r="M55" i="5"/>
  <c r="P42" i="5"/>
  <c r="P115" i="5"/>
  <c r="P117" i="5" s="1"/>
  <c r="P135" i="5" s="1"/>
  <c r="N56" i="5"/>
  <c r="N63" i="5" s="1"/>
  <c r="V5" i="5"/>
  <c r="U6" i="5"/>
  <c r="U7" i="5" s="1"/>
  <c r="S16" i="13"/>
  <c r="S17" i="13" s="1"/>
  <c r="S16" i="12"/>
  <c r="S17" i="12" s="1"/>
  <c r="S16" i="14"/>
  <c r="S17" i="14" s="1"/>
  <c r="S16" i="15"/>
  <c r="S17" i="15" s="1"/>
  <c r="Q116" i="5"/>
  <c r="R112" i="5"/>
  <c r="R105" i="5"/>
  <c r="Q107" i="5"/>
  <c r="R111" i="5"/>
  <c r="Q113" i="5"/>
  <c r="O47" i="5"/>
  <c r="P43" i="5"/>
  <c r="Q94" i="5"/>
  <c r="R90" i="5"/>
  <c r="N62" i="5" l="1"/>
  <c r="N55" i="5"/>
  <c r="T4" i="2"/>
  <c r="T27" i="5"/>
  <c r="T4" i="5" s="1"/>
  <c r="T141" i="5" s="1"/>
  <c r="U54" i="5"/>
  <c r="U45" i="5"/>
  <c r="Q85" i="5"/>
  <c r="R83" i="5"/>
  <c r="P41" i="5"/>
  <c r="O46" i="5"/>
  <c r="S111" i="5"/>
  <c r="R113" i="5"/>
  <c r="R115" i="5" s="1"/>
  <c r="S105" i="5"/>
  <c r="R107" i="5"/>
  <c r="S112" i="5"/>
  <c r="R116" i="5"/>
  <c r="M62" i="5"/>
  <c r="S89" i="5"/>
  <c r="R91" i="5"/>
  <c r="O40" i="9"/>
  <c r="K228" i="9"/>
  <c r="K229" i="9" s="1"/>
  <c r="K230" i="9" s="1"/>
  <c r="K231" i="9" s="1"/>
  <c r="K232" i="9" s="1"/>
  <c r="K233" i="9" s="1"/>
  <c r="K234" i="9" s="1"/>
  <c r="K235" i="9" s="1"/>
  <c r="K236" i="9" s="1"/>
  <c r="K237" i="9" s="1"/>
  <c r="K238" i="9" s="1"/>
  <c r="K239" i="9" s="1"/>
  <c r="N37" i="9"/>
  <c r="F204" i="9"/>
  <c r="F205" i="9" s="1"/>
  <c r="F206" i="9" s="1"/>
  <c r="F207" i="9" s="1"/>
  <c r="F208" i="9" s="1"/>
  <c r="F209" i="9" s="1"/>
  <c r="F210" i="9" s="1"/>
  <c r="F211" i="9" s="1"/>
  <c r="F212" i="9" s="1"/>
  <c r="F213" i="9" s="1"/>
  <c r="F214" i="9" s="1"/>
  <c r="F215" i="9" s="1"/>
  <c r="S90" i="5"/>
  <c r="R94" i="5"/>
  <c r="T61" i="5"/>
  <c r="T175" i="5"/>
  <c r="Q93" i="5"/>
  <c r="Q95" i="5" s="1"/>
  <c r="Q130" i="5" s="1"/>
  <c r="T106" i="5"/>
  <c r="W5" i="5"/>
  <c r="V6" i="5"/>
  <c r="V7" i="5" s="1"/>
  <c r="T16" i="14"/>
  <c r="T17" i="14" s="1"/>
  <c r="T16" i="13"/>
  <c r="T17" i="13" s="1"/>
  <c r="T16" i="12"/>
  <c r="T17" i="12" s="1"/>
  <c r="T16" i="15"/>
  <c r="T17" i="15" s="1"/>
  <c r="Q43" i="5"/>
  <c r="P47" i="5"/>
  <c r="S61" i="5"/>
  <c r="O63" i="5"/>
  <c r="O56" i="5"/>
  <c r="Q42" i="5"/>
  <c r="U14" i="5"/>
  <c r="V10" i="5"/>
  <c r="R7" i="2"/>
  <c r="R30" i="5"/>
  <c r="R36" i="5" s="1"/>
  <c r="R127" i="5" s="1"/>
  <c r="Q115" i="5"/>
  <c r="Q117" i="5" s="1"/>
  <c r="Q135" i="5" s="1"/>
  <c r="T54" i="5"/>
  <c r="S84" i="5"/>
  <c r="T84" i="5" s="1"/>
  <c r="V45" i="5" l="1"/>
  <c r="V54" i="5" s="1"/>
  <c r="N38" i="9"/>
  <c r="S83" i="5"/>
  <c r="R85" i="5"/>
  <c r="R93" i="5" s="1"/>
  <c r="R95" i="5" s="1"/>
  <c r="R130" i="5" s="1"/>
  <c r="R43" i="5"/>
  <c r="Q47" i="5"/>
  <c r="U4" i="2"/>
  <c r="U27" i="5"/>
  <c r="U4" i="5" s="1"/>
  <c r="U141" i="5" s="1"/>
  <c r="T90" i="5"/>
  <c r="S94" i="5"/>
  <c r="O176" i="5"/>
  <c r="O177" i="5" s="1"/>
  <c r="O179" i="5" s="1"/>
  <c r="O55" i="5"/>
  <c r="S7" i="2"/>
  <c r="S30" i="5"/>
  <c r="S36" i="5" s="1"/>
  <c r="S127" i="5" s="1"/>
  <c r="W6" i="5"/>
  <c r="W7" i="5" s="1"/>
  <c r="X5" i="5"/>
  <c r="U16" i="12"/>
  <c r="U17" i="12" s="1"/>
  <c r="V17" i="12" s="1"/>
  <c r="U16" i="14"/>
  <c r="U17" i="14" s="1"/>
  <c r="V17" i="14" s="1"/>
  <c r="U16" i="13"/>
  <c r="U17" i="13" s="1"/>
  <c r="V17" i="13" s="1"/>
  <c r="U16" i="15"/>
  <c r="U17" i="15" s="1"/>
  <c r="V17" i="15" s="1"/>
  <c r="V14" i="5"/>
  <c r="W10" i="5"/>
  <c r="P56" i="5"/>
  <c r="P63" i="5" s="1"/>
  <c r="S116" i="5"/>
  <c r="T112" i="5"/>
  <c r="K240" i="9"/>
  <c r="K241" i="9" s="1"/>
  <c r="K242" i="9" s="1"/>
  <c r="K243" i="9" s="1"/>
  <c r="K244" i="9" s="1"/>
  <c r="K245" i="9" s="1"/>
  <c r="K246" i="9" s="1"/>
  <c r="K247" i="9" s="1"/>
  <c r="K248" i="9" s="1"/>
  <c r="K249" i="9" s="1"/>
  <c r="K250" i="9" s="1"/>
  <c r="K251" i="9" s="1"/>
  <c r="T105" i="5"/>
  <c r="S107" i="5"/>
  <c r="S91" i="5"/>
  <c r="T89" i="5"/>
  <c r="U84" i="5"/>
  <c r="R42" i="5"/>
  <c r="R117" i="5"/>
  <c r="R135" i="5" s="1"/>
  <c r="U61" i="5"/>
  <c r="U175" i="5"/>
  <c r="T111" i="5"/>
  <c r="S113" i="5"/>
  <c r="N176" i="5"/>
  <c r="N177" i="5" s="1"/>
  <c r="N179" i="5" s="1"/>
  <c r="F216" i="9"/>
  <c r="F217" i="9" s="1"/>
  <c r="F218" i="9" s="1"/>
  <c r="F219" i="9" s="1"/>
  <c r="F220" i="9" s="1"/>
  <c r="F221" i="9" s="1"/>
  <c r="F222" i="9" s="1"/>
  <c r="F223" i="9" s="1"/>
  <c r="F224" i="9" s="1"/>
  <c r="F225" i="9" s="1"/>
  <c r="F226" i="9" s="1"/>
  <c r="F227" i="9" s="1"/>
  <c r="Q41" i="5"/>
  <c r="P46" i="5"/>
  <c r="Q63" i="5" l="1"/>
  <c r="Q56" i="5"/>
  <c r="T94" i="5"/>
  <c r="U90" i="5"/>
  <c r="S115" i="5"/>
  <c r="S117" i="5" s="1"/>
  <c r="S135" i="5" s="1"/>
  <c r="W14" i="5"/>
  <c r="X10" i="5"/>
  <c r="U111" i="5"/>
  <c r="T113" i="5"/>
  <c r="T115" i="5" s="1"/>
  <c r="S42" i="5"/>
  <c r="O41" i="9"/>
  <c r="V4" i="2"/>
  <c r="V27" i="5"/>
  <c r="V4" i="5" s="1"/>
  <c r="V141" i="5" s="1"/>
  <c r="V61" i="5"/>
  <c r="V175" i="5"/>
  <c r="X6" i="5"/>
  <c r="X7" i="5" s="1"/>
  <c r="Y5" i="5"/>
  <c r="K252" i="9"/>
  <c r="K253" i="9" s="1"/>
  <c r="K254" i="9" s="1"/>
  <c r="K255" i="9" s="1"/>
  <c r="K256" i="9" s="1"/>
  <c r="K257" i="9" s="1"/>
  <c r="K258" i="9" s="1"/>
  <c r="K259" i="9" s="1"/>
  <c r="K260" i="9" s="1"/>
  <c r="K261" i="9" s="1"/>
  <c r="K262" i="9" s="1"/>
  <c r="K263" i="9" s="1"/>
  <c r="T7" i="2"/>
  <c r="T30" i="5"/>
  <c r="T36" i="5" s="1"/>
  <c r="T127" i="5" s="1"/>
  <c r="U106" i="5"/>
  <c r="P55" i="5"/>
  <c r="P176" i="5" s="1"/>
  <c r="P177" i="5" s="1"/>
  <c r="P179" i="5" s="1"/>
  <c r="F228" i="9"/>
  <c r="F229" i="9" s="1"/>
  <c r="F230" i="9" s="1"/>
  <c r="F231" i="9" s="1"/>
  <c r="F232" i="9" s="1"/>
  <c r="F233" i="9" s="1"/>
  <c r="F234" i="9" s="1"/>
  <c r="F235" i="9" s="1"/>
  <c r="F236" i="9" s="1"/>
  <c r="F237" i="9" s="1"/>
  <c r="F238" i="9" s="1"/>
  <c r="F239" i="9" s="1"/>
  <c r="T91" i="5"/>
  <c r="U89" i="5"/>
  <c r="O62" i="5"/>
  <c r="S43" i="5"/>
  <c r="R47" i="5"/>
  <c r="Q46" i="5"/>
  <c r="R41" i="5"/>
  <c r="T116" i="5"/>
  <c r="U112" i="5"/>
  <c r="N39" i="9"/>
  <c r="W54" i="5"/>
  <c r="W45" i="5"/>
  <c r="S85" i="5"/>
  <c r="S93" i="5" s="1"/>
  <c r="S95" i="5" s="1"/>
  <c r="S130" i="5" s="1"/>
  <c r="T83" i="5"/>
  <c r="U105" i="5"/>
  <c r="T107" i="5"/>
  <c r="R56" i="5" l="1"/>
  <c r="R63" i="5" s="1"/>
  <c r="W4" i="2"/>
  <c r="W27" i="5"/>
  <c r="W4" i="5" s="1"/>
  <c r="W141" i="5" s="1"/>
  <c r="T42" i="5"/>
  <c r="O43" i="9"/>
  <c r="K264" i="9"/>
  <c r="K265" i="9" s="1"/>
  <c r="K266" i="9" s="1"/>
  <c r="K267" i="9" s="1"/>
  <c r="K268" i="9" s="1"/>
  <c r="K269" i="9" s="1"/>
  <c r="K270" i="9" s="1"/>
  <c r="K271" i="9" s="1"/>
  <c r="K272" i="9" s="1"/>
  <c r="K273" i="9" s="1"/>
  <c r="K274" i="9" s="1"/>
  <c r="K275" i="9" s="1"/>
  <c r="Y10" i="5"/>
  <c r="X14" i="5"/>
  <c r="O42" i="9"/>
  <c r="V84" i="5"/>
  <c r="W84" i="5" s="1"/>
  <c r="S47" i="5"/>
  <c r="T43" i="5"/>
  <c r="Z5" i="5"/>
  <c r="Y6" i="5"/>
  <c r="Y7" i="5" s="1"/>
  <c r="W16" i="12"/>
  <c r="W17" i="12" s="1"/>
  <c r="W16" i="13"/>
  <c r="W17" i="13" s="1"/>
  <c r="W16" i="14"/>
  <c r="W17" i="14" s="1"/>
  <c r="W16" i="15"/>
  <c r="W17" i="15" s="1"/>
  <c r="P62" i="5"/>
  <c r="X54" i="5"/>
  <c r="X55" i="5"/>
  <c r="X56" i="5"/>
  <c r="X45" i="5"/>
  <c r="V90" i="5"/>
  <c r="U94" i="5"/>
  <c r="V105" i="5"/>
  <c r="U107" i="5"/>
  <c r="V89" i="5"/>
  <c r="U91" i="5"/>
  <c r="T85" i="5"/>
  <c r="T93" i="5" s="1"/>
  <c r="T95" i="5" s="1"/>
  <c r="T130" i="5" s="1"/>
  <c r="U83" i="5"/>
  <c r="U116" i="5"/>
  <c r="V112" i="5"/>
  <c r="V106" i="5"/>
  <c r="W106" i="5" s="1"/>
  <c r="F240" i="9"/>
  <c r="F241" i="9" s="1"/>
  <c r="F242" i="9" s="1"/>
  <c r="F243" i="9" s="1"/>
  <c r="F244" i="9" s="1"/>
  <c r="F245" i="9" s="1"/>
  <c r="F246" i="9" s="1"/>
  <c r="F247" i="9" s="1"/>
  <c r="F248" i="9" s="1"/>
  <c r="F249" i="9" s="1"/>
  <c r="F250" i="9" s="1"/>
  <c r="F251" i="9" s="1"/>
  <c r="T117" i="5"/>
  <c r="T135" i="5" s="1"/>
  <c r="W61" i="5"/>
  <c r="W175" i="5"/>
  <c r="S41" i="5"/>
  <c r="R46" i="5"/>
  <c r="N40" i="9"/>
  <c r="U7" i="2"/>
  <c r="U30" i="5"/>
  <c r="U36" i="5" s="1"/>
  <c r="U127" i="5" s="1"/>
  <c r="V111" i="5"/>
  <c r="U113" i="5"/>
  <c r="Q62" i="5"/>
  <c r="Q176" i="5"/>
  <c r="Q177" i="5" s="1"/>
  <c r="Q179" i="5" s="1"/>
  <c r="Q55" i="5"/>
  <c r="U115" i="5" l="1"/>
  <c r="U117" i="5" s="1"/>
  <c r="U135" i="5" s="1"/>
  <c r="W105" i="5"/>
  <c r="V107" i="5"/>
  <c r="U43" i="5"/>
  <c r="T47" i="5"/>
  <c r="W111" i="5"/>
  <c r="V113" i="5"/>
  <c r="V115" i="5" s="1"/>
  <c r="S63" i="5"/>
  <c r="S56" i="5"/>
  <c r="V94" i="5"/>
  <c r="W90" i="5"/>
  <c r="X84" i="5"/>
  <c r="W112" i="5"/>
  <c r="V116" i="5"/>
  <c r="U42" i="5"/>
  <c r="V7" i="2"/>
  <c r="V30" i="5"/>
  <c r="V36" i="5" s="1"/>
  <c r="V127" i="5" s="1"/>
  <c r="V83" i="5"/>
  <c r="U85" i="5"/>
  <c r="X61" i="5"/>
  <c r="X175" i="5"/>
  <c r="X4" i="2"/>
  <c r="X27" i="5"/>
  <c r="X4" i="5" s="1"/>
  <c r="X141" i="5" s="1"/>
  <c r="R55" i="5"/>
  <c r="N41" i="9"/>
  <c r="U93" i="5"/>
  <c r="U95" i="5" s="1"/>
  <c r="U130" i="5" s="1"/>
  <c r="Y54" i="5"/>
  <c r="Y55" i="5"/>
  <c r="Y56" i="5"/>
  <c r="Y45" i="5"/>
  <c r="Z10" i="5"/>
  <c r="Z14" i="5" s="1"/>
  <c r="Y14" i="5"/>
  <c r="F252" i="9"/>
  <c r="F253" i="9" s="1"/>
  <c r="F254" i="9" s="1"/>
  <c r="F255" i="9" s="1"/>
  <c r="F256" i="9" s="1"/>
  <c r="F257" i="9" s="1"/>
  <c r="F258" i="9" s="1"/>
  <c r="F259" i="9" s="1"/>
  <c r="F260" i="9" s="1"/>
  <c r="F261" i="9" s="1"/>
  <c r="F262" i="9" s="1"/>
  <c r="F263" i="9" s="1"/>
  <c r="T41" i="5"/>
  <c r="S46" i="5"/>
  <c r="V91" i="5"/>
  <c r="W89" i="5"/>
  <c r="Z6" i="5"/>
  <c r="Z7" i="5" s="1"/>
  <c r="X16" i="13"/>
  <c r="X17" i="13" s="1"/>
  <c r="Y17" i="13" s="1"/>
  <c r="X16" i="12"/>
  <c r="X17" i="12" s="1"/>
  <c r="Y17" i="12" s="1"/>
  <c r="X16" i="15"/>
  <c r="X17" i="15" s="1"/>
  <c r="Y17" i="15" s="1"/>
  <c r="X16" i="14"/>
  <c r="X17" i="14" s="1"/>
  <c r="Y17" i="14" s="1"/>
  <c r="K276" i="9"/>
  <c r="K277" i="9" s="1"/>
  <c r="K278" i="9" s="1"/>
  <c r="K279" i="9" s="1"/>
  <c r="K280" i="9" s="1"/>
  <c r="K281" i="9" s="1"/>
  <c r="K282" i="9" s="1"/>
  <c r="K283" i="9" s="1"/>
  <c r="K284" i="9" s="1"/>
  <c r="K285" i="9" s="1"/>
  <c r="K286" i="9" s="1"/>
  <c r="K287" i="9" s="1"/>
  <c r="O44" i="9"/>
  <c r="U41" i="5" l="1"/>
  <c r="T46" i="5"/>
  <c r="X90" i="5"/>
  <c r="W94" i="5"/>
  <c r="U47" i="5"/>
  <c r="V43" i="5"/>
  <c r="V42" i="5"/>
  <c r="V117" i="5"/>
  <c r="V135" i="5" s="1"/>
  <c r="F264" i="9"/>
  <c r="F265" i="9" s="1"/>
  <c r="F266" i="9" s="1"/>
  <c r="F267" i="9" s="1"/>
  <c r="F268" i="9" s="1"/>
  <c r="F269" i="9" s="1"/>
  <c r="F270" i="9" s="1"/>
  <c r="F271" i="9" s="1"/>
  <c r="F272" i="9" s="1"/>
  <c r="F273" i="9" s="1"/>
  <c r="F274" i="9" s="1"/>
  <c r="F275" i="9" s="1"/>
  <c r="Y4" i="2"/>
  <c r="Y27" i="5"/>
  <c r="Y4" i="5" s="1"/>
  <c r="Y141" i="5" s="1"/>
  <c r="W7" i="2"/>
  <c r="W30" i="5"/>
  <c r="W36" i="5" s="1"/>
  <c r="W127" i="5" s="1"/>
  <c r="X89" i="5"/>
  <c r="W91" i="5"/>
  <c r="S55" i="5"/>
  <c r="S62" i="5" s="1"/>
  <c r="V85" i="5"/>
  <c r="V93" i="5" s="1"/>
  <c r="V95" i="5" s="1"/>
  <c r="V130" i="5" s="1"/>
  <c r="W83" i="5"/>
  <c r="T56" i="5"/>
  <c r="T63" i="5" s="1"/>
  <c r="N42" i="9"/>
  <c r="X105" i="5"/>
  <c r="W107" i="5"/>
  <c r="Y61" i="5"/>
  <c r="Y175" i="5"/>
  <c r="R176" i="5"/>
  <c r="R177" i="5" s="1"/>
  <c r="R179" i="5" s="1"/>
  <c r="W116" i="5"/>
  <c r="X112" i="5"/>
  <c r="X111" i="5"/>
  <c r="W113" i="5"/>
  <c r="W115" i="5" s="1"/>
  <c r="W117" i="5" s="1"/>
  <c r="W135" i="5" s="1"/>
  <c r="Z55" i="5"/>
  <c r="Z54" i="5"/>
  <c r="Z56" i="5"/>
  <c r="Z45" i="5"/>
  <c r="K288" i="9"/>
  <c r="K289" i="9" s="1"/>
  <c r="K290" i="9" s="1"/>
  <c r="K291" i="9" s="1"/>
  <c r="K292" i="9" s="1"/>
  <c r="K293" i="9" s="1"/>
  <c r="K294" i="9" s="1"/>
  <c r="K295" i="9" s="1"/>
  <c r="K296" i="9" s="1"/>
  <c r="K297" i="9" s="1"/>
  <c r="K298" i="9" s="1"/>
  <c r="K299" i="9" s="1"/>
  <c r="O45" i="9"/>
  <c r="R62" i="5"/>
  <c r="X106" i="5"/>
  <c r="Y106" i="5" s="1"/>
  <c r="X7" i="2" l="1"/>
  <c r="X30" i="5"/>
  <c r="X36" i="5" s="1"/>
  <c r="X127" i="5" s="1"/>
  <c r="U46" i="5"/>
  <c r="V41" i="5"/>
  <c r="F276" i="9"/>
  <c r="F277" i="9" s="1"/>
  <c r="F278" i="9" s="1"/>
  <c r="F279" i="9" s="1"/>
  <c r="F280" i="9" s="1"/>
  <c r="F281" i="9" s="1"/>
  <c r="F282" i="9" s="1"/>
  <c r="F283" i="9" s="1"/>
  <c r="F284" i="9" s="1"/>
  <c r="F285" i="9" s="1"/>
  <c r="F286" i="9" s="1"/>
  <c r="F287" i="9" s="1"/>
  <c r="K300" i="9"/>
  <c r="K301" i="9" s="1"/>
  <c r="K302" i="9" s="1"/>
  <c r="K303" i="9" s="1"/>
  <c r="K304" i="9" s="1"/>
  <c r="K305" i="9" s="1"/>
  <c r="K306" i="9" s="1"/>
  <c r="K307" i="9" s="1"/>
  <c r="K308" i="9" s="1"/>
  <c r="K309" i="9" s="1"/>
  <c r="K310" i="9" s="1"/>
  <c r="K311" i="9" s="1"/>
  <c r="O46" i="9"/>
  <c r="W93" i="5"/>
  <c r="W95" i="5" s="1"/>
  <c r="W130" i="5" s="1"/>
  <c r="N43" i="9"/>
  <c r="Y90" i="5"/>
  <c r="X94" i="5"/>
  <c r="X116" i="5"/>
  <c r="Y112" i="5"/>
  <c r="Z61" i="5"/>
  <c r="Z175" i="5"/>
  <c r="B45" i="5"/>
  <c r="C45" i="5"/>
  <c r="X91" i="5"/>
  <c r="Y89" i="5"/>
  <c r="X83" i="5"/>
  <c r="W85" i="5"/>
  <c r="T62" i="5"/>
  <c r="T55" i="5"/>
  <c r="W42" i="5"/>
  <c r="Z106" i="5"/>
  <c r="V47" i="5"/>
  <c r="W43" i="5"/>
  <c r="Y84" i="5"/>
  <c r="Y111" i="5"/>
  <c r="X113" i="5"/>
  <c r="Y105" i="5"/>
  <c r="X107" i="5"/>
  <c r="S176" i="5"/>
  <c r="S177" i="5" s="1"/>
  <c r="S179" i="5" s="1"/>
  <c r="Z4" i="2"/>
  <c r="Z27" i="5"/>
  <c r="Z4" i="5" s="1"/>
  <c r="Z141" i="5" s="1"/>
  <c r="U56" i="5"/>
  <c r="U63" i="5" s="1"/>
  <c r="F288" i="9" l="1"/>
  <c r="F289" i="9" s="1"/>
  <c r="F290" i="9" s="1"/>
  <c r="F291" i="9" s="1"/>
  <c r="F292" i="9" s="1"/>
  <c r="F293" i="9" s="1"/>
  <c r="F294" i="9" s="1"/>
  <c r="F295" i="9" s="1"/>
  <c r="F296" i="9" s="1"/>
  <c r="F297" i="9" s="1"/>
  <c r="F298" i="9" s="1"/>
  <c r="F299" i="9" s="1"/>
  <c r="N45" i="9"/>
  <c r="Z105" i="5"/>
  <c r="Y107" i="5"/>
  <c r="X115" i="5"/>
  <c r="X117" i="5" s="1"/>
  <c r="X135" i="5" s="1"/>
  <c r="Z111" i="5"/>
  <c r="Y113" i="5"/>
  <c r="Y115" i="5" s="1"/>
  <c r="X42" i="5"/>
  <c r="Y116" i="5"/>
  <c r="Z112" i="5"/>
  <c r="Z84" i="5"/>
  <c r="Y91" i="5"/>
  <c r="Z89" i="5"/>
  <c r="N44" i="9"/>
  <c r="W47" i="5"/>
  <c r="X43" i="5"/>
  <c r="X93" i="5"/>
  <c r="X95" i="5" s="1"/>
  <c r="X130" i="5" s="1"/>
  <c r="V46" i="5"/>
  <c r="W41" i="5"/>
  <c r="V56" i="5"/>
  <c r="V63" i="5" s="1"/>
  <c r="Y94" i="5"/>
  <c r="Z90" i="5"/>
  <c r="U176" i="5"/>
  <c r="U177" i="5" s="1"/>
  <c r="U179" i="5" s="1"/>
  <c r="U55" i="5"/>
  <c r="T176" i="5"/>
  <c r="T177" i="5" s="1"/>
  <c r="T179" i="5" s="1"/>
  <c r="AA27" i="5"/>
  <c r="AA4" i="5" s="1"/>
  <c r="AA141" i="5" s="1"/>
  <c r="Y7" i="2"/>
  <c r="Y30" i="5"/>
  <c r="Y36" i="5" s="1"/>
  <c r="Y127" i="5" s="1"/>
  <c r="X85" i="5"/>
  <c r="Y83" i="5"/>
  <c r="K312" i="9"/>
  <c r="K313" i="9" s="1"/>
  <c r="K314" i="9" s="1"/>
  <c r="K315" i="9" s="1"/>
  <c r="K316" i="9" s="1"/>
  <c r="K317" i="9" s="1"/>
  <c r="K318" i="9" s="1"/>
  <c r="K319" i="9" s="1"/>
  <c r="K320" i="9" s="1"/>
  <c r="K321" i="9" s="1"/>
  <c r="K322" i="9" s="1"/>
  <c r="K323" i="9" s="1"/>
  <c r="O47" i="9"/>
  <c r="Y43" i="5" l="1"/>
  <c r="X47" i="5"/>
  <c r="X63" i="5" s="1"/>
  <c r="W56" i="5"/>
  <c r="W63" i="5" s="1"/>
  <c r="Y42" i="5"/>
  <c r="X48" i="5"/>
  <c r="AA106" i="5"/>
  <c r="Y117" i="5"/>
  <c r="Y135" i="5" s="1"/>
  <c r="AA105" i="5"/>
  <c r="Z107" i="5"/>
  <c r="AA89" i="5"/>
  <c r="AA91" i="5" s="1"/>
  <c r="Z91" i="5"/>
  <c r="AA111" i="5"/>
  <c r="Z113" i="5"/>
  <c r="Z115" i="5" s="1"/>
  <c r="Z7" i="2"/>
  <c r="AA30" i="5" s="1"/>
  <c r="AA36" i="5" s="1"/>
  <c r="AA127" i="5" s="1"/>
  <c r="Z30" i="5"/>
  <c r="Z36" i="5" s="1"/>
  <c r="Z127" i="5" s="1"/>
  <c r="Y93" i="5"/>
  <c r="Y95" i="5" s="1"/>
  <c r="Y130" i="5" s="1"/>
  <c r="U62" i="5"/>
  <c r="W46" i="5"/>
  <c r="X41" i="5"/>
  <c r="AA84" i="5"/>
  <c r="K324" i="9"/>
  <c r="K325" i="9" s="1"/>
  <c r="K326" i="9" s="1"/>
  <c r="K327" i="9" s="1"/>
  <c r="K328" i="9" s="1"/>
  <c r="K329" i="9" s="1"/>
  <c r="K330" i="9" s="1"/>
  <c r="K331" i="9" s="1"/>
  <c r="K332" i="9" s="1"/>
  <c r="K333" i="9" s="1"/>
  <c r="K334" i="9" s="1"/>
  <c r="K335" i="9" s="1"/>
  <c r="O48" i="9"/>
  <c r="V55" i="5"/>
  <c r="AA112" i="5"/>
  <c r="AA116" i="5" s="1"/>
  <c r="Z116" i="5"/>
  <c r="AA90" i="5"/>
  <c r="AA94" i="5" s="1"/>
  <c r="Z94" i="5"/>
  <c r="Y85" i="5"/>
  <c r="Z83" i="5"/>
  <c r="F300" i="9"/>
  <c r="F301" i="9" s="1"/>
  <c r="F302" i="9" s="1"/>
  <c r="F303" i="9" s="1"/>
  <c r="F304" i="9" s="1"/>
  <c r="F305" i="9" s="1"/>
  <c r="F306" i="9" s="1"/>
  <c r="F307" i="9" s="1"/>
  <c r="F308" i="9" s="1"/>
  <c r="F309" i="9" s="1"/>
  <c r="F310" i="9" s="1"/>
  <c r="F311" i="9" s="1"/>
  <c r="N46" i="9"/>
  <c r="K336" i="9" l="1"/>
  <c r="K337" i="9" s="1"/>
  <c r="K338" i="9" s="1"/>
  <c r="K339" i="9" s="1"/>
  <c r="K340" i="9" s="1"/>
  <c r="K341" i="9" s="1"/>
  <c r="K342" i="9" s="1"/>
  <c r="K343" i="9" s="1"/>
  <c r="K344" i="9" s="1"/>
  <c r="K345" i="9" s="1"/>
  <c r="K346" i="9" s="1"/>
  <c r="K347" i="9" s="1"/>
  <c r="O49" i="9"/>
  <c r="W55" i="5"/>
  <c r="Z117" i="5"/>
  <c r="Z135" i="5" s="1"/>
  <c r="Y41" i="5"/>
  <c r="X46" i="5"/>
  <c r="AA113" i="5"/>
  <c r="Y48" i="5"/>
  <c r="Z42" i="5"/>
  <c r="F312" i="9"/>
  <c r="F313" i="9" s="1"/>
  <c r="F314" i="9" s="1"/>
  <c r="F315" i="9" s="1"/>
  <c r="F316" i="9" s="1"/>
  <c r="F317" i="9" s="1"/>
  <c r="F318" i="9" s="1"/>
  <c r="F319" i="9" s="1"/>
  <c r="F320" i="9" s="1"/>
  <c r="F321" i="9" s="1"/>
  <c r="F322" i="9" s="1"/>
  <c r="F323" i="9" s="1"/>
  <c r="N47" i="9"/>
  <c r="AA83" i="5"/>
  <c r="AA85" i="5" s="1"/>
  <c r="AA93" i="5" s="1"/>
  <c r="AA95" i="5" s="1"/>
  <c r="AA130" i="5" s="1"/>
  <c r="Z85" i="5"/>
  <c r="Z93" i="5" s="1"/>
  <c r="Z95" i="5" s="1"/>
  <c r="Z130" i="5" s="1"/>
  <c r="V176" i="5"/>
  <c r="V177" i="5" s="1"/>
  <c r="V179" i="5" s="1"/>
  <c r="V62" i="5"/>
  <c r="AA107" i="5"/>
  <c r="Z43" i="5"/>
  <c r="Y47" i="5"/>
  <c r="Y63" i="5" s="1"/>
  <c r="X62" i="5" l="1"/>
  <c r="X176" i="5"/>
  <c r="X177" i="5" s="1"/>
  <c r="X179" i="5" s="1"/>
  <c r="Y46" i="5"/>
  <c r="Z41" i="5"/>
  <c r="W176" i="5"/>
  <c r="W177" i="5" s="1"/>
  <c r="W179" i="5" s="1"/>
  <c r="W62" i="5"/>
  <c r="Z47" i="5"/>
  <c r="Z63" i="5" s="1"/>
  <c r="AA43" i="5"/>
  <c r="AA47" i="5" s="1"/>
  <c r="AA63" i="5" s="1"/>
  <c r="Z48" i="5"/>
  <c r="AA42" i="5"/>
  <c r="AA48" i="5" s="1"/>
  <c r="F324" i="9"/>
  <c r="F325" i="9" s="1"/>
  <c r="F326" i="9" s="1"/>
  <c r="F327" i="9" s="1"/>
  <c r="F328" i="9" s="1"/>
  <c r="F329" i="9" s="1"/>
  <c r="F330" i="9" s="1"/>
  <c r="F331" i="9" s="1"/>
  <c r="F332" i="9" s="1"/>
  <c r="F333" i="9" s="1"/>
  <c r="F334" i="9" s="1"/>
  <c r="F335" i="9" s="1"/>
  <c r="N48" i="9"/>
  <c r="K348" i="9"/>
  <c r="K349" i="9" s="1"/>
  <c r="K350" i="9" s="1"/>
  <c r="K351" i="9" s="1"/>
  <c r="K352" i="9" s="1"/>
  <c r="K353" i="9" s="1"/>
  <c r="K354" i="9" s="1"/>
  <c r="K355" i="9" s="1"/>
  <c r="K356" i="9" s="1"/>
  <c r="K357" i="9" s="1"/>
  <c r="K358" i="9" s="1"/>
  <c r="K359" i="9" s="1"/>
  <c r="O50" i="9"/>
  <c r="AA115" i="5"/>
  <c r="AA117" i="5" s="1"/>
  <c r="AA135" i="5" s="1"/>
  <c r="K360" i="9" l="1"/>
  <c r="K361" i="9" s="1"/>
  <c r="K362" i="9" s="1"/>
  <c r="K363" i="9" s="1"/>
  <c r="O51" i="9"/>
  <c r="AA41" i="5"/>
  <c r="AA46" i="5" s="1"/>
  <c r="Z46" i="5"/>
  <c r="F336" i="9"/>
  <c r="F337" i="9" s="1"/>
  <c r="F338" i="9" s="1"/>
  <c r="F339" i="9" s="1"/>
  <c r="F340" i="9" s="1"/>
  <c r="F341" i="9" s="1"/>
  <c r="F342" i="9" s="1"/>
  <c r="F343" i="9" s="1"/>
  <c r="F344" i="9" s="1"/>
  <c r="F345" i="9" s="1"/>
  <c r="F346" i="9" s="1"/>
  <c r="F347" i="9" s="1"/>
  <c r="N49" i="9"/>
  <c r="Y176" i="5"/>
  <c r="Y177" i="5" s="1"/>
  <c r="Y179" i="5" s="1"/>
  <c r="Y62" i="5"/>
  <c r="F348" i="9" l="1"/>
  <c r="F349" i="9" s="1"/>
  <c r="F350" i="9" s="1"/>
  <c r="F351" i="9" s="1"/>
  <c r="F352" i="9" s="1"/>
  <c r="F353" i="9" s="1"/>
  <c r="F354" i="9" s="1"/>
  <c r="F355" i="9" s="1"/>
  <c r="F356" i="9" s="1"/>
  <c r="F357" i="9" s="1"/>
  <c r="F358" i="9" s="1"/>
  <c r="F359" i="9" s="1"/>
  <c r="N50" i="9"/>
  <c r="Z62" i="5"/>
  <c r="Z176" i="5"/>
  <c r="Z177" i="5" s="1"/>
  <c r="Z179" i="5" s="1"/>
  <c r="AA62" i="5"/>
  <c r="AA176" i="5"/>
  <c r="AA177" i="5" s="1"/>
  <c r="AA179" i="5" s="1"/>
  <c r="K194" i="5" s="1"/>
  <c r="B46" i="5"/>
  <c r="B50" i="5" s="1"/>
  <c r="C46" i="5"/>
  <c r="C50" i="5" s="1"/>
  <c r="K210" i="5" l="1"/>
  <c r="B210" i="5" s="1"/>
  <c r="R56" i="6"/>
  <c r="B194" i="5"/>
  <c r="F360" i="9"/>
  <c r="F361" i="9" s="1"/>
  <c r="F362" i="9" s="1"/>
  <c r="F363" i="9" s="1"/>
  <c r="N51" i="9"/>
  <c r="R23" i="9" s="1" a="1"/>
  <c r="T23" i="9" l="1"/>
  <c r="C5" i="2" s="1"/>
  <c r="D28" i="5" s="1"/>
  <c r="AB23" i="9"/>
  <c r="K5" i="2" s="1"/>
  <c r="AJ23" i="9"/>
  <c r="S5" i="2" s="1"/>
  <c r="Y24" i="9"/>
  <c r="AG24" i="9"/>
  <c r="AO24" i="9"/>
  <c r="W25" i="9"/>
  <c r="AE25" i="9"/>
  <c r="AM25" i="9"/>
  <c r="U23" i="9"/>
  <c r="D5" i="2" s="1"/>
  <c r="AC23" i="9"/>
  <c r="L5" i="2" s="1"/>
  <c r="AK23" i="9"/>
  <c r="T5" i="2" s="1"/>
  <c r="R24" i="9"/>
  <c r="Z24" i="9"/>
  <c r="AH24" i="9"/>
  <c r="AP24" i="9"/>
  <c r="X25" i="9"/>
  <c r="AF25" i="9"/>
  <c r="AN25" i="9"/>
  <c r="V23" i="9"/>
  <c r="E5" i="2" s="1"/>
  <c r="AD23" i="9"/>
  <c r="M5" i="2" s="1"/>
  <c r="AL23" i="9"/>
  <c r="U5" i="2" s="1"/>
  <c r="S24" i="9"/>
  <c r="AA24" i="9"/>
  <c r="AI24" i="9"/>
  <c r="AQ24" i="9"/>
  <c r="Y25" i="9"/>
  <c r="AG25" i="9"/>
  <c r="AO25" i="9"/>
  <c r="W23" i="9"/>
  <c r="F5" i="2" s="1"/>
  <c r="AE23" i="9"/>
  <c r="N5" i="2" s="1"/>
  <c r="AM23" i="9"/>
  <c r="V5" i="2" s="1"/>
  <c r="T24" i="9"/>
  <c r="AB24" i="9"/>
  <c r="AJ24" i="9"/>
  <c r="R25" i="9"/>
  <c r="Z25" i="9"/>
  <c r="AH25" i="9"/>
  <c r="AP25" i="9"/>
  <c r="R23" i="9"/>
  <c r="Y23" i="9"/>
  <c r="H5" i="2" s="1"/>
  <c r="AG23" i="9"/>
  <c r="P5" i="2" s="1"/>
  <c r="AO23" i="9"/>
  <c r="V24" i="9"/>
  <c r="AD24" i="9"/>
  <c r="AL24" i="9"/>
  <c r="T25" i="9"/>
  <c r="AB25" i="9"/>
  <c r="AJ25" i="9"/>
  <c r="Z23" i="9"/>
  <c r="I5" i="2" s="1"/>
  <c r="U24" i="9"/>
  <c r="AN24" i="9"/>
  <c r="U25" i="9"/>
  <c r="AQ25" i="9"/>
  <c r="AA23" i="9"/>
  <c r="J5" i="2" s="1"/>
  <c r="W24" i="9"/>
  <c r="V25" i="9"/>
  <c r="AH23" i="9"/>
  <c r="Q5" i="2" s="1"/>
  <c r="AC24" i="9"/>
  <c r="AC25" i="9"/>
  <c r="AI23" i="9"/>
  <c r="R5" i="2" s="1"/>
  <c r="AE24" i="9"/>
  <c r="AD25" i="9"/>
  <c r="AN23" i="9"/>
  <c r="AF24" i="9"/>
  <c r="AI25" i="9"/>
  <c r="AM24" i="9"/>
  <c r="AA25" i="9"/>
  <c r="S23" i="9"/>
  <c r="AK25" i="9"/>
  <c r="AF23" i="9"/>
  <c r="O5" i="2" s="1"/>
  <c r="AQ23" i="9"/>
  <c r="X24" i="9"/>
  <c r="X23" i="9"/>
  <c r="G5" i="2" s="1"/>
  <c r="AK24" i="9"/>
  <c r="AL25" i="9"/>
  <c r="AP23" i="9"/>
  <c r="S25" i="9"/>
  <c r="K57" i="6"/>
  <c r="M28" i="5" l="1"/>
  <c r="W28" i="5"/>
  <c r="P28" i="5"/>
  <c r="T28" i="5"/>
  <c r="R28" i="5"/>
  <c r="O28" i="5"/>
  <c r="G28" i="5"/>
  <c r="V28" i="5"/>
  <c r="S28" i="5"/>
  <c r="N28" i="5"/>
  <c r="W5" i="2"/>
  <c r="X5" i="2"/>
  <c r="Y5" i="2"/>
  <c r="Z5" i="2"/>
  <c r="K28" i="5"/>
  <c r="F28" i="5"/>
  <c r="U28" i="5"/>
  <c r="H28" i="5"/>
  <c r="J28" i="5"/>
  <c r="Q28" i="5"/>
  <c r="D9" i="2"/>
  <c r="E70" i="5" s="1"/>
  <c r="E71" i="5" s="1"/>
  <c r="E125" i="5" s="1"/>
  <c r="E128" i="5" s="1"/>
  <c r="E28" i="5"/>
  <c r="L28" i="5"/>
  <c r="I28" i="5"/>
  <c r="D34" i="5"/>
  <c r="D31" i="5"/>
  <c r="AA28" i="5" l="1"/>
  <c r="E34" i="5"/>
  <c r="E31" i="5"/>
  <c r="U31" i="5"/>
  <c r="U22" i="5"/>
  <c r="U34" i="5"/>
  <c r="Y28" i="5"/>
  <c r="G31" i="5"/>
  <c r="G34" i="5"/>
  <c r="P31" i="5"/>
  <c r="P34" i="5"/>
  <c r="P22" i="5"/>
  <c r="L31" i="5"/>
  <c r="L34" i="5"/>
  <c r="L22" i="5"/>
  <c r="V22" i="5"/>
  <c r="V31" i="5"/>
  <c r="V34" i="5"/>
  <c r="X28" i="5"/>
  <c r="E136" i="5"/>
  <c r="E137" i="5" s="1"/>
  <c r="E138" i="5" s="1"/>
  <c r="E153" i="5" s="1"/>
  <c r="E131" i="5"/>
  <c r="E132" i="5" s="1"/>
  <c r="E133" i="5" s="1"/>
  <c r="E150" i="5" s="1"/>
  <c r="Q22" i="5"/>
  <c r="Q31" i="5"/>
  <c r="Q34" i="5"/>
  <c r="F31" i="5"/>
  <c r="F34" i="5"/>
  <c r="N22" i="5"/>
  <c r="N34" i="5"/>
  <c r="N31" i="5"/>
  <c r="O31" i="5"/>
  <c r="O34" i="5"/>
  <c r="O22" i="5"/>
  <c r="W31" i="5"/>
  <c r="W34" i="5"/>
  <c r="W22" i="5"/>
  <c r="Z28" i="5"/>
  <c r="E9" i="2"/>
  <c r="J34" i="5"/>
  <c r="J31" i="5"/>
  <c r="K31" i="5"/>
  <c r="K34" i="5"/>
  <c r="S22" i="5"/>
  <c r="S34" i="5"/>
  <c r="S31" i="5"/>
  <c r="R22" i="5"/>
  <c r="R31" i="5"/>
  <c r="R34" i="5"/>
  <c r="M22" i="5"/>
  <c r="M31" i="5"/>
  <c r="M34" i="5"/>
  <c r="H31" i="5"/>
  <c r="H34" i="5"/>
  <c r="T31" i="5"/>
  <c r="T22" i="5"/>
  <c r="T34" i="5"/>
  <c r="I34" i="5"/>
  <c r="I31" i="5"/>
  <c r="R24" i="5" l="1"/>
  <c r="R99" i="5"/>
  <c r="R101" i="5"/>
  <c r="F70" i="5"/>
  <c r="F71" i="5" s="1"/>
  <c r="F125" i="5" s="1"/>
  <c r="F128" i="5" s="1"/>
  <c r="F49" i="5"/>
  <c r="F9" i="2"/>
  <c r="Q24" i="5"/>
  <c r="Q101" i="5"/>
  <c r="Q99" i="5"/>
  <c r="Z34" i="5"/>
  <c r="Z31" i="5"/>
  <c r="W24" i="5"/>
  <c r="W101" i="5"/>
  <c r="W99" i="5"/>
  <c r="P24" i="5"/>
  <c r="P101" i="5"/>
  <c r="P99" i="5"/>
  <c r="U24" i="5"/>
  <c r="U101" i="5"/>
  <c r="U99" i="5"/>
  <c r="S101" i="5"/>
  <c r="S24" i="5"/>
  <c r="S99" i="5"/>
  <c r="N101" i="5"/>
  <c r="N99" i="5"/>
  <c r="N24" i="5"/>
  <c r="X34" i="5"/>
  <c r="X31" i="5"/>
  <c r="M24" i="5"/>
  <c r="M101" i="5"/>
  <c r="M99" i="5"/>
  <c r="O99" i="5"/>
  <c r="O101" i="5"/>
  <c r="O24" i="5"/>
  <c r="T101" i="5"/>
  <c r="T99" i="5"/>
  <c r="T24" i="5"/>
  <c r="V99" i="5"/>
  <c r="V101" i="5"/>
  <c r="V24" i="5"/>
  <c r="AA31" i="5"/>
  <c r="AA34" i="5"/>
  <c r="L24" i="5"/>
  <c r="L101" i="5"/>
  <c r="L99" i="5"/>
  <c r="I11" i="14"/>
  <c r="I12" i="14" s="1"/>
  <c r="I11" i="15"/>
  <c r="I12" i="15" s="1"/>
  <c r="Y31" i="5"/>
  <c r="Y34" i="5"/>
  <c r="O145" i="5" l="1"/>
  <c r="O146" i="5" s="1"/>
  <c r="N19" i="14"/>
  <c r="P48" i="5"/>
  <c r="G49" i="5"/>
  <c r="G70" i="5"/>
  <c r="G71" i="5" s="1"/>
  <c r="G9" i="2"/>
  <c r="M145" i="5"/>
  <c r="M146" i="5" s="1"/>
  <c r="L19" i="14"/>
  <c r="Q48" i="5"/>
  <c r="U19" i="14"/>
  <c r="V145" i="5"/>
  <c r="V146" i="5" s="1"/>
  <c r="S48" i="5"/>
  <c r="L145" i="5"/>
  <c r="L146" i="5" s="1"/>
  <c r="K19" i="14"/>
  <c r="J19" i="14"/>
  <c r="T48" i="5"/>
  <c r="M48" i="5"/>
  <c r="F57" i="5"/>
  <c r="F50" i="5"/>
  <c r="W145" i="5"/>
  <c r="W146" i="5" s="1"/>
  <c r="V19" i="14"/>
  <c r="T145" i="5"/>
  <c r="T146" i="5" s="1"/>
  <c r="S19" i="14"/>
  <c r="U145" i="5"/>
  <c r="U146" i="5" s="1"/>
  <c r="T19" i="14"/>
  <c r="W48" i="5"/>
  <c r="F131" i="5"/>
  <c r="F132" i="5" s="1"/>
  <c r="F133" i="5" s="1"/>
  <c r="F150" i="5" s="1"/>
  <c r="F151" i="5" s="1"/>
  <c r="F136" i="5"/>
  <c r="F137" i="5" s="1"/>
  <c r="F138" i="5" s="1"/>
  <c r="F153" i="5" s="1"/>
  <c r="F154" i="5" s="1"/>
  <c r="V48" i="5"/>
  <c r="S145" i="5"/>
  <c r="S146" i="5" s="1"/>
  <c r="R19" i="14"/>
  <c r="O48" i="5"/>
  <c r="N48" i="5"/>
  <c r="U48" i="5"/>
  <c r="Q19" i="14"/>
  <c r="R145" i="5"/>
  <c r="R146" i="5" s="1"/>
  <c r="L48" i="5"/>
  <c r="N145" i="5"/>
  <c r="N146" i="5" s="1"/>
  <c r="M19" i="14"/>
  <c r="P145" i="5"/>
  <c r="P146" i="5" s="1"/>
  <c r="O19" i="14"/>
  <c r="Q145" i="5"/>
  <c r="Q146" i="5" s="1"/>
  <c r="P19" i="14"/>
  <c r="R48" i="5"/>
  <c r="F64" i="5" l="1"/>
  <c r="F65" i="5" s="1"/>
  <c r="F58" i="5"/>
  <c r="P20" i="14"/>
  <c r="P19" i="15"/>
  <c r="P20" i="15" s="1"/>
  <c r="R20" i="14"/>
  <c r="R19" i="15"/>
  <c r="R20" i="15" s="1"/>
  <c r="T19" i="15"/>
  <c r="T20" i="15" s="1"/>
  <c r="T20" i="14"/>
  <c r="H70" i="5"/>
  <c r="H71" i="5" s="1"/>
  <c r="H49" i="5"/>
  <c r="H9" i="2"/>
  <c r="Q20" i="14"/>
  <c r="Q19" i="15"/>
  <c r="Q20" i="15" s="1"/>
  <c r="G57" i="5"/>
  <c r="G50" i="5"/>
  <c r="G51" i="5" s="1"/>
  <c r="G123" i="5" s="1"/>
  <c r="G125" i="5" s="1"/>
  <c r="G128" i="5" s="1"/>
  <c r="O20" i="14"/>
  <c r="O19" i="15"/>
  <c r="O20" i="15" s="1"/>
  <c r="S20" i="14"/>
  <c r="S19" i="15"/>
  <c r="S20" i="15" s="1"/>
  <c r="U19" i="15"/>
  <c r="U20" i="15" s="1"/>
  <c r="U20" i="14"/>
  <c r="V20" i="14"/>
  <c r="V19" i="15"/>
  <c r="V20" i="15" s="1"/>
  <c r="J19" i="15"/>
  <c r="J20" i="15" s="1"/>
  <c r="J20" i="14"/>
  <c r="N19" i="15"/>
  <c r="N20" i="15" s="1"/>
  <c r="N20" i="14"/>
  <c r="M20" i="14"/>
  <c r="M19" i="15"/>
  <c r="M20" i="15" s="1"/>
  <c r="F156" i="5"/>
  <c r="AA19" i="14"/>
  <c r="K19" i="15"/>
  <c r="K20" i="14"/>
  <c r="L20" i="14"/>
  <c r="L19" i="15"/>
  <c r="L20" i="15" s="1"/>
  <c r="G136" i="5" l="1"/>
  <c r="G137" i="5" s="1"/>
  <c r="G138" i="5" s="1"/>
  <c r="G153" i="5" s="1"/>
  <c r="G131" i="5"/>
  <c r="G132" i="5" s="1"/>
  <c r="G133" i="5" s="1"/>
  <c r="G150" i="5" s="1"/>
  <c r="I49" i="5"/>
  <c r="I70" i="5"/>
  <c r="I71" i="5" s="1"/>
  <c r="I9" i="2"/>
  <c r="H57" i="5"/>
  <c r="H50" i="5"/>
  <c r="H51" i="5" s="1"/>
  <c r="H123" i="5" s="1"/>
  <c r="F189" i="5"/>
  <c r="F157" i="5"/>
  <c r="F161" i="5"/>
  <c r="H125" i="5"/>
  <c r="H128" i="5" s="1"/>
  <c r="F190" i="5"/>
  <c r="F163" i="5"/>
  <c r="AA20" i="14"/>
  <c r="F197" i="5"/>
  <c r="F184" i="5"/>
  <c r="AA19" i="15"/>
  <c r="K20" i="15"/>
  <c r="AA20" i="15" s="1"/>
  <c r="G64" i="5"/>
  <c r="G65" i="5" s="1"/>
  <c r="G58" i="5"/>
  <c r="G151" i="5" l="1"/>
  <c r="G156" i="5" s="1"/>
  <c r="F204" i="5"/>
  <c r="F208" i="5"/>
  <c r="M50" i="6"/>
  <c r="H131" i="5"/>
  <c r="H132" i="5" s="1"/>
  <c r="H133" i="5" s="1"/>
  <c r="H150" i="5" s="1"/>
  <c r="H151" i="5" s="1"/>
  <c r="H156" i="5" s="1"/>
  <c r="H136" i="5"/>
  <c r="H137" i="5" s="1"/>
  <c r="H138" i="5" s="1"/>
  <c r="H153" i="5" s="1"/>
  <c r="H154" i="5" s="1"/>
  <c r="H64" i="5"/>
  <c r="H65" i="5" s="1"/>
  <c r="H58" i="5"/>
  <c r="J70" i="5"/>
  <c r="J71" i="5" s="1"/>
  <c r="J49" i="5"/>
  <c r="J9" i="2"/>
  <c r="I57" i="5"/>
  <c r="I50" i="5"/>
  <c r="I51" i="5" s="1"/>
  <c r="I123" i="5" s="1"/>
  <c r="M60" i="6"/>
  <c r="G190" i="5"/>
  <c r="G163" i="5"/>
  <c r="F201" i="5"/>
  <c r="M52" i="6"/>
  <c r="I125" i="5"/>
  <c r="I128" i="5" s="1"/>
  <c r="G184" i="5"/>
  <c r="G197" i="5"/>
  <c r="N60" i="6" s="1"/>
  <c r="F196" i="5"/>
  <c r="F200" i="5" s="1"/>
  <c r="F183" i="5"/>
  <c r="F186" i="5" s="1"/>
  <c r="G154" i="5"/>
  <c r="M3" i="6" l="1"/>
  <c r="M48" i="6" s="1"/>
  <c r="H189" i="5"/>
  <c r="H157" i="5"/>
  <c r="H161" i="5"/>
  <c r="M46" i="6"/>
  <c r="J57" i="5"/>
  <c r="J50" i="5"/>
  <c r="J51" i="5" s="1"/>
  <c r="J123" i="5" s="1"/>
  <c r="J125" i="5"/>
  <c r="J128" i="5" s="1"/>
  <c r="F205" i="5"/>
  <c r="M58" i="6"/>
  <c r="G201" i="5"/>
  <c r="N46" i="6" s="1"/>
  <c r="N52" i="6"/>
  <c r="H163" i="5"/>
  <c r="H190" i="5"/>
  <c r="H197" i="5"/>
  <c r="O60" i="6" s="1"/>
  <c r="H184" i="5"/>
  <c r="I131" i="5"/>
  <c r="I132" i="5" s="1"/>
  <c r="I133" i="5" s="1"/>
  <c r="I150" i="5" s="1"/>
  <c r="I151" i="5" s="1"/>
  <c r="I136" i="5"/>
  <c r="I137" i="5" s="1"/>
  <c r="I138" i="5" s="1"/>
  <c r="I153" i="5" s="1"/>
  <c r="G189" i="5"/>
  <c r="G157" i="5"/>
  <c r="G161" i="5"/>
  <c r="I64" i="5"/>
  <c r="I65" i="5" s="1"/>
  <c r="I58" i="5"/>
  <c r="K49" i="5"/>
  <c r="K70" i="5"/>
  <c r="K71" i="5" s="1"/>
  <c r="K9" i="2"/>
  <c r="M66" i="6" l="1"/>
  <c r="L70" i="5"/>
  <c r="L71" i="5" s="1"/>
  <c r="L49" i="5"/>
  <c r="L9" i="2"/>
  <c r="G196" i="5"/>
  <c r="G183" i="5"/>
  <c r="G186" i="5" s="1"/>
  <c r="O52" i="6"/>
  <c r="F24" i="14" s="1"/>
  <c r="H201" i="5"/>
  <c r="O46" i="6" s="1"/>
  <c r="H208" i="5"/>
  <c r="O50" i="6"/>
  <c r="H204" i="5"/>
  <c r="J131" i="5"/>
  <c r="J132" i="5" s="1"/>
  <c r="J133" i="5" s="1"/>
  <c r="J150" i="5" s="1"/>
  <c r="J151" i="5" s="1"/>
  <c r="J136" i="5"/>
  <c r="J137" i="5" s="1"/>
  <c r="J138" i="5" s="1"/>
  <c r="J153" i="5" s="1"/>
  <c r="J154" i="5" s="1"/>
  <c r="F24" i="12"/>
  <c r="E24" i="13"/>
  <c r="E24" i="14"/>
  <c r="E24" i="12"/>
  <c r="E24" i="15" s="1"/>
  <c r="G200" i="5"/>
  <c r="G204" i="5"/>
  <c r="G208" i="5" s="1"/>
  <c r="N50" i="6"/>
  <c r="K57" i="5"/>
  <c r="K50" i="5"/>
  <c r="K51" i="5" s="1"/>
  <c r="K123" i="5" s="1"/>
  <c r="K125" i="5" s="1"/>
  <c r="K128" i="5" s="1"/>
  <c r="I154" i="5"/>
  <c r="I156" i="5" s="1"/>
  <c r="F211" i="5"/>
  <c r="H183" i="5"/>
  <c r="H186" i="5" s="1"/>
  <c r="H196" i="5"/>
  <c r="I163" i="5"/>
  <c r="I190" i="5"/>
  <c r="I184" i="5"/>
  <c r="I197" i="5"/>
  <c r="J64" i="5"/>
  <c r="J65" i="5" s="1"/>
  <c r="J58" i="5"/>
  <c r="I157" i="5" l="1"/>
  <c r="I161" i="5"/>
  <c r="I189" i="5"/>
  <c r="K131" i="5"/>
  <c r="K132" i="5" s="1"/>
  <c r="K133" i="5" s="1"/>
  <c r="K150" i="5" s="1"/>
  <c r="K136" i="5"/>
  <c r="K137" i="5" s="1"/>
  <c r="K138" i="5" s="1"/>
  <c r="K153" i="5" s="1"/>
  <c r="P60" i="6"/>
  <c r="M49" i="5"/>
  <c r="M70" i="5"/>
  <c r="M71" i="5" s="1"/>
  <c r="M9" i="2"/>
  <c r="G24" i="12"/>
  <c r="J184" i="5"/>
  <c r="J197" i="5"/>
  <c r="Q60" i="6" s="1"/>
  <c r="I201" i="5"/>
  <c r="P46" i="6" s="1"/>
  <c r="P52" i="6"/>
  <c r="L57" i="5"/>
  <c r="L50" i="5"/>
  <c r="L51" i="5" s="1"/>
  <c r="L123" i="5" s="1"/>
  <c r="L125" i="5" s="1"/>
  <c r="L128" i="5" s="1"/>
  <c r="J156" i="5"/>
  <c r="N3" i="6"/>
  <c r="N48" i="6" s="1"/>
  <c r="J190" i="5"/>
  <c r="J163" i="5"/>
  <c r="H205" i="5"/>
  <c r="H211" i="5" s="1"/>
  <c r="O58" i="6"/>
  <c r="K64" i="5"/>
  <c r="K65" i="5" s="1"/>
  <c r="K58" i="5"/>
  <c r="F24" i="13"/>
  <c r="F24" i="15" s="1"/>
  <c r="H200" i="5"/>
  <c r="O3" i="6" s="1"/>
  <c r="O48" i="6" s="1"/>
  <c r="O66" i="6" s="1"/>
  <c r="G205" i="5"/>
  <c r="G211" i="5" s="1"/>
  <c r="N58" i="6"/>
  <c r="L136" i="5" l="1"/>
  <c r="L137" i="5" s="1"/>
  <c r="L138" i="5" s="1"/>
  <c r="L153" i="5" s="1"/>
  <c r="L131" i="5"/>
  <c r="L132" i="5" s="1"/>
  <c r="L133" i="5" s="1"/>
  <c r="L150" i="5" s="1"/>
  <c r="Q52" i="6"/>
  <c r="J201" i="5"/>
  <c r="Q46" i="6" s="1"/>
  <c r="L64" i="5"/>
  <c r="L65" i="5" s="1"/>
  <c r="L58" i="5"/>
  <c r="H24" i="12"/>
  <c r="H24" i="14"/>
  <c r="H24" i="13"/>
  <c r="G24" i="14"/>
  <c r="K184" i="5"/>
  <c r="K197" i="5"/>
  <c r="R60" i="6" s="1"/>
  <c r="N49" i="5"/>
  <c r="N70" i="5"/>
  <c r="N71" i="5" s="1"/>
  <c r="N9" i="2"/>
  <c r="K154" i="5"/>
  <c r="H11" i="13" s="1"/>
  <c r="K151" i="5"/>
  <c r="H10" i="12"/>
  <c r="H10" i="15"/>
  <c r="H10" i="13"/>
  <c r="J161" i="5"/>
  <c r="J189" i="5"/>
  <c r="J157" i="5"/>
  <c r="M57" i="5"/>
  <c r="M50" i="5"/>
  <c r="M51" i="5" s="1"/>
  <c r="M123" i="5" s="1"/>
  <c r="M125" i="5" s="1"/>
  <c r="M128" i="5" s="1"/>
  <c r="I204" i="5"/>
  <c r="I208" i="5" s="1"/>
  <c r="P50" i="6"/>
  <c r="N66" i="6"/>
  <c r="G24" i="13"/>
  <c r="G24" i="15" s="1"/>
  <c r="I183" i="5"/>
  <c r="I186" i="5" s="1"/>
  <c r="I196" i="5"/>
  <c r="K163" i="5"/>
  <c r="K190" i="5"/>
  <c r="M136" i="5" l="1"/>
  <c r="M137" i="5" s="1"/>
  <c r="M138" i="5" s="1"/>
  <c r="M153" i="5" s="1"/>
  <c r="M154" i="5" s="1"/>
  <c r="M131" i="5"/>
  <c r="M132" i="5" s="1"/>
  <c r="M133" i="5" s="1"/>
  <c r="M150" i="5" s="1"/>
  <c r="M151" i="5" s="1"/>
  <c r="M156" i="5" s="1"/>
  <c r="H12" i="15"/>
  <c r="K201" i="5"/>
  <c r="R46" i="6" s="1"/>
  <c r="R52" i="6"/>
  <c r="F22" i="12"/>
  <c r="F22" i="14"/>
  <c r="F26" i="14" s="1"/>
  <c r="E22" i="14"/>
  <c r="E26" i="14" s="1"/>
  <c r="F22" i="13"/>
  <c r="F26" i="13" s="1"/>
  <c r="E22" i="12"/>
  <c r="E22" i="13"/>
  <c r="E26" i="13" s="1"/>
  <c r="J196" i="5"/>
  <c r="J183" i="5"/>
  <c r="J186" i="5" s="1"/>
  <c r="I24" i="14"/>
  <c r="I24" i="12"/>
  <c r="I24" i="15" s="1"/>
  <c r="I24" i="13"/>
  <c r="J208" i="5"/>
  <c r="J200" i="5"/>
  <c r="Q3" i="6" s="1"/>
  <c r="Q48" i="6" s="1"/>
  <c r="Q66" i="6" s="1"/>
  <c r="J204" i="5"/>
  <c r="Q50" i="6"/>
  <c r="H11" i="15"/>
  <c r="H11" i="14"/>
  <c r="H11" i="12"/>
  <c r="O49" i="5"/>
  <c r="O70" i="5"/>
  <c r="O71" i="5" s="1"/>
  <c r="O9" i="2"/>
  <c r="H24" i="15"/>
  <c r="I205" i="5"/>
  <c r="I211" i="5" s="1"/>
  <c r="P58" i="6"/>
  <c r="I200" i="5"/>
  <c r="H12" i="13"/>
  <c r="N125" i="5"/>
  <c r="N128" i="5" s="1"/>
  <c r="N50" i="5"/>
  <c r="N51" i="5" s="1"/>
  <c r="N123" i="5" s="1"/>
  <c r="N57" i="5"/>
  <c r="L190" i="5"/>
  <c r="L163" i="5"/>
  <c r="K156" i="5"/>
  <c r="H10" i="14"/>
  <c r="L197" i="5"/>
  <c r="S60" i="6" s="1"/>
  <c r="L184" i="5"/>
  <c r="L151" i="5"/>
  <c r="H12" i="12"/>
  <c r="M64" i="5"/>
  <c r="M65" i="5" s="1"/>
  <c r="M58" i="5"/>
  <c r="L154" i="5"/>
  <c r="N64" i="5" l="1"/>
  <c r="N65" i="5" s="1"/>
  <c r="N58" i="5"/>
  <c r="F22" i="15"/>
  <c r="F26" i="12"/>
  <c r="F26" i="15" s="1"/>
  <c r="L201" i="5"/>
  <c r="S46" i="6" s="1"/>
  <c r="S52" i="6"/>
  <c r="L156" i="5"/>
  <c r="J205" i="5"/>
  <c r="J211" i="5" s="1"/>
  <c r="Q58" i="6"/>
  <c r="J24" i="14"/>
  <c r="N131" i="5"/>
  <c r="N132" i="5" s="1"/>
  <c r="N133" i="5" s="1"/>
  <c r="N150" i="5" s="1"/>
  <c r="N136" i="5"/>
  <c r="N137" i="5" s="1"/>
  <c r="N138" i="5" s="1"/>
  <c r="N153" i="5" s="1"/>
  <c r="P49" i="5"/>
  <c r="P70" i="5"/>
  <c r="P71" i="5" s="1"/>
  <c r="P9" i="2"/>
  <c r="O125" i="5"/>
  <c r="O128" i="5" s="1"/>
  <c r="M163" i="5"/>
  <c r="M190" i="5"/>
  <c r="P3" i="6"/>
  <c r="P48" i="6" s="1"/>
  <c r="O57" i="5"/>
  <c r="O50" i="5"/>
  <c r="O51" i="5" s="1"/>
  <c r="O123" i="5" s="1"/>
  <c r="E26" i="12"/>
  <c r="E26" i="15" s="1"/>
  <c r="E22" i="15"/>
  <c r="M157" i="5"/>
  <c r="M161" i="5"/>
  <c r="M189" i="5"/>
  <c r="H12" i="14"/>
  <c r="M197" i="5"/>
  <c r="T60" i="6" s="1"/>
  <c r="M184" i="5"/>
  <c r="K161" i="5"/>
  <c r="K189" i="5"/>
  <c r="K157" i="5"/>
  <c r="O64" i="5" l="1"/>
  <c r="O65" i="5" s="1"/>
  <c r="O58" i="5"/>
  <c r="P57" i="5"/>
  <c r="P50" i="5"/>
  <c r="P51" i="5" s="1"/>
  <c r="P123" i="5" s="1"/>
  <c r="L189" i="5"/>
  <c r="L157" i="5"/>
  <c r="L161" i="5"/>
  <c r="K204" i="5"/>
  <c r="K208" i="5" s="1"/>
  <c r="R50" i="6"/>
  <c r="K200" i="5"/>
  <c r="R3" i="6" s="1"/>
  <c r="R48" i="6" s="1"/>
  <c r="R66" i="6" s="1"/>
  <c r="M204" i="5"/>
  <c r="M208" i="5" s="1"/>
  <c r="T50" i="6"/>
  <c r="P66" i="6"/>
  <c r="K24" i="12"/>
  <c r="M201" i="5"/>
  <c r="T46" i="6" s="1"/>
  <c r="T52" i="6"/>
  <c r="J24" i="13"/>
  <c r="N151" i="5"/>
  <c r="M183" i="5"/>
  <c r="M186" i="5" s="1"/>
  <c r="M196" i="5"/>
  <c r="J24" i="12"/>
  <c r="N154" i="5"/>
  <c r="O136" i="5"/>
  <c r="O137" i="5" s="1"/>
  <c r="O138" i="5" s="1"/>
  <c r="O153" i="5" s="1"/>
  <c r="O154" i="5" s="1"/>
  <c r="O131" i="5"/>
  <c r="O132" i="5" s="1"/>
  <c r="O133" i="5" s="1"/>
  <c r="O150" i="5" s="1"/>
  <c r="O151" i="5" s="1"/>
  <c r="O156" i="5" s="1"/>
  <c r="Q70" i="5"/>
  <c r="Q71" i="5" s="1"/>
  <c r="Q49" i="5"/>
  <c r="Q9" i="2"/>
  <c r="N190" i="5"/>
  <c r="N163" i="5"/>
  <c r="K183" i="5"/>
  <c r="K186" i="5" s="1"/>
  <c r="K196" i="5"/>
  <c r="P125" i="5"/>
  <c r="P128" i="5" s="1"/>
  <c r="N197" i="5"/>
  <c r="U60" i="6" s="1"/>
  <c r="N184" i="5"/>
  <c r="J22" i="12" l="1"/>
  <c r="J22" i="13"/>
  <c r="J26" i="13" s="1"/>
  <c r="K67" i="6"/>
  <c r="I22" i="13"/>
  <c r="I26" i="13" s="1"/>
  <c r="I22" i="12"/>
  <c r="I22" i="14"/>
  <c r="I26" i="14" s="1"/>
  <c r="N201" i="5"/>
  <c r="U46" i="6" s="1"/>
  <c r="U52" i="6"/>
  <c r="L24" i="14"/>
  <c r="L24" i="12"/>
  <c r="L24" i="13"/>
  <c r="L26" i="13" s="1"/>
  <c r="R70" i="5"/>
  <c r="R71" i="5" s="1"/>
  <c r="R49" i="5"/>
  <c r="R9" i="2"/>
  <c r="L196" i="5"/>
  <c r="L183" i="5"/>
  <c r="L186" i="5" s="1"/>
  <c r="J24" i="15"/>
  <c r="Q57" i="5"/>
  <c r="Q50" i="5"/>
  <c r="Q51" i="5" s="1"/>
  <c r="Q123" i="5" s="1"/>
  <c r="M205" i="5"/>
  <c r="T58" i="6"/>
  <c r="M211" i="5"/>
  <c r="K24" i="13"/>
  <c r="M200" i="5"/>
  <c r="T3" i="6" s="1"/>
  <c r="T48" i="6" s="1"/>
  <c r="T69" i="6" s="1"/>
  <c r="L204" i="5"/>
  <c r="L208" i="5" s="1"/>
  <c r="S50" i="6"/>
  <c r="Q125" i="5"/>
  <c r="Q128" i="5" s="1"/>
  <c r="K24" i="14"/>
  <c r="O189" i="5"/>
  <c r="O157" i="5"/>
  <c r="O161" i="5"/>
  <c r="P64" i="5"/>
  <c r="P65" i="5" s="1"/>
  <c r="P58" i="5"/>
  <c r="K205" i="5"/>
  <c r="K211" i="5" s="1"/>
  <c r="R58" i="6"/>
  <c r="O163" i="5"/>
  <c r="O190" i="5"/>
  <c r="P131" i="5"/>
  <c r="P132" i="5" s="1"/>
  <c r="P133" i="5" s="1"/>
  <c r="P150" i="5" s="1"/>
  <c r="P151" i="5" s="1"/>
  <c r="P136" i="5"/>
  <c r="P137" i="5" s="1"/>
  <c r="P138" i="5" s="1"/>
  <c r="P153" i="5" s="1"/>
  <c r="K26" i="12"/>
  <c r="N156" i="5"/>
  <c r="H22" i="14"/>
  <c r="H26" i="14" s="1"/>
  <c r="H22" i="12"/>
  <c r="H22" i="13"/>
  <c r="H26" i="13" s="1"/>
  <c r="G22" i="12"/>
  <c r="G22" i="14"/>
  <c r="G26" i="14" s="1"/>
  <c r="G22" i="13"/>
  <c r="G26" i="13" s="1"/>
  <c r="O184" i="5"/>
  <c r="O197" i="5"/>
  <c r="V60" i="6" s="1"/>
  <c r="Q131" i="5" l="1"/>
  <c r="Q132" i="5" s="1"/>
  <c r="Q133" i="5" s="1"/>
  <c r="Q150" i="5" s="1"/>
  <c r="Q136" i="5"/>
  <c r="Q137" i="5" s="1"/>
  <c r="Q138" i="5" s="1"/>
  <c r="Q153" i="5" s="1"/>
  <c r="H26" i="12"/>
  <c r="H26" i="15" s="1"/>
  <c r="H22" i="15"/>
  <c r="R50" i="5"/>
  <c r="R51" i="5" s="1"/>
  <c r="R123" i="5" s="1"/>
  <c r="R57" i="5"/>
  <c r="I22" i="15"/>
  <c r="I26" i="12"/>
  <c r="I26" i="15" s="1"/>
  <c r="L24" i="15"/>
  <c r="L26" i="12"/>
  <c r="K26" i="13"/>
  <c r="L205" i="5"/>
  <c r="L211" i="5" s="1"/>
  <c r="S58" i="6"/>
  <c r="P154" i="5"/>
  <c r="P156" i="5" s="1"/>
  <c r="S49" i="5"/>
  <c r="S70" i="5"/>
  <c r="S71" i="5" s="1"/>
  <c r="S9" i="2"/>
  <c r="O201" i="5"/>
  <c r="V46" i="6" s="1"/>
  <c r="V52" i="6"/>
  <c r="P163" i="5"/>
  <c r="P190" i="5"/>
  <c r="R125" i="5"/>
  <c r="R128" i="5" s="1"/>
  <c r="G26" i="12"/>
  <c r="G26" i="15" s="1"/>
  <c r="G22" i="15"/>
  <c r="N157" i="5"/>
  <c r="N161" i="5"/>
  <c r="N189" i="5"/>
  <c r="P197" i="5"/>
  <c r="W60" i="6" s="1"/>
  <c r="P184" i="5"/>
  <c r="Q64" i="5"/>
  <c r="Q65" i="5" s="1"/>
  <c r="Q58" i="5"/>
  <c r="O183" i="5"/>
  <c r="O186" i="5" s="1"/>
  <c r="O196" i="5"/>
  <c r="L200" i="5"/>
  <c r="S3" i="6" s="1"/>
  <c r="S48" i="6" s="1"/>
  <c r="S69" i="6" s="1"/>
  <c r="J26" i="12"/>
  <c r="K24" i="15"/>
  <c r="O200" i="5"/>
  <c r="V3" i="6" s="1"/>
  <c r="V48" i="6" s="1"/>
  <c r="V69" i="6" s="1"/>
  <c r="O204" i="5"/>
  <c r="O208" i="5" s="1"/>
  <c r="V50" i="6"/>
  <c r="M24" i="13"/>
  <c r="M26" i="13" s="1"/>
  <c r="M24" i="14"/>
  <c r="M24" i="12"/>
  <c r="P189" i="5" l="1"/>
  <c r="P161" i="5"/>
  <c r="P157" i="5"/>
  <c r="M24" i="15"/>
  <c r="M26" i="12"/>
  <c r="O211" i="5"/>
  <c r="O205" i="5"/>
  <c r="V58" i="6"/>
  <c r="N183" i="5"/>
  <c r="N186" i="5" s="1"/>
  <c r="N196" i="5"/>
  <c r="R64" i="5"/>
  <c r="R65" i="5" s="1"/>
  <c r="R58" i="5"/>
  <c r="T49" i="5"/>
  <c r="T70" i="5"/>
  <c r="T71" i="5" s="1"/>
  <c r="T9" i="2"/>
  <c r="Q163" i="5"/>
  <c r="Q190" i="5"/>
  <c r="S125" i="5"/>
  <c r="S128" i="5" s="1"/>
  <c r="Q184" i="5"/>
  <c r="Q197" i="5"/>
  <c r="X60" i="6" s="1"/>
  <c r="S57" i="5"/>
  <c r="S50" i="5"/>
  <c r="S51" i="5" s="1"/>
  <c r="S123" i="5" s="1"/>
  <c r="P201" i="5"/>
  <c r="W46" i="6" s="1"/>
  <c r="W52" i="6"/>
  <c r="R136" i="5"/>
  <c r="R137" i="5" s="1"/>
  <c r="R138" i="5" s="1"/>
  <c r="R153" i="5" s="1"/>
  <c r="R154" i="5" s="1"/>
  <c r="R131" i="5"/>
  <c r="R132" i="5" s="1"/>
  <c r="R133" i="5" s="1"/>
  <c r="R150" i="5" s="1"/>
  <c r="R151" i="5" s="1"/>
  <c r="Q154" i="5"/>
  <c r="N204" i="5"/>
  <c r="U50" i="6"/>
  <c r="N208" i="5"/>
  <c r="N200" i="5"/>
  <c r="U3" i="6" s="1"/>
  <c r="U48" i="6" s="1"/>
  <c r="U69" i="6" s="1"/>
  <c r="N24" i="12"/>
  <c r="N24" i="14"/>
  <c r="N24" i="13"/>
  <c r="N26" i="13" s="1"/>
  <c r="Q151" i="5"/>
  <c r="Q156" i="5" s="1"/>
  <c r="K22" i="14"/>
  <c r="J22" i="14"/>
  <c r="M22" i="14" l="1"/>
  <c r="L22" i="14"/>
  <c r="S131" i="5"/>
  <c r="S132" i="5" s="1"/>
  <c r="S133" i="5" s="1"/>
  <c r="S150" i="5" s="1"/>
  <c r="S151" i="5" s="1"/>
  <c r="S156" i="5" s="1"/>
  <c r="S136" i="5"/>
  <c r="S137" i="5" s="1"/>
  <c r="S138" i="5" s="1"/>
  <c r="S153" i="5" s="1"/>
  <c r="S154" i="5" s="1"/>
  <c r="R163" i="5"/>
  <c r="R190" i="5"/>
  <c r="O24" i="12"/>
  <c r="O24" i="14"/>
  <c r="O24" i="13"/>
  <c r="Q201" i="5"/>
  <c r="X46" i="6" s="1"/>
  <c r="X52" i="6"/>
  <c r="R184" i="5"/>
  <c r="R197" i="5"/>
  <c r="Y60" i="6" s="1"/>
  <c r="T57" i="5"/>
  <c r="T50" i="5"/>
  <c r="T51" i="5" s="1"/>
  <c r="T123" i="5" s="1"/>
  <c r="K26" i="14"/>
  <c r="K22" i="15"/>
  <c r="N211" i="5"/>
  <c r="N205" i="5"/>
  <c r="U58" i="6"/>
  <c r="Q157" i="5"/>
  <c r="Q161" i="5"/>
  <c r="Q189" i="5"/>
  <c r="P183" i="5"/>
  <c r="P186" i="5" s="1"/>
  <c r="P196" i="5"/>
  <c r="S64" i="5"/>
  <c r="S65" i="5" s="1"/>
  <c r="S58" i="5"/>
  <c r="N24" i="15"/>
  <c r="N26" i="12"/>
  <c r="U49" i="5"/>
  <c r="U70" i="5"/>
  <c r="U71" i="5" s="1"/>
  <c r="U9" i="2"/>
  <c r="P200" i="5"/>
  <c r="W3" i="6" s="1"/>
  <c r="W48" i="6" s="1"/>
  <c r="W69" i="6" s="1"/>
  <c r="P204" i="5"/>
  <c r="P208" i="5" s="1"/>
  <c r="W50" i="6"/>
  <c r="J26" i="14"/>
  <c r="J26" i="15" s="1"/>
  <c r="J22" i="15"/>
  <c r="R156" i="5"/>
  <c r="T125" i="5"/>
  <c r="T128" i="5" s="1"/>
  <c r="S163" i="5" l="1"/>
  <c r="S190" i="5"/>
  <c r="S184" i="5"/>
  <c r="S197" i="5"/>
  <c r="Z60" i="6" s="1"/>
  <c r="R157" i="5"/>
  <c r="R161" i="5"/>
  <c r="R189" i="5"/>
  <c r="V70" i="5"/>
  <c r="V71" i="5" s="1"/>
  <c r="V49" i="5"/>
  <c r="V9" i="2"/>
  <c r="P205" i="5"/>
  <c r="P211" i="5" s="1"/>
  <c r="W58" i="6"/>
  <c r="P24" i="12"/>
  <c r="P24" i="14"/>
  <c r="P24" i="13"/>
  <c r="P26" i="13" s="1"/>
  <c r="Y52" i="6"/>
  <c r="R201" i="5"/>
  <c r="Y46" i="6" s="1"/>
  <c r="T136" i="5"/>
  <c r="T137" i="5" s="1"/>
  <c r="T138" i="5" s="1"/>
  <c r="T153" i="5" s="1"/>
  <c r="T154" i="5" s="1"/>
  <c r="T131" i="5"/>
  <c r="T132" i="5" s="1"/>
  <c r="T133" i="5" s="1"/>
  <c r="T150" i="5" s="1"/>
  <c r="T151" i="5" s="1"/>
  <c r="T156" i="5" s="1"/>
  <c r="K26" i="15"/>
  <c r="U57" i="5"/>
  <c r="U50" i="5"/>
  <c r="U51" i="5" s="1"/>
  <c r="U123" i="5" s="1"/>
  <c r="U125" i="5" s="1"/>
  <c r="U128" i="5" s="1"/>
  <c r="Q208" i="5"/>
  <c r="Q204" i="5"/>
  <c r="X50" i="6"/>
  <c r="O26" i="13"/>
  <c r="S189" i="5"/>
  <c r="S157" i="5"/>
  <c r="S161" i="5"/>
  <c r="Q183" i="5"/>
  <c r="Q186" i="5" s="1"/>
  <c r="Q196" i="5"/>
  <c r="T64" i="5"/>
  <c r="T65" i="5" s="1"/>
  <c r="T58" i="5"/>
  <c r="O24" i="15"/>
  <c r="O26" i="12"/>
  <c r="L26" i="14"/>
  <c r="L26" i="15" s="1"/>
  <c r="L22" i="15"/>
  <c r="N22" i="14"/>
  <c r="M26" i="14"/>
  <c r="M26" i="15" s="1"/>
  <c r="M22" i="15"/>
  <c r="U136" i="5" l="1"/>
  <c r="U137" i="5" s="1"/>
  <c r="U138" i="5" s="1"/>
  <c r="U153" i="5" s="1"/>
  <c r="U154" i="5" s="1"/>
  <c r="U131" i="5"/>
  <c r="U132" i="5" s="1"/>
  <c r="U133" i="5" s="1"/>
  <c r="U150" i="5" s="1"/>
  <c r="U151" i="5" s="1"/>
  <c r="U64" i="5"/>
  <c r="U65" i="5" s="1"/>
  <c r="U58" i="5"/>
  <c r="T184" i="5"/>
  <c r="T197" i="5"/>
  <c r="AA60" i="6" s="1"/>
  <c r="Q211" i="5"/>
  <c r="Q205" i="5"/>
  <c r="X58" i="6"/>
  <c r="Q200" i="5"/>
  <c r="X3" i="6" s="1"/>
  <c r="X48" i="6" s="1"/>
  <c r="X69" i="6" s="1"/>
  <c r="T161" i="5"/>
  <c r="T189" i="5"/>
  <c r="T157" i="5"/>
  <c r="R183" i="5"/>
  <c r="R186" i="5" s="1"/>
  <c r="R196" i="5"/>
  <c r="S183" i="5"/>
  <c r="S186" i="5" s="1"/>
  <c r="S196" i="5"/>
  <c r="Q24" i="14"/>
  <c r="W49" i="5"/>
  <c r="W70" i="5"/>
  <c r="W71" i="5" s="1"/>
  <c r="W9" i="2"/>
  <c r="S201" i="5"/>
  <c r="Z46" i="6" s="1"/>
  <c r="Z52" i="6"/>
  <c r="Q24" i="12" s="1"/>
  <c r="S204" i="5"/>
  <c r="S200" i="5"/>
  <c r="Z3" i="6" s="1"/>
  <c r="Z48" i="6" s="1"/>
  <c r="Z69" i="6" s="1"/>
  <c r="Z50" i="6"/>
  <c r="S208" i="5"/>
  <c r="V57" i="5"/>
  <c r="V50" i="5"/>
  <c r="V51" i="5" s="1"/>
  <c r="V123" i="5" s="1"/>
  <c r="T190" i="5"/>
  <c r="T163" i="5"/>
  <c r="V125" i="5"/>
  <c r="V128" i="5" s="1"/>
  <c r="N26" i="14"/>
  <c r="N22" i="15"/>
  <c r="P24" i="15"/>
  <c r="P26" i="12"/>
  <c r="R200" i="5"/>
  <c r="Y3" i="6" s="1"/>
  <c r="Y48" i="6" s="1"/>
  <c r="Y69" i="6" s="1"/>
  <c r="Q22" i="14" s="1"/>
  <c r="R204" i="5"/>
  <c r="R208" i="5" s="1"/>
  <c r="Y50" i="6"/>
  <c r="Q26" i="12" l="1"/>
  <c r="T201" i="5"/>
  <c r="AA46" i="6" s="1"/>
  <c r="AA52" i="6"/>
  <c r="Q24" i="13"/>
  <c r="Q24" i="15" s="1"/>
  <c r="T196" i="5"/>
  <c r="T183" i="5"/>
  <c r="T186" i="5" s="1"/>
  <c r="Q26" i="14"/>
  <c r="Q22" i="15"/>
  <c r="V131" i="5"/>
  <c r="V132" i="5" s="1"/>
  <c r="V133" i="5" s="1"/>
  <c r="V150" i="5" s="1"/>
  <c r="V151" i="5" s="1"/>
  <c r="V156" i="5" s="1"/>
  <c r="V136" i="5"/>
  <c r="V137" i="5" s="1"/>
  <c r="V138" i="5" s="1"/>
  <c r="V153" i="5" s="1"/>
  <c r="V154" i="5" s="1"/>
  <c r="W57" i="5"/>
  <c r="W50" i="5"/>
  <c r="W51" i="5" s="1"/>
  <c r="W123" i="5" s="1"/>
  <c r="W125" i="5" s="1"/>
  <c r="W128" i="5" s="1"/>
  <c r="T200" i="5"/>
  <c r="AA3" i="6" s="1"/>
  <c r="AA48" i="6" s="1"/>
  <c r="AA69" i="6" s="1"/>
  <c r="R22" i="14" s="1"/>
  <c r="T204" i="5"/>
  <c r="T208" i="5"/>
  <c r="AA50" i="6"/>
  <c r="U163" i="5"/>
  <c r="U190" i="5"/>
  <c r="U197" i="5"/>
  <c r="AB60" i="6" s="1"/>
  <c r="U184" i="5"/>
  <c r="R24" i="12"/>
  <c r="R24" i="14"/>
  <c r="R24" i="13"/>
  <c r="R26" i="13" s="1"/>
  <c r="S205" i="5"/>
  <c r="S211" i="5" s="1"/>
  <c r="Z58" i="6"/>
  <c r="P22" i="14"/>
  <c r="O22" i="14"/>
  <c r="N26" i="15"/>
  <c r="X49" i="5"/>
  <c r="X70" i="5"/>
  <c r="X71" i="5" s="1"/>
  <c r="X125" i="5" s="1"/>
  <c r="X128" i="5" s="1"/>
  <c r="X9" i="2"/>
  <c r="U156" i="5"/>
  <c r="V64" i="5"/>
  <c r="V65" i="5" s="1"/>
  <c r="V58" i="5"/>
  <c r="R205" i="5"/>
  <c r="R211" i="5" s="1"/>
  <c r="Y58" i="6"/>
  <c r="R26" i="14" l="1"/>
  <c r="R22" i="15"/>
  <c r="W136" i="5"/>
  <c r="W137" i="5" s="1"/>
  <c r="W138" i="5" s="1"/>
  <c r="W153" i="5" s="1"/>
  <c r="W131" i="5"/>
  <c r="W132" i="5" s="1"/>
  <c r="W133" i="5" s="1"/>
  <c r="W150" i="5" s="1"/>
  <c r="O26" i="14"/>
  <c r="O22" i="15"/>
  <c r="R24" i="15"/>
  <c r="R26" i="12"/>
  <c r="R26" i="15" s="1"/>
  <c r="V197" i="5"/>
  <c r="AC60" i="6" s="1"/>
  <c r="V184" i="5"/>
  <c r="V161" i="5"/>
  <c r="V157" i="5"/>
  <c r="V189" i="5"/>
  <c r="U157" i="5"/>
  <c r="U161" i="5"/>
  <c r="U189" i="5"/>
  <c r="P26" i="14"/>
  <c r="P26" i="15" s="1"/>
  <c r="P22" i="15"/>
  <c r="T211" i="5"/>
  <c r="AA58" i="6"/>
  <c r="T205" i="5"/>
  <c r="Y49" i="5"/>
  <c r="Y70" i="5"/>
  <c r="Y71" i="5" s="1"/>
  <c r="Y125" i="5" s="1"/>
  <c r="Y128" i="5" s="1"/>
  <c r="Y9" i="2"/>
  <c r="AB52" i="6"/>
  <c r="U201" i="5"/>
  <c r="AB46" i="6" s="1"/>
  <c r="Q26" i="13"/>
  <c r="X131" i="5"/>
  <c r="X132" i="5" s="1"/>
  <c r="X133" i="5" s="1"/>
  <c r="X150" i="5" s="1"/>
  <c r="X151" i="5" s="1"/>
  <c r="X136" i="5"/>
  <c r="X137" i="5" s="1"/>
  <c r="X138" i="5" s="1"/>
  <c r="X153" i="5" s="1"/>
  <c r="X154" i="5" s="1"/>
  <c r="W64" i="5"/>
  <c r="W65" i="5" s="1"/>
  <c r="W58" i="5"/>
  <c r="S24" i="12"/>
  <c r="S24" i="14"/>
  <c r="S24" i="13"/>
  <c r="S26" i="13" s="1"/>
  <c r="X57" i="5"/>
  <c r="X50" i="5"/>
  <c r="V163" i="5"/>
  <c r="V190" i="5"/>
  <c r="W154" i="5" l="1"/>
  <c r="J11" i="14"/>
  <c r="J11" i="15"/>
  <c r="V201" i="5"/>
  <c r="AC46" i="6" s="1"/>
  <c r="AC52" i="6"/>
  <c r="Y131" i="5"/>
  <c r="Y132" i="5" s="1"/>
  <c r="Y133" i="5" s="1"/>
  <c r="Y150" i="5" s="1"/>
  <c r="Y151" i="5" s="1"/>
  <c r="Y136" i="5"/>
  <c r="Y137" i="5" s="1"/>
  <c r="Y138" i="5" s="1"/>
  <c r="Y153" i="5" s="1"/>
  <c r="Y154" i="5" s="1"/>
  <c r="X156" i="5"/>
  <c r="V204" i="5"/>
  <c r="AC50" i="6"/>
  <c r="V208" i="5"/>
  <c r="Z70" i="5"/>
  <c r="Z71" i="5" s="1"/>
  <c r="Z125" i="5" s="1"/>
  <c r="Z128" i="5" s="1"/>
  <c r="Z49" i="5"/>
  <c r="Z9" i="2"/>
  <c r="V196" i="5"/>
  <c r="V183" i="5"/>
  <c r="V186" i="5" s="1"/>
  <c r="U208" i="5"/>
  <c r="U204" i="5"/>
  <c r="AB50" i="6"/>
  <c r="X64" i="5"/>
  <c r="X65" i="5" s="1"/>
  <c r="X58" i="5"/>
  <c r="O26" i="15"/>
  <c r="Q26" i="15"/>
  <c r="S24" i="15"/>
  <c r="S26" i="12"/>
  <c r="T24" i="14"/>
  <c r="AA24" i="14" s="1"/>
  <c r="T24" i="12"/>
  <c r="T24" i="13"/>
  <c r="W151" i="5"/>
  <c r="W156" i="5" s="1"/>
  <c r="J10" i="15"/>
  <c r="J12" i="15" s="1"/>
  <c r="J10" i="14"/>
  <c r="J12" i="14" s="1"/>
  <c r="W163" i="5"/>
  <c r="W190" i="5"/>
  <c r="W184" i="5"/>
  <c r="W197" i="5"/>
  <c r="AD60" i="6" s="1"/>
  <c r="Y57" i="5"/>
  <c r="Y50" i="5"/>
  <c r="U183" i="5"/>
  <c r="U186" i="5" s="1"/>
  <c r="U196" i="5"/>
  <c r="X197" i="5" l="1"/>
  <c r="AE60" i="6" s="1"/>
  <c r="X184" i="5"/>
  <c r="Y156" i="5"/>
  <c r="Y64" i="5"/>
  <c r="Y65" i="5" s="1"/>
  <c r="Y58" i="5"/>
  <c r="T26" i="13"/>
  <c r="AA26" i="13" s="1"/>
  <c r="AA24" i="13"/>
  <c r="X189" i="5"/>
  <c r="X157" i="5"/>
  <c r="X161" i="5"/>
  <c r="T26" i="12"/>
  <c r="T24" i="15"/>
  <c r="AA24" i="15" s="1"/>
  <c r="AA24" i="12"/>
  <c r="AA49" i="5"/>
  <c r="AA70" i="5"/>
  <c r="AA71" i="5" s="1"/>
  <c r="AA125" i="5" s="1"/>
  <c r="AA128" i="5" s="1"/>
  <c r="Z57" i="5"/>
  <c r="Z50" i="5"/>
  <c r="W201" i="5"/>
  <c r="AD46" i="6" s="1"/>
  <c r="AD52" i="6"/>
  <c r="U24" i="14" s="1"/>
  <c r="Z131" i="5"/>
  <c r="Z132" i="5" s="1"/>
  <c r="Z133" i="5" s="1"/>
  <c r="Z150" i="5" s="1"/>
  <c r="Z151" i="5" s="1"/>
  <c r="Z136" i="5"/>
  <c r="Z137" i="5" s="1"/>
  <c r="Z138" i="5" s="1"/>
  <c r="Z153" i="5" s="1"/>
  <c r="Z154" i="5" s="1"/>
  <c r="U24" i="13"/>
  <c r="U26" i="13" s="1"/>
  <c r="V205" i="5"/>
  <c r="V211" i="5" s="1"/>
  <c r="AC58" i="6"/>
  <c r="X190" i="5"/>
  <c r="X163" i="5"/>
  <c r="U205" i="5"/>
  <c r="U211" i="5" s="1"/>
  <c r="AB58" i="6"/>
  <c r="U200" i="5"/>
  <c r="AB3" i="6" s="1"/>
  <c r="AB48" i="6" s="1"/>
  <c r="AB69" i="6" s="1"/>
  <c r="V200" i="5"/>
  <c r="AC3" i="6" s="1"/>
  <c r="AC48" i="6" s="1"/>
  <c r="AC69" i="6" s="1"/>
  <c r="W157" i="5"/>
  <c r="W189" i="5"/>
  <c r="W161" i="5"/>
  <c r="AA136" i="5" l="1"/>
  <c r="AA137" i="5" s="1"/>
  <c r="AA138" i="5" s="1"/>
  <c r="AA153" i="5" s="1"/>
  <c r="AA154" i="5" s="1"/>
  <c r="AA131" i="5"/>
  <c r="AA132" i="5" s="1"/>
  <c r="AA133" i="5" s="1"/>
  <c r="AA150" i="5" s="1"/>
  <c r="AA151" i="5" s="1"/>
  <c r="Y157" i="5"/>
  <c r="Y161" i="5"/>
  <c r="Y189" i="5"/>
  <c r="U24" i="12"/>
  <c r="X183" i="5"/>
  <c r="X186" i="5" s="1"/>
  <c r="X196" i="5"/>
  <c r="Z64" i="5"/>
  <c r="Z65" i="5" s="1"/>
  <c r="Z58" i="5"/>
  <c r="X200" i="5"/>
  <c r="X204" i="5"/>
  <c r="X208" i="5" s="1"/>
  <c r="AE50" i="6"/>
  <c r="W200" i="5"/>
  <c r="AD3" i="6" s="1"/>
  <c r="AD48" i="6" s="1"/>
  <c r="W204" i="5"/>
  <c r="W208" i="5"/>
  <c r="AD50" i="6"/>
  <c r="AE52" i="6"/>
  <c r="V24" i="12" s="1"/>
  <c r="X201" i="5"/>
  <c r="AE46" i="6" s="1"/>
  <c r="Z156" i="5"/>
  <c r="Y163" i="5"/>
  <c r="Y190" i="5"/>
  <c r="W196" i="5"/>
  <c r="W183" i="5"/>
  <c r="W186" i="5" s="1"/>
  <c r="Y184" i="5"/>
  <c r="Y197" i="5"/>
  <c r="AF60" i="6" s="1"/>
  <c r="K61" i="6" s="1"/>
  <c r="AA57" i="5"/>
  <c r="AA50" i="5"/>
  <c r="T22" i="14"/>
  <c r="S22" i="14"/>
  <c r="V24" i="13"/>
  <c r="V26" i="13" s="1"/>
  <c r="AA26" i="12"/>
  <c r="V26" i="12" l="1"/>
  <c r="V24" i="14"/>
  <c r="V24" i="15" s="1"/>
  <c r="Z184" i="5"/>
  <c r="Z197" i="5"/>
  <c r="W205" i="5"/>
  <c r="W211" i="5" s="1"/>
  <c r="AD58" i="6"/>
  <c r="X205" i="5"/>
  <c r="X211" i="5"/>
  <c r="AE58" i="6"/>
  <c r="W24" i="14"/>
  <c r="W26" i="14" s="1"/>
  <c r="W24" i="12"/>
  <c r="W24" i="13"/>
  <c r="W26" i="13" s="1"/>
  <c r="Y183" i="5"/>
  <c r="Y186" i="5" s="1"/>
  <c r="Y196" i="5"/>
  <c r="S26" i="14"/>
  <c r="S22" i="15"/>
  <c r="Y201" i="5"/>
  <c r="AF46" i="6" s="1"/>
  <c r="K47" i="6" s="1"/>
  <c r="J67" i="6" s="1"/>
  <c r="AF52" i="6"/>
  <c r="AD69" i="6"/>
  <c r="K49" i="6"/>
  <c r="T26" i="14"/>
  <c r="T26" i="15" s="1"/>
  <c r="T22" i="15"/>
  <c r="AA22" i="14"/>
  <c r="U24" i="15"/>
  <c r="U26" i="12"/>
  <c r="Z157" i="5"/>
  <c r="Z189" i="5"/>
  <c r="Z161" i="5"/>
  <c r="Y208" i="5"/>
  <c r="Y204" i="5"/>
  <c r="AF50" i="6"/>
  <c r="K51" i="6" s="1"/>
  <c r="Y200" i="5"/>
  <c r="AA64" i="5"/>
  <c r="AA65" i="5" s="1"/>
  <c r="AA58" i="5"/>
  <c r="Z190" i="5"/>
  <c r="Z201" i="5" s="1"/>
  <c r="Z163" i="5"/>
  <c r="AA156" i="5"/>
  <c r="AA189" i="5" l="1"/>
  <c r="AA161" i="5"/>
  <c r="AA157" i="5"/>
  <c r="D4" i="13"/>
  <c r="D4" i="12"/>
  <c r="Z204" i="5"/>
  <c r="Z208" i="5" s="1"/>
  <c r="V22" i="14"/>
  <c r="K70" i="6"/>
  <c r="D4" i="14" s="1"/>
  <c r="U22" i="14"/>
  <c r="W24" i="15"/>
  <c r="W26" i="12"/>
  <c r="W26" i="15" s="1"/>
  <c r="AA163" i="5"/>
  <c r="AA190" i="5"/>
  <c r="Z183" i="5"/>
  <c r="Z186" i="5" s="1"/>
  <c r="Z196" i="5"/>
  <c r="X24" i="12"/>
  <c r="X24" i="14"/>
  <c r="X26" i="14" s="1"/>
  <c r="X24" i="13"/>
  <c r="X26" i="13" s="1"/>
  <c r="K53" i="6"/>
  <c r="J53" i="6" s="1"/>
  <c r="AA197" i="5"/>
  <c r="B197" i="5" s="1"/>
  <c r="AA184" i="5"/>
  <c r="AA26" i="14"/>
  <c r="S26" i="15"/>
  <c r="AA26" i="15" s="1"/>
  <c r="AA22" i="15"/>
  <c r="Y205" i="5"/>
  <c r="Y211" i="5" s="1"/>
  <c r="AF58" i="6"/>
  <c r="K59" i="6" s="1"/>
  <c r="J61" i="6" s="1"/>
  <c r="J64" i="6" l="1"/>
  <c r="AA196" i="5"/>
  <c r="AA183" i="5"/>
  <c r="AA186" i="5" s="1"/>
  <c r="AA201" i="5"/>
  <c r="B201" i="5" s="1"/>
  <c r="B190" i="5"/>
  <c r="D4" i="15"/>
  <c r="U26" i="14"/>
  <c r="U26" i="15" s="1"/>
  <c r="U22" i="15"/>
  <c r="X24" i="15"/>
  <c r="X26" i="12"/>
  <c r="X26" i="15" s="1"/>
  <c r="Z205" i="5"/>
  <c r="Z211" i="5"/>
  <c r="V26" i="14"/>
  <c r="V26" i="15" s="1"/>
  <c r="V22" i="15"/>
  <c r="Z200" i="5"/>
  <c r="AA204" i="5"/>
  <c r="B204" i="5" s="1"/>
  <c r="AA200" i="5"/>
  <c r="B189" i="5"/>
  <c r="B200" i="5" l="1"/>
  <c r="AA205" i="5"/>
  <c r="B205" i="5" s="1"/>
  <c r="B196" i="5"/>
  <c r="AA208" i="5"/>
  <c r="B208" i="5" s="1"/>
  <c r="AA211" i="5" l="1"/>
  <c r="B211" i="5" s="1"/>
  <c r="B212" i="5" s="1"/>
</calcChain>
</file>

<file path=xl/comments1.xml><?xml version="1.0" encoding="utf-8"?>
<comments xmlns="http://schemas.openxmlformats.org/spreadsheetml/2006/main">
  <authors>
    <author>ENRON</author>
  </authors>
  <commentList>
    <comment ref="D4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find out actual from Farhad!</t>
        </r>
      </text>
    </comment>
  </commentList>
</comments>
</file>

<file path=xl/comments2.xml><?xml version="1.0" encoding="utf-8"?>
<comments xmlns="http://schemas.openxmlformats.org/spreadsheetml/2006/main">
  <authors>
    <author>ENRON</author>
  </authors>
  <commentList>
    <comment ref="F25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prices given were as of 2000, but according to N. Will, shipping costs are locked in for a couple years.  Therefore, only escalated O&amp;M and Voyage Costs by 1 year to come up with a 2003 equivalent number</t>
        </r>
      </text>
    </comment>
    <comment ref="F30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prices given were as of 2000, but according to N. Will, shipping costs are locked in for a couple years.  Therefore, only escalated O&amp;M and Voyage Costs by 1 year to come up with a 2003 equivalent number</t>
        </r>
      </text>
    </comment>
  </commentList>
</comments>
</file>

<file path=xl/comments3.xml><?xml version="1.0" encoding="utf-8"?>
<comments xmlns="http://schemas.openxmlformats.org/spreadsheetml/2006/main">
  <authors>
    <author>ENRON</author>
  </authors>
  <commentList>
    <comment ref="A20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Please note that the start year has been hardcoded (not linked to Yrs 1-5 at all); Also note that Cargoes b/w Algeria &amp; Abu Dhabi were prorated according to Ratio set in Cargoes for Yrs 1-5</t>
        </r>
      </text>
    </comment>
    <comment ref="K192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note that these are pv'd at 10%
</t>
        </r>
      </text>
    </comment>
    <comment ref="K194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note that these are pv'd at 10%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N24" authorId="0" shapeId="0">
      <text>
        <r>
          <rPr>
            <sz val="8"/>
            <color indexed="81"/>
            <rFont val="Tahoma"/>
          </rPr>
          <t>Set average manually</t>
        </r>
      </text>
    </comment>
    <comment ref="O24" authorId="0" shapeId="0">
      <text>
        <r>
          <rPr>
            <sz val="8"/>
            <color indexed="81"/>
            <rFont val="Tahoma"/>
          </rPr>
          <t>Set average manually</t>
        </r>
      </text>
    </comment>
  </commentList>
</comments>
</file>

<file path=xl/sharedStrings.xml><?xml version="1.0" encoding="utf-8"?>
<sst xmlns="http://schemas.openxmlformats.org/spreadsheetml/2006/main" count="863" uniqueCount="468">
  <si>
    <t>ASSUMPTIONS</t>
  </si>
  <si>
    <t>Curves:</t>
  </si>
  <si>
    <t>Henry Hub Curve</t>
  </si>
  <si>
    <t>Elba Basis</t>
  </si>
  <si>
    <t>Tbtu/Cargo</t>
  </si>
  <si>
    <t>Shipping Costs:</t>
  </si>
  <si>
    <t>Flat Charter</t>
  </si>
  <si>
    <t>O&amp;M Charter</t>
  </si>
  <si>
    <t>Voyage Cost</t>
  </si>
  <si>
    <t>Total Cost</t>
  </si>
  <si>
    <t>Algeria (Arzew)</t>
  </si>
  <si>
    <t>Terminaling Costs:</t>
  </si>
  <si>
    <t>Escalation begins in 1999</t>
  </si>
  <si>
    <t>Conversion Factor:</t>
  </si>
  <si>
    <t>MMBtu/MMScfd</t>
  </si>
  <si>
    <t>OIL &amp; GAS TREND REVERSION TEMPLATE</t>
  </si>
  <si>
    <t xml:space="preserve">Switch from HH Gas (0) to Aeco (1) </t>
  </si>
  <si>
    <t>Switch from WTI Oil (0) to Brent (1)</t>
  </si>
  <si>
    <t>Reversion</t>
  </si>
  <si>
    <t>Monthly</t>
  </si>
  <si>
    <t>Price Power</t>
  </si>
  <si>
    <t>Coefficient</t>
  </si>
  <si>
    <t>Volatility</t>
  </si>
  <si>
    <t>in Volatility</t>
  </si>
  <si>
    <t>(k)</t>
  </si>
  <si>
    <t>(sigma)</t>
  </si>
  <si>
    <t>(gamma)</t>
  </si>
  <si>
    <t xml:space="preserve">NOTE:  </t>
  </si>
  <si>
    <t>Gas</t>
  </si>
  <si>
    <t>Oil</t>
  </si>
  <si>
    <t>LOCAL PARAMETERS AND LOCAL CURVES DO NOT CHANGE WITH THE GAS SWITCH AND THE OIL SWITCH</t>
  </si>
  <si>
    <t xml:space="preserve">Template updated:  </t>
  </si>
  <si>
    <t>Reversion parameters updated:</t>
  </si>
  <si>
    <t>Gas Prices updated:</t>
  </si>
  <si>
    <t>Oil Prices Updated:</t>
  </si>
  <si>
    <t>Aeco Prices Updated:</t>
  </si>
  <si>
    <t>Brent Prices Updated:</t>
  </si>
  <si>
    <t>Use central parameters and curve (1=yes, 0=no) DEFAULT = 1</t>
  </si>
  <si>
    <t>RANGE COLOR CODES</t>
  </si>
  <si>
    <t>Local assumption or input cells</t>
  </si>
  <si>
    <t>Crystal Ball assumption cells.  REMOVE ASSUMPTIONS FOR HISTORICAL PERIODS</t>
  </si>
  <si>
    <t>Linked file references.  Must be present for stress-testing.  Overwrite if inapplicable</t>
  </si>
  <si>
    <t>Central</t>
  </si>
  <si>
    <t>Local</t>
  </si>
  <si>
    <t>Natural Gas</t>
  </si>
  <si>
    <t xml:space="preserve">Oil </t>
  </si>
  <si>
    <t>Mid Price</t>
  </si>
  <si>
    <t>Trend</t>
  </si>
  <si>
    <t>Year</t>
  </si>
  <si>
    <t>(Shifted)</t>
  </si>
  <si>
    <t>Normal</t>
  </si>
  <si>
    <t>Date</t>
  </si>
  <si>
    <t>US Inflation</t>
  </si>
  <si>
    <t>Version 012298</t>
  </si>
  <si>
    <t>Monthly drift (%):</t>
  </si>
  <si>
    <t>Volatility (%)</t>
  </si>
  <si>
    <t>TRANSPOSED ANNUAL OUTPUT</t>
  </si>
  <si>
    <t>Use centrally defined parameters? (yes = 1, no = 0)</t>
  </si>
  <si>
    <t>Use forward drift? (yes = 1, no = 0)</t>
  </si>
  <si>
    <t>ANNUAL OUTPUT</t>
  </si>
  <si>
    <t>Drift</t>
  </si>
  <si>
    <t>GBM</t>
  </si>
  <si>
    <t>1+inflation</t>
  </si>
  <si>
    <t>US</t>
  </si>
  <si>
    <t>Inflation</t>
  </si>
  <si>
    <t>Local values</t>
  </si>
  <si>
    <t>Linked file references.  Must be present for stress-testing.</t>
  </si>
  <si>
    <t>Output area for annualized domestic inflation</t>
  </si>
  <si>
    <t>Dates</t>
  </si>
  <si>
    <t>Calendar Year</t>
  </si>
  <si>
    <t>Months of Operation</t>
  </si>
  <si>
    <t>% of Year</t>
  </si>
  <si>
    <t>% of Year with Scheduled Throughput</t>
  </si>
  <si>
    <t>Cargoes by Oper. Year:</t>
  </si>
  <si>
    <t>Cargoes:</t>
  </si>
  <si>
    <t>Algeria:</t>
  </si>
  <si>
    <t>Abu Dhabi:</t>
  </si>
  <si>
    <t>Cargoes by Calendar Year:</t>
  </si>
  <si>
    <t>Flat Cost ($MM/Yr)</t>
  </si>
  <si>
    <t>Esc Cost ($MM/Yr)</t>
  </si>
  <si>
    <t>Other Var Cost ($/MMBtu)</t>
  </si>
  <si>
    <t>Fuel Cost (% of Prev Yr FOB)</t>
  </si>
  <si>
    <t>Abu Dhabi via Suez Canal</t>
  </si>
  <si>
    <t>HH Curve</t>
  </si>
  <si>
    <t>Price of Gas</t>
  </si>
  <si>
    <t>Volume (Tbtu/Yr)</t>
  </si>
  <si>
    <t>Flat Terminaling</t>
  </si>
  <si>
    <t>Esc Terminaling</t>
  </si>
  <si>
    <t>Less: Total Terminaling</t>
  </si>
  <si>
    <t>Esc Charter</t>
  </si>
  <si>
    <t>BACKING INTO TERMINAL CHARGE TO GET SPECIFIED FOB:</t>
  </si>
  <si>
    <t>Throughput (TBTU/Yr):</t>
  </si>
  <si>
    <t>Algeria Volumes</t>
  </si>
  <si>
    <t>Abu Dhabi Volumes</t>
  </si>
  <si>
    <t>Total Volumes Throughput</t>
  </si>
  <si>
    <t>Cost of Service Recovered from 3rd Party (non-VZ cargoes) ($/MMBtu) &amp; ($MM)</t>
  </si>
  <si>
    <t>COS Recovered from Algeria ($MM)</t>
  </si>
  <si>
    <t>COS Recovered from Abu Dhabi ($MM)</t>
  </si>
  <si>
    <t>Escalation begins in 2003</t>
  </si>
  <si>
    <t>Cargo Assumptions:</t>
  </si>
  <si>
    <t>Esc as % of CPI:</t>
  </si>
  <si>
    <t>Discount Rate for PV calculations:</t>
  </si>
  <si>
    <t>RAROC? (no=0)</t>
  </si>
  <si>
    <t>Abu Dhabi Cargoes/year</t>
  </si>
  <si>
    <t>Algeria Cargoes/year</t>
  </si>
  <si>
    <t>Distribution</t>
  </si>
  <si>
    <t>Algeria</t>
  </si>
  <si>
    <t>Abu Dhabi</t>
  </si>
  <si>
    <t>Model</t>
  </si>
  <si>
    <t>Extreme Value</t>
  </si>
  <si>
    <t>Mean</t>
  </si>
  <si>
    <t>Mode</t>
  </si>
  <si>
    <t>Scale</t>
  </si>
  <si>
    <t>&lt;&lt;NPV&gt;&gt;</t>
  </si>
  <si>
    <t>EXPECTED CASH FLOWS YEARS 1-5</t>
  </si>
  <si>
    <t>COS Recovered from Spot Markets</t>
  </si>
  <si>
    <t>Profit (if any) on Resale of capacity</t>
  </si>
  <si>
    <t>Potential Penalty for Contract Termination</t>
  </si>
  <si>
    <t>Terminal Throughput (TBTU/Yr) Yrs 1-5:</t>
  </si>
  <si>
    <t>Newbuild</t>
  </si>
  <si>
    <t>Ship Used</t>
  </si>
  <si>
    <t>Additional Variable Costs</t>
  </si>
  <si>
    <t>Fuel Costs</t>
  </si>
  <si>
    <t>Addit'l Var. &amp; Fuel</t>
  </si>
  <si>
    <t>ENE Marketing Costs</t>
  </si>
  <si>
    <t>Adjustment</t>
  </si>
  <si>
    <t>ELBA ISLAND TERMINAL</t>
  </si>
  <si>
    <t>Elba Fixed COS:</t>
  </si>
  <si>
    <t>SPOT</t>
  </si>
  <si>
    <t># of Cargoes</t>
  </si>
  <si>
    <t>CARGOES</t>
  </si>
  <si>
    <t>Yrs 1-5</t>
  </si>
  <si>
    <t>Yrs 6-20</t>
  </si>
  <si>
    <t>Middle East</t>
  </si>
  <si>
    <t>Total</t>
  </si>
  <si>
    <t>2008-17 AVG</t>
  </si>
  <si>
    <t>Elba Island Months of Operation</t>
  </si>
  <si>
    <t>March 30, 2000</t>
  </si>
  <si>
    <t>ELBA ISLAND CASH FLOWS</t>
  </si>
  <si>
    <t>Terminaling Cost (escalated portion) for every year</t>
  </si>
  <si>
    <t>Option 1:  Resell Unutilized Capacity to Third Party</t>
  </si>
  <si>
    <t>COS Payable to Elba Island</t>
  </si>
  <si>
    <t>Year of Operation - Elba Terminal</t>
  </si>
  <si>
    <t>Price of Gas at Elba Island</t>
  </si>
  <si>
    <t>Non-Oper Term COS</t>
  </si>
  <si>
    <t>Cash Outflow Yrs 6+ - Option 3</t>
  </si>
  <si>
    <t>Cash Outflow Yrs 6+ - Option 1</t>
  </si>
  <si>
    <t>Elba Island Assumptions:</t>
  </si>
  <si>
    <t>ENE Share of Facility Capacity</t>
  </si>
  <si>
    <t>Bcf/Yr</t>
  </si>
  <si>
    <t>TBtu/Yr</t>
  </si>
  <si>
    <t>All Yrs</t>
  </si>
  <si>
    <t>Probability of Exit Scenarios</t>
  </si>
  <si>
    <t>ENA Marketing Costs on Non-VZ Volumes ($/MMBtu):</t>
  </si>
  <si>
    <t>MM/Yr</t>
  </si>
  <si>
    <t>Elba Shipping Costs</t>
  </si>
  <si>
    <t>Lake Charles Basis</t>
  </si>
  <si>
    <t>Elba Island:</t>
  </si>
  <si>
    <t>Lake Charles:</t>
  </si>
  <si>
    <t>Lake Ch Shipping Costs</t>
  </si>
  <si>
    <t>Flat Cost ($/MMBtu)</t>
  </si>
  <si>
    <t>Margin:</t>
  </si>
  <si>
    <t>Lake Charles ($/MMBtu):</t>
  </si>
  <si>
    <t>Basis to Elba</t>
  </si>
  <si>
    <t>Basis to Lake Charles</t>
  </si>
  <si>
    <t>Price of Gas at Lake Charles</t>
  </si>
  <si>
    <t>Basis Differential</t>
  </si>
  <si>
    <t>Elba Island Shipping</t>
  </si>
  <si>
    <t>Lake Charles Shipping</t>
  </si>
  <si>
    <t>Basis Differential (Savings to Enron)</t>
  </si>
  <si>
    <t>Voyage Shipping Differential (Savings to Enron)</t>
  </si>
  <si>
    <t>Total Shipping Differential (Savings to Enron)</t>
  </si>
  <si>
    <t>Weighted Avg Shipping Differential (Savings to Enron)</t>
  </si>
  <si>
    <t>Elba Island Terminaling Costs (includes Blending) ($MM):</t>
  </si>
  <si>
    <t>Lake Charles Terminaling Costs &amp; Margin ($MM):</t>
  </si>
  <si>
    <t>Terminaling Cost (flat portion) for every year</t>
  </si>
  <si>
    <t>Total Terminaling Cost for every year</t>
  </si>
  <si>
    <t>Margin Received on Spot Cargoes</t>
  </si>
  <si>
    <t>Revenues Received by Enron</t>
  </si>
  <si>
    <t>Margin Received at Lake Charles</t>
  </si>
  <si>
    <t>Algeria Shipping Differential</t>
  </si>
  <si>
    <t>Revenues Received by Enron before Shipping Savings</t>
  </si>
  <si>
    <t>Revenues Received by Enron on Algeria Cargoes</t>
  </si>
  <si>
    <t>Revenues Received by Enron on M. East Cargoes</t>
  </si>
  <si>
    <t>Algeria Tariff</t>
  </si>
  <si>
    <t>Abu Dhabi Tariff</t>
  </si>
  <si>
    <t>Ttl Cost</t>
  </si>
  <si>
    <t>Var Cost Only</t>
  </si>
  <si>
    <t>Assumed Avg FOB</t>
  </si>
  <si>
    <t>Esc'd</t>
  </si>
  <si>
    <t>Non-Operating Term Terminaling Costs</t>
  </si>
  <si>
    <t>LNG Shipping from Algeria</t>
  </si>
  <si>
    <t>LNG Shipping from Abu Dhabi</t>
  </si>
  <si>
    <t>Escalated Fixed Terminaling Costs ($MM/Yr)</t>
  </si>
  <si>
    <t>Variable Terminaling Costs ($/MMBtu)</t>
  </si>
  <si>
    <t>Revenues Receivable by Enron on Algeria Cargoes</t>
  </si>
  <si>
    <t>Portion of Savings Given to Enron (vs LNG Supplier) ($/MMBtu):</t>
  </si>
  <si>
    <t>Revenues Receivable by Enron on M. East Cargoes</t>
  </si>
  <si>
    <t>Option 2:  Pay Full Cost of Service</t>
  </si>
  <si>
    <t>Option 3:  Spot Cargoes Forever</t>
  </si>
  <si>
    <t>Option 3: Spot Cargoes Received (relative to Gas Price)</t>
  </si>
  <si>
    <t>Terminal Throughput (TBTU/Yr) Yrs 6+:</t>
  </si>
  <si>
    <t>Total Cargoes</t>
  </si>
  <si>
    <t>Yrs 1-5 Terminaling Costs Recovered ($MM)</t>
  </si>
  <si>
    <t>Yrs 6+ Terminaling Costs Recovered ($MM)</t>
  </si>
  <si>
    <t>Cash Outflow Yrs 6+ - Option 2</t>
  </si>
  <si>
    <t>Cash Inflow Yrs 6+ - Option 3</t>
  </si>
  <si>
    <t>Cash Flow Cost Summary</t>
  </si>
  <si>
    <t>Cash Inflow Yrs 1-5</t>
  </si>
  <si>
    <t>Cash Outflow Yrs 1-5</t>
  </si>
  <si>
    <t>Esc. Fr 99 as % of CPI:</t>
  </si>
  <si>
    <t>Terminaling Costs Yrs 6+</t>
  </si>
  <si>
    <t>Terminaling Costs Yrs 1-5</t>
  </si>
  <si>
    <t>Option 3: Yrs 6+ Terminaling Costs Recovered ($MM)</t>
  </si>
  <si>
    <t>Option 3:  Have Spot Cargoes vary on Gas Price</t>
  </si>
  <si>
    <t>Yrs 6+ Terminaling Costs ($MM)</t>
  </si>
  <si>
    <t>Net Cash Flow</t>
  </si>
  <si>
    <t>Abu Dhabi Shipping Differential</t>
  </si>
  <si>
    <t>Mystic Lady</t>
  </si>
  <si>
    <t>Total Shipping - MYSTIC LADY</t>
  </si>
  <si>
    <t>Total Shipping - NEWBUILD</t>
  </si>
  <si>
    <t>CFOUT00</t>
  </si>
  <si>
    <t>CFOUT01</t>
  </si>
  <si>
    <t>CFOUT02</t>
  </si>
  <si>
    <t>CFOUT03</t>
  </si>
  <si>
    <t>CFOUT04</t>
  </si>
  <si>
    <t>CFOUT05</t>
  </si>
  <si>
    <t>CFOUT06</t>
  </si>
  <si>
    <t>CFOUT07</t>
  </si>
  <si>
    <t>CFOUT08</t>
  </si>
  <si>
    <t>CFOUT09</t>
  </si>
  <si>
    <t>CFOUT10</t>
  </si>
  <si>
    <t>CFOUT11</t>
  </si>
  <si>
    <t>CFOUT12</t>
  </si>
  <si>
    <t>CFOUT13</t>
  </si>
  <si>
    <t>CFOUT14</t>
  </si>
  <si>
    <t>CFOUT15</t>
  </si>
  <si>
    <t>CFOUT16</t>
  </si>
  <si>
    <t>CFOUT17</t>
  </si>
  <si>
    <t>CFOUT18</t>
  </si>
  <si>
    <t>CFOUT19</t>
  </si>
  <si>
    <t>CFOUT20</t>
  </si>
  <si>
    <t>CASH OUTFLOW</t>
  </si>
  <si>
    <t>CFIN00</t>
  </si>
  <si>
    <t>CFIN01</t>
  </si>
  <si>
    <t>CFIN02</t>
  </si>
  <si>
    <t>CFIN03</t>
  </si>
  <si>
    <t>CFIN04</t>
  </si>
  <si>
    <t>CFIN05</t>
  </si>
  <si>
    <t>CFIN06</t>
  </si>
  <si>
    <t>CFIN07</t>
  </si>
  <si>
    <t>CFIN08</t>
  </si>
  <si>
    <t>CFIN09</t>
  </si>
  <si>
    <t>CFIN10</t>
  </si>
  <si>
    <t>CFIN11</t>
  </si>
  <si>
    <t>CFIN12</t>
  </si>
  <si>
    <t>CFIN13</t>
  </si>
  <si>
    <t>CFIN14</t>
  </si>
  <si>
    <t>CFIN15</t>
  </si>
  <si>
    <t>CFIN16</t>
  </si>
  <si>
    <t>CFIN17</t>
  </si>
  <si>
    <t>CFIN18</t>
  </si>
  <si>
    <t>CFIN19</t>
  </si>
  <si>
    <t>CFIN20</t>
  </si>
  <si>
    <t>CASH INFLOW</t>
  </si>
  <si>
    <t>Lognormal</t>
  </si>
  <si>
    <t>Std Dev</t>
  </si>
  <si>
    <t>Lake Charles Shipping Costs</t>
  </si>
  <si>
    <t>Capacity of 1 NewBuild Cargo</t>
  </si>
  <si>
    <t>Total Volume</t>
  </si>
  <si>
    <t>MMBtu:</t>
  </si>
  <si>
    <t>Capacity of 1 Newbuild</t>
  </si>
  <si>
    <t>Capacity of 1 Mystic Lady</t>
  </si>
  <si>
    <t>Cash Inflow</t>
  </si>
  <si>
    <t>Cash Outflow</t>
  </si>
  <si>
    <t>CI1-500</t>
  </si>
  <si>
    <t>CO1-500</t>
  </si>
  <si>
    <t>CO6+100</t>
  </si>
  <si>
    <t>CO6+200</t>
  </si>
  <si>
    <t>CI6+300</t>
  </si>
  <si>
    <t>CO6+300</t>
  </si>
  <si>
    <t>CI1-501</t>
  </si>
  <si>
    <t>CI1-502</t>
  </si>
  <si>
    <t>CI1-503</t>
  </si>
  <si>
    <t>CI1-504</t>
  </si>
  <si>
    <t>CI1-505</t>
  </si>
  <si>
    <t>CI1-506</t>
  </si>
  <si>
    <t>CI1-507</t>
  </si>
  <si>
    <t>CI1-508</t>
  </si>
  <si>
    <t>CI1-509</t>
  </si>
  <si>
    <t>CI1-510</t>
  </si>
  <si>
    <t>CI1-511</t>
  </si>
  <si>
    <t>CI1-512</t>
  </si>
  <si>
    <t>CI1-513</t>
  </si>
  <si>
    <t>CI1-514</t>
  </si>
  <si>
    <t>CI1-515</t>
  </si>
  <si>
    <t>CI1-516</t>
  </si>
  <si>
    <t>CI1-517</t>
  </si>
  <si>
    <t>CI1-518</t>
  </si>
  <si>
    <t>CI1-519</t>
  </si>
  <si>
    <t>CI1-520</t>
  </si>
  <si>
    <t>CO1-501</t>
  </si>
  <si>
    <t>CO1-502</t>
  </si>
  <si>
    <t>CO1-503</t>
  </si>
  <si>
    <t>CO1-504</t>
  </si>
  <si>
    <t>CO1-505</t>
  </si>
  <si>
    <t>CO1-506</t>
  </si>
  <si>
    <t>CO1-507</t>
  </si>
  <si>
    <t>CO1-508</t>
  </si>
  <si>
    <t>CO1-509</t>
  </si>
  <si>
    <t>CO1-510</t>
  </si>
  <si>
    <t>CO1-511</t>
  </si>
  <si>
    <t>CO1-512</t>
  </si>
  <si>
    <t>CO1-513</t>
  </si>
  <si>
    <t>CO1-514</t>
  </si>
  <si>
    <t>CO1-515</t>
  </si>
  <si>
    <t>CO1-516</t>
  </si>
  <si>
    <t>CO1-517</t>
  </si>
  <si>
    <t>CO1-518</t>
  </si>
  <si>
    <t>CO1-519</t>
  </si>
  <si>
    <t>CO1-520</t>
  </si>
  <si>
    <t>CO6+101</t>
  </si>
  <si>
    <t>CO6+102</t>
  </si>
  <si>
    <t>CO6+103</t>
  </si>
  <si>
    <t>CO6+104</t>
  </si>
  <si>
    <t>CO6+105</t>
  </si>
  <si>
    <t>CO6+106</t>
  </si>
  <si>
    <t>CO6+107</t>
  </si>
  <si>
    <t>CO6+108</t>
  </si>
  <si>
    <t>CO6+109</t>
  </si>
  <si>
    <t>CO6+110</t>
  </si>
  <si>
    <t>CO6+111</t>
  </si>
  <si>
    <t>CO6+112</t>
  </si>
  <si>
    <t>CO6+113</t>
  </si>
  <si>
    <t>CO6+114</t>
  </si>
  <si>
    <t>CO6+115</t>
  </si>
  <si>
    <t>CO6+116</t>
  </si>
  <si>
    <t>CO6+117</t>
  </si>
  <si>
    <t>CO6+118</t>
  </si>
  <si>
    <t>CO6+119</t>
  </si>
  <si>
    <t>CO6+120</t>
  </si>
  <si>
    <t>CO6+201</t>
  </si>
  <si>
    <t>CO6+202</t>
  </si>
  <si>
    <t>CO6+203</t>
  </si>
  <si>
    <t>CO6+204</t>
  </si>
  <si>
    <t>CO6+205</t>
  </si>
  <si>
    <t>CO6+206</t>
  </si>
  <si>
    <t>CO6+207</t>
  </si>
  <si>
    <t>CO6+208</t>
  </si>
  <si>
    <t>CO6+209</t>
  </si>
  <si>
    <t>CO6+210</t>
  </si>
  <si>
    <t>CO6+211</t>
  </si>
  <si>
    <t>CO6+212</t>
  </si>
  <si>
    <t>CO6+213</t>
  </si>
  <si>
    <t>CO6+214</t>
  </si>
  <si>
    <t>CO6+215</t>
  </si>
  <si>
    <t>CO6+216</t>
  </si>
  <si>
    <t>CO6+217</t>
  </si>
  <si>
    <t>CO6+218</t>
  </si>
  <si>
    <t>CO6+219</t>
  </si>
  <si>
    <t>CO6+220</t>
  </si>
  <si>
    <t>CI6+301</t>
  </si>
  <si>
    <t>CI6+302</t>
  </si>
  <si>
    <t>CI6+303</t>
  </si>
  <si>
    <t>CI6+304</t>
  </si>
  <si>
    <t>CI6+305</t>
  </si>
  <si>
    <t>CI6+306</t>
  </si>
  <si>
    <t>CI6+307</t>
  </si>
  <si>
    <t>CI6+308</t>
  </si>
  <si>
    <t>CI6+309</t>
  </si>
  <si>
    <t>CI6+310</t>
  </si>
  <si>
    <t>CI6+311</t>
  </si>
  <si>
    <t>CI6+312</t>
  </si>
  <si>
    <t>CI6+313</t>
  </si>
  <si>
    <t>CI6+314</t>
  </si>
  <si>
    <t>CI6+315</t>
  </si>
  <si>
    <t>CI6+316</t>
  </si>
  <si>
    <t>CI6+317</t>
  </si>
  <si>
    <t>CI6+318</t>
  </si>
  <si>
    <t>CI6+319</t>
  </si>
  <si>
    <t>CI6+320</t>
  </si>
  <si>
    <t>CO6+301</t>
  </si>
  <si>
    <t>CO6+302</t>
  </si>
  <si>
    <t>CO6+303</t>
  </si>
  <si>
    <t>CO6+304</t>
  </si>
  <si>
    <t>CO6+305</t>
  </si>
  <si>
    <t>CO6+306</t>
  </si>
  <si>
    <t>CO6+307</t>
  </si>
  <si>
    <t>CO6+308</t>
  </si>
  <si>
    <t>CO6+309</t>
  </si>
  <si>
    <t>CO6+310</t>
  </si>
  <si>
    <t>CO6+311</t>
  </si>
  <si>
    <t>CO6+312</t>
  </si>
  <si>
    <t>CO6+313</t>
  </si>
  <si>
    <t>CO6+314</t>
  </si>
  <si>
    <t>CO6+315</t>
  </si>
  <si>
    <t>CO6+316</t>
  </si>
  <si>
    <t>CO6+317</t>
  </si>
  <si>
    <t>CO6+318</t>
  </si>
  <si>
    <t>CO6+319</t>
  </si>
  <si>
    <t>CO6+320</t>
  </si>
  <si>
    <t>EXHIBIT 1:  ELBA TERMINAL</t>
  </si>
  <si>
    <t>PROBABILISTIC MODELING ASSUMPTIONS</t>
  </si>
  <si>
    <t>DISTRIBUTION TYPES AND PARAMETER VALUES</t>
  </si>
  <si>
    <t>Marginal Proability of Default (from SHIFTS)</t>
  </si>
  <si>
    <t>Marginal Proability of No Default</t>
  </si>
  <si>
    <t>Default this year?  (0=YES, 1=NO)</t>
  </si>
  <si>
    <t>Cash flow multiplier (1 = no event, 0 = default)</t>
  </si>
  <si>
    <t>Cash Flows</t>
  </si>
  <si>
    <t>Custom</t>
  </si>
  <si>
    <t>Default Cash Outflows Yrs 1-5</t>
  </si>
  <si>
    <t>Default Cash Outflows Yrs 6+</t>
  </si>
  <si>
    <t>O1: Yrs 6+</t>
  </si>
  <si>
    <t>O2: Yrs 6+</t>
  </si>
  <si>
    <t>O3: Yrs 6+</t>
  </si>
  <si>
    <t>Terminaling ($/MMBtu)</t>
  </si>
  <si>
    <t>Tariff Received at Elba Island</t>
  </si>
  <si>
    <t>Tariff Differential</t>
  </si>
  <si>
    <t>Total Revenues on Algeria Cargoes</t>
  </si>
  <si>
    <t>Total Revenues on Abu Dhabi Cargoes</t>
  </si>
  <si>
    <t>Year 1</t>
  </si>
  <si>
    <t>Year 2</t>
  </si>
  <si>
    <t>Year 3</t>
  </si>
  <si>
    <t>Year 4</t>
  </si>
  <si>
    <t>Year 5</t>
  </si>
  <si>
    <t>Total Operating Cost</t>
  </si>
  <si>
    <t>Percent of total cost</t>
  </si>
  <si>
    <t>Capacity of 1 Mystic Lady Cargo</t>
  </si>
  <si>
    <t>St Dev</t>
  </si>
  <si>
    <t>April 11, 2000 10:15pm</t>
  </si>
  <si>
    <t>STARTING CASE:</t>
  </si>
  <si>
    <t>DIFFERENCE:</t>
  </si>
  <si>
    <t>Probabilistic Outcome</t>
  </si>
  <si>
    <t>IF LOWER DISC RT BY 2%:</t>
  </si>
  <si>
    <t>IF DECREASE BENEFIT PERCENTAGE TO LNG SUPPLIERS FROM 25% TO 12.5%:</t>
  </si>
  <si>
    <t>IF INCREASE TERMINAL COST BY $1.5M FLAT &amp; $1.5M ESC (APPRX $0.05/MMBTU) IF FULLY UTILIZED:</t>
  </si>
  <si>
    <t>IF ELBA BASIS INCREASES TO $0.12/MMBTU FROM $0.02/MMBTU:</t>
  </si>
  <si>
    <t>SENSITIVITIES TO ELBA ISLAND VALUE W/ MYSTIC LADY</t>
  </si>
  <si>
    <t>Arbitrage Case?</t>
  </si>
  <si>
    <t>IF ELBA BASIS IS REALLY $0.02/MMBTU:</t>
  </si>
  <si>
    <t>IF ARBITRAGE $0.10/MMBTU ON 91% CAPACITY:</t>
  </si>
  <si>
    <t>IF ARBITRAGE $0.10/MMBTU ON 91% CAPACITY &amp; REDUCE DISCOUNT RATE TO 12%:</t>
  </si>
  <si>
    <t>ELBA ISLAND WITH HOEGH GALLEON</t>
  </si>
  <si>
    <t>ECONOMICS AT 17% DISC RT ($MM):</t>
  </si>
  <si>
    <t>ASSUMPTIONS:</t>
  </si>
  <si>
    <t>Variable Cost / MMBtu:</t>
  </si>
  <si>
    <t>+ Fuel Costs</t>
  </si>
  <si>
    <t>Avg Tariff</t>
  </si>
  <si>
    <t>Elba Island Contract Year</t>
  </si>
  <si>
    <t>Algeria Spot LNG Throughput (TBTU/Yr)</t>
  </si>
  <si>
    <t>Abu Dhabi Spot LNG Throughput (TBTU/Yr)</t>
  </si>
  <si>
    <t>Total Spot LNG Throughput (TBTU/Yr)</t>
  </si>
  <si>
    <t>PROJECT PRE-TAX INCOME AND CASH FLOW ($000)</t>
  </si>
  <si>
    <t>SUMMARY OF NET INCOME AND CASH FLOW ($000)</t>
  </si>
  <si>
    <t>REVENUES</t>
  </si>
  <si>
    <t>ENE Marketing Costs:</t>
  </si>
  <si>
    <t>LESS: TERMINALING &amp; MKTG COSTS</t>
  </si>
  <si>
    <t>Years 1-5</t>
  </si>
  <si>
    <t>Years 6+</t>
  </si>
  <si>
    <t>Option 1: Resell Capacity to Third Party after Year 5 (20% Probability)</t>
  </si>
  <si>
    <t>N/A</t>
  </si>
  <si>
    <t>Option 2: No Spot Cargoes after Year 5, but Pay Full Terminaling Costs (20% Probability)</t>
  </si>
  <si>
    <t>Option 3: Acquire Spot Cargoes after Year 5 (60% Probability)</t>
  </si>
  <si>
    <t>Most Likely Outcome (Wtd Avg of Options 1, 2, and 3)</t>
  </si>
  <si>
    <t>Cash Inflow Yrs 1-5 (net of default)</t>
  </si>
  <si>
    <t>Cash Inflow Yrs 6+ (net of default)</t>
  </si>
  <si>
    <t>IF ARBITRAGE $0.15/MMBTU ON 91% CAPACITY &amp; REDUCE DISCOUNT RATE TO 12%: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</si>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</sst>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0.000"/>
    <numFmt numFmtId="173" formatCode="&quot;$&quot;#,##0.000_);[Red]\(&quot;$&quot;#,##0.000\)"/>
    <numFmt numFmtId="174" formatCode="_(* #,##0.000_);_(* \(#,##0.000\);_(* &quot;-&quot;??_);_(@_)"/>
    <numFmt numFmtId="175" formatCode="_(* #,##0.0_);_(* \(#,##0.0\);_(* &quot;-&quot;??_);_(@_)"/>
    <numFmt numFmtId="176" formatCode="0.0%"/>
    <numFmt numFmtId="177" formatCode="&quot;$&quot;#,##0.0000_);[Red]\(&quot;$&quot;#,##0.0000\)"/>
    <numFmt numFmtId="178" formatCode="mm/dd/yy"/>
    <numFmt numFmtId="179" formatCode="#,##0.000_);\(#,##0.000\)"/>
    <numFmt numFmtId="180" formatCode="#,##0.0_);\(#,##0.0\)"/>
    <numFmt numFmtId="181" formatCode="0.000_)"/>
    <numFmt numFmtId="182" formatCode="0.000%"/>
    <numFmt numFmtId="183" formatCode="_(* #,##0_);_(* \(#,##0\);_(* &quot;-&quot;??_);_(@_)"/>
    <numFmt numFmtId="185" formatCode="0.00000"/>
    <numFmt numFmtId="188" formatCode="0.0000"/>
    <numFmt numFmtId="195" formatCode="_(* #,##0.0000_);_(* \(#,##0.0000\);_(* &quot;-&quot;??_);_(@_)"/>
    <numFmt numFmtId="304" formatCode="\£#,##0_);\(\£#,##0\)"/>
  </numFmts>
  <fonts count="63" x14ac:knownFonts="1">
    <font>
      <sz val="10"/>
      <name val="Arial"/>
    </font>
    <font>
      <sz val="10"/>
      <name val="Arial"/>
    </font>
    <font>
      <b/>
      <sz val="14"/>
      <color indexed="17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4"/>
      <name val="MS Sans Serif"/>
      <family val="2"/>
    </font>
    <font>
      <sz val="8"/>
      <name val="MS Sans Serif"/>
      <family val="2"/>
    </font>
    <font>
      <u/>
      <sz val="8"/>
      <name val="MS Sans Serif"/>
      <family val="2"/>
    </font>
    <font>
      <b/>
      <sz val="8"/>
      <name val="MS Sans Serif"/>
      <family val="2"/>
    </font>
    <font>
      <sz val="8"/>
      <name val="MS Sans Serif"/>
    </font>
    <font>
      <b/>
      <sz val="8"/>
      <name val="MS Sans Serif"/>
    </font>
    <font>
      <sz val="8"/>
      <name val="Arial"/>
      <family val="2"/>
    </font>
    <font>
      <b/>
      <sz val="10"/>
      <color indexed="17"/>
      <name val="Arial"/>
      <family val="2"/>
    </font>
    <font>
      <i/>
      <u/>
      <sz val="10"/>
      <name val="Arial"/>
      <family val="2"/>
    </font>
    <font>
      <i/>
      <u/>
      <sz val="10"/>
      <color indexed="12"/>
      <name val="Arial"/>
      <family val="2"/>
    </font>
    <font>
      <i/>
      <sz val="10"/>
      <name val="Arial"/>
      <family val="2"/>
    </font>
    <font>
      <b/>
      <i/>
      <sz val="10"/>
      <color indexed="17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i/>
      <sz val="10"/>
      <color indexed="12"/>
      <name val="Arial"/>
      <family val="2"/>
    </font>
    <font>
      <b/>
      <sz val="10"/>
      <color indexed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8"/>
      <color indexed="12"/>
      <name val="MS Sans Serif"/>
      <family val="2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Times New Roman"/>
    </font>
    <font>
      <sz val="10"/>
      <color indexed="12"/>
      <name val="Times New Roman"/>
      <family val="1"/>
    </font>
    <font>
      <i/>
      <sz val="10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5"/>
      <name val="Times New Roman"/>
      <family val="1"/>
    </font>
    <font>
      <b/>
      <sz val="5"/>
      <name val="Times New Roman"/>
      <family val="1"/>
    </font>
    <font>
      <sz val="5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  <font>
      <b/>
      <u/>
      <sz val="10"/>
      <color indexed="17"/>
      <name val="Arial"/>
      <family val="2"/>
    </font>
    <font>
      <u/>
      <sz val="10"/>
      <color indexed="8"/>
      <name val="Arial"/>
      <family val="2"/>
    </font>
    <font>
      <sz val="8"/>
      <name val="Arial"/>
    </font>
    <font>
      <sz val="8"/>
      <name val="Arial"/>
    </font>
    <font>
      <sz val="8"/>
      <color indexed="12"/>
      <name val="Arial"/>
      <family val="2"/>
    </font>
    <font>
      <b/>
      <u/>
      <sz val="12"/>
      <name val="Arial"/>
      <family val="2"/>
    </font>
    <font>
      <b/>
      <sz val="10"/>
      <color indexed="12"/>
      <name val="Arial"/>
      <family val="2"/>
    </font>
    <font>
      <sz val="10"/>
      <name val="MS Sans Serif"/>
    </font>
    <font>
      <sz val="10"/>
      <color indexed="14"/>
      <name val="Arial"/>
      <family val="2"/>
    </font>
    <font>
      <i/>
      <sz val="10"/>
      <color indexed="14"/>
      <name val="Arial"/>
      <family val="2"/>
    </font>
    <font>
      <u/>
      <sz val="10"/>
      <color indexed="14"/>
      <name val="Arial"/>
      <family val="2"/>
    </font>
    <font>
      <i/>
      <u/>
      <sz val="10"/>
      <color indexed="14"/>
      <name val="Arial"/>
      <family val="2"/>
    </font>
    <font>
      <b/>
      <i/>
      <sz val="12"/>
      <color indexed="12"/>
      <name val="Times New Roman"/>
      <family val="1"/>
    </font>
    <font>
      <sz val="10"/>
      <color indexed="17"/>
      <name val="Arial"/>
      <family val="2"/>
    </font>
    <font>
      <b/>
      <sz val="10"/>
      <color indexed="12"/>
      <name val="Times New Roman"/>
      <family val="1"/>
    </font>
    <font>
      <u/>
      <sz val="10"/>
      <color indexed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9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23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DashDot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6" fillId="0" borderId="0" applyFont="0" applyFill="0" applyBorder="0" applyAlignment="0" applyProtection="0">
      <protection locked="0"/>
    </xf>
    <xf numFmtId="37" fontId="49" fillId="0" borderId="0"/>
    <xf numFmtId="0" fontId="1" fillId="0" borderId="0"/>
    <xf numFmtId="37" fontId="11" fillId="0" borderId="0" applyBorder="0" applyAlignment="0" applyProtection="0">
      <alignment horizontal="center"/>
    </xf>
    <xf numFmtId="0" fontId="11" fillId="0" borderId="0"/>
    <xf numFmtId="0" fontId="34" fillId="0" borderId="0"/>
    <xf numFmtId="9" fontId="1" fillId="0" borderId="0" applyFont="0" applyFill="0" applyBorder="0" applyAlignment="0" applyProtection="0"/>
    <xf numFmtId="304" fontId="16" fillId="0" borderId="0"/>
    <xf numFmtId="38" fontId="16" fillId="3" borderId="0" applyNumberFormat="0" applyBorder="0" applyAlignment="0" applyProtection="0"/>
    <xf numFmtId="37" fontId="49" fillId="3" borderId="0" applyNumberFormat="0" applyBorder="0" applyAlignment="0" applyProtection="0"/>
    <xf numFmtId="37" fontId="49" fillId="0" borderId="0"/>
    <xf numFmtId="37" fontId="16" fillId="3" borderId="0" applyBorder="0" applyAlignment="0" applyProtection="0"/>
    <xf numFmtId="3" fontId="51" fillId="0" borderId="1" applyProtection="0"/>
  </cellStyleXfs>
  <cellXfs count="647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6" fillId="0" borderId="0" xfId="0" quotePrefix="1" applyFont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8" fontId="7" fillId="0" borderId="0" xfId="0" applyNumberFormat="1" applyFont="1" applyFill="1" applyBorder="1"/>
    <xf numFmtId="0" fontId="4" fillId="0" borderId="0" xfId="0" applyFont="1" applyAlignment="1">
      <alignment horizontal="left"/>
    </xf>
    <xf numFmtId="10" fontId="7" fillId="0" borderId="0" xfId="0" applyNumberFormat="1" applyFont="1"/>
    <xf numFmtId="0" fontId="0" fillId="0" borderId="0" xfId="0" quotePrefix="1" applyAlignment="1">
      <alignment horizontal="left"/>
    </xf>
    <xf numFmtId="172" fontId="7" fillId="0" borderId="0" xfId="0" applyNumberFormat="1" applyFont="1"/>
    <xf numFmtId="0" fontId="4" fillId="0" borderId="0" xfId="0" quotePrefix="1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indent="1"/>
    </xf>
    <xf numFmtId="8" fontId="0" fillId="0" borderId="0" xfId="0" applyNumberFormat="1"/>
    <xf numFmtId="0" fontId="7" fillId="0" borderId="0" xfId="0" quotePrefix="1" applyFont="1" applyAlignment="1">
      <alignment horizontal="left"/>
    </xf>
    <xf numFmtId="37" fontId="10" fillId="0" borderId="0" xfId="6" applyFont="1" applyAlignment="1">
      <alignment horizontal="left"/>
    </xf>
    <xf numFmtId="37" fontId="11" fillId="0" borderId="0" xfId="6" applyFont="1" applyAlignment="1"/>
    <xf numFmtId="37" fontId="11" fillId="0" borderId="0" xfId="6" applyAlignment="1"/>
    <xf numFmtId="37" fontId="11" fillId="4" borderId="2" xfId="6" applyFill="1" applyBorder="1" applyAlignment="1"/>
    <xf numFmtId="37" fontId="11" fillId="4" borderId="3" xfId="6" applyFill="1" applyBorder="1" applyAlignment="1"/>
    <xf numFmtId="37" fontId="11" fillId="3" borderId="4" xfId="6" applyFill="1" applyBorder="1" applyAlignment="1"/>
    <xf numFmtId="37" fontId="12" fillId="0" borderId="0" xfId="6" applyFont="1" applyAlignment="1"/>
    <xf numFmtId="37" fontId="11" fillId="4" borderId="5" xfId="6" applyFont="1" applyFill="1" applyBorder="1" applyAlignment="1"/>
    <xf numFmtId="37" fontId="11" fillId="4" borderId="6" xfId="6" applyFont="1" applyFill="1" applyBorder="1" applyAlignment="1">
      <alignment horizontal="center"/>
    </xf>
    <xf numFmtId="37" fontId="11" fillId="4" borderId="6" xfId="6" quotePrefix="1" applyFont="1" applyFill="1" applyBorder="1" applyAlignment="1">
      <alignment horizontal="center"/>
    </xf>
    <xf numFmtId="37" fontId="11" fillId="4" borderId="7" xfId="6" applyFont="1" applyFill="1" applyBorder="1" applyAlignment="1">
      <alignment horizontal="center"/>
    </xf>
    <xf numFmtId="37" fontId="13" fillId="0" borderId="0" xfId="6" quotePrefix="1" applyFont="1" applyAlignment="1"/>
    <xf numFmtId="37" fontId="11" fillId="0" borderId="0" xfId="6" quotePrefix="1" applyFont="1" applyAlignment="1">
      <alignment horizontal="left"/>
    </xf>
    <xf numFmtId="37" fontId="11" fillId="4" borderId="8" xfId="6" applyFont="1" applyFill="1" applyBorder="1" applyAlignment="1"/>
    <xf numFmtId="37" fontId="11" fillId="4" borderId="0" xfId="6" applyFont="1" applyFill="1" applyAlignment="1">
      <alignment horizontal="center"/>
    </xf>
    <xf numFmtId="37" fontId="11" fillId="4" borderId="9" xfId="6" applyFont="1" applyFill="1" applyBorder="1" applyAlignment="1">
      <alignment horizontal="center"/>
    </xf>
    <xf numFmtId="37" fontId="14" fillId="0" borderId="0" xfId="6" quotePrefix="1" applyFont="1" applyFill="1" applyBorder="1" applyAlignment="1">
      <alignment horizontal="left"/>
    </xf>
    <xf numFmtId="37" fontId="11" fillId="4" borderId="0" xfId="6" quotePrefix="1" applyFont="1" applyFill="1" applyBorder="1" applyAlignment="1">
      <alignment horizontal="center"/>
    </xf>
    <xf numFmtId="37" fontId="11" fillId="4" borderId="9" xfId="6" quotePrefix="1" applyFont="1" applyFill="1" applyBorder="1" applyAlignment="1">
      <alignment horizontal="center"/>
    </xf>
    <xf numFmtId="178" fontId="11" fillId="5" borderId="0" xfId="6" applyNumberFormat="1" applyFont="1" applyFill="1" applyBorder="1" applyAlignment="1"/>
    <xf numFmtId="37" fontId="11" fillId="4" borderId="8" xfId="6" applyFont="1" applyFill="1" applyBorder="1" applyAlignment="1">
      <alignment horizontal="center"/>
    </xf>
    <xf numFmtId="179" fontId="11" fillId="5" borderId="10" xfId="6" applyNumberFormat="1" applyFont="1" applyFill="1" applyBorder="1" applyAlignment="1"/>
    <xf numFmtId="180" fontId="11" fillId="5" borderId="10" xfId="6" applyNumberFormat="1" applyFont="1" applyFill="1" applyBorder="1" applyAlignment="1"/>
    <xf numFmtId="179" fontId="11" fillId="0" borderId="0" xfId="6" applyNumberFormat="1" applyFont="1" applyBorder="1" applyAlignment="1"/>
    <xf numFmtId="37" fontId="11" fillId="5" borderId="10" xfId="6" applyFont="1" applyFill="1" applyBorder="1" applyAlignment="1"/>
    <xf numFmtId="37" fontId="14" fillId="0" borderId="0" xfId="6" applyFont="1" applyFill="1" applyBorder="1" applyAlignment="1">
      <alignment horizontal="left"/>
    </xf>
    <xf numFmtId="179" fontId="11" fillId="3" borderId="10" xfId="6" applyNumberFormat="1" applyFill="1" applyBorder="1" applyAlignment="1"/>
    <xf numFmtId="179" fontId="11" fillId="3" borderId="10" xfId="6" applyNumberFormat="1" applyFont="1" applyFill="1" applyBorder="1" applyAlignment="1"/>
    <xf numFmtId="37" fontId="11" fillId="4" borderId="11" xfId="6" applyFont="1" applyFill="1" applyBorder="1" applyAlignment="1">
      <alignment horizontal="center"/>
    </xf>
    <xf numFmtId="37" fontId="11" fillId="0" borderId="0" xfId="6" applyFont="1" applyFill="1" applyBorder="1" applyAlignment="1"/>
    <xf numFmtId="37" fontId="13" fillId="0" borderId="12" xfId="6" applyFont="1" applyBorder="1" applyAlignment="1">
      <alignment horizontal="centerContinuous"/>
    </xf>
    <xf numFmtId="37" fontId="11" fillId="0" borderId="13" xfId="6" applyBorder="1" applyAlignment="1">
      <alignment horizontal="centerContinuous"/>
    </xf>
    <xf numFmtId="37" fontId="11" fillId="0" borderId="14" xfId="6" applyFont="1" applyBorder="1" applyAlignment="1">
      <alignment horizontal="centerContinuous"/>
    </xf>
    <xf numFmtId="37" fontId="15" fillId="3" borderId="15" xfId="6" applyFont="1" applyFill="1" applyBorder="1" applyAlignment="1"/>
    <xf numFmtId="37" fontId="15" fillId="3" borderId="0" xfId="6" applyFont="1" applyFill="1" applyBorder="1" applyAlignment="1"/>
    <xf numFmtId="37" fontId="15" fillId="3" borderId="16" xfId="6" applyFont="1" applyFill="1" applyBorder="1" applyAlignment="1"/>
    <xf numFmtId="37" fontId="11" fillId="0" borderId="0" xfId="6" quotePrefix="1" applyAlignment="1">
      <alignment horizontal="left"/>
    </xf>
    <xf numFmtId="37" fontId="11" fillId="3" borderId="10" xfId="6" applyFill="1" applyBorder="1" applyAlignment="1"/>
    <xf numFmtId="37" fontId="13" fillId="6" borderId="15" xfId="6" quotePrefix="1" applyFont="1" applyFill="1" applyBorder="1" applyAlignment="1">
      <alignment horizontal="left"/>
    </xf>
    <xf numFmtId="37" fontId="11" fillId="6" borderId="0" xfId="6" applyFill="1" applyBorder="1" applyAlignment="1"/>
    <xf numFmtId="37" fontId="11" fillId="6" borderId="0" xfId="6" applyFont="1" applyFill="1" applyBorder="1" applyAlignment="1"/>
    <xf numFmtId="37" fontId="11" fillId="6" borderId="16" xfId="6" applyFont="1" applyFill="1" applyBorder="1" applyAlignment="1"/>
    <xf numFmtId="37" fontId="11" fillId="0" borderId="0" xfId="6" applyBorder="1" applyAlignment="1"/>
    <xf numFmtId="37" fontId="13" fillId="5" borderId="17" xfId="6" applyFont="1" applyFill="1" applyBorder="1" applyAlignment="1"/>
    <xf numFmtId="37" fontId="11" fillId="5" borderId="18" xfId="6" applyFill="1" applyBorder="1" applyAlignment="1"/>
    <xf numFmtId="37" fontId="11" fillId="5" borderId="18" xfId="6" applyFont="1" applyFill="1" applyBorder="1" applyAlignment="1"/>
    <xf numFmtId="37" fontId="11" fillId="5" borderId="19" xfId="6" applyFont="1" applyFill="1" applyBorder="1" applyAlignment="1"/>
    <xf numFmtId="37" fontId="11" fillId="0" borderId="0" xfId="6" applyFont="1" applyAlignment="1">
      <alignment horizontal="center"/>
    </xf>
    <xf numFmtId="37" fontId="11" fillId="0" borderId="0" xfId="6" applyFont="1" applyBorder="1" applyAlignment="1"/>
    <xf numFmtId="37" fontId="11" fillId="0" borderId="0" xfId="6" applyFont="1" applyBorder="1" applyAlignment="1">
      <alignment horizontal="center"/>
    </xf>
    <xf numFmtId="37" fontId="11" fillId="0" borderId="0" xfId="6" applyFont="1" applyFill="1" applyBorder="1" applyAlignment="1">
      <alignment horizontal="center"/>
    </xf>
    <xf numFmtId="179" fontId="11" fillId="0" borderId="0" xfId="6" applyNumberFormat="1" applyFont="1" applyAlignment="1"/>
    <xf numFmtId="10" fontId="11" fillId="0" borderId="0" xfId="9" applyNumberFormat="1" applyFont="1" applyFill="1" applyBorder="1"/>
    <xf numFmtId="37" fontId="11" fillId="0" borderId="20" xfId="6" applyFont="1" applyBorder="1" applyAlignment="1">
      <alignment horizontal="center"/>
    </xf>
    <xf numFmtId="37" fontId="11" fillId="0" borderId="20" xfId="6" quotePrefix="1" applyFont="1" applyBorder="1" applyAlignment="1">
      <alignment horizontal="center"/>
    </xf>
    <xf numFmtId="0" fontId="11" fillId="0" borderId="20" xfId="6" applyNumberFormat="1" applyFont="1" applyBorder="1" applyAlignment="1"/>
    <xf numFmtId="15" fontId="11" fillId="0" borderId="0" xfId="6" applyNumberFormat="1" applyFont="1" applyAlignment="1" applyProtection="1">
      <protection locked="0"/>
    </xf>
    <xf numFmtId="0" fontId="11" fillId="0" borderId="0" xfId="6" applyNumberFormat="1" applyFont="1" applyAlignment="1" applyProtection="1">
      <protection locked="0"/>
    </xf>
    <xf numFmtId="181" fontId="11" fillId="3" borderId="0" xfId="6" applyNumberFormat="1" applyFont="1" applyFill="1" applyAlignment="1" applyProtection="1"/>
    <xf numFmtId="181" fontId="11" fillId="5" borderId="0" xfId="6" applyNumberFormat="1" applyFont="1" applyFill="1" applyAlignment="1" applyProtection="1"/>
    <xf numFmtId="172" fontId="11" fillId="0" borderId="0" xfId="6" applyNumberFormat="1" applyFont="1" applyFill="1" applyAlignment="1"/>
    <xf numFmtId="172" fontId="11" fillId="0" borderId="0" xfId="6" applyNumberFormat="1" applyFont="1" applyAlignment="1"/>
    <xf numFmtId="172" fontId="11" fillId="3" borderId="0" xfId="6" applyNumberFormat="1" applyFont="1" applyFill="1" applyAlignment="1"/>
    <xf numFmtId="173" fontId="11" fillId="0" borderId="0" xfId="3" applyNumberFormat="1" applyFont="1" applyProtection="1"/>
    <xf numFmtId="15" fontId="11" fillId="0" borderId="6" xfId="6" applyNumberFormat="1" applyFont="1" applyBorder="1" applyAlignment="1" applyProtection="1">
      <protection locked="0"/>
    </xf>
    <xf numFmtId="0" fontId="11" fillId="0" borderId="6" xfId="6" applyNumberFormat="1" applyFont="1" applyBorder="1" applyAlignment="1" applyProtection="1">
      <protection locked="0"/>
    </xf>
    <xf numFmtId="181" fontId="11" fillId="3" borderId="6" xfId="6" applyNumberFormat="1" applyFont="1" applyFill="1" applyBorder="1" applyAlignment="1" applyProtection="1"/>
    <xf numFmtId="172" fontId="11" fillId="0" borderId="6" xfId="6" applyNumberFormat="1" applyFont="1" applyFill="1" applyBorder="1" applyAlignment="1"/>
    <xf numFmtId="172" fontId="11" fillId="0" borderId="6" xfId="6" applyNumberFormat="1" applyFont="1" applyBorder="1" applyAlignment="1"/>
    <xf numFmtId="172" fontId="11" fillId="0" borderId="0" xfId="6" applyNumberFormat="1" applyFont="1" applyBorder="1" applyAlignment="1"/>
    <xf numFmtId="172" fontId="11" fillId="3" borderId="6" xfId="6" applyNumberFormat="1" applyFont="1" applyFill="1" applyBorder="1" applyAlignment="1"/>
    <xf numFmtId="0" fontId="11" fillId="0" borderId="0" xfId="5" applyNumberFormat="1" applyFont="1" applyBorder="1"/>
    <xf numFmtId="172" fontId="11" fillId="7" borderId="0" xfId="6" applyNumberFormat="1" applyFont="1" applyFill="1" applyAlignment="1"/>
    <xf numFmtId="172" fontId="11" fillId="7" borderId="6" xfId="6" applyNumberFormat="1" applyFont="1" applyFill="1" applyBorder="1" applyAlignment="1"/>
    <xf numFmtId="0" fontId="11" fillId="0" borderId="0" xfId="6" applyNumberFormat="1" applyFont="1" applyAlignment="1"/>
    <xf numFmtId="0" fontId="11" fillId="0" borderId="0" xfId="6" applyNumberFormat="1" applyFont="1" applyBorder="1" applyAlignment="1"/>
    <xf numFmtId="0" fontId="13" fillId="0" borderId="0" xfId="7" applyFont="1" applyBorder="1" applyAlignment="1">
      <alignment horizontal="left"/>
    </xf>
    <xf numFmtId="0" fontId="11" fillId="0" borderId="0" xfId="7"/>
    <xf numFmtId="0" fontId="15" fillId="0" borderId="0" xfId="7" applyFont="1" applyBorder="1" applyAlignment="1">
      <alignment horizontal="center"/>
    </xf>
    <xf numFmtId="0" fontId="11" fillId="8" borderId="12" xfId="0" applyFont="1" applyFill="1" applyBorder="1"/>
    <xf numFmtId="0" fontId="11" fillId="8" borderId="13" xfId="0" applyFont="1" applyFill="1" applyBorder="1"/>
    <xf numFmtId="0" fontId="15" fillId="8" borderId="13" xfId="0" quotePrefix="1" applyFont="1" applyFill="1" applyBorder="1" applyAlignment="1">
      <alignment horizontal="left"/>
    </xf>
    <xf numFmtId="0" fontId="0" fillId="8" borderId="13" xfId="0" applyFill="1" applyBorder="1"/>
    <xf numFmtId="0" fontId="11" fillId="8" borderId="14" xfId="0" applyFont="1" applyFill="1" applyBorder="1"/>
    <xf numFmtId="0" fontId="11" fillId="0" borderId="0" xfId="7" applyBorder="1"/>
    <xf numFmtId="0" fontId="11" fillId="8" borderId="15" xfId="0" applyFont="1" applyFill="1" applyBorder="1"/>
    <xf numFmtId="0" fontId="0" fillId="8" borderId="0" xfId="0" applyFill="1" applyBorder="1"/>
    <xf numFmtId="0" fontId="14" fillId="8" borderId="0" xfId="0" applyFont="1" applyFill="1" applyBorder="1" applyAlignment="1">
      <alignment horizontal="right"/>
    </xf>
    <xf numFmtId="0" fontId="11" fillId="8" borderId="0" xfId="0" applyFont="1" applyFill="1" applyBorder="1"/>
    <xf numFmtId="0" fontId="11" fillId="8" borderId="16" xfId="0" applyFont="1" applyFill="1" applyBorder="1"/>
    <xf numFmtId="0" fontId="11" fillId="0" borderId="5" xfId="7" applyBorder="1"/>
    <xf numFmtId="0" fontId="11" fillId="0" borderId="6" xfId="7" quotePrefix="1" applyFont="1" applyBorder="1" applyAlignment="1">
      <alignment horizontal="right"/>
    </xf>
    <xf numFmtId="0" fontId="11" fillId="0" borderId="7" xfId="7" applyFont="1" applyBorder="1" applyAlignment="1">
      <alignment horizontal="right"/>
    </xf>
    <xf numFmtId="10" fontId="11" fillId="0" borderId="0" xfId="7" applyNumberFormat="1" applyFont="1" applyFill="1" applyBorder="1"/>
    <xf numFmtId="0" fontId="11" fillId="0" borderId="8" xfId="7" applyBorder="1" applyAlignment="1">
      <alignment horizontal="right"/>
    </xf>
    <xf numFmtId="10" fontId="11" fillId="5" borderId="0" xfId="7" applyNumberFormat="1" applyFont="1" applyFill="1" applyBorder="1"/>
    <xf numFmtId="10" fontId="11" fillId="5" borderId="9" xfId="7" applyNumberFormat="1" applyFont="1" applyFill="1" applyBorder="1"/>
    <xf numFmtId="0" fontId="11" fillId="8" borderId="15" xfId="7" applyFont="1" applyFill="1" applyBorder="1"/>
    <xf numFmtId="0" fontId="11" fillId="8" borderId="0" xfId="7" applyFill="1" applyBorder="1"/>
    <xf numFmtId="0" fontId="11" fillId="0" borderId="11" xfId="7" applyBorder="1" applyAlignment="1">
      <alignment horizontal="right"/>
    </xf>
    <xf numFmtId="10" fontId="11" fillId="9" borderId="20" xfId="7" applyNumberFormat="1" applyFont="1" applyFill="1" applyBorder="1"/>
    <xf numFmtId="10" fontId="11" fillId="9" borderId="21" xfId="7" applyNumberFormat="1" applyFont="1" applyFill="1" applyBorder="1"/>
    <xf numFmtId="0" fontId="11" fillId="8" borderId="15" xfId="7" applyFill="1" applyBorder="1"/>
    <xf numFmtId="0" fontId="11" fillId="0" borderId="0" xfId="7" applyFont="1"/>
    <xf numFmtId="0" fontId="11" fillId="0" borderId="0" xfId="7" applyFont="1" applyFill="1" applyBorder="1"/>
    <xf numFmtId="0" fontId="11" fillId="0" borderId="2" xfId="7" quotePrefix="1" applyFont="1" applyFill="1" applyBorder="1" applyAlignment="1">
      <alignment horizontal="left"/>
    </xf>
    <xf numFmtId="0" fontId="11" fillId="0" borderId="3" xfId="7" applyFont="1" applyFill="1" applyBorder="1"/>
    <xf numFmtId="0" fontId="11" fillId="9" borderId="4" xfId="7" applyFont="1" applyFill="1" applyBorder="1"/>
    <xf numFmtId="0" fontId="11" fillId="8" borderId="0" xfId="7" applyFont="1" applyFill="1" applyBorder="1"/>
    <xf numFmtId="10" fontId="11" fillId="0" borderId="0" xfId="7" applyNumberFormat="1" applyFill="1" applyBorder="1"/>
    <xf numFmtId="0" fontId="11" fillId="0" borderId="0" xfId="7" applyFont="1" applyBorder="1"/>
    <xf numFmtId="0" fontId="13" fillId="8" borderId="15" xfId="0" applyFont="1" applyFill="1" applyBorder="1" applyAlignment="1">
      <alignment horizontal="centerContinuous"/>
    </xf>
    <xf numFmtId="0" fontId="0" fillId="8" borderId="0" xfId="0" applyFill="1" applyBorder="1" applyAlignment="1">
      <alignment horizontal="centerContinuous"/>
    </xf>
    <xf numFmtId="0" fontId="15" fillId="0" borderId="12" xfId="0" applyFont="1" applyBorder="1" applyAlignment="1">
      <alignment horizontal="centerContinuous"/>
    </xf>
    <xf numFmtId="0" fontId="11" fillId="0" borderId="13" xfId="0" applyFont="1" applyBorder="1" applyAlignment="1">
      <alignment horizontal="centerContinuous"/>
    </xf>
    <xf numFmtId="0" fontId="11" fillId="0" borderId="14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10" fontId="11" fillId="0" borderId="0" xfId="7" applyNumberFormat="1" applyFont="1" applyFill="1" applyBorder="1" applyAlignment="1">
      <alignment horizontal="center"/>
    </xf>
    <xf numFmtId="0" fontId="0" fillId="8" borderId="15" xfId="0" applyFill="1" applyBorder="1"/>
    <xf numFmtId="0" fontId="0" fillId="8" borderId="0" xfId="0" applyFill="1" applyBorder="1" applyAlignment="1">
      <alignment horizontal="center"/>
    </xf>
    <xf numFmtId="0" fontId="14" fillId="9" borderId="15" xfId="0" applyFont="1" applyFill="1" applyBorder="1" applyAlignment="1">
      <alignment horizontal="left"/>
    </xf>
    <xf numFmtId="0" fontId="11" fillId="9" borderId="0" xfId="0" applyFont="1" applyFill="1" applyBorder="1"/>
    <xf numFmtId="0" fontId="0" fillId="9" borderId="0" xfId="0" applyFill="1" applyBorder="1"/>
    <xf numFmtId="0" fontId="11" fillId="9" borderId="16" xfId="0" applyFont="1" applyFill="1" applyBorder="1"/>
    <xf numFmtId="0" fontId="14" fillId="0" borderId="20" xfId="7" applyFont="1" applyBorder="1" applyAlignment="1">
      <alignment horizontal="right"/>
    </xf>
    <xf numFmtId="0" fontId="11" fillId="0" borderId="20" xfId="7" applyFont="1" applyBorder="1" applyAlignment="1"/>
    <xf numFmtId="0" fontId="11" fillId="0" borderId="20" xfId="7" applyFont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4" fillId="6" borderId="15" xfId="0" quotePrefix="1" applyFont="1" applyFill="1" applyBorder="1" applyAlignment="1">
      <alignment horizontal="left"/>
    </xf>
    <xf numFmtId="0" fontId="11" fillId="6" borderId="0" xfId="0" applyFont="1" applyFill="1" applyBorder="1"/>
    <xf numFmtId="0" fontId="0" fillId="6" borderId="0" xfId="0" applyFill="1" applyBorder="1"/>
    <xf numFmtId="0" fontId="11" fillId="6" borderId="16" xfId="0" applyFont="1" applyFill="1" applyBorder="1"/>
    <xf numFmtId="17" fontId="11" fillId="0" borderId="0" xfId="7" applyNumberFormat="1"/>
    <xf numFmtId="0" fontId="11" fillId="9" borderId="0" xfId="7" applyNumberFormat="1" applyFont="1" applyFill="1"/>
    <xf numFmtId="0" fontId="11" fillId="5" borderId="0" xfId="7" applyNumberFormat="1" applyFont="1" applyFill="1"/>
    <xf numFmtId="0" fontId="11" fillId="0" borderId="0" xfId="7" applyNumberFormat="1" applyFont="1" applyBorder="1"/>
    <xf numFmtId="0" fontId="11" fillId="8" borderId="15" xfId="0" applyNumberFormat="1" applyFont="1" applyFill="1" applyBorder="1"/>
    <xf numFmtId="10" fontId="11" fillId="8" borderId="0" xfId="0" applyNumberFormat="1" applyFont="1" applyFill="1" applyBorder="1"/>
    <xf numFmtId="0" fontId="14" fillId="5" borderId="15" xfId="0" quotePrefix="1" applyFont="1" applyFill="1" applyBorder="1" applyAlignment="1">
      <alignment horizontal="left"/>
    </xf>
    <xf numFmtId="0" fontId="11" fillId="5" borderId="0" xfId="0" applyFont="1" applyFill="1" applyBorder="1"/>
    <xf numFmtId="0" fontId="0" fillId="5" borderId="0" xfId="0" applyFill="1" applyBorder="1"/>
    <xf numFmtId="0" fontId="11" fillId="5" borderId="16" xfId="0" applyFont="1" applyFill="1" applyBorder="1"/>
    <xf numFmtId="0" fontId="11" fillId="0" borderId="0" xfId="7" applyNumberFormat="1" applyFont="1"/>
    <xf numFmtId="0" fontId="11" fillId="8" borderId="17" xfId="0" quotePrefix="1" applyFont="1" applyFill="1" applyBorder="1" applyAlignment="1">
      <alignment horizontal="left"/>
    </xf>
    <xf numFmtId="0" fontId="11" fillId="8" borderId="18" xfId="0" applyFont="1" applyFill="1" applyBorder="1"/>
    <xf numFmtId="0" fontId="0" fillId="8" borderId="18" xfId="0" applyFill="1" applyBorder="1"/>
    <xf numFmtId="0" fontId="11" fillId="8" borderId="19" xfId="0" applyNumberFormat="1" applyFont="1" applyFill="1" applyBorder="1"/>
    <xf numFmtId="0" fontId="11" fillId="8" borderId="15" xfId="7" applyNumberFormat="1" applyFont="1" applyFill="1" applyBorder="1"/>
    <xf numFmtId="10" fontId="11" fillId="8" borderId="0" xfId="7" applyNumberFormat="1" applyFont="1" applyFill="1" applyBorder="1"/>
    <xf numFmtId="0" fontId="0" fillId="0" borderId="0" xfId="0" applyFill="1"/>
    <xf numFmtId="10" fontId="11" fillId="8" borderId="0" xfId="9" applyNumberFormat="1" applyFont="1" applyFill="1" applyBorder="1"/>
    <xf numFmtId="0" fontId="0" fillId="7" borderId="0" xfId="0" applyFill="1"/>
    <xf numFmtId="0" fontId="11" fillId="8" borderId="17" xfId="7" applyNumberFormat="1" applyFont="1" applyFill="1" applyBorder="1"/>
    <xf numFmtId="10" fontId="11" fillId="8" borderId="18" xfId="9" applyNumberFormat="1" applyFont="1" applyFill="1" applyBorder="1"/>
    <xf numFmtId="0" fontId="17" fillId="0" borderId="0" xfId="0" applyFont="1"/>
    <xf numFmtId="183" fontId="0" fillId="0" borderId="0" xfId="1" applyNumberFormat="1" applyFont="1"/>
    <xf numFmtId="0" fontId="5" fillId="0" borderId="23" xfId="0" applyFont="1" applyFill="1" applyBorder="1" applyAlignment="1">
      <alignment horizontal="left"/>
    </xf>
    <xf numFmtId="0" fontId="5" fillId="0" borderId="24" xfId="0" quotePrefix="1" applyFont="1" applyFill="1" applyBorder="1" applyAlignment="1">
      <alignment horizontal="left"/>
    </xf>
    <xf numFmtId="0" fontId="5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6" xfId="0" quotePrefix="1" applyFont="1" applyFill="1" applyBorder="1" applyAlignment="1">
      <alignment horizontal="left"/>
    </xf>
    <xf numFmtId="0" fontId="5" fillId="0" borderId="3" xfId="0" quotePrefix="1" applyFont="1" applyFill="1" applyBorder="1" applyAlignment="1">
      <alignment horizontal="left"/>
    </xf>
    <xf numFmtId="0" fontId="0" fillId="0" borderId="3" xfId="0" applyFill="1" applyBorder="1"/>
    <xf numFmtId="0" fontId="0" fillId="0" borderId="27" xfId="0" applyFill="1" applyBorder="1"/>
    <xf numFmtId="0" fontId="5" fillId="0" borderId="26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8" fillId="0" borderId="15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left"/>
    </xf>
    <xf numFmtId="10" fontId="19" fillId="0" borderId="0" xfId="0" applyNumberFormat="1" applyFont="1" applyBorder="1" applyAlignment="1">
      <alignment horizontal="center"/>
    </xf>
    <xf numFmtId="10" fontId="18" fillId="0" borderId="0" xfId="0" applyNumberFormat="1" applyFont="1" applyBorder="1"/>
    <xf numFmtId="10" fontId="19" fillId="0" borderId="16" xfId="0" applyNumberFormat="1" applyFont="1" applyBorder="1" applyAlignment="1">
      <alignment horizontal="center"/>
    </xf>
    <xf numFmtId="10" fontId="18" fillId="0" borderId="16" xfId="0" applyNumberFormat="1" applyFont="1" applyBorder="1"/>
    <xf numFmtId="0" fontId="5" fillId="0" borderId="15" xfId="0" quotePrefix="1" applyFont="1" applyBorder="1" applyAlignment="1">
      <alignment horizontal="left"/>
    </xf>
    <xf numFmtId="2" fontId="5" fillId="0" borderId="0" xfId="0" applyNumberFormat="1" applyFont="1" applyBorder="1"/>
    <xf numFmtId="0" fontId="0" fillId="0" borderId="0" xfId="0" applyBorder="1"/>
    <xf numFmtId="0" fontId="5" fillId="0" borderId="0" xfId="0" applyFont="1" applyBorder="1" applyAlignment="1">
      <alignment horizontal="right"/>
    </xf>
    <xf numFmtId="183" fontId="4" fillId="0" borderId="0" xfId="1" applyNumberFormat="1" applyFont="1" applyBorder="1" applyAlignment="1">
      <alignment horizontal="center"/>
    </xf>
    <xf numFmtId="183" fontId="0" fillId="0" borderId="0" xfId="1" applyNumberFormat="1" applyFont="1" applyBorder="1"/>
    <xf numFmtId="183" fontId="0" fillId="0" borderId="16" xfId="1" applyNumberFormat="1" applyFont="1" applyBorder="1"/>
    <xf numFmtId="0" fontId="0" fillId="0" borderId="15" xfId="0" quotePrefix="1" applyBorder="1" applyAlignment="1">
      <alignment horizontal="left" indent="3"/>
    </xf>
    <xf numFmtId="2" fontId="17" fillId="0" borderId="0" xfId="0" applyNumberFormat="1" applyFont="1" applyBorder="1"/>
    <xf numFmtId="43" fontId="7" fillId="0" borderId="0" xfId="1" applyFont="1" applyBorder="1"/>
    <xf numFmtId="43" fontId="7" fillId="0" borderId="16" xfId="1" applyFont="1" applyBorder="1"/>
    <xf numFmtId="0" fontId="0" fillId="0" borderId="15" xfId="0" applyBorder="1" applyAlignment="1">
      <alignment horizontal="left" indent="3"/>
    </xf>
    <xf numFmtId="0" fontId="5" fillId="0" borderId="0" xfId="0" quotePrefix="1" applyFont="1" applyBorder="1" applyAlignment="1">
      <alignment horizontal="right"/>
    </xf>
    <xf numFmtId="0" fontId="6" fillId="0" borderId="0" xfId="0" applyFont="1" applyBorder="1"/>
    <xf numFmtId="43" fontId="6" fillId="0" borderId="0" xfId="1" applyFont="1" applyBorder="1"/>
    <xf numFmtId="43" fontId="6" fillId="0" borderId="16" xfId="1" applyFont="1" applyBorder="1"/>
    <xf numFmtId="0" fontId="3" fillId="0" borderId="15" xfId="0" quotePrefix="1" applyFont="1" applyBorder="1" applyAlignment="1">
      <alignment horizontal="left"/>
    </xf>
    <xf numFmtId="0" fontId="0" fillId="0" borderId="16" xfId="0" applyBorder="1"/>
    <xf numFmtId="0" fontId="0" fillId="0" borderId="15" xfId="0" applyBorder="1"/>
    <xf numFmtId="0" fontId="8" fillId="0" borderId="0" xfId="0" applyFont="1" applyBorder="1"/>
    <xf numFmtId="0" fontId="8" fillId="0" borderId="0" xfId="0" applyFont="1" applyBorder="1" applyAlignment="1">
      <alignment horizontal="center" wrapText="1"/>
    </xf>
    <xf numFmtId="0" fontId="8" fillId="0" borderId="0" xfId="0" quotePrefix="1" applyFont="1" applyBorder="1" applyAlignment="1">
      <alignment horizontal="center" wrapText="1"/>
    </xf>
    <xf numFmtId="0" fontId="8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20" fillId="0" borderId="0" xfId="0" applyFont="1" applyBorder="1"/>
    <xf numFmtId="2" fontId="0" fillId="0" borderId="0" xfId="0" applyNumberFormat="1" applyBorder="1"/>
    <xf numFmtId="173" fontId="7" fillId="0" borderId="0" xfId="0" applyNumberFormat="1" applyFont="1" applyBorder="1"/>
    <xf numFmtId="173" fontId="0" fillId="0" borderId="0" xfId="0" applyNumberFormat="1" applyBorder="1"/>
    <xf numFmtId="8" fontId="7" fillId="0" borderId="0" xfId="0" applyNumberFormat="1" applyFont="1" applyBorder="1"/>
    <xf numFmtId="0" fontId="0" fillId="0" borderId="0" xfId="0" applyBorder="1" applyAlignment="1">
      <alignment wrapText="1"/>
    </xf>
    <xf numFmtId="8" fontId="6" fillId="0" borderId="0" xfId="0" applyNumberFormat="1" applyFont="1" applyBorder="1"/>
    <xf numFmtId="10" fontId="7" fillId="0" borderId="0" xfId="0" applyNumberFormat="1" applyFont="1" applyBorder="1"/>
    <xf numFmtId="0" fontId="7" fillId="0" borderId="0" xfId="0" applyFont="1" applyBorder="1"/>
    <xf numFmtId="10" fontId="0" fillId="0" borderId="0" xfId="0" applyNumberFormat="1" applyBorder="1"/>
    <xf numFmtId="0" fontId="5" fillId="0" borderId="0" xfId="0" quotePrefix="1" applyFont="1" applyBorder="1" applyAlignment="1">
      <alignment horizontal="left"/>
    </xf>
    <xf numFmtId="0" fontId="5" fillId="0" borderId="0" xfId="0" applyFont="1" applyBorder="1"/>
    <xf numFmtId="0" fontId="5" fillId="0" borderId="16" xfId="0" applyFont="1" applyBorder="1"/>
    <xf numFmtId="8" fontId="6" fillId="0" borderId="0" xfId="0" applyNumberFormat="1" applyFont="1" applyFill="1" applyBorder="1"/>
    <xf numFmtId="8" fontId="6" fillId="0" borderId="16" xfId="0" applyNumberFormat="1" applyFont="1" applyFill="1" applyBorder="1"/>
    <xf numFmtId="8" fontId="8" fillId="0" borderId="0" xfId="0" applyNumberFormat="1" applyFont="1" applyBorder="1"/>
    <xf numFmtId="8" fontId="8" fillId="0" borderId="16" xfId="0" applyNumberFormat="1" applyFont="1" applyBorder="1"/>
    <xf numFmtId="0" fontId="0" fillId="0" borderId="15" xfId="0" quotePrefix="1" applyBorder="1" applyAlignment="1">
      <alignment horizontal="left"/>
    </xf>
    <xf numFmtId="8" fontId="0" fillId="0" borderId="0" xfId="0" applyNumberFormat="1" applyBorder="1"/>
    <xf numFmtId="8" fontId="0" fillId="0" borderId="16" xfId="0" applyNumberFormat="1" applyBorder="1"/>
    <xf numFmtId="0" fontId="0" fillId="0" borderId="17" xfId="0" quotePrefix="1" applyBorder="1" applyAlignment="1">
      <alignment horizontal="left"/>
    </xf>
    <xf numFmtId="0" fontId="0" fillId="0" borderId="18" xfId="0" quotePrefix="1" applyBorder="1" applyAlignment="1">
      <alignment horizontal="left"/>
    </xf>
    <xf numFmtId="8" fontId="0" fillId="0" borderId="18" xfId="0" applyNumberFormat="1" applyBorder="1"/>
    <xf numFmtId="8" fontId="0" fillId="0" borderId="19" xfId="0" applyNumberFormat="1" applyBorder="1"/>
    <xf numFmtId="0" fontId="5" fillId="4" borderId="2" xfId="0" quotePrefix="1" applyFont="1" applyFill="1" applyBorder="1" applyAlignment="1">
      <alignment horizontal="left"/>
    </xf>
    <xf numFmtId="0" fontId="5" fillId="4" borderId="3" xfId="0" quotePrefix="1" applyFont="1" applyFill="1" applyBorder="1" applyAlignment="1">
      <alignment horizontal="left"/>
    </xf>
    <xf numFmtId="0" fontId="0" fillId="4" borderId="3" xfId="0" applyFill="1" applyBorder="1"/>
    <xf numFmtId="0" fontId="0" fillId="4" borderId="3" xfId="0" quotePrefix="1" applyFill="1" applyBorder="1" applyAlignment="1">
      <alignment horizontal="left"/>
    </xf>
    <xf numFmtId="0" fontId="0" fillId="4" borderId="4" xfId="0" applyFill="1" applyBorder="1"/>
    <xf numFmtId="2" fontId="17" fillId="0" borderId="0" xfId="0" applyNumberFormat="1" applyFont="1"/>
    <xf numFmtId="2" fontId="5" fillId="0" borderId="0" xfId="0" applyNumberFormat="1" applyFont="1"/>
    <xf numFmtId="0" fontId="6" fillId="0" borderId="0" xfId="0" quotePrefix="1" applyFont="1" applyAlignment="1">
      <alignment horizontal="left" indent="1"/>
    </xf>
    <xf numFmtId="8" fontId="6" fillId="0" borderId="0" xfId="0" applyNumberFormat="1" applyFont="1"/>
    <xf numFmtId="0" fontId="8" fillId="0" borderId="0" xfId="0" applyFont="1" applyAlignment="1">
      <alignment horizontal="left" indent="1"/>
    </xf>
    <xf numFmtId="8" fontId="8" fillId="0" borderId="0" xfId="0" applyNumberFormat="1" applyFont="1"/>
    <xf numFmtId="0" fontId="0" fillId="0" borderId="0" xfId="0" quotePrefix="1" applyAlignment="1">
      <alignment horizontal="left" indent="1"/>
    </xf>
    <xf numFmtId="0" fontId="6" fillId="0" borderId="0" xfId="0" applyFont="1" applyAlignment="1">
      <alignment horizontal="left" indent="1"/>
    </xf>
    <xf numFmtId="0" fontId="20" fillId="0" borderId="0" xfId="0" applyFont="1"/>
    <xf numFmtId="0" fontId="21" fillId="0" borderId="0" xfId="0" quotePrefix="1" applyFont="1" applyAlignment="1">
      <alignment horizontal="left"/>
    </xf>
    <xf numFmtId="0" fontId="6" fillId="0" borderId="0" xfId="0" applyFont="1"/>
    <xf numFmtId="0" fontId="8" fillId="0" borderId="0" xfId="0" quotePrefix="1" applyFont="1" applyAlignment="1">
      <alignment horizontal="left" indent="1"/>
    </xf>
    <xf numFmtId="0" fontId="22" fillId="10" borderId="2" xfId="0" quotePrefix="1" applyFont="1" applyFill="1" applyBorder="1" applyAlignment="1">
      <alignment horizontal="left"/>
    </xf>
    <xf numFmtId="0" fontId="22" fillId="10" borderId="3" xfId="0" quotePrefix="1" applyFont="1" applyFill="1" applyBorder="1" applyAlignment="1">
      <alignment horizontal="left"/>
    </xf>
    <xf numFmtId="0" fontId="23" fillId="10" borderId="3" xfId="0" applyFont="1" applyFill="1" applyBorder="1" applyAlignment="1">
      <alignment horizontal="center"/>
    </xf>
    <xf numFmtId="0" fontId="23" fillId="10" borderId="3" xfId="0" quotePrefix="1" applyFont="1" applyFill="1" applyBorder="1" applyAlignment="1">
      <alignment horizontal="center"/>
    </xf>
    <xf numFmtId="0" fontId="23" fillId="10" borderId="4" xfId="0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8" xfId="0" applyBorder="1" applyAlignment="1">
      <alignment horizontal="left" indent="1"/>
    </xf>
    <xf numFmtId="2" fontId="0" fillId="0" borderId="9" xfId="0" applyNumberFormat="1" applyBorder="1"/>
    <xf numFmtId="0" fontId="8" fillId="0" borderId="8" xfId="0" applyFont="1" applyBorder="1" applyAlignment="1">
      <alignment horizontal="left" indent="1"/>
    </xf>
    <xf numFmtId="2" fontId="8" fillId="0" borderId="0" xfId="0" applyNumberFormat="1" applyFont="1" applyBorder="1"/>
    <xf numFmtId="2" fontId="8" fillId="0" borderId="9" xfId="0" applyNumberFormat="1" applyFont="1" applyBorder="1"/>
    <xf numFmtId="0" fontId="0" fillId="0" borderId="11" xfId="0" quotePrefix="1" applyBorder="1" applyAlignment="1">
      <alignment horizontal="left" indent="1"/>
    </xf>
    <xf numFmtId="0" fontId="0" fillId="0" borderId="20" xfId="0" applyBorder="1"/>
    <xf numFmtId="2" fontId="0" fillId="0" borderId="20" xfId="0" applyNumberFormat="1" applyBorder="1"/>
    <xf numFmtId="2" fontId="0" fillId="0" borderId="21" xfId="0" applyNumberFormat="1" applyBorder="1"/>
    <xf numFmtId="0" fontId="0" fillId="5" borderId="3" xfId="0" applyFill="1" applyBorder="1"/>
    <xf numFmtId="0" fontId="0" fillId="5" borderId="4" xfId="0" applyFill="1" applyBorder="1"/>
    <xf numFmtId="0" fontId="0" fillId="0" borderId="8" xfId="0" applyBorder="1"/>
    <xf numFmtId="0" fontId="0" fillId="0" borderId="9" xfId="0" applyBorder="1"/>
    <xf numFmtId="0" fontId="6" fillId="0" borderId="8" xfId="0" quotePrefix="1" applyFont="1" applyBorder="1" applyAlignment="1">
      <alignment horizontal="left" indent="1"/>
    </xf>
    <xf numFmtId="43" fontId="0" fillId="0" borderId="0" xfId="1" applyNumberFormat="1" applyFont="1" applyBorder="1"/>
    <xf numFmtId="43" fontId="0" fillId="0" borderId="9" xfId="1" applyNumberFormat="1" applyFont="1" applyBorder="1"/>
    <xf numFmtId="0" fontId="8" fillId="0" borderId="8" xfId="0" quotePrefix="1" applyFont="1" applyBorder="1" applyAlignment="1">
      <alignment horizontal="left" indent="1"/>
    </xf>
    <xf numFmtId="43" fontId="8" fillId="0" borderId="0" xfId="1" applyNumberFormat="1" applyFont="1" applyBorder="1"/>
    <xf numFmtId="43" fontId="8" fillId="0" borderId="9" xfId="1" applyNumberFormat="1" applyFont="1" applyBorder="1"/>
    <xf numFmtId="0" fontId="0" fillId="0" borderId="8" xfId="0" quotePrefix="1" applyBorder="1" applyAlignment="1">
      <alignment horizontal="left" indent="1"/>
    </xf>
    <xf numFmtId="0" fontId="20" fillId="0" borderId="8" xfId="0" quotePrefix="1" applyFont="1" applyBorder="1" applyAlignment="1">
      <alignment horizontal="left"/>
    </xf>
    <xf numFmtId="0" fontId="20" fillId="0" borderId="9" xfId="0" applyFont="1" applyBorder="1"/>
    <xf numFmtId="0" fontId="20" fillId="0" borderId="8" xfId="0" quotePrefix="1" applyFont="1" applyBorder="1" applyAlignment="1">
      <alignment horizontal="left" indent="1"/>
    </xf>
    <xf numFmtId="43" fontId="20" fillId="0" borderId="0" xfId="1" applyFont="1" applyBorder="1"/>
    <xf numFmtId="43" fontId="20" fillId="0" borderId="9" xfId="1" applyFont="1" applyBorder="1"/>
    <xf numFmtId="0" fontId="18" fillId="0" borderId="8" xfId="0" quotePrefix="1" applyFont="1" applyBorder="1" applyAlignment="1">
      <alignment horizontal="left" indent="1"/>
    </xf>
    <xf numFmtId="0" fontId="18" fillId="0" borderId="0" xfId="0" applyFont="1" applyBorder="1"/>
    <xf numFmtId="43" fontId="18" fillId="0" borderId="0" xfId="1" applyFont="1" applyBorder="1"/>
    <xf numFmtId="43" fontId="18" fillId="0" borderId="9" xfId="1" applyFont="1" applyBorder="1"/>
    <xf numFmtId="43" fontId="20" fillId="0" borderId="0" xfId="0" applyNumberFormat="1" applyFont="1" applyBorder="1"/>
    <xf numFmtId="43" fontId="20" fillId="0" borderId="9" xfId="0" applyNumberFormat="1" applyFont="1" applyBorder="1"/>
    <xf numFmtId="0" fontId="20" fillId="0" borderId="11" xfId="0" quotePrefix="1" applyFont="1" applyBorder="1" applyAlignment="1">
      <alignment horizontal="left" indent="1"/>
    </xf>
    <xf numFmtId="43" fontId="20" fillId="0" borderId="20" xfId="0" applyNumberFormat="1" applyFont="1" applyBorder="1"/>
    <xf numFmtId="43" fontId="20" fillId="0" borderId="21" xfId="0" applyNumberFormat="1" applyFont="1" applyBorder="1"/>
    <xf numFmtId="0" fontId="5" fillId="0" borderId="8" xfId="0" quotePrefix="1" applyFont="1" applyBorder="1" applyAlignment="1">
      <alignment horizontal="left" indent="1"/>
    </xf>
    <xf numFmtId="0" fontId="5" fillId="0" borderId="8" xfId="0" quotePrefix="1" applyFont="1" applyFill="1" applyBorder="1" applyAlignment="1">
      <alignment horizontal="left"/>
    </xf>
    <xf numFmtId="0" fontId="0" fillId="0" borderId="0" xfId="0" applyFill="1" applyBorder="1"/>
    <xf numFmtId="0" fontId="0" fillId="0" borderId="9" xfId="0" applyFill="1" applyBorder="1"/>
    <xf numFmtId="8" fontId="8" fillId="0" borderId="9" xfId="0" applyNumberFormat="1" applyFont="1" applyBorder="1"/>
    <xf numFmtId="43" fontId="0" fillId="0" borderId="0" xfId="1" applyFont="1" applyBorder="1"/>
    <xf numFmtId="43" fontId="0" fillId="0" borderId="9" xfId="1" applyFont="1" applyBorder="1"/>
    <xf numFmtId="8" fontId="0" fillId="0" borderId="9" xfId="0" applyNumberFormat="1" applyBorder="1"/>
    <xf numFmtId="43" fontId="0" fillId="0" borderId="20" xfId="0" applyNumberFormat="1" applyBorder="1"/>
    <xf numFmtId="43" fontId="0" fillId="0" borderId="21" xfId="0" applyNumberFormat="1" applyBorder="1"/>
    <xf numFmtId="0" fontId="0" fillId="0" borderId="0" xfId="0" applyBorder="1" applyAlignment="1">
      <alignment horizontal="left" indent="1"/>
    </xf>
    <xf numFmtId="43" fontId="0" fillId="0" borderId="0" xfId="0" applyNumberFormat="1" applyBorder="1"/>
    <xf numFmtId="0" fontId="5" fillId="0" borderId="8" xfId="0" quotePrefix="1" applyFont="1" applyBorder="1" applyAlignment="1">
      <alignment horizontal="left"/>
    </xf>
    <xf numFmtId="43" fontId="6" fillId="0" borderId="0" xfId="0" applyNumberFormat="1" applyFont="1" applyBorder="1"/>
    <xf numFmtId="43" fontId="6" fillId="0" borderId="9" xfId="0" applyNumberFormat="1" applyFont="1" applyBorder="1"/>
    <xf numFmtId="0" fontId="5" fillId="0" borderId="11" xfId="0" quotePrefix="1" applyFont="1" applyBorder="1" applyAlignment="1">
      <alignment horizontal="left"/>
    </xf>
    <xf numFmtId="43" fontId="0" fillId="0" borderId="0" xfId="0" applyNumberFormat="1" applyFill="1" applyBorder="1"/>
    <xf numFmtId="43" fontId="20" fillId="0" borderId="0" xfId="1" applyNumberFormat="1" applyFont="1" applyBorder="1"/>
    <xf numFmtId="43" fontId="20" fillId="0" borderId="9" xfId="1" applyNumberFormat="1" applyFont="1" applyBorder="1"/>
    <xf numFmtId="8" fontId="24" fillId="0" borderId="0" xfId="1" applyNumberFormat="1" applyFont="1" applyBorder="1"/>
    <xf numFmtId="7" fontId="7" fillId="0" borderId="0" xfId="0" applyNumberFormat="1" applyFont="1"/>
    <xf numFmtId="7" fontId="9" fillId="0" borderId="0" xfId="0" applyNumberFormat="1" applyFont="1"/>
    <xf numFmtId="0" fontId="5" fillId="0" borderId="0" xfId="0" applyFont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25" fillId="0" borderId="0" xfId="0" applyFont="1" applyBorder="1"/>
    <xf numFmtId="0" fontId="25" fillId="0" borderId="20" xfId="0" quotePrefix="1" applyFont="1" applyBorder="1" applyAlignment="1">
      <alignment horizontal="left"/>
    </xf>
    <xf numFmtId="0" fontId="0" fillId="0" borderId="0" xfId="0" quotePrefix="1" applyBorder="1" applyAlignment="1">
      <alignment horizontal="left" indent="1"/>
    </xf>
    <xf numFmtId="43" fontId="0" fillId="0" borderId="9" xfId="0" applyNumberFormat="1" applyBorder="1"/>
    <xf numFmtId="0" fontId="5" fillId="12" borderId="2" xfId="0" quotePrefix="1" applyFont="1" applyFill="1" applyBorder="1" applyAlignment="1">
      <alignment horizontal="left"/>
    </xf>
    <xf numFmtId="0" fontId="0" fillId="12" borderId="3" xfId="0" applyFill="1" applyBorder="1"/>
    <xf numFmtId="43" fontId="0" fillId="12" borderId="3" xfId="0" applyNumberFormat="1" applyFill="1" applyBorder="1"/>
    <xf numFmtId="43" fontId="0" fillId="12" borderId="4" xfId="0" applyNumberFormat="1" applyFill="1" applyBorder="1"/>
    <xf numFmtId="0" fontId="5" fillId="0" borderId="11" xfId="0" applyFont="1" applyBorder="1" applyAlignment="1">
      <alignment horizontal="left" indent="1"/>
    </xf>
    <xf numFmtId="43" fontId="5" fillId="0" borderId="20" xfId="0" applyNumberFormat="1" applyFont="1" applyBorder="1"/>
    <xf numFmtId="43" fontId="5" fillId="0" borderId="21" xfId="0" applyNumberFormat="1" applyFont="1" applyBorder="1"/>
    <xf numFmtId="12" fontId="0" fillId="0" borderId="0" xfId="0" applyNumberFormat="1" applyBorder="1"/>
    <xf numFmtId="43" fontId="0" fillId="0" borderId="9" xfId="0" applyNumberFormat="1" applyFill="1" applyBorder="1"/>
    <xf numFmtId="43" fontId="5" fillId="0" borderId="20" xfId="1" applyFont="1" applyBorder="1"/>
    <xf numFmtId="43" fontId="5" fillId="0" borderId="21" xfId="1" applyFont="1" applyBorder="1"/>
    <xf numFmtId="0" fontId="4" fillId="0" borderId="0" xfId="0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25" fillId="0" borderId="20" xfId="0" applyFont="1" applyBorder="1"/>
    <xf numFmtId="0" fontId="20" fillId="0" borderId="0" xfId="0" quotePrefix="1" applyFont="1" applyBorder="1" applyAlignment="1">
      <alignment horizontal="left" indent="1"/>
    </xf>
    <xf numFmtId="43" fontId="7" fillId="0" borderId="20" xfId="1" applyFont="1" applyBorder="1"/>
    <xf numFmtId="43" fontId="7" fillId="0" borderId="20" xfId="1" quotePrefix="1" applyFont="1" applyBorder="1" applyAlignment="1">
      <alignment horizontal="left"/>
    </xf>
    <xf numFmtId="43" fontId="7" fillId="0" borderId="21" xfId="1" applyFont="1" applyBorder="1"/>
    <xf numFmtId="0" fontId="5" fillId="0" borderId="8" xfId="0" applyFont="1" applyBorder="1" applyAlignment="1">
      <alignment horizontal="left"/>
    </xf>
    <xf numFmtId="43" fontId="26" fillId="0" borderId="0" xfId="1" applyFont="1" applyBorder="1"/>
    <xf numFmtId="0" fontId="27" fillId="0" borderId="0" xfId="0" quotePrefix="1" applyFont="1" applyBorder="1" applyAlignment="1">
      <alignment horizontal="left"/>
    </xf>
    <xf numFmtId="183" fontId="0" fillId="0" borderId="0" xfId="0" applyNumberFormat="1"/>
    <xf numFmtId="183" fontId="20" fillId="0" borderId="0" xfId="1" applyNumberFormat="1" applyFont="1" applyBorder="1"/>
    <xf numFmtId="8" fontId="28" fillId="0" borderId="0" xfId="3" applyNumberFormat="1" applyFont="1" applyFill="1" applyProtection="1"/>
    <xf numFmtId="173" fontId="28" fillId="0" borderId="0" xfId="3" applyNumberFormat="1" applyFont="1" applyProtection="1"/>
    <xf numFmtId="10" fontId="19" fillId="0" borderId="0" xfId="0" applyNumberFormat="1" applyFont="1" applyBorder="1"/>
    <xf numFmtId="43" fontId="6" fillId="0" borderId="0" xfId="1" applyNumberFormat="1" applyFont="1" applyBorder="1"/>
    <xf numFmtId="7" fontId="0" fillId="0" borderId="0" xfId="0" applyNumberFormat="1" applyBorder="1"/>
    <xf numFmtId="0" fontId="18" fillId="0" borderId="8" xfId="0" applyFont="1" applyBorder="1" applyAlignment="1">
      <alignment horizontal="left" indent="1"/>
    </xf>
    <xf numFmtId="0" fontId="20" fillId="0" borderId="8" xfId="0" applyFont="1" applyBorder="1" applyAlignment="1">
      <alignment horizontal="left" indent="1"/>
    </xf>
    <xf numFmtId="176" fontId="0" fillId="0" borderId="0" xfId="0" applyNumberFormat="1"/>
    <xf numFmtId="0" fontId="29" fillId="0" borderId="0" xfId="0" applyFont="1"/>
    <xf numFmtId="176" fontId="30" fillId="0" borderId="0" xfId="0" applyNumberFormat="1" applyFont="1"/>
    <xf numFmtId="2" fontId="7" fillId="0" borderId="3" xfId="0" applyNumberFormat="1" applyFont="1" applyFill="1" applyBorder="1" applyAlignment="1">
      <alignment horizontal="center"/>
    </xf>
    <xf numFmtId="0" fontId="34" fillId="0" borderId="0" xfId="8"/>
    <xf numFmtId="0" fontId="34" fillId="0" borderId="0" xfId="8" applyAlignment="1">
      <alignment horizontal="center"/>
    </xf>
    <xf numFmtId="0" fontId="34" fillId="0" borderId="0" xfId="8" applyBorder="1"/>
    <xf numFmtId="0" fontId="37" fillId="0" borderId="0" xfId="8" quotePrefix="1" applyFont="1" applyAlignment="1">
      <alignment horizontal="left"/>
    </xf>
    <xf numFmtId="0" fontId="38" fillId="0" borderId="0" xfId="8" applyFont="1"/>
    <xf numFmtId="0" fontId="39" fillId="0" borderId="0" xfId="8" applyFont="1"/>
    <xf numFmtId="0" fontId="39" fillId="0" borderId="0" xfId="8" applyFont="1" applyAlignment="1">
      <alignment horizontal="center"/>
    </xf>
    <xf numFmtId="0" fontId="39" fillId="0" borderId="0" xfId="8" applyFont="1" applyBorder="1"/>
    <xf numFmtId="0" fontId="40" fillId="0" borderId="0" xfId="8" quotePrefix="1" applyFont="1" applyAlignment="1">
      <alignment horizontal="left"/>
    </xf>
    <xf numFmtId="0" fontId="41" fillId="0" borderId="0" xfId="8" applyFont="1"/>
    <xf numFmtId="0" fontId="42" fillId="0" borderId="0" xfId="8" applyFont="1"/>
    <xf numFmtId="0" fontId="42" fillId="0" borderId="0" xfId="8" applyFont="1" applyAlignment="1">
      <alignment horizontal="center"/>
    </xf>
    <xf numFmtId="0" fontId="42" fillId="0" borderId="0" xfId="8" applyFont="1" applyBorder="1"/>
    <xf numFmtId="0" fontId="43" fillId="6" borderId="29" xfId="8" quotePrefix="1" applyFont="1" applyFill="1" applyBorder="1" applyAlignment="1">
      <alignment horizontal="left"/>
    </xf>
    <xf numFmtId="0" fontId="44" fillId="6" borderId="30" xfId="8" applyFont="1" applyFill="1" applyBorder="1"/>
    <xf numFmtId="0" fontId="43" fillId="6" borderId="30" xfId="8" quotePrefix="1" applyFont="1" applyFill="1" applyBorder="1" applyAlignment="1">
      <alignment horizontal="left"/>
    </xf>
    <xf numFmtId="0" fontId="39" fillId="6" borderId="30" xfId="8" applyFont="1" applyFill="1" applyBorder="1"/>
    <xf numFmtId="0" fontId="39" fillId="6" borderId="31" xfId="8" applyFont="1" applyFill="1" applyBorder="1"/>
    <xf numFmtId="0" fontId="36" fillId="0" borderId="0" xfId="8" applyFont="1" applyAlignment="1">
      <alignment horizontal="left" indent="1"/>
    </xf>
    <xf numFmtId="0" fontId="44" fillId="0" borderId="0" xfId="8" applyFont="1"/>
    <xf numFmtId="0" fontId="44" fillId="0" borderId="32" xfId="8" quotePrefix="1" applyFont="1" applyBorder="1" applyAlignment="1">
      <alignment horizontal="left"/>
    </xf>
    <xf numFmtId="0" fontId="44" fillId="0" borderId="6" xfId="8" quotePrefix="1" applyFont="1" applyBorder="1" applyAlignment="1">
      <alignment horizontal="left"/>
    </xf>
    <xf numFmtId="8" fontId="44" fillId="0" borderId="6" xfId="8" applyNumberFormat="1" applyFont="1" applyBorder="1"/>
    <xf numFmtId="0" fontId="44" fillId="0" borderId="0" xfId="8" applyFont="1" applyAlignment="1">
      <alignment horizontal="center"/>
    </xf>
    <xf numFmtId="0" fontId="44" fillId="0" borderId="0" xfId="8" applyFont="1" applyBorder="1"/>
    <xf numFmtId="0" fontId="44" fillId="0" borderId="20" xfId="8" applyFont="1" applyBorder="1"/>
    <xf numFmtId="8" fontId="44" fillId="0" borderId="20" xfId="8" applyNumberFormat="1" applyFont="1" applyBorder="1"/>
    <xf numFmtId="0" fontId="43" fillId="0" borderId="0" xfId="8" applyFont="1"/>
    <xf numFmtId="0" fontId="46" fillId="0" borderId="15" xfId="8" applyFont="1" applyFill="1" applyBorder="1"/>
    <xf numFmtId="0" fontId="44" fillId="0" borderId="15" xfId="8" applyFont="1" applyBorder="1"/>
    <xf numFmtId="0" fontId="43" fillId="6" borderId="32" xfId="8" quotePrefix="1" applyFont="1" applyFill="1" applyBorder="1" applyAlignment="1">
      <alignment horizontal="left"/>
    </xf>
    <xf numFmtId="0" fontId="44" fillId="6" borderId="5" xfId="8" quotePrefix="1" applyFont="1" applyFill="1" applyBorder="1" applyAlignment="1">
      <alignment horizontal="center"/>
    </xf>
    <xf numFmtId="0" fontId="44" fillId="6" borderId="6" xfId="8" quotePrefix="1" applyFont="1" applyFill="1" applyBorder="1" applyAlignment="1">
      <alignment horizontal="center"/>
    </xf>
    <xf numFmtId="0" fontId="44" fillId="6" borderId="6" xfId="8" applyFont="1" applyFill="1" applyBorder="1" applyAlignment="1">
      <alignment horizontal="center"/>
    </xf>
    <xf numFmtId="0" fontId="44" fillId="6" borderId="33" xfId="8" applyFont="1" applyFill="1" applyBorder="1" applyAlignment="1">
      <alignment horizontal="center"/>
    </xf>
    <xf numFmtId="0" fontId="43" fillId="0" borderId="0" xfId="8" applyFont="1" applyFill="1" applyBorder="1"/>
    <xf numFmtId="0" fontId="43" fillId="6" borderId="22" xfId="8" applyFont="1" applyFill="1" applyBorder="1" applyAlignment="1">
      <alignment horizontal="left"/>
    </xf>
    <xf numFmtId="0" fontId="44" fillId="6" borderId="11" xfId="8" applyFont="1" applyFill="1" applyBorder="1" applyAlignment="1">
      <alignment horizontal="center"/>
    </xf>
    <xf numFmtId="0" fontId="44" fillId="6" borderId="20" xfId="8" quotePrefix="1" applyFont="1" applyFill="1" applyBorder="1" applyAlignment="1">
      <alignment horizontal="center"/>
    </xf>
    <xf numFmtId="0" fontId="44" fillId="0" borderId="32" xfId="8" applyFont="1" applyFill="1" applyBorder="1"/>
    <xf numFmtId="183" fontId="44" fillId="0" borderId="5" xfId="1" applyNumberFormat="1" applyFont="1" applyBorder="1" applyAlignment="1">
      <alignment horizontal="center"/>
    </xf>
    <xf numFmtId="183" fontId="44" fillId="0" borderId="6" xfId="1" applyNumberFormat="1" applyFont="1" applyBorder="1" applyAlignment="1">
      <alignment horizontal="center"/>
    </xf>
    <xf numFmtId="183" fontId="46" fillId="0" borderId="8" xfId="1" applyNumberFormat="1" applyFont="1" applyBorder="1" applyAlignment="1">
      <alignment horizontal="center"/>
    </xf>
    <xf numFmtId="183" fontId="46" fillId="0" borderId="0" xfId="1" applyNumberFormat="1" applyFont="1" applyBorder="1" applyAlignment="1">
      <alignment horizontal="center"/>
    </xf>
    <xf numFmtId="0" fontId="43" fillId="0" borderId="5" xfId="8" applyFont="1" applyBorder="1"/>
    <xf numFmtId="0" fontId="43" fillId="0" borderId="6" xfId="8" applyFont="1" applyBorder="1"/>
    <xf numFmtId="0" fontId="45" fillId="0" borderId="6" xfId="8" applyFont="1" applyBorder="1"/>
    <xf numFmtId="0" fontId="45" fillId="0" borderId="8" xfId="8" applyFont="1" applyBorder="1"/>
    <xf numFmtId="0" fontId="45" fillId="0" borderId="34" xfId="8" quotePrefix="1" applyFont="1" applyBorder="1" applyAlignment="1">
      <alignment horizontal="center"/>
    </xf>
    <xf numFmtId="0" fontId="44" fillId="0" borderId="8" xfId="8" quotePrefix="1" applyFont="1" applyBorder="1" applyAlignment="1">
      <alignment horizontal="left"/>
    </xf>
    <xf numFmtId="3" fontId="44" fillId="0" borderId="8" xfId="8" applyNumberFormat="1" applyFont="1" applyBorder="1"/>
    <xf numFmtId="3" fontId="44" fillId="0" borderId="35" xfId="8" applyNumberFormat="1" applyFont="1" applyBorder="1" applyAlignment="1">
      <alignment horizontal="center"/>
    </xf>
    <xf numFmtId="0" fontId="44" fillId="0" borderId="11" xfId="8" quotePrefix="1" applyFont="1" applyBorder="1" applyAlignment="1">
      <alignment horizontal="left"/>
    </xf>
    <xf numFmtId="0" fontId="44" fillId="0" borderId="6" xfId="8" applyFont="1" applyBorder="1"/>
    <xf numFmtId="175" fontId="44" fillId="0" borderId="6" xfId="1" applyNumberFormat="1" applyFont="1" applyBorder="1"/>
    <xf numFmtId="175" fontId="44" fillId="0" borderId="7" xfId="1" applyNumberFormat="1" applyFont="1" applyBorder="1"/>
    <xf numFmtId="0" fontId="44" fillId="0" borderId="8" xfId="8" applyFont="1" applyBorder="1"/>
    <xf numFmtId="0" fontId="46" fillId="0" borderId="8" xfId="8" quotePrefix="1" applyFont="1" applyBorder="1" applyAlignment="1">
      <alignment horizontal="left"/>
    </xf>
    <xf numFmtId="0" fontId="46" fillId="0" borderId="0" xfId="8" applyFont="1" applyBorder="1"/>
    <xf numFmtId="175" fontId="46" fillId="0" borderId="0" xfId="1" applyNumberFormat="1" applyFont="1" applyBorder="1"/>
    <xf numFmtId="175" fontId="46" fillId="0" borderId="9" xfId="1" applyNumberFormat="1" applyFont="1" applyBorder="1"/>
    <xf numFmtId="175" fontId="44" fillId="0" borderId="20" xfId="1" applyNumberFormat="1" applyFont="1" applyBorder="1"/>
    <xf numFmtId="175" fontId="44" fillId="0" borderId="21" xfId="1" applyNumberFormat="1" applyFont="1" applyBorder="1"/>
    <xf numFmtId="0" fontId="46" fillId="0" borderId="0" xfId="8" applyFont="1"/>
    <xf numFmtId="0" fontId="43" fillId="0" borderId="5" xfId="8" quotePrefix="1" applyFont="1" applyBorder="1" applyAlignment="1">
      <alignment horizontal="left"/>
    </xf>
    <xf numFmtId="6" fontId="44" fillId="0" borderId="0" xfId="8" applyNumberFormat="1" applyFont="1" applyBorder="1"/>
    <xf numFmtId="0" fontId="44" fillId="0" borderId="9" xfId="8" applyFont="1" applyBorder="1"/>
    <xf numFmtId="0" fontId="44" fillId="0" borderId="35" xfId="8" applyFont="1" applyBorder="1" applyAlignment="1">
      <alignment horizontal="center"/>
    </xf>
    <xf numFmtId="174" fontId="44" fillId="0" borderId="0" xfId="1" applyNumberFormat="1" applyFont="1" applyBorder="1"/>
    <xf numFmtId="183" fontId="43" fillId="0" borderId="0" xfId="1" applyNumberFormat="1" applyFont="1" applyBorder="1"/>
    <xf numFmtId="0" fontId="43" fillId="0" borderId="8" xfId="8" applyFont="1" applyBorder="1"/>
    <xf numFmtId="183" fontId="44" fillId="0" borderId="0" xfId="1" applyNumberFormat="1" applyFont="1" applyBorder="1"/>
    <xf numFmtId="183" fontId="43" fillId="0" borderId="9" xfId="1" applyNumberFormat="1" applyFont="1" applyBorder="1"/>
    <xf numFmtId="183" fontId="44" fillId="0" borderId="9" xfId="1" applyNumberFormat="1" applyFont="1" applyBorder="1"/>
    <xf numFmtId="183" fontId="44" fillId="0" borderId="35" xfId="1" applyNumberFormat="1" applyFont="1" applyBorder="1" applyAlignment="1">
      <alignment horizontal="center"/>
    </xf>
    <xf numFmtId="0" fontId="43" fillId="0" borderId="8" xfId="8" quotePrefix="1" applyFont="1" applyBorder="1" applyAlignment="1">
      <alignment horizontal="left"/>
    </xf>
    <xf numFmtId="183" fontId="46" fillId="0" borderId="0" xfId="1" applyNumberFormat="1" applyFont="1" applyBorder="1"/>
    <xf numFmtId="0" fontId="43" fillId="0" borderId="2" xfId="8" quotePrefix="1" applyFont="1" applyBorder="1" applyAlignment="1">
      <alignment horizontal="left"/>
    </xf>
    <xf numFmtId="0" fontId="43" fillId="0" borderId="3" xfId="8" applyFont="1" applyBorder="1"/>
    <xf numFmtId="183" fontId="43" fillId="0" borderId="3" xfId="1" applyNumberFormat="1" applyFont="1" applyBorder="1"/>
    <xf numFmtId="183" fontId="43" fillId="0" borderId="10" xfId="1" applyNumberFormat="1" applyFont="1" applyBorder="1" applyAlignment="1">
      <alignment horizontal="center"/>
    </xf>
    <xf numFmtId="8" fontId="43" fillId="0" borderId="0" xfId="8" applyNumberFormat="1" applyFont="1" applyBorder="1"/>
    <xf numFmtId="183" fontId="43" fillId="0" borderId="4" xfId="1" applyNumberFormat="1" applyFont="1" applyBorder="1"/>
    <xf numFmtId="0" fontId="31" fillId="0" borderId="0" xfId="0" applyFont="1"/>
    <xf numFmtId="43" fontId="6" fillId="0" borderId="0" xfId="1" applyFont="1"/>
    <xf numFmtId="176" fontId="7" fillId="0" borderId="0" xfId="0" applyNumberFormat="1" applyFont="1" applyFill="1" applyBorder="1"/>
    <xf numFmtId="8" fontId="20" fillId="0" borderId="0" xfId="1" applyNumberFormat="1" applyFont="1" applyBorder="1"/>
    <xf numFmtId="8" fontId="7" fillId="0" borderId="0" xfId="1" applyNumberFormat="1" applyFont="1" applyBorder="1"/>
    <xf numFmtId="177" fontId="7" fillId="0" borderId="0" xfId="0" applyNumberFormat="1" applyFont="1" applyFill="1" applyBorder="1" applyAlignment="1">
      <alignment horizontal="right"/>
    </xf>
    <xf numFmtId="10" fontId="7" fillId="0" borderId="0" xfId="9" applyNumberFormat="1" applyFont="1" applyFill="1" applyBorder="1" applyAlignment="1">
      <alignment horizontal="right"/>
    </xf>
    <xf numFmtId="0" fontId="0" fillId="0" borderId="8" xfId="0" quotePrefix="1" applyBorder="1" applyAlignment="1">
      <alignment horizontal="left"/>
    </xf>
    <xf numFmtId="183" fontId="0" fillId="0" borderId="9" xfId="1" applyNumberFormat="1" applyFont="1" applyBorder="1"/>
    <xf numFmtId="183" fontId="6" fillId="0" borderId="0" xfId="1" applyNumberFormat="1" applyFont="1" applyBorder="1"/>
    <xf numFmtId="8" fontId="44" fillId="0" borderId="6" xfId="8" quotePrefix="1" applyNumberFormat="1" applyFont="1" applyBorder="1" applyAlignment="1">
      <alignment horizontal="left"/>
    </xf>
    <xf numFmtId="0" fontId="6" fillId="0" borderId="0" xfId="0" quotePrefix="1" applyFont="1" applyBorder="1" applyAlignment="1">
      <alignment horizontal="left" indent="1"/>
    </xf>
    <xf numFmtId="0" fontId="6" fillId="0" borderId="15" xfId="0" quotePrefix="1" applyFont="1" applyFill="1" applyBorder="1" applyAlignment="1">
      <alignment horizontal="left" indent="2"/>
    </xf>
    <xf numFmtId="0" fontId="0" fillId="0" borderId="15" xfId="0" quotePrefix="1" applyBorder="1" applyAlignment="1">
      <alignment horizontal="left" indent="2"/>
    </xf>
    <xf numFmtId="0" fontId="8" fillId="0" borderId="15" xfId="0" quotePrefix="1" applyFont="1" applyBorder="1" applyAlignment="1">
      <alignment horizontal="left" indent="2"/>
    </xf>
    <xf numFmtId="176" fontId="20" fillId="0" borderId="0" xfId="0" applyNumberFormat="1" applyFont="1" applyAlignment="1">
      <alignment horizontal="center"/>
    </xf>
    <xf numFmtId="176" fontId="18" fillId="0" borderId="0" xfId="0" applyNumberFormat="1" applyFont="1" applyAlignment="1">
      <alignment horizontal="center"/>
    </xf>
    <xf numFmtId="8" fontId="18" fillId="0" borderId="0" xfId="1" applyNumberFormat="1" applyFont="1" applyBorder="1"/>
    <xf numFmtId="43" fontId="18" fillId="0" borderId="0" xfId="1" applyNumberFormat="1" applyFont="1" applyBorder="1"/>
    <xf numFmtId="43" fontId="18" fillId="0" borderId="9" xfId="1" applyNumberFormat="1" applyFont="1" applyBorder="1"/>
    <xf numFmtId="0" fontId="18" fillId="0" borderId="0" xfId="0" applyFont="1"/>
    <xf numFmtId="0" fontId="5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0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 applyBorder="1"/>
    <xf numFmtId="0" fontId="6" fillId="0" borderId="0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43" fontId="20" fillId="0" borderId="0" xfId="1" quotePrefix="1" applyNumberFormat="1" applyFont="1" applyBorder="1" applyAlignment="1">
      <alignment horizontal="left"/>
    </xf>
    <xf numFmtId="176" fontId="7" fillId="0" borderId="0" xfId="0" applyNumberFormat="1" applyFont="1" applyBorder="1"/>
    <xf numFmtId="44" fontId="0" fillId="0" borderId="0" xfId="2" applyFont="1"/>
    <xf numFmtId="2" fontId="0" fillId="0" borderId="0" xfId="0" applyNumberFormat="1"/>
    <xf numFmtId="2" fontId="7" fillId="0" borderId="0" xfId="0" applyNumberFormat="1" applyFont="1"/>
    <xf numFmtId="0" fontId="25" fillId="0" borderId="0" xfId="0" quotePrefix="1" applyFont="1" applyBorder="1" applyAlignment="1">
      <alignment horizontal="left"/>
    </xf>
    <xf numFmtId="0" fontId="6" fillId="0" borderId="15" xfId="0" applyFont="1" applyBorder="1" applyAlignment="1">
      <alignment horizontal="left" indent="3"/>
    </xf>
    <xf numFmtId="0" fontId="8" fillId="0" borderId="15" xfId="0" applyFont="1" applyBorder="1" applyAlignment="1">
      <alignment horizontal="left" indent="3"/>
    </xf>
    <xf numFmtId="43" fontId="8" fillId="0" borderId="0" xfId="1" applyFont="1" applyBorder="1"/>
    <xf numFmtId="0" fontId="8" fillId="0" borderId="16" xfId="0" applyFont="1" applyBorder="1"/>
    <xf numFmtId="2" fontId="47" fillId="0" borderId="0" xfId="0" applyNumberFormat="1" applyFont="1" applyBorder="1"/>
    <xf numFmtId="43" fontId="48" fillId="0" borderId="0" xfId="1" applyFont="1" applyBorder="1"/>
    <xf numFmtId="43" fontId="9" fillId="0" borderId="16" xfId="1" applyFont="1" applyBorder="1"/>
    <xf numFmtId="183" fontId="20" fillId="0" borderId="6" xfId="1" applyNumberFormat="1" applyFont="1" applyBorder="1"/>
    <xf numFmtId="183" fontId="0" fillId="0" borderId="6" xfId="1" applyNumberFormat="1" applyFont="1" applyBorder="1"/>
    <xf numFmtId="183" fontId="0" fillId="0" borderId="7" xfId="1" applyNumberFormat="1" applyFont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0" xfId="0" quotePrefix="1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20" fillId="0" borderId="11" xfId="0" applyFont="1" applyBorder="1" applyAlignment="1">
      <alignment horizontal="left" indent="1"/>
    </xf>
    <xf numFmtId="0" fontId="20" fillId="0" borderId="20" xfId="0" applyFont="1" applyBorder="1"/>
    <xf numFmtId="8" fontId="20" fillId="0" borderId="20" xfId="1" applyNumberFormat="1" applyFont="1" applyBorder="1"/>
    <xf numFmtId="43" fontId="20" fillId="0" borderId="20" xfId="1" applyNumberFormat="1" applyFont="1" applyBorder="1"/>
    <xf numFmtId="43" fontId="20" fillId="0" borderId="21" xfId="1" applyNumberFormat="1" applyFont="1" applyBorder="1"/>
    <xf numFmtId="0" fontId="0" fillId="0" borderId="8" xfId="0" applyBorder="1" applyAlignment="1">
      <alignment horizontal="left"/>
    </xf>
    <xf numFmtId="0" fontId="5" fillId="0" borderId="11" xfId="0" applyFont="1" applyBorder="1" applyAlignment="1">
      <alignment horizontal="left"/>
    </xf>
    <xf numFmtId="188" fontId="0" fillId="0" borderId="0" xfId="0" applyNumberFormat="1"/>
    <xf numFmtId="177" fontId="7" fillId="0" borderId="0" xfId="0" applyNumberFormat="1" applyFont="1" applyFill="1" applyBorder="1"/>
    <xf numFmtId="177" fontId="7" fillId="7" borderId="0" xfId="0" applyNumberFormat="1" applyFont="1" applyFill="1" applyBorder="1"/>
    <xf numFmtId="172" fontId="7" fillId="7" borderId="0" xfId="0" applyNumberFormat="1" applyFont="1" applyFill="1"/>
    <xf numFmtId="10" fontId="7" fillId="7" borderId="0" xfId="0" applyNumberFormat="1" applyFont="1" applyFill="1"/>
    <xf numFmtId="195" fontId="7" fillId="7" borderId="0" xfId="1" applyNumberFormat="1" applyFont="1" applyFill="1"/>
    <xf numFmtId="195" fontId="0" fillId="0" borderId="0" xfId="1" applyNumberFormat="1" applyFont="1" applyBorder="1" applyAlignment="1">
      <alignment wrapText="1"/>
    </xf>
    <xf numFmtId="195" fontId="20" fillId="0" borderId="0" xfId="1" quotePrefix="1" applyNumberFormat="1" applyFont="1" applyBorder="1" applyAlignment="1">
      <alignment horizontal="center"/>
    </xf>
    <xf numFmtId="177" fontId="7" fillId="7" borderId="0" xfId="0" applyNumberFormat="1" applyFont="1" applyFill="1" applyBorder="1" applyAlignment="1">
      <alignment horizontal="right"/>
    </xf>
    <xf numFmtId="10" fontId="7" fillId="7" borderId="0" xfId="9" applyNumberFormat="1" applyFont="1" applyFill="1" applyBorder="1" applyAlignment="1">
      <alignment horizontal="right"/>
    </xf>
    <xf numFmtId="10" fontId="0" fillId="0" borderId="0" xfId="0" applyNumberFormat="1"/>
    <xf numFmtId="8" fontId="7" fillId="7" borderId="0" xfId="1" applyNumberFormat="1" applyFont="1" applyFill="1" applyBorder="1"/>
    <xf numFmtId="10" fontId="7" fillId="7" borderId="0" xfId="0" applyNumberFormat="1" applyFont="1" applyFill="1" applyBorder="1"/>
    <xf numFmtId="183" fontId="7" fillId="0" borderId="0" xfId="1" applyNumberFormat="1" applyFont="1" applyFill="1" applyBorder="1"/>
    <xf numFmtId="183" fontId="7" fillId="7" borderId="0" xfId="1" applyNumberFormat="1" applyFont="1" applyFill="1" applyBorder="1"/>
    <xf numFmtId="3" fontId="0" fillId="13" borderId="0" xfId="0" applyNumberFormat="1" applyFill="1"/>
    <xf numFmtId="0" fontId="11" fillId="0" borderId="20" xfId="5" applyFont="1" applyFill="1" applyBorder="1" applyAlignment="1">
      <alignment horizontal="center"/>
    </xf>
    <xf numFmtId="37" fontId="11" fillId="0" borderId="20" xfId="6" applyFont="1" applyFill="1" applyBorder="1" applyAlignment="1">
      <alignment horizontal="center"/>
    </xf>
    <xf numFmtId="0" fontId="11" fillId="0" borderId="0" xfId="5" applyFont="1"/>
    <xf numFmtId="37" fontId="11" fillId="0" borderId="0" xfId="6" quotePrefix="1" applyFont="1" applyAlignment="1">
      <alignment horizontal="center"/>
    </xf>
    <xf numFmtId="173" fontId="11" fillId="0" borderId="0" xfId="3" applyNumberFormat="1" applyFont="1" applyFill="1" applyProtection="1"/>
    <xf numFmtId="0" fontId="11" fillId="0" borderId="0" xfId="5" applyNumberFormat="1" applyFont="1" applyFill="1" applyBorder="1"/>
    <xf numFmtId="182" fontId="1" fillId="8" borderId="0" xfId="9" applyNumberFormat="1" applyFill="1" applyBorder="1"/>
    <xf numFmtId="182" fontId="1" fillId="8" borderId="16" xfId="9" applyNumberFormat="1" applyFill="1" applyBorder="1"/>
    <xf numFmtId="10" fontId="17" fillId="0" borderId="0" xfId="0" applyNumberFormat="1" applyFont="1"/>
    <xf numFmtId="8" fontId="17" fillId="0" borderId="0" xfId="0" applyNumberFormat="1" applyFont="1" applyFill="1" applyBorder="1"/>
    <xf numFmtId="172" fontId="17" fillId="0" borderId="0" xfId="0" applyNumberFormat="1" applyFont="1"/>
    <xf numFmtId="173" fontId="17" fillId="0" borderId="0" xfId="0" applyNumberFormat="1" applyFont="1" applyFill="1" applyBorder="1"/>
    <xf numFmtId="43" fontId="7" fillId="7" borderId="0" xfId="1" applyNumberFormat="1" applyFont="1" applyFill="1" applyBorder="1"/>
    <xf numFmtId="174" fontId="0" fillId="0" borderId="0" xfId="1" applyNumberFormat="1" applyFont="1"/>
    <xf numFmtId="174" fontId="0" fillId="0" borderId="0" xfId="0" applyNumberFormat="1"/>
    <xf numFmtId="177" fontId="17" fillId="0" borderId="0" xfId="0" applyNumberFormat="1" applyFont="1" applyFill="1" applyBorder="1" applyAlignment="1">
      <alignment horizontal="right"/>
    </xf>
    <xf numFmtId="10" fontId="17" fillId="0" borderId="0" xfId="9" applyNumberFormat="1" applyFont="1" applyFill="1" applyBorder="1" applyAlignment="1">
      <alignment horizontal="right"/>
    </xf>
    <xf numFmtId="195" fontId="0" fillId="0" borderId="0" xfId="0" applyNumberFormat="1"/>
    <xf numFmtId="8" fontId="17" fillId="0" borderId="0" xfId="0" applyNumberFormat="1" applyFont="1" applyBorder="1"/>
    <xf numFmtId="176" fontId="17" fillId="0" borderId="0" xfId="0" applyNumberFormat="1" applyFont="1" applyBorder="1"/>
    <xf numFmtId="10" fontId="17" fillId="0" borderId="0" xfId="0" applyNumberFormat="1" applyFont="1" applyBorder="1"/>
    <xf numFmtId="8" fontId="17" fillId="0" borderId="0" xfId="1" applyNumberFormat="1" applyFont="1" applyBorder="1"/>
    <xf numFmtId="0" fontId="6" fillId="0" borderId="8" xfId="0" quotePrefix="1" applyFont="1" applyBorder="1" applyAlignment="1">
      <alignment horizontal="left"/>
    </xf>
    <xf numFmtId="183" fontId="6" fillId="0" borderId="9" xfId="1" applyNumberFormat="1" applyFont="1" applyBorder="1"/>
    <xf numFmtId="44" fontId="0" fillId="6" borderId="0" xfId="2" applyFont="1" applyFill="1"/>
    <xf numFmtId="0" fontId="0" fillId="6" borderId="0" xfId="0" applyFill="1"/>
    <xf numFmtId="0" fontId="52" fillId="0" borderId="0" xfId="0" applyFont="1"/>
    <xf numFmtId="6" fontId="0" fillId="0" borderId="0" xfId="0" applyNumberFormat="1"/>
    <xf numFmtId="185" fontId="0" fillId="0" borderId="0" xfId="0" applyNumberFormat="1"/>
    <xf numFmtId="182" fontId="0" fillId="0" borderId="0" xfId="9" applyNumberFormat="1" applyFont="1"/>
    <xf numFmtId="0" fontId="53" fillId="12" borderId="0" xfId="0" applyFont="1" applyFill="1" applyBorder="1" applyAlignment="1">
      <alignment horizontal="center"/>
    </xf>
    <xf numFmtId="8" fontId="53" fillId="12" borderId="0" xfId="0" applyNumberFormat="1" applyFont="1" applyFill="1" applyBorder="1" applyAlignment="1">
      <alignment horizontal="center"/>
    </xf>
    <xf numFmtId="173" fontId="0" fillId="0" borderId="0" xfId="0" applyNumberFormat="1"/>
    <xf numFmtId="0" fontId="55" fillId="0" borderId="0" xfId="0" applyFont="1"/>
    <xf numFmtId="183" fontId="56" fillId="0" borderId="0" xfId="1" applyNumberFormat="1" applyFont="1" applyBorder="1"/>
    <xf numFmtId="183" fontId="55" fillId="0" borderId="0" xfId="0" applyNumberFormat="1" applyFont="1"/>
    <xf numFmtId="0" fontId="55" fillId="0" borderId="0" xfId="0" quotePrefix="1" applyFont="1" applyAlignment="1">
      <alignment horizontal="left"/>
    </xf>
    <xf numFmtId="176" fontId="55" fillId="0" borderId="0" xfId="0" applyNumberFormat="1" applyFont="1"/>
    <xf numFmtId="183" fontId="25" fillId="0" borderId="0" xfId="0" applyNumberFormat="1" applyFont="1"/>
    <xf numFmtId="0" fontId="56" fillId="0" borderId="8" xfId="0" applyFont="1" applyBorder="1" applyAlignment="1">
      <alignment horizontal="left" indent="1"/>
    </xf>
    <xf numFmtId="43" fontId="56" fillId="0" borderId="0" xfId="1" applyNumberFormat="1" applyFont="1" applyBorder="1"/>
    <xf numFmtId="43" fontId="56" fillId="0" borderId="9" xfId="1" applyNumberFormat="1" applyFont="1" applyBorder="1"/>
    <xf numFmtId="0" fontId="56" fillId="0" borderId="0" xfId="0" applyFont="1"/>
    <xf numFmtId="43" fontId="0" fillId="0" borderId="0" xfId="0" applyNumberFormat="1"/>
    <xf numFmtId="0" fontId="0" fillId="0" borderId="36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7" fillId="0" borderId="0" xfId="1" applyNumberFormat="1" applyFont="1" applyFill="1" applyBorder="1"/>
    <xf numFmtId="0" fontId="29" fillId="0" borderId="0" xfId="0" quotePrefix="1" applyFont="1" applyAlignment="1">
      <alignment horizontal="left"/>
    </xf>
    <xf numFmtId="0" fontId="5" fillId="0" borderId="0" xfId="0" quotePrefix="1" applyFont="1" applyAlignment="1">
      <alignment horizontal="center"/>
    </xf>
    <xf numFmtId="176" fontId="6" fillId="0" borderId="0" xfId="0" applyNumberFormat="1" applyFont="1"/>
    <xf numFmtId="183" fontId="18" fillId="0" borderId="0" xfId="1" applyNumberFormat="1" applyFont="1" applyBorder="1"/>
    <xf numFmtId="176" fontId="8" fillId="0" borderId="0" xfId="0" applyNumberFormat="1" applyFont="1"/>
    <xf numFmtId="183" fontId="5" fillId="0" borderId="0" xfId="0" applyNumberFormat="1" applyFont="1"/>
    <xf numFmtId="0" fontId="57" fillId="0" borderId="0" xfId="0" quotePrefix="1" applyFont="1" applyAlignment="1">
      <alignment horizontal="left"/>
    </xf>
    <xf numFmtId="183" fontId="58" fillId="0" borderId="0" xfId="1" applyNumberFormat="1" applyFont="1" applyBorder="1"/>
    <xf numFmtId="176" fontId="57" fillId="0" borderId="0" xfId="0" applyNumberFormat="1" applyFont="1"/>
    <xf numFmtId="0" fontId="7" fillId="0" borderId="0" xfId="0" applyFont="1" applyAlignment="1">
      <alignment horizontal="center"/>
    </xf>
    <xf numFmtId="8" fontId="7" fillId="0" borderId="0" xfId="0" applyNumberFormat="1" applyFont="1"/>
    <xf numFmtId="0" fontId="0" fillId="14" borderId="0" xfId="0" applyFill="1"/>
    <xf numFmtId="0" fontId="5" fillId="14" borderId="0" xfId="0" quotePrefix="1" applyFont="1" applyFill="1" applyAlignment="1">
      <alignment horizontal="left"/>
    </xf>
    <xf numFmtId="0" fontId="6" fillId="14" borderId="0" xfId="0" applyFont="1" applyFill="1"/>
    <xf numFmtId="183" fontId="20" fillId="14" borderId="0" xfId="1" applyNumberFormat="1" applyFont="1" applyFill="1" applyBorder="1"/>
    <xf numFmtId="0" fontId="6" fillId="14" borderId="0" xfId="0" quotePrefix="1" applyFont="1" applyFill="1" applyAlignment="1">
      <alignment horizontal="left"/>
    </xf>
    <xf numFmtId="176" fontId="6" fillId="14" borderId="0" xfId="0" applyNumberFormat="1" applyFont="1" applyFill="1"/>
    <xf numFmtId="0" fontId="8" fillId="14" borderId="0" xfId="0" quotePrefix="1" applyFont="1" applyFill="1" applyAlignment="1">
      <alignment horizontal="left"/>
    </xf>
    <xf numFmtId="183" fontId="18" fillId="14" borderId="0" xfId="1" applyNumberFormat="1" applyFont="1" applyFill="1" applyBorder="1"/>
    <xf numFmtId="176" fontId="8" fillId="14" borderId="0" xfId="0" applyNumberFormat="1" applyFont="1" applyFill="1"/>
    <xf numFmtId="183" fontId="5" fillId="14" borderId="0" xfId="0" applyNumberFormat="1" applyFont="1" applyFill="1"/>
    <xf numFmtId="8" fontId="43" fillId="6" borderId="31" xfId="8" applyNumberFormat="1" applyFont="1" applyFill="1" applyBorder="1" applyAlignment="1">
      <alignment horizontal="center"/>
    </xf>
    <xf numFmtId="8" fontId="44" fillId="0" borderId="20" xfId="8" quotePrefix="1" applyNumberFormat="1" applyFont="1" applyBorder="1" applyAlignment="1">
      <alignment horizontal="left"/>
    </xf>
    <xf numFmtId="8" fontId="44" fillId="0" borderId="6" xfId="1" applyNumberFormat="1" applyFont="1" applyBorder="1" applyAlignment="1">
      <alignment horizontal="right"/>
    </xf>
    <xf numFmtId="8" fontId="46" fillId="0" borderId="0" xfId="1" applyNumberFormat="1" applyFont="1" applyBorder="1" applyAlignment="1">
      <alignment horizontal="right"/>
    </xf>
    <xf numFmtId="8" fontId="44" fillId="0" borderId="33" xfId="8" quotePrefix="1" applyNumberFormat="1" applyFont="1" applyBorder="1" applyAlignment="1">
      <alignment horizontal="left"/>
    </xf>
    <xf numFmtId="0" fontId="42" fillId="0" borderId="16" xfId="8" applyFont="1" applyBorder="1"/>
    <xf numFmtId="0" fontId="44" fillId="6" borderId="37" xfId="8" quotePrefix="1" applyFont="1" applyFill="1" applyBorder="1" applyAlignment="1">
      <alignment horizontal="center"/>
    </xf>
    <xf numFmtId="8" fontId="44" fillId="0" borderId="33" xfId="1" applyNumberFormat="1" applyFont="1" applyBorder="1" applyAlignment="1">
      <alignment horizontal="right"/>
    </xf>
    <xf numFmtId="8" fontId="46" fillId="0" borderId="16" xfId="1" applyNumberFormat="1" applyFont="1" applyBorder="1" applyAlignment="1">
      <alignment horizontal="right"/>
    </xf>
    <xf numFmtId="0" fontId="44" fillId="0" borderId="17" xfId="8" applyFont="1" applyFill="1" applyBorder="1"/>
    <xf numFmtId="183" fontId="44" fillId="0" borderId="38" xfId="1" applyNumberFormat="1" applyFont="1" applyBorder="1" applyAlignment="1">
      <alignment horizontal="center"/>
    </xf>
    <xf numFmtId="8" fontId="44" fillId="0" borderId="18" xfId="1" applyNumberFormat="1" applyFont="1" applyBorder="1" applyAlignment="1">
      <alignment horizontal="right"/>
    </xf>
    <xf numFmtId="183" fontId="44" fillId="0" borderId="18" xfId="1" applyNumberFormat="1" applyFont="1" applyBorder="1" applyAlignment="1">
      <alignment horizontal="center"/>
    </xf>
    <xf numFmtId="8" fontId="44" fillId="0" borderId="19" xfId="1" applyNumberFormat="1" applyFont="1" applyBorder="1" applyAlignment="1">
      <alignment horizontal="right"/>
    </xf>
    <xf numFmtId="0" fontId="44" fillId="0" borderId="5" xfId="8" applyFont="1" applyBorder="1" applyAlignment="1">
      <alignment horizontal="left"/>
    </xf>
    <xf numFmtId="175" fontId="44" fillId="0" borderId="6" xfId="8" applyNumberFormat="1" applyFont="1" applyBorder="1"/>
    <xf numFmtId="175" fontId="46" fillId="0" borderId="0" xfId="8" applyNumberFormat="1" applyFont="1" applyBorder="1"/>
    <xf numFmtId="3" fontId="46" fillId="0" borderId="8" xfId="8" applyNumberFormat="1" applyFont="1" applyBorder="1"/>
    <xf numFmtId="183" fontId="43" fillId="0" borderId="6" xfId="1" applyNumberFormat="1" applyFont="1" applyBorder="1"/>
    <xf numFmtId="183" fontId="43" fillId="0" borderId="7" xfId="1" applyNumberFormat="1" applyFont="1" applyBorder="1"/>
    <xf numFmtId="173" fontId="44" fillId="0" borderId="0" xfId="8" applyNumberFormat="1" applyFont="1" applyBorder="1"/>
    <xf numFmtId="8" fontId="44" fillId="0" borderId="0" xfId="8" quotePrefix="1" applyNumberFormat="1" applyFont="1" applyBorder="1" applyAlignment="1">
      <alignment horizontal="left"/>
    </xf>
    <xf numFmtId="8" fontId="44" fillId="0" borderId="16" xfId="8" quotePrefix="1" applyNumberFormat="1" applyFont="1" applyBorder="1" applyAlignment="1">
      <alignment horizontal="left"/>
    </xf>
    <xf numFmtId="0" fontId="44" fillId="0" borderId="15" xfId="8" quotePrefix="1" applyFont="1" applyBorder="1" applyAlignment="1">
      <alignment horizontal="left"/>
    </xf>
    <xf numFmtId="183" fontId="43" fillId="0" borderId="34" xfId="1" applyNumberFormat="1" applyFont="1" applyBorder="1" applyAlignment="1">
      <alignment horizontal="center"/>
    </xf>
    <xf numFmtId="0" fontId="44" fillId="0" borderId="0" xfId="8" applyFont="1" applyBorder="1" applyAlignment="1">
      <alignment horizontal="center"/>
    </xf>
    <xf numFmtId="0" fontId="45" fillId="0" borderId="6" xfId="8" applyFont="1" applyBorder="1" applyAlignment="1">
      <alignment horizontal="center"/>
    </xf>
    <xf numFmtId="3" fontId="35" fillId="0" borderId="0" xfId="8" applyNumberFormat="1" applyFont="1" applyBorder="1" applyAlignment="1">
      <alignment horizontal="center"/>
    </xf>
    <xf numFmtId="4" fontId="35" fillId="0" borderId="0" xfId="8" applyNumberFormat="1" applyFont="1" applyBorder="1" applyAlignment="1">
      <alignment horizontal="center"/>
    </xf>
    <xf numFmtId="175" fontId="44" fillId="0" borderId="6" xfId="1" applyNumberFormat="1" applyFont="1" applyBorder="1" applyAlignment="1">
      <alignment horizontal="center"/>
    </xf>
    <xf numFmtId="175" fontId="46" fillId="0" borderId="0" xfId="1" applyNumberFormat="1" applyFont="1" applyBorder="1" applyAlignment="1">
      <alignment horizontal="center"/>
    </xf>
    <xf numFmtId="175" fontId="44" fillId="0" borderId="20" xfId="1" applyNumberFormat="1" applyFont="1" applyBorder="1" applyAlignment="1">
      <alignment horizontal="center"/>
    </xf>
    <xf numFmtId="175" fontId="44" fillId="0" borderId="34" xfId="1" applyNumberFormat="1" applyFont="1" applyBorder="1" applyAlignment="1">
      <alignment horizontal="center"/>
    </xf>
    <xf numFmtId="175" fontId="46" fillId="0" borderId="35" xfId="1" applyNumberFormat="1" applyFont="1" applyBorder="1" applyAlignment="1">
      <alignment horizontal="center"/>
    </xf>
    <xf numFmtId="175" fontId="44" fillId="0" borderId="39" xfId="1" applyNumberFormat="1" applyFont="1" applyBorder="1" applyAlignment="1">
      <alignment horizontal="center"/>
    </xf>
    <xf numFmtId="0" fontId="45" fillId="0" borderId="7" xfId="8" applyFont="1" applyBorder="1" applyAlignment="1">
      <alignment horizontal="center"/>
    </xf>
    <xf numFmtId="3" fontId="35" fillId="0" borderId="9" xfId="8" applyNumberFormat="1" applyFont="1" applyBorder="1" applyAlignment="1">
      <alignment horizontal="center"/>
    </xf>
    <xf numFmtId="4" fontId="35" fillId="0" borderId="9" xfId="8" applyNumberFormat="1" applyFont="1" applyBorder="1" applyAlignment="1">
      <alignment horizontal="center"/>
    </xf>
    <xf numFmtId="2" fontId="60" fillId="0" borderId="0" xfId="0" applyNumberFormat="1" applyFont="1"/>
    <xf numFmtId="2" fontId="6" fillId="0" borderId="0" xfId="0" applyNumberFormat="1" applyFont="1"/>
    <xf numFmtId="0" fontId="59" fillId="0" borderId="0" xfId="8" quotePrefix="1" applyFont="1" applyAlignment="1">
      <alignment horizontal="left"/>
    </xf>
    <xf numFmtId="8" fontId="61" fillId="6" borderId="31" xfId="8" applyNumberFormat="1" applyFont="1" applyFill="1" applyBorder="1" applyAlignment="1">
      <alignment horizontal="center"/>
    </xf>
    <xf numFmtId="183" fontId="35" fillId="0" borderId="6" xfId="1" applyNumberFormat="1" applyFont="1" applyBorder="1" applyAlignment="1">
      <alignment horizontal="center"/>
    </xf>
    <xf numFmtId="8" fontId="35" fillId="0" borderId="33" xfId="1" applyNumberFormat="1" applyFont="1" applyBorder="1" applyAlignment="1">
      <alignment horizontal="center"/>
    </xf>
    <xf numFmtId="183" fontId="62" fillId="0" borderId="0" xfId="1" applyNumberFormat="1" applyFont="1" applyBorder="1" applyAlignment="1">
      <alignment horizontal="center"/>
    </xf>
    <xf numFmtId="8" fontId="62" fillId="0" borderId="16" xfId="1" applyNumberFormat="1" applyFont="1" applyBorder="1" applyAlignment="1">
      <alignment horizontal="center"/>
    </xf>
    <xf numFmtId="8" fontId="35" fillId="0" borderId="19" xfId="1" applyNumberFormat="1" applyFont="1" applyBorder="1" applyAlignment="1">
      <alignment horizontal="center"/>
    </xf>
    <xf numFmtId="183" fontId="61" fillId="0" borderId="0" xfId="1" applyNumberFormat="1" applyFont="1" applyBorder="1"/>
    <xf numFmtId="6" fontId="5" fillId="0" borderId="0" xfId="0" applyNumberFormat="1" applyFont="1"/>
    <xf numFmtId="3" fontId="0" fillId="0" borderId="0" xfId="0" applyNumberFormat="1"/>
    <xf numFmtId="173" fontId="0" fillId="0" borderId="0" xfId="0" applyNumberFormat="1" applyFill="1" applyBorder="1"/>
    <xf numFmtId="0" fontId="29" fillId="0" borderId="0" xfId="0" applyFont="1" applyFill="1"/>
    <xf numFmtId="176" fontId="30" fillId="0" borderId="0" xfId="0" applyNumberFormat="1" applyFont="1" applyFill="1"/>
    <xf numFmtId="0" fontId="8" fillId="0" borderId="0" xfId="0" quotePrefix="1" applyFont="1" applyFill="1" applyAlignment="1">
      <alignment horizontal="left"/>
    </xf>
    <xf numFmtId="0" fontId="8" fillId="0" borderId="0" xfId="0" applyFont="1" applyFill="1" applyBorder="1" applyAlignment="1">
      <alignment horizontal="center" wrapText="1"/>
    </xf>
    <xf numFmtId="0" fontId="8" fillId="0" borderId="0" xfId="0" quotePrefix="1" applyFont="1" applyFill="1" applyBorder="1" applyAlignment="1">
      <alignment horizontal="center" wrapText="1"/>
    </xf>
  </cellXfs>
  <cellStyles count="16">
    <cellStyle name="Comma" xfId="1" builtinId="3"/>
    <cellStyle name="Currency" xfId="2" builtinId="4"/>
    <cellStyle name="Currency_Oil&amp;Gas" xfId="3"/>
    <cellStyle name="general" xfId="4"/>
    <cellStyle name="Normal" xfId="0" builtinId="0"/>
    <cellStyle name="Normal_EXTEMP1" xfId="5"/>
    <cellStyle name="Normal_Oil&amp;Gas" xfId="6"/>
    <cellStyle name="Normal_USInf (2)" xfId="7"/>
    <cellStyle name="Normal_VLNG031600IA" xfId="8"/>
    <cellStyle name="Percent" xfId="9" builtinId="5"/>
    <cellStyle name="uk" xfId="10"/>
    <cellStyle name="Un" xfId="11"/>
    <cellStyle name="Unprot" xfId="12"/>
    <cellStyle name="Unprot$" xfId="13"/>
    <cellStyle name="Unprot_data" xfId="14"/>
    <cellStyle name="Unprotect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Vlng/VLNG031600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aked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C4\VOL1\COMMON\DEV_FIN\BASE\MODELS\PPLA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Vlng/Vlng/VLNGBank080399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CM/RAAP/$CAPBKS/SHIF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F"/>
      <sheetName val="TOC"/>
      <sheetName val="TOC2"/>
      <sheetName val="ASS"/>
      <sheetName val="AssB"/>
      <sheetName val="CF"/>
      <sheetName val="FIN"/>
      <sheetName val="IDC"/>
      <sheetName val="DEPR"/>
      <sheetName val="BS_IS"/>
      <sheetName val="IS_CFS"/>
      <sheetName val="TAXES"/>
      <sheetName val="B1"/>
      <sheetName val="B2"/>
      <sheetName val="B3"/>
      <sheetName val="B4"/>
      <sheetName val="B5"/>
      <sheetName val="B6"/>
      <sheetName val="B7"/>
      <sheetName val="B8"/>
      <sheetName val="BSumm"/>
      <sheetName val="Vols"/>
      <sheetName val="FOBCalc"/>
      <sheetName val="FuelCrv"/>
      <sheetName val="Swaps"/>
      <sheetName val="OtherTariffs"/>
      <sheetName val="Shipping"/>
      <sheetName val="NewInletGas"/>
      <sheetName val="AdditlFuels"/>
      <sheetName val="ElbaPrem"/>
      <sheetName val="MONETARY ADJUSTMENTS"/>
      <sheetName val="M1"/>
      <sheetName val="M6"/>
    </sheetNames>
    <sheetDataSet>
      <sheetData sheetId="0"/>
      <sheetData sheetId="1"/>
      <sheetData sheetId="2"/>
      <sheetData sheetId="3">
        <row r="86">
          <cell r="T86">
            <v>40</v>
          </cell>
        </row>
      </sheetData>
      <sheetData sheetId="4"/>
      <sheetData sheetId="5">
        <row r="8">
          <cell r="D8">
            <v>2003</v>
          </cell>
          <cell r="E8">
            <v>2004</v>
          </cell>
          <cell r="F8">
            <v>2005</v>
          </cell>
          <cell r="G8">
            <v>2006</v>
          </cell>
          <cell r="H8">
            <v>2007</v>
          </cell>
          <cell r="I8">
            <v>2008</v>
          </cell>
          <cell r="J8">
            <v>2009</v>
          </cell>
          <cell r="K8">
            <v>2010</v>
          </cell>
          <cell r="L8">
            <v>2011</v>
          </cell>
          <cell r="M8">
            <v>2012</v>
          </cell>
          <cell r="N8">
            <v>2013</v>
          </cell>
          <cell r="O8">
            <v>2014</v>
          </cell>
          <cell r="P8">
            <v>2015</v>
          </cell>
          <cell r="Q8">
            <v>2016</v>
          </cell>
          <cell r="R8">
            <v>2017</v>
          </cell>
          <cell r="S8">
            <v>2018</v>
          </cell>
          <cell r="T8">
            <v>2019</v>
          </cell>
          <cell r="U8">
            <v>2020</v>
          </cell>
          <cell r="V8">
            <v>2021</v>
          </cell>
          <cell r="W8">
            <v>2022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nc"/>
      <sheetName val="LC"/>
      <sheetName val="Sens"/>
      <sheetName val="Cash"/>
      <sheetName val="IDC"/>
      <sheetName val="Fin"/>
      <sheetName val="Tax"/>
      <sheetName val="Dep"/>
      <sheetName val="Esc"/>
      <sheetName val="O&amp;M"/>
      <sheetName val="Amort"/>
      <sheetName val="Put"/>
      <sheetName val="Module1"/>
      <sheetName val="Module2"/>
    </sheetNames>
    <sheetDataSet>
      <sheetData sheetId="0" refreshError="1">
        <row r="22">
          <cell r="E22">
            <v>0.04</v>
          </cell>
        </row>
        <row r="23">
          <cell r="E23">
            <v>0.04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"/>
      <sheetName val="RETURNS"/>
    </sheetNames>
    <sheetDataSet>
      <sheetData sheetId="0" refreshError="1">
        <row r="17">
          <cell r="D17">
            <v>1</v>
          </cell>
        </row>
        <row r="18">
          <cell r="E18">
            <v>25</v>
          </cell>
        </row>
        <row r="83">
          <cell r="X83">
            <v>219440.28373204669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  <sheetName val="RETURNS"/>
      <sheetName val="Ref"/>
      <sheetName val="OthProjCost"/>
      <sheetName val="PRPipe"/>
      <sheetName val="DRReg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Probs"/>
      <sheetName val="Parms"/>
      <sheetName val="US PPI"/>
      <sheetName val="USI"/>
      <sheetName val="1mlibor"/>
      <sheetName val="3mlibor"/>
      <sheetName val="6mlibor"/>
      <sheetName val="HistTsy"/>
      <sheetName val="Treasury"/>
      <sheetName val="CURVES"/>
      <sheetName val="Argentina"/>
      <sheetName val="Australia"/>
      <sheetName val="Bolivia"/>
      <sheetName val="Brazil"/>
      <sheetName val="Canada"/>
      <sheetName val="Chile"/>
      <sheetName val="China"/>
      <sheetName val="Colombia"/>
      <sheetName val="DomRep"/>
      <sheetName val="Egypt"/>
      <sheetName val="El Salvador"/>
      <sheetName val="Euro"/>
      <sheetName val="Finland"/>
      <sheetName val="Germany"/>
      <sheetName val="Greece"/>
      <sheetName val="Guatemala"/>
      <sheetName val="India"/>
      <sheetName val="Indonesia"/>
      <sheetName val="Italy"/>
      <sheetName val="Jamaica"/>
      <sheetName val="Mexico"/>
      <sheetName val="Morocco"/>
      <sheetName val="Nicaragua"/>
      <sheetName val="Nigeria"/>
      <sheetName val="Panama"/>
      <sheetName val="Puerto Rico"/>
      <sheetName val="Philippines"/>
      <sheetName val="Poland"/>
      <sheetName val="Romania"/>
      <sheetName val="SaudiArabia"/>
      <sheetName val="SouthKorea"/>
      <sheetName val="Switzerland"/>
      <sheetName val="Taiwan"/>
      <sheetName val="Thailand"/>
      <sheetName val="Turkey"/>
      <sheetName val="UK"/>
      <sheetName val="Venezuela"/>
      <sheetName val="Range Names"/>
      <sheetName val="Module1"/>
      <sheetName val="Module2"/>
    </sheetNames>
    <definedNames>
      <definedName name="AecoCurve" refersTo="='CURVES'!$P$5:$V$424"/>
      <definedName name="AecoGamma" refersTo="='Parms'!$D$18"/>
      <definedName name="AecoK" refersTo="='Parms'!$B$18"/>
      <definedName name="AecoUnit" refersTo="='Parms'!$E$16"/>
      <definedName name="AecoUpdate" refersTo="='CURVES'!$T$3"/>
      <definedName name="AecoVol" refersTo="='Parms'!$C$18"/>
      <definedName name="BrentCurve" refersTo="='CURVES'!$X$5:$AB$421"/>
      <definedName name="BrentGamma" refersTo="='Parms'!$D$23"/>
      <definedName name="BrentK" refersTo="='Parms'!$B$23"/>
      <definedName name="BrentUnit" refersTo="='Parms'!$E$21"/>
      <definedName name="BrentUpdate" refersTo="='CURVES'!$AA$3"/>
      <definedName name="BrentVol" refersTo="='Parms'!$C$23"/>
      <definedName name="CPIndex" refersTo="='USI'!$A$6:$G$473"/>
      <definedName name="GasCurve" refersTo="='CURVES'!$A$5:$D$345"/>
      <definedName name="GasGamma" refersTo="='Parms'!$D$8"/>
      <definedName name="GasK" refersTo="='Parms'!$B$8"/>
      <definedName name="GasUnit" refersTo="='Parms'!$E$6"/>
      <definedName name="GasUpdate" refersTo="='CURVES'!$D$3"/>
      <definedName name="GasVol" refersTo="='Parms'!$C$8"/>
      <definedName name="OilCurve" refersTo="='CURVES'!$F$5:$I$246"/>
      <definedName name="OilGamma" refersTo="='Parms'!$D$13"/>
      <definedName name="OilK" refersTo="='Parms'!$B$13"/>
      <definedName name="OilUnit" refersTo="='Parms'!$E$11"/>
      <definedName name="OilUpdate" refersTo="='CURVES'!$I$3"/>
      <definedName name="OilVol" refersTo="='Parms'!$C$13"/>
      <definedName name="ParmUpdate" refersTo="='Parms'!$D$3"/>
      <definedName name="USCPIDrift" refersTo="='USI'!$I$8"/>
      <definedName name="USCPIVol" refersTo="='USI'!$J$8"/>
    </definedNames>
    <sheetDataSet>
      <sheetData sheetId="0" refreshError="1">
        <row r="8">
          <cell r="H8">
            <v>4</v>
          </cell>
          <cell r="I8">
            <v>5</v>
          </cell>
          <cell r="J8">
            <v>6</v>
          </cell>
        </row>
        <row r="9">
          <cell r="I9">
            <v>6.7088952133839141E-3</v>
          </cell>
        </row>
        <row r="10">
          <cell r="I10">
            <v>8.7675926384370717E-3</v>
          </cell>
        </row>
        <row r="11">
          <cell r="I11">
            <v>8.6937892704486153E-3</v>
          </cell>
        </row>
        <row r="12">
          <cell r="I12">
            <v>1.1493032523760105E-2</v>
          </cell>
        </row>
        <row r="13">
          <cell r="H13">
            <v>1.220881364707993E-2</v>
          </cell>
          <cell r="I13">
            <v>1.1149461202404676E-2</v>
          </cell>
        </row>
        <row r="14">
          <cell r="I14">
            <v>1.221008304281479E-2</v>
          </cell>
        </row>
        <row r="15">
          <cell r="I15">
            <v>1.5858662041548399E-2</v>
          </cell>
        </row>
        <row r="16">
          <cell r="I16">
            <v>1.755339429649927E-2</v>
          </cell>
        </row>
        <row r="17">
          <cell r="I17">
            <v>1.8467434633575253E-2</v>
          </cell>
        </row>
        <row r="18">
          <cell r="I18">
            <v>2.9719934493653621E-2</v>
          </cell>
        </row>
        <row r="19">
          <cell r="I19">
            <v>4.0786275773698089E-2</v>
          </cell>
        </row>
        <row r="20">
          <cell r="I20">
            <v>4.6869027129497032E-2</v>
          </cell>
        </row>
        <row r="21">
          <cell r="I21">
            <v>4.4024679642797104E-2</v>
          </cell>
        </row>
        <row r="22">
          <cell r="I22">
            <v>4.182882352148054E-2</v>
          </cell>
        </row>
        <row r="23">
          <cell r="I23">
            <v>6.7484342457291957E-2</v>
          </cell>
        </row>
        <row r="36">
          <cell r="I36">
            <v>5</v>
          </cell>
        </row>
        <row r="37">
          <cell r="I37">
            <v>5.9705356158273881E-3</v>
          </cell>
        </row>
        <row r="38">
          <cell r="I38">
            <v>7.6606137927525131E-3</v>
          </cell>
        </row>
        <row r="39">
          <cell r="I39">
            <v>7.5809299776800065E-3</v>
          </cell>
        </row>
        <row r="40">
          <cell r="I40">
            <v>8.0794346219350555E-3</v>
          </cell>
        </row>
        <row r="41">
          <cell r="I41">
            <v>1.0710149082368225E-2</v>
          </cell>
        </row>
        <row r="42">
          <cell r="I42">
            <v>1.0836363015261474E-2</v>
          </cell>
        </row>
        <row r="43">
          <cell r="I43">
            <v>1.2349756011869939E-2</v>
          </cell>
        </row>
        <row r="44">
          <cell r="I44">
            <v>1.5537764666137988E-2</v>
          </cell>
        </row>
        <row r="45">
          <cell r="I45">
            <v>1.8587715605114408E-2</v>
          </cell>
        </row>
        <row r="46">
          <cell r="I46">
            <v>2.179826566075771E-2</v>
          </cell>
        </row>
        <row r="47">
          <cell r="I47">
            <v>2.7771822023028969E-2</v>
          </cell>
        </row>
        <row r="48">
          <cell r="I48">
            <v>3.3455740473829709E-2</v>
          </cell>
        </row>
        <row r="49">
          <cell r="I49">
            <v>3.7953685670729764E-2</v>
          </cell>
        </row>
        <row r="50">
          <cell r="I50">
            <v>4.0108374497571542E-2</v>
          </cell>
        </row>
        <row r="51">
          <cell r="I51">
            <v>6.2348393299658023E-2</v>
          </cell>
        </row>
        <row r="62">
          <cell r="I62">
            <v>5</v>
          </cell>
        </row>
        <row r="63">
          <cell r="I63">
            <v>7.3835959755652603E-4</v>
          </cell>
        </row>
        <row r="64">
          <cell r="I64">
            <v>1.1069788456845586E-3</v>
          </cell>
        </row>
        <row r="65">
          <cell r="I65">
            <v>1.1128592927686087E-3</v>
          </cell>
        </row>
        <row r="66">
          <cell r="I66">
            <v>3.4135979018250495E-3</v>
          </cell>
        </row>
        <row r="67">
          <cell r="I67">
            <v>4.3931212003645026E-4</v>
          </cell>
        </row>
        <row r="68">
          <cell r="I68">
            <v>1.3737200275533157E-3</v>
          </cell>
        </row>
        <row r="69">
          <cell r="I69">
            <v>3.5089060296784602E-3</v>
          </cell>
        </row>
        <row r="70">
          <cell r="I70">
            <v>2.015629630361282E-3</v>
          </cell>
        </row>
        <row r="71">
          <cell r="I71">
            <v>-1.2028097153915507E-4</v>
          </cell>
        </row>
        <row r="72">
          <cell r="I72">
            <v>7.9216688328959117E-3</v>
          </cell>
        </row>
        <row r="73">
          <cell r="I73">
            <v>1.3014453750669119E-2</v>
          </cell>
        </row>
        <row r="74">
          <cell r="I74">
            <v>1.3413286655667322E-2</v>
          </cell>
        </row>
        <row r="75">
          <cell r="I75">
            <v>6.07099397206734E-3</v>
          </cell>
        </row>
        <row r="76">
          <cell r="I76">
            <v>1.7204490239089987E-3</v>
          </cell>
        </row>
        <row r="77">
          <cell r="I77">
            <v>5.1359491576339344E-3</v>
          </cell>
        </row>
      </sheetData>
      <sheetData sheetId="1">
        <row r="3">
          <cell r="D3">
            <v>36616</v>
          </cell>
        </row>
        <row r="5">
          <cell r="B5" t="str">
            <v>Monthly Reversion Coefficient (K)</v>
          </cell>
          <cell r="C5" t="str">
            <v>Monthly Volatility (sigma)</v>
          </cell>
          <cell r="D5" t="str">
            <v>Price Power in Volatility (gamma)</v>
          </cell>
        </row>
        <row r="6">
          <cell r="A6" t="str">
            <v>Gas</v>
          </cell>
          <cell r="B6">
            <v>0.3982</v>
          </cell>
          <cell r="C6">
            <v>0.3135</v>
          </cell>
          <cell r="D6">
            <v>0.5</v>
          </cell>
          <cell r="E6" t="str">
            <v>(UD/MMBTU)</v>
          </cell>
          <cell r="F6" t="str">
            <v>Risk Free Rate</v>
          </cell>
        </row>
        <row r="7">
          <cell r="A7" t="str">
            <v>Shift</v>
          </cell>
          <cell r="B7">
            <v>0</v>
          </cell>
          <cell r="C7">
            <v>0</v>
          </cell>
          <cell r="D7">
            <v>0</v>
          </cell>
          <cell r="F7" t="str">
            <v>Country Price</v>
          </cell>
        </row>
        <row r="8">
          <cell r="A8" t="str">
            <v>Shifted</v>
          </cell>
          <cell r="B8">
            <v>0.3982</v>
          </cell>
          <cell r="C8">
            <v>0.3135</v>
          </cell>
          <cell r="D8">
            <v>0.5</v>
          </cell>
          <cell r="F8" t="str">
            <v>ECM Capital Price</v>
          </cell>
          <cell r="J8" t="str">
            <v>Shifted</v>
          </cell>
        </row>
        <row r="10">
          <cell r="F10" t="str">
            <v>Steel price</v>
          </cell>
        </row>
        <row r="11">
          <cell r="A11" t="str">
            <v>Oil</v>
          </cell>
          <cell r="B11">
            <v>9.9000000000000005E-2</v>
          </cell>
          <cell r="C11">
            <v>1.6639999999999999</v>
          </cell>
          <cell r="D11">
            <v>0</v>
          </cell>
          <cell r="E11" t="str">
            <v>(UD/BBL)</v>
          </cell>
          <cell r="F11" t="str">
            <v xml:space="preserve"> (start value)</v>
          </cell>
        </row>
        <row r="12">
          <cell r="A12" t="str">
            <v>Shift</v>
          </cell>
          <cell r="B12">
            <v>0</v>
          </cell>
          <cell r="C12">
            <v>0</v>
          </cell>
          <cell r="D12">
            <v>0</v>
          </cell>
        </row>
        <row r="13">
          <cell r="A13" t="str">
            <v>Shifted</v>
          </cell>
          <cell r="B13">
            <v>9.9000000000000005E-2</v>
          </cell>
          <cell r="C13">
            <v>1.6639999999999999</v>
          </cell>
          <cell r="D13">
            <v>0</v>
          </cell>
          <cell r="F13" t="str">
            <v>Equity Premium</v>
          </cell>
          <cell r="H13">
            <v>1.9199999999999998E-2</v>
          </cell>
        </row>
        <row r="15">
          <cell r="F15" t="str">
            <v>Sector Equity Premium</v>
          </cell>
        </row>
        <row r="16">
          <cell r="A16" t="str">
            <v>Aeco</v>
          </cell>
          <cell r="B16">
            <v>0.16769999999999999</v>
          </cell>
          <cell r="C16">
            <v>0.23019999999999999</v>
          </cell>
          <cell r="D16">
            <v>0.5</v>
          </cell>
          <cell r="E16" t="str">
            <v>(UD/MMBTU)</v>
          </cell>
          <cell r="F16" t="str">
            <v>Oilfield Services</v>
          </cell>
          <cell r="H16">
            <v>2.0299999999999999E-2</v>
          </cell>
        </row>
        <row r="17">
          <cell r="A17" t="str">
            <v>Shift</v>
          </cell>
          <cell r="B17">
            <v>0</v>
          </cell>
          <cell r="C17">
            <v>0</v>
          </cell>
          <cell r="D17">
            <v>0</v>
          </cell>
          <cell r="F17" t="str">
            <v>Steel</v>
          </cell>
          <cell r="H17">
            <v>2.47E-2</v>
          </cell>
        </row>
        <row r="18">
          <cell r="A18" t="str">
            <v>Shifted</v>
          </cell>
          <cell r="B18">
            <v>0.16769999999999999</v>
          </cell>
          <cell r="C18">
            <v>0.23019999999999999</v>
          </cell>
          <cell r="D18">
            <v>0.5</v>
          </cell>
          <cell r="F18" t="str">
            <v>Paper &amp; Pulp</v>
          </cell>
          <cell r="H18">
            <v>1.9900000000000001E-2</v>
          </cell>
        </row>
        <row r="19">
          <cell r="F19" t="str">
            <v>E&amp;P</v>
          </cell>
          <cell r="H19">
            <v>2.0199999999999999E-2</v>
          </cell>
        </row>
        <row r="20">
          <cell r="F20" t="str">
            <v>General Equity</v>
          </cell>
          <cell r="H20">
            <v>1.8499999999999999E-2</v>
          </cell>
        </row>
        <row r="21">
          <cell r="A21" t="str">
            <v>Brent</v>
          </cell>
          <cell r="B21">
            <v>8.5400000000000004E-2</v>
          </cell>
          <cell r="C21">
            <v>1.667</v>
          </cell>
          <cell r="D21">
            <v>0</v>
          </cell>
          <cell r="E21" t="str">
            <v>(UD/BBL)</v>
          </cell>
          <cell r="F21" t="str">
            <v>Power</v>
          </cell>
          <cell r="H21">
            <v>4.48E-2</v>
          </cell>
        </row>
        <row r="22">
          <cell r="A22" t="str">
            <v>Shift</v>
          </cell>
          <cell r="B22">
            <v>0</v>
          </cell>
          <cell r="C22">
            <v>0</v>
          </cell>
          <cell r="D22">
            <v>0</v>
          </cell>
          <cell r="F22" t="str">
            <v>Water</v>
          </cell>
          <cell r="H22">
            <v>2.47E-2</v>
          </cell>
        </row>
        <row r="23">
          <cell r="A23" t="str">
            <v>Shifted</v>
          </cell>
          <cell r="B23">
            <v>8.5400000000000004E-2</v>
          </cell>
          <cell r="C23">
            <v>1.667</v>
          </cell>
          <cell r="D23">
            <v>0</v>
          </cell>
        </row>
        <row r="25">
          <cell r="A25" t="str">
            <v>60 monthly data points were used</v>
          </cell>
        </row>
        <row r="26">
          <cell r="A26" t="str">
            <v>Each dp was the average of the daily prices during the month.</v>
          </cell>
        </row>
        <row r="30">
          <cell r="A30">
            <v>0</v>
          </cell>
          <cell r="B30" t="str">
            <v>Vasicek model</v>
          </cell>
        </row>
        <row r="31">
          <cell r="A31">
            <v>0.5</v>
          </cell>
          <cell r="B31" t="str">
            <v>CIR</v>
          </cell>
        </row>
        <row r="32">
          <cell r="A32">
            <v>1</v>
          </cell>
          <cell r="B32" t="str">
            <v>Brennan &amp; Schwartz</v>
          </cell>
        </row>
        <row r="33">
          <cell r="A33" t="str">
            <v>modeled</v>
          </cell>
          <cell r="B33" t="str">
            <v>UNRESTRICTED</v>
          </cell>
        </row>
        <row r="37">
          <cell r="F37" t="str">
            <v>Valuation Date</v>
          </cell>
          <cell r="H37">
            <v>36494</v>
          </cell>
          <cell r="I37">
            <v>36464</v>
          </cell>
        </row>
        <row r="40">
          <cell r="F40" t="str">
            <v>Risk Free Rate</v>
          </cell>
          <cell r="H40">
            <v>6.2399999999999997E-2</v>
          </cell>
          <cell r="I40">
            <v>6.1199999999999997E-2</v>
          </cell>
        </row>
        <row r="41">
          <cell r="F41" t="str">
            <v>Country Price</v>
          </cell>
          <cell r="H41">
            <v>0</v>
          </cell>
          <cell r="I41">
            <v>0</v>
          </cell>
        </row>
        <row r="42">
          <cell r="F42" t="str">
            <v>ECM Capital Price</v>
          </cell>
          <cell r="H42">
            <v>0</v>
          </cell>
          <cell r="I42">
            <v>0</v>
          </cell>
        </row>
        <row r="44">
          <cell r="F44" t="str">
            <v>Steel price</v>
          </cell>
        </row>
        <row r="45">
          <cell r="F45" t="str">
            <v xml:space="preserve"> (start value)</v>
          </cell>
        </row>
        <row r="47">
          <cell r="F47" t="str">
            <v>Equity Premium</v>
          </cell>
          <cell r="H47">
            <v>2.051E-2</v>
          </cell>
          <cell r="I47">
            <v>2.1760000000000002E-2</v>
          </cell>
        </row>
        <row r="49">
          <cell r="F49" t="str">
            <v>Sector Equity Premium</v>
          </cell>
        </row>
        <row r="50">
          <cell r="F50" t="str">
            <v>Oilfield Services</v>
          </cell>
          <cell r="H50">
            <v>2.12E-2</v>
          </cell>
          <cell r="I50">
            <v>2.2100000000000002E-2</v>
          </cell>
        </row>
        <row r="51">
          <cell r="F51" t="str">
            <v>Steel</v>
          </cell>
          <cell r="H51">
            <v>3.0700000000000002E-2</v>
          </cell>
          <cell r="I51">
            <v>3.0800000000000001E-2</v>
          </cell>
        </row>
        <row r="52">
          <cell r="F52" t="str">
            <v>Paper &amp; Pulp</v>
          </cell>
          <cell r="H52">
            <v>2.46E-2</v>
          </cell>
          <cell r="I52">
            <v>2.5100000000000001E-2</v>
          </cell>
        </row>
        <row r="53">
          <cell r="F53" t="str">
            <v>E&amp;P</v>
          </cell>
          <cell r="H53">
            <v>2.24E-2</v>
          </cell>
          <cell r="I53">
            <v>2.2100000000000002E-2</v>
          </cell>
        </row>
        <row r="54">
          <cell r="F54" t="str">
            <v>General Equity</v>
          </cell>
          <cell r="H54">
            <v>2.051E-2</v>
          </cell>
          <cell r="I54">
            <v>2.1760000000000002E-2</v>
          </cell>
        </row>
        <row r="55">
          <cell r="F55" t="str">
            <v>Power</v>
          </cell>
          <cell r="H55">
            <v>4.6300000000000001E-2</v>
          </cell>
          <cell r="I55">
            <v>4.2599999999999999E-2</v>
          </cell>
        </row>
        <row r="56">
          <cell r="F56" t="str">
            <v>Water</v>
          </cell>
          <cell r="H56">
            <v>2.051E-2</v>
          </cell>
          <cell r="I56">
            <v>0</v>
          </cell>
        </row>
      </sheetData>
      <sheetData sheetId="2" refreshError="1">
        <row r="5">
          <cell r="I5" t="str">
            <v>Monthly Drift (theta)</v>
          </cell>
        </row>
        <row r="6">
          <cell r="I6">
            <v>1.0246882083428503E-3</v>
          </cell>
        </row>
        <row r="7">
          <cell r="H7" t="str">
            <v>Shift</v>
          </cell>
          <cell r="I7">
            <v>0</v>
          </cell>
        </row>
        <row r="8">
          <cell r="H8" t="str">
            <v>Shifted</v>
          </cell>
          <cell r="I8">
            <v>1.0246882083428503E-3</v>
          </cell>
          <cell r="J8">
            <v>4.3961418231204955E-3</v>
          </cell>
        </row>
        <row r="10">
          <cell r="I10">
            <v>1.2365794817540632E-2</v>
          </cell>
        </row>
      </sheetData>
      <sheetData sheetId="3">
        <row r="5">
          <cell r="I5" t="str">
            <v>Monthly Drift (theta)</v>
          </cell>
        </row>
        <row r="6">
          <cell r="A6">
            <v>35431</v>
          </cell>
          <cell r="B6">
            <v>159.1</v>
          </cell>
          <cell r="I6">
            <v>1.9591222180398681E-3</v>
          </cell>
        </row>
        <row r="7">
          <cell r="A7">
            <v>35462</v>
          </cell>
          <cell r="B7">
            <v>159.6</v>
          </cell>
          <cell r="H7" t="str">
            <v>Shift</v>
          </cell>
          <cell r="I7">
            <v>0</v>
          </cell>
        </row>
        <row r="8">
          <cell r="A8">
            <v>35490</v>
          </cell>
          <cell r="B8">
            <v>160</v>
          </cell>
          <cell r="H8" t="str">
            <v>Shifted</v>
          </cell>
          <cell r="I8">
            <v>1.9591222180398681E-3</v>
          </cell>
          <cell r="J8">
            <v>1.236386349424937E-3</v>
          </cell>
        </row>
        <row r="9">
          <cell r="A9">
            <v>35521</v>
          </cell>
          <cell r="B9">
            <v>160.19999999999999</v>
          </cell>
        </row>
        <row r="10">
          <cell r="A10">
            <v>35551</v>
          </cell>
          <cell r="B10">
            <v>160.1</v>
          </cell>
          <cell r="I10">
            <v>2.3764446755911273E-2</v>
          </cell>
        </row>
        <row r="11">
          <cell r="A11">
            <v>35582</v>
          </cell>
          <cell r="B11">
            <v>160.4</v>
          </cell>
        </row>
        <row r="12">
          <cell r="A12">
            <v>35612</v>
          </cell>
          <cell r="B12">
            <v>160.6</v>
          </cell>
        </row>
        <row r="13">
          <cell r="A13">
            <v>35643</v>
          </cell>
          <cell r="B13">
            <v>160.9</v>
          </cell>
        </row>
        <row r="14">
          <cell r="A14">
            <v>35674</v>
          </cell>
          <cell r="B14">
            <v>161.30000000000001</v>
          </cell>
        </row>
        <row r="15">
          <cell r="A15">
            <v>35704</v>
          </cell>
          <cell r="B15">
            <v>161.6</v>
          </cell>
        </row>
        <row r="16">
          <cell r="A16">
            <v>35735</v>
          </cell>
          <cell r="B16">
            <v>161.80000000000001</v>
          </cell>
        </row>
        <row r="17">
          <cell r="A17">
            <v>35765</v>
          </cell>
          <cell r="B17">
            <v>161.9</v>
          </cell>
        </row>
        <row r="18">
          <cell r="A18">
            <v>35796</v>
          </cell>
          <cell r="B18">
            <v>161.9</v>
          </cell>
        </row>
        <row r="19">
          <cell r="A19">
            <v>35827</v>
          </cell>
          <cell r="B19">
            <v>162</v>
          </cell>
        </row>
        <row r="20">
          <cell r="A20">
            <v>35855</v>
          </cell>
          <cell r="B20">
            <v>162</v>
          </cell>
        </row>
        <row r="21">
          <cell r="A21">
            <v>35886</v>
          </cell>
          <cell r="B21">
            <v>162.4</v>
          </cell>
        </row>
        <row r="22">
          <cell r="A22">
            <v>35916</v>
          </cell>
          <cell r="B22">
            <v>162.9</v>
          </cell>
        </row>
        <row r="23">
          <cell r="A23">
            <v>35947</v>
          </cell>
          <cell r="B23">
            <v>163</v>
          </cell>
        </row>
        <row r="24">
          <cell r="A24">
            <v>35977</v>
          </cell>
          <cell r="B24">
            <v>163.30000000000001</v>
          </cell>
        </row>
        <row r="25">
          <cell r="A25">
            <v>36008</v>
          </cell>
          <cell r="B25">
            <v>163.5</v>
          </cell>
        </row>
        <row r="26">
          <cell r="A26">
            <v>36039</v>
          </cell>
          <cell r="B26">
            <v>163.6</v>
          </cell>
        </row>
        <row r="27">
          <cell r="A27">
            <v>36069</v>
          </cell>
          <cell r="B27">
            <v>163.9</v>
          </cell>
        </row>
        <row r="28">
          <cell r="A28">
            <v>36100</v>
          </cell>
          <cell r="B28">
            <v>164.2</v>
          </cell>
        </row>
        <row r="29">
          <cell r="A29">
            <v>36130</v>
          </cell>
          <cell r="B29">
            <v>164.4</v>
          </cell>
        </row>
        <row r="30">
          <cell r="A30">
            <v>36161</v>
          </cell>
          <cell r="B30">
            <v>164.6</v>
          </cell>
        </row>
        <row r="31">
          <cell r="A31">
            <v>36192</v>
          </cell>
          <cell r="B31">
            <v>164.7</v>
          </cell>
        </row>
        <row r="32">
          <cell r="A32">
            <v>36220</v>
          </cell>
          <cell r="B32">
            <v>165</v>
          </cell>
        </row>
        <row r="33">
          <cell r="A33">
            <v>36251</v>
          </cell>
          <cell r="B33">
            <v>166.2</v>
          </cell>
        </row>
        <row r="34">
          <cell r="A34">
            <v>36281</v>
          </cell>
          <cell r="B34">
            <v>166.2</v>
          </cell>
        </row>
        <row r="35">
          <cell r="A35">
            <v>36312</v>
          </cell>
          <cell r="B35">
            <v>166.2</v>
          </cell>
        </row>
        <row r="36">
          <cell r="A36">
            <v>36342</v>
          </cell>
          <cell r="B36">
            <v>166.7</v>
          </cell>
        </row>
        <row r="37">
          <cell r="A37">
            <v>36373</v>
          </cell>
          <cell r="B37">
            <v>167.1</v>
          </cell>
        </row>
        <row r="38">
          <cell r="A38">
            <v>36404</v>
          </cell>
          <cell r="B38">
            <v>167.9</v>
          </cell>
        </row>
        <row r="39">
          <cell r="A39">
            <v>36434</v>
          </cell>
          <cell r="B39">
            <v>168.2</v>
          </cell>
        </row>
        <row r="40">
          <cell r="A40">
            <v>36465</v>
          </cell>
          <cell r="B40">
            <v>168.4</v>
          </cell>
        </row>
        <row r="41">
          <cell r="A41">
            <v>36495</v>
          </cell>
          <cell r="B41">
            <v>168.8</v>
          </cell>
        </row>
        <row r="42">
          <cell r="A42">
            <v>36526</v>
          </cell>
          <cell r="B42">
            <v>169.1</v>
          </cell>
        </row>
        <row r="43">
          <cell r="A43">
            <v>36557</v>
          </cell>
          <cell r="B43">
            <v>169.7</v>
          </cell>
          <cell r="C43">
            <v>169.49073674350419</v>
          </cell>
          <cell r="D43">
            <v>2.3080189417771985E-3</v>
          </cell>
          <cell r="E43">
            <v>0</v>
          </cell>
          <cell r="F43">
            <v>2.3080189417771985E-3</v>
          </cell>
          <cell r="G43">
            <v>1.236386349424937E-3</v>
          </cell>
        </row>
        <row r="44">
          <cell r="A44">
            <v>36586</v>
          </cell>
          <cell r="B44">
            <v>0</v>
          </cell>
          <cell r="C44">
            <v>170.14960055678276</v>
          </cell>
          <cell r="D44">
            <v>2.6458811094018015E-3</v>
          </cell>
          <cell r="E44">
            <v>0</v>
          </cell>
          <cell r="F44">
            <v>2.6458811094018015E-3</v>
          </cell>
          <cell r="G44">
            <v>1.236386349424937E-3</v>
          </cell>
        </row>
        <row r="45">
          <cell r="A45">
            <v>36617</v>
          </cell>
          <cell r="B45">
            <v>0</v>
          </cell>
          <cell r="C45">
            <v>170.60397268945437</v>
          </cell>
          <cell r="D45">
            <v>2.6668680104578531E-3</v>
          </cell>
          <cell r="E45">
            <v>0</v>
          </cell>
          <cell r="F45">
            <v>2.6668680104578531E-3</v>
          </cell>
          <cell r="G45">
            <v>1.236386349424937E-3</v>
          </cell>
        </row>
        <row r="46">
          <cell r="A46">
            <v>36647</v>
          </cell>
          <cell r="B46">
            <v>0</v>
          </cell>
          <cell r="C46">
            <v>171.0631473336428</v>
          </cell>
          <cell r="D46">
            <v>2.68784962744431E-3</v>
          </cell>
          <cell r="E46">
            <v>0</v>
          </cell>
          <cell r="F46">
            <v>2.68784962744431E-3</v>
          </cell>
          <cell r="G46">
            <v>1.236386349424937E-3</v>
          </cell>
        </row>
        <row r="47">
          <cell r="A47">
            <v>36678</v>
          </cell>
          <cell r="B47">
            <v>0</v>
          </cell>
          <cell r="C47">
            <v>171.5271558038209</v>
          </cell>
          <cell r="D47">
            <v>2.7088259630216492E-3</v>
          </cell>
          <cell r="E47">
            <v>0</v>
          </cell>
          <cell r="F47">
            <v>2.7088259630216492E-3</v>
          </cell>
          <cell r="G47">
            <v>1.236386349424937E-3</v>
          </cell>
        </row>
        <row r="48">
          <cell r="A48">
            <v>36708</v>
          </cell>
          <cell r="B48">
            <v>0</v>
          </cell>
          <cell r="C48">
            <v>171.9960297968089</v>
          </cell>
          <cell r="D48">
            <v>2.7297970198476196E-3</v>
          </cell>
          <cell r="E48">
            <v>0</v>
          </cell>
          <cell r="F48">
            <v>2.7297970198476196E-3</v>
          </cell>
          <cell r="G48">
            <v>1.236386349424937E-3</v>
          </cell>
        </row>
        <row r="49">
          <cell r="A49">
            <v>36739</v>
          </cell>
          <cell r="B49">
            <v>0</v>
          </cell>
          <cell r="C49">
            <v>172.46980139532536</v>
          </cell>
          <cell r="D49">
            <v>2.7507628005787911E-3</v>
          </cell>
          <cell r="E49">
            <v>0</v>
          </cell>
          <cell r="F49">
            <v>2.7507628005787911E-3</v>
          </cell>
          <cell r="G49">
            <v>1.236386349424937E-3</v>
          </cell>
        </row>
        <row r="50">
          <cell r="A50">
            <v>36770</v>
          </cell>
          <cell r="B50">
            <v>0</v>
          </cell>
          <cell r="C50">
            <v>172.94850307158634</v>
          </cell>
          <cell r="D50">
            <v>2.7717233078690048E-3</v>
          </cell>
          <cell r="E50">
            <v>0</v>
          </cell>
          <cell r="F50">
            <v>2.7717233078690048E-3</v>
          </cell>
          <cell r="G50">
            <v>1.236386349424937E-3</v>
          </cell>
        </row>
        <row r="51">
          <cell r="A51">
            <v>36800</v>
          </cell>
          <cell r="B51">
            <v>0</v>
          </cell>
          <cell r="C51">
            <v>173.43216769095417</v>
          </cell>
          <cell r="D51">
            <v>2.7926785443707037E-3</v>
          </cell>
          <cell r="E51">
            <v>0</v>
          </cell>
          <cell r="F51">
            <v>2.7926785443707037E-3</v>
          </cell>
          <cell r="G51">
            <v>1.236386349424937E-3</v>
          </cell>
        </row>
        <row r="52">
          <cell r="A52">
            <v>36831</v>
          </cell>
          <cell r="B52">
            <v>0</v>
          </cell>
          <cell r="C52">
            <v>173.92082851563558</v>
          </cell>
          <cell r="D52">
            <v>2.8136285127338227E-3</v>
          </cell>
          <cell r="E52">
            <v>0</v>
          </cell>
          <cell r="F52">
            <v>2.8136285127338227E-3</v>
          </cell>
          <cell r="G52">
            <v>1.236386349424937E-3</v>
          </cell>
        </row>
        <row r="53">
          <cell r="A53">
            <v>36861</v>
          </cell>
          <cell r="B53">
            <v>0</v>
          </cell>
          <cell r="C53">
            <v>174.41451920843036</v>
          </cell>
          <cell r="D53">
            <v>2.8345732156064571E-3</v>
          </cell>
          <cell r="E53">
            <v>0</v>
          </cell>
          <cell r="F53">
            <v>2.8345732156064571E-3</v>
          </cell>
          <cell r="G53">
            <v>1.236386349424937E-3</v>
          </cell>
        </row>
        <row r="54">
          <cell r="A54">
            <v>36892</v>
          </cell>
          <cell r="B54">
            <v>0</v>
          </cell>
          <cell r="C54">
            <v>174.90538422378714</v>
          </cell>
          <cell r="D54">
            <v>2.8104057834685112E-3</v>
          </cell>
          <cell r="E54">
            <v>0</v>
          </cell>
          <cell r="F54">
            <v>2.8104057834685112E-3</v>
          </cell>
          <cell r="G54">
            <v>1.236386349424937E-3</v>
          </cell>
        </row>
        <row r="55">
          <cell r="A55">
            <v>36923</v>
          </cell>
          <cell r="B55">
            <v>0</v>
          </cell>
          <cell r="C55">
            <v>175.39339062059278</v>
          </cell>
          <cell r="D55">
            <v>2.7862313405197774E-3</v>
          </cell>
          <cell r="E55">
            <v>0</v>
          </cell>
          <cell r="F55">
            <v>2.7862313405197774E-3</v>
          </cell>
          <cell r="G55">
            <v>1.236386349424937E-3</v>
          </cell>
        </row>
        <row r="56">
          <cell r="A56">
            <v>36951</v>
          </cell>
          <cell r="B56">
            <v>0</v>
          </cell>
          <cell r="C56">
            <v>175.8785055620063</v>
          </cell>
          <cell r="D56">
            <v>2.7620498826917816E-3</v>
          </cell>
          <cell r="E56">
            <v>0</v>
          </cell>
          <cell r="F56">
            <v>2.7620498826917816E-3</v>
          </cell>
          <cell r="G56">
            <v>1.236386349424937E-3</v>
          </cell>
        </row>
        <row r="57">
          <cell r="A57">
            <v>36982</v>
          </cell>
          <cell r="B57">
            <v>0</v>
          </cell>
          <cell r="C57">
            <v>176.36069631904218</v>
          </cell>
          <cell r="D57">
            <v>2.7378614059122112E-3</v>
          </cell>
          <cell r="E57">
            <v>0</v>
          </cell>
          <cell r="F57">
            <v>2.7378614059122112E-3</v>
          </cell>
          <cell r="G57">
            <v>1.236386349424937E-3</v>
          </cell>
        </row>
        <row r="58">
          <cell r="A58">
            <v>37012</v>
          </cell>
          <cell r="B58">
            <v>0</v>
          </cell>
          <cell r="C58">
            <v>176.83993027415346</v>
          </cell>
          <cell r="D58">
            <v>2.7136659061051363E-3</v>
          </cell>
          <cell r="E58">
            <v>0</v>
          </cell>
          <cell r="F58">
            <v>2.7136659061051363E-3</v>
          </cell>
          <cell r="G58">
            <v>1.236386349424937E-3</v>
          </cell>
        </row>
        <row r="59">
          <cell r="A59">
            <v>37043</v>
          </cell>
          <cell r="B59">
            <v>0</v>
          </cell>
          <cell r="C59">
            <v>177.31617492481337</v>
          </cell>
          <cell r="D59">
            <v>2.6894633791912296E-3</v>
          </cell>
          <cell r="E59">
            <v>0</v>
          </cell>
          <cell r="F59">
            <v>2.6894633791912296E-3</v>
          </cell>
          <cell r="G59">
            <v>1.236386349424937E-3</v>
          </cell>
        </row>
        <row r="60">
          <cell r="A60">
            <v>37073</v>
          </cell>
          <cell r="B60">
            <v>0</v>
          </cell>
          <cell r="C60">
            <v>177.78939788709525</v>
          </cell>
          <cell r="D60">
            <v>2.6652538210875454E-3</v>
          </cell>
          <cell r="E60">
            <v>0</v>
          </cell>
          <cell r="F60">
            <v>2.6652538210875454E-3</v>
          </cell>
          <cell r="G60">
            <v>1.236386349424937E-3</v>
          </cell>
        </row>
        <row r="61">
          <cell r="A61">
            <v>37104</v>
          </cell>
          <cell r="B61">
            <v>0</v>
          </cell>
          <cell r="C61">
            <v>178.25956689925022</v>
          </cell>
          <cell r="D61">
            <v>2.6410372277075179E-3</v>
          </cell>
          <cell r="E61">
            <v>0</v>
          </cell>
          <cell r="F61">
            <v>2.6410372277075179E-3</v>
          </cell>
          <cell r="G61">
            <v>1.236386349424937E-3</v>
          </cell>
        </row>
        <row r="62">
          <cell r="A62">
            <v>37135</v>
          </cell>
          <cell r="B62">
            <v>0</v>
          </cell>
          <cell r="C62">
            <v>178.72664982528195</v>
          </cell>
          <cell r="D62">
            <v>2.6168135949609607E-3</v>
          </cell>
          <cell r="E62">
            <v>0</v>
          </cell>
          <cell r="F62">
            <v>2.6168135949609607E-3</v>
          </cell>
          <cell r="G62">
            <v>1.236386349424937E-3</v>
          </cell>
        </row>
        <row r="63">
          <cell r="A63">
            <v>37165</v>
          </cell>
          <cell r="B63">
            <v>0</v>
          </cell>
          <cell r="C63">
            <v>179.1906146585182</v>
          </cell>
          <cell r="D63">
            <v>2.5925829187542879E-3</v>
          </cell>
          <cell r="E63">
            <v>0</v>
          </cell>
          <cell r="F63">
            <v>2.5925829187542879E-3</v>
          </cell>
          <cell r="G63">
            <v>1.236386349424937E-3</v>
          </cell>
        </row>
        <row r="64">
          <cell r="A64">
            <v>37196</v>
          </cell>
          <cell r="B64">
            <v>0</v>
          </cell>
          <cell r="C64">
            <v>179.65142952517829</v>
          </cell>
          <cell r="D64">
            <v>2.5683451949905134E-3</v>
          </cell>
          <cell r="E64">
            <v>0</v>
          </cell>
          <cell r="F64">
            <v>2.5683451949905134E-3</v>
          </cell>
          <cell r="G64">
            <v>1.236386349424937E-3</v>
          </cell>
        </row>
        <row r="65">
          <cell r="A65">
            <v>37226</v>
          </cell>
          <cell r="B65">
            <v>0</v>
          </cell>
          <cell r="C65">
            <v>180.10906268793624</v>
          </cell>
          <cell r="D65">
            <v>2.5441004195685866E-3</v>
          </cell>
          <cell r="E65">
            <v>0</v>
          </cell>
          <cell r="F65">
            <v>2.5441004195685866E-3</v>
          </cell>
          <cell r="G65">
            <v>1.236386349424937E-3</v>
          </cell>
        </row>
        <row r="66">
          <cell r="A66">
            <v>37257</v>
          </cell>
          <cell r="B66">
            <v>0</v>
          </cell>
          <cell r="C66">
            <v>180.56664531257431</v>
          </cell>
          <cell r="D66">
            <v>2.537364507724496E-3</v>
          </cell>
          <cell r="E66">
            <v>0</v>
          </cell>
          <cell r="F66">
            <v>2.537364507724496E-3</v>
          </cell>
          <cell r="G66">
            <v>1.236386349424937E-3</v>
          </cell>
        </row>
        <row r="67">
          <cell r="A67">
            <v>37288</v>
          </cell>
          <cell r="B67">
            <v>0</v>
          </cell>
          <cell r="C67">
            <v>181.02417099984348</v>
          </cell>
          <cell r="D67">
            <v>2.5306280513663934E-3</v>
          </cell>
          <cell r="E67">
            <v>0</v>
          </cell>
          <cell r="F67">
            <v>2.5306280513663934E-3</v>
          </cell>
          <cell r="G67">
            <v>1.236386349424937E-3</v>
          </cell>
        </row>
        <row r="68">
          <cell r="A68">
            <v>37316</v>
          </cell>
          <cell r="B68">
            <v>0</v>
          </cell>
          <cell r="C68">
            <v>181.48163333464629</v>
          </cell>
          <cell r="D68">
            <v>2.5238910504060594E-3</v>
          </cell>
          <cell r="E68">
            <v>0</v>
          </cell>
          <cell r="F68">
            <v>2.5238910504060594E-3</v>
          </cell>
          <cell r="G68">
            <v>1.236386349424937E-3</v>
          </cell>
        </row>
        <row r="69">
          <cell r="A69">
            <v>37347</v>
          </cell>
          <cell r="B69">
            <v>0</v>
          </cell>
          <cell r="C69">
            <v>181.93902588616982</v>
          </cell>
          <cell r="D69">
            <v>2.5171535047554951E-3</v>
          </cell>
          <cell r="E69">
            <v>0</v>
          </cell>
          <cell r="F69">
            <v>2.5171535047554951E-3</v>
          </cell>
          <cell r="G69">
            <v>1.236386349424937E-3</v>
          </cell>
        </row>
        <row r="70">
          <cell r="A70">
            <v>37377</v>
          </cell>
          <cell r="B70">
            <v>0</v>
          </cell>
          <cell r="C70">
            <v>182.39634220801949</v>
          </cell>
          <cell r="D70">
            <v>2.5104154143266964E-3</v>
          </cell>
          <cell r="E70">
            <v>0</v>
          </cell>
          <cell r="F70">
            <v>2.5104154143266964E-3</v>
          </cell>
          <cell r="G70">
            <v>1.236386349424937E-3</v>
          </cell>
        </row>
        <row r="71">
          <cell r="A71">
            <v>37408</v>
          </cell>
          <cell r="B71">
            <v>0</v>
          </cell>
          <cell r="C71">
            <v>182.85357583835392</v>
          </cell>
          <cell r="D71">
            <v>2.503676779031436E-3</v>
          </cell>
          <cell r="E71">
            <v>0</v>
          </cell>
          <cell r="F71">
            <v>2.503676779031436E-3</v>
          </cell>
          <cell r="G71">
            <v>1.236386349424937E-3</v>
          </cell>
        </row>
        <row r="72">
          <cell r="A72">
            <v>37438</v>
          </cell>
          <cell r="B72">
            <v>0</v>
          </cell>
          <cell r="C72">
            <v>183.31072030002051</v>
          </cell>
          <cell r="D72">
            <v>2.4969375987817046E-3</v>
          </cell>
          <cell r="E72">
            <v>0</v>
          </cell>
          <cell r="F72">
            <v>2.4969375987817046E-3</v>
          </cell>
          <cell r="G72">
            <v>1.236386349424937E-3</v>
          </cell>
        </row>
        <row r="73">
          <cell r="A73">
            <v>37469</v>
          </cell>
          <cell r="B73">
            <v>0</v>
          </cell>
          <cell r="C73">
            <v>183.76776910069191</v>
          </cell>
          <cell r="D73">
            <v>2.4901978734890463E-3</v>
          </cell>
          <cell r="E73">
            <v>0</v>
          </cell>
          <cell r="F73">
            <v>2.4901978734890463E-3</v>
          </cell>
          <cell r="G73">
            <v>1.236386349424937E-3</v>
          </cell>
        </row>
        <row r="74">
          <cell r="A74">
            <v>37500</v>
          </cell>
          <cell r="B74">
            <v>0</v>
          </cell>
          <cell r="C74">
            <v>184.22471573300373</v>
          </cell>
          <cell r="D74">
            <v>2.4834576030658886E-3</v>
          </cell>
          <cell r="E74">
            <v>0</v>
          </cell>
          <cell r="F74">
            <v>2.4834576030658886E-3</v>
          </cell>
          <cell r="G74">
            <v>1.236386349424937E-3</v>
          </cell>
        </row>
        <row r="75">
          <cell r="A75">
            <v>37530</v>
          </cell>
          <cell r="B75">
            <v>0</v>
          </cell>
          <cell r="C75">
            <v>184.68155367469254</v>
          </cell>
          <cell r="D75">
            <v>2.4767167874235481E-3</v>
          </cell>
          <cell r="E75">
            <v>0</v>
          </cell>
          <cell r="F75">
            <v>2.4767167874235481E-3</v>
          </cell>
          <cell r="G75">
            <v>1.236386349424937E-3</v>
          </cell>
        </row>
        <row r="76">
          <cell r="A76">
            <v>37561</v>
          </cell>
          <cell r="B76">
            <v>0</v>
          </cell>
          <cell r="C76">
            <v>185.13827638873525</v>
          </cell>
          <cell r="D76">
            <v>2.4699754264737822E-3</v>
          </cell>
          <cell r="E76">
            <v>0</v>
          </cell>
          <cell r="F76">
            <v>2.4699754264737822E-3</v>
          </cell>
          <cell r="G76">
            <v>1.236386349424937E-3</v>
          </cell>
        </row>
        <row r="77">
          <cell r="A77">
            <v>37591</v>
          </cell>
          <cell r="B77">
            <v>0</v>
          </cell>
          <cell r="C77">
            <v>185.59487732348919</v>
          </cell>
          <cell r="D77">
            <v>2.4632335201287864E-3</v>
          </cell>
          <cell r="E77">
            <v>0</v>
          </cell>
          <cell r="F77">
            <v>2.4632335201287864E-3</v>
          </cell>
          <cell r="G77">
            <v>1.236386349424937E-3</v>
          </cell>
        </row>
        <row r="78">
          <cell r="A78">
            <v>37622</v>
          </cell>
          <cell r="B78">
            <v>0</v>
          </cell>
          <cell r="C78">
            <v>186.05134991283302</v>
          </cell>
          <cell r="D78">
            <v>2.4564910682998687E-3</v>
          </cell>
          <cell r="E78">
            <v>0</v>
          </cell>
          <cell r="F78">
            <v>2.4564910682998687E-3</v>
          </cell>
          <cell r="G78">
            <v>1.236386349424937E-3</v>
          </cell>
        </row>
        <row r="79">
          <cell r="A79">
            <v>37653</v>
          </cell>
          <cell r="B79">
            <v>0</v>
          </cell>
          <cell r="C79">
            <v>186.5076875763086</v>
          </cell>
          <cell r="D79">
            <v>2.4497480708989975E-3</v>
          </cell>
          <cell r="E79">
            <v>0</v>
          </cell>
          <cell r="F79">
            <v>2.4497480708989975E-3</v>
          </cell>
          <cell r="G79">
            <v>1.236386349424937E-3</v>
          </cell>
        </row>
        <row r="80">
          <cell r="A80">
            <v>37681</v>
          </cell>
          <cell r="B80">
            <v>0</v>
          </cell>
          <cell r="C80">
            <v>186.96388371926363</v>
          </cell>
          <cell r="D80">
            <v>2.4430045278376958E-3</v>
          </cell>
          <cell r="E80">
            <v>0</v>
          </cell>
          <cell r="F80">
            <v>2.4430045278376958E-3</v>
          </cell>
          <cell r="G80">
            <v>1.236386349424937E-3</v>
          </cell>
        </row>
        <row r="81">
          <cell r="A81">
            <v>37712</v>
          </cell>
          <cell r="B81">
            <v>0</v>
          </cell>
          <cell r="C81">
            <v>187.41993173299537</v>
          </cell>
          <cell r="D81">
            <v>2.436260439027926E-3</v>
          </cell>
          <cell r="E81">
            <v>0</v>
          </cell>
          <cell r="F81">
            <v>2.436260439027926E-3</v>
          </cell>
          <cell r="G81">
            <v>1.236386349424937E-3</v>
          </cell>
        </row>
        <row r="82">
          <cell r="A82">
            <v>37742</v>
          </cell>
          <cell r="B82">
            <v>0</v>
          </cell>
          <cell r="C82">
            <v>187.87582499489486</v>
          </cell>
          <cell r="D82">
            <v>2.429515804380983E-3</v>
          </cell>
          <cell r="E82">
            <v>0</v>
          </cell>
          <cell r="F82">
            <v>2.429515804380983E-3</v>
          </cell>
          <cell r="G82">
            <v>1.236386349424937E-3</v>
          </cell>
        </row>
        <row r="83">
          <cell r="A83">
            <v>37773</v>
          </cell>
          <cell r="B83">
            <v>0</v>
          </cell>
          <cell r="C83">
            <v>188.3315568685924</v>
          </cell>
          <cell r="D83">
            <v>2.4227706238088226E-3</v>
          </cell>
          <cell r="E83">
            <v>0</v>
          </cell>
          <cell r="F83">
            <v>2.4227706238088226E-3</v>
          </cell>
          <cell r="G83">
            <v>1.236386349424937E-3</v>
          </cell>
        </row>
        <row r="84">
          <cell r="A84">
            <v>37803</v>
          </cell>
          <cell r="B84">
            <v>0</v>
          </cell>
          <cell r="C84">
            <v>188.78712070410361</v>
          </cell>
          <cell r="D84">
            <v>2.4160248972229549E-3</v>
          </cell>
          <cell r="E84">
            <v>0</v>
          </cell>
          <cell r="F84">
            <v>2.4160248972229549E-3</v>
          </cell>
          <cell r="G84">
            <v>1.236386349424937E-3</v>
          </cell>
        </row>
        <row r="85">
          <cell r="A85">
            <v>37834</v>
          </cell>
          <cell r="B85">
            <v>0</v>
          </cell>
          <cell r="C85">
            <v>189.24250983797637</v>
          </cell>
          <cell r="D85">
            <v>2.4092786245348877E-3</v>
          </cell>
          <cell r="E85">
            <v>0</v>
          </cell>
          <cell r="F85">
            <v>2.4092786245348877E-3</v>
          </cell>
          <cell r="G85">
            <v>1.236386349424937E-3</v>
          </cell>
        </row>
        <row r="86">
          <cell r="A86">
            <v>37865</v>
          </cell>
          <cell r="B86">
            <v>0</v>
          </cell>
          <cell r="C86">
            <v>189.69771759343874</v>
          </cell>
          <cell r="D86">
            <v>2.4025318056563457E-3</v>
          </cell>
          <cell r="E86">
            <v>0</v>
          </cell>
          <cell r="F86">
            <v>2.4025318056563457E-3</v>
          </cell>
          <cell r="G86">
            <v>1.236386349424937E-3</v>
          </cell>
        </row>
        <row r="87">
          <cell r="A87">
            <v>37895</v>
          </cell>
          <cell r="B87">
            <v>0</v>
          </cell>
          <cell r="C87">
            <v>190.15273728054765</v>
          </cell>
          <cell r="D87">
            <v>2.3957844404988299E-3</v>
          </cell>
          <cell r="E87">
            <v>0</v>
          </cell>
          <cell r="F87">
            <v>2.3957844404988299E-3</v>
          </cell>
          <cell r="G87">
            <v>1.236386349424937E-3</v>
          </cell>
        </row>
        <row r="88">
          <cell r="A88">
            <v>37926</v>
          </cell>
          <cell r="B88">
            <v>0</v>
          </cell>
          <cell r="C88">
            <v>190.60756219633839</v>
          </cell>
          <cell r="D88">
            <v>2.3890365289738372E-3</v>
          </cell>
          <cell r="E88">
            <v>0</v>
          </cell>
          <cell r="F88">
            <v>2.3890365289738372E-3</v>
          </cell>
          <cell r="G88">
            <v>1.236386349424937E-3</v>
          </cell>
        </row>
        <row r="89">
          <cell r="A89">
            <v>37956</v>
          </cell>
          <cell r="B89">
            <v>0</v>
          </cell>
          <cell r="C89">
            <v>191.06218562497492</v>
          </cell>
          <cell r="D89">
            <v>2.3822880709926412E-3</v>
          </cell>
          <cell r="E89">
            <v>0</v>
          </cell>
          <cell r="F89">
            <v>2.3822880709926412E-3</v>
          </cell>
          <cell r="G89">
            <v>1.236386349424937E-3</v>
          </cell>
        </row>
        <row r="90">
          <cell r="A90">
            <v>37987</v>
          </cell>
          <cell r="B90">
            <v>0</v>
          </cell>
          <cell r="C90">
            <v>191.51724712527968</v>
          </cell>
          <cell r="D90">
            <v>2.3789136370534884E-3</v>
          </cell>
          <cell r="E90">
            <v>0</v>
          </cell>
          <cell r="F90">
            <v>2.3789136370534884E-3</v>
          </cell>
          <cell r="G90">
            <v>1.236386349424937E-3</v>
          </cell>
        </row>
        <row r="91">
          <cell r="A91">
            <v>38018</v>
          </cell>
          <cell r="B91">
            <v>0</v>
          </cell>
          <cell r="C91">
            <v>191.97274463959326</v>
          </cell>
          <cell r="D91">
            <v>2.3755390664671762E-3</v>
          </cell>
          <cell r="E91">
            <v>0</v>
          </cell>
          <cell r="F91">
            <v>2.3755390664671762E-3</v>
          </cell>
          <cell r="G91">
            <v>1.236386349424937E-3</v>
          </cell>
        </row>
        <row r="92">
          <cell r="A92">
            <v>38047</v>
          </cell>
          <cell r="B92">
            <v>0</v>
          </cell>
          <cell r="C92">
            <v>192.42867610075058</v>
          </cell>
          <cell r="D92">
            <v>2.3721643592226139E-3</v>
          </cell>
          <cell r="E92">
            <v>0</v>
          </cell>
          <cell r="F92">
            <v>2.3721643592226139E-3</v>
          </cell>
          <cell r="G92">
            <v>1.236386349424937E-3</v>
          </cell>
        </row>
        <row r="93">
          <cell r="A93">
            <v>38078</v>
          </cell>
          <cell r="B93">
            <v>0</v>
          </cell>
          <cell r="C93">
            <v>192.8850394320859</v>
          </cell>
          <cell r="D93">
            <v>2.3687895153087085E-3</v>
          </cell>
          <cell r="E93">
            <v>0</v>
          </cell>
          <cell r="F93">
            <v>2.3687895153087085E-3</v>
          </cell>
          <cell r="G93">
            <v>1.236386349424937E-3</v>
          </cell>
        </row>
        <row r="94">
          <cell r="A94">
            <v>38108</v>
          </cell>
          <cell r="B94">
            <v>0</v>
          </cell>
          <cell r="C94">
            <v>193.34183254743786</v>
          </cell>
          <cell r="D94">
            <v>2.3654145347143688E-3</v>
          </cell>
          <cell r="E94">
            <v>0</v>
          </cell>
          <cell r="F94">
            <v>2.3654145347143688E-3</v>
          </cell>
          <cell r="G94">
            <v>1.236386349424937E-3</v>
          </cell>
        </row>
        <row r="95">
          <cell r="A95">
            <v>38139</v>
          </cell>
          <cell r="B95">
            <v>0</v>
          </cell>
          <cell r="C95">
            <v>193.79905335115487</v>
          </cell>
          <cell r="D95">
            <v>2.3620394174285022E-3</v>
          </cell>
          <cell r="E95">
            <v>0</v>
          </cell>
          <cell r="F95">
            <v>2.3620394174285022E-3</v>
          </cell>
          <cell r="G95">
            <v>1.236386349424937E-3</v>
          </cell>
        </row>
        <row r="96">
          <cell r="A96">
            <v>38169</v>
          </cell>
          <cell r="B96">
            <v>0</v>
          </cell>
          <cell r="C96">
            <v>194.25669973810056</v>
          </cell>
          <cell r="D96">
            <v>2.3586641634402369E-3</v>
          </cell>
          <cell r="E96">
            <v>0</v>
          </cell>
          <cell r="F96">
            <v>2.3586641634402369E-3</v>
          </cell>
          <cell r="G96">
            <v>1.236386349424937E-3</v>
          </cell>
        </row>
        <row r="97">
          <cell r="A97">
            <v>38200</v>
          </cell>
          <cell r="B97">
            <v>0</v>
          </cell>
          <cell r="C97">
            <v>194.71476959365938</v>
          </cell>
          <cell r="D97">
            <v>2.3552887727382598E-3</v>
          </cell>
          <cell r="E97">
            <v>0</v>
          </cell>
          <cell r="F97">
            <v>2.3552887727382598E-3</v>
          </cell>
          <cell r="G97">
            <v>1.236386349424937E-3</v>
          </cell>
        </row>
        <row r="98">
          <cell r="A98">
            <v>38231</v>
          </cell>
          <cell r="B98">
            <v>0</v>
          </cell>
          <cell r="C98">
            <v>195.17326079374254</v>
          </cell>
          <cell r="D98">
            <v>2.3519132453116987E-3</v>
          </cell>
          <cell r="E98">
            <v>0</v>
          </cell>
          <cell r="F98">
            <v>2.3519132453116987E-3</v>
          </cell>
          <cell r="G98">
            <v>1.236386349424937E-3</v>
          </cell>
        </row>
        <row r="99">
          <cell r="A99">
            <v>38261</v>
          </cell>
          <cell r="B99">
            <v>0</v>
          </cell>
          <cell r="C99">
            <v>195.63217120479385</v>
          </cell>
          <cell r="D99">
            <v>2.3485375811492389E-3</v>
          </cell>
          <cell r="E99">
            <v>0</v>
          </cell>
          <cell r="F99">
            <v>2.3485375811492389E-3</v>
          </cell>
          <cell r="G99">
            <v>1.236386349424937E-3</v>
          </cell>
        </row>
        <row r="100">
          <cell r="A100">
            <v>38292</v>
          </cell>
          <cell r="B100">
            <v>0</v>
          </cell>
          <cell r="C100">
            <v>196.09149868379609</v>
          </cell>
          <cell r="D100">
            <v>2.345161780240009E-3</v>
          </cell>
          <cell r="E100">
            <v>0</v>
          </cell>
          <cell r="F100">
            <v>2.345161780240009E-3</v>
          </cell>
          <cell r="G100">
            <v>1.236386349424937E-3</v>
          </cell>
        </row>
        <row r="101">
          <cell r="A101">
            <v>38322</v>
          </cell>
          <cell r="B101">
            <v>0</v>
          </cell>
          <cell r="C101">
            <v>196.55124107827726</v>
          </cell>
          <cell r="D101">
            <v>2.3417858425729154E-3</v>
          </cell>
          <cell r="E101">
            <v>0</v>
          </cell>
          <cell r="F101">
            <v>2.3417858425729154E-3</v>
          </cell>
          <cell r="G101">
            <v>1.236386349424937E-3</v>
          </cell>
        </row>
        <row r="102">
          <cell r="A102">
            <v>38353</v>
          </cell>
          <cell r="B102">
            <v>0</v>
          </cell>
          <cell r="C102">
            <v>197.01139622631712</v>
          </cell>
          <cell r="D102">
            <v>2.3384097681366425E-3</v>
          </cell>
          <cell r="E102">
            <v>0</v>
          </cell>
          <cell r="F102">
            <v>2.3384097681366425E-3</v>
          </cell>
          <cell r="G102">
            <v>1.236386349424937E-3</v>
          </cell>
        </row>
        <row r="103">
          <cell r="A103">
            <v>38384</v>
          </cell>
          <cell r="B103">
            <v>0</v>
          </cell>
          <cell r="C103">
            <v>197.47196195655397</v>
          </cell>
          <cell r="D103">
            <v>2.3350335569205394E-3</v>
          </cell>
          <cell r="E103">
            <v>0</v>
          </cell>
          <cell r="F103">
            <v>2.3350335569205394E-3</v>
          </cell>
          <cell r="G103">
            <v>1.236386349424937E-3</v>
          </cell>
        </row>
        <row r="104">
          <cell r="A104">
            <v>38412</v>
          </cell>
          <cell r="B104">
            <v>0</v>
          </cell>
          <cell r="C104">
            <v>197.93293608819147</v>
          </cell>
          <cell r="D104">
            <v>2.3316572089130696E-3</v>
          </cell>
          <cell r="E104">
            <v>0</v>
          </cell>
          <cell r="F104">
            <v>2.3316572089130696E-3</v>
          </cell>
          <cell r="G104">
            <v>1.236386349424937E-3</v>
          </cell>
        </row>
        <row r="105">
          <cell r="A105">
            <v>38443</v>
          </cell>
          <cell r="B105">
            <v>0</v>
          </cell>
          <cell r="C105">
            <v>198.39431643100576</v>
          </cell>
          <cell r="D105">
            <v>2.32828072410336E-3</v>
          </cell>
          <cell r="E105">
            <v>0</v>
          </cell>
          <cell r="F105">
            <v>2.32828072410336E-3</v>
          </cell>
          <cell r="G105">
            <v>1.236386349424937E-3</v>
          </cell>
        </row>
        <row r="106">
          <cell r="A106">
            <v>38473</v>
          </cell>
          <cell r="B106">
            <v>0</v>
          </cell>
          <cell r="C106">
            <v>198.85610078535274</v>
          </cell>
          <cell r="D106">
            <v>2.3249041024805371E-3</v>
          </cell>
          <cell r="E106">
            <v>0</v>
          </cell>
          <cell r="F106">
            <v>2.3249041024805371E-3</v>
          </cell>
          <cell r="G106">
            <v>1.236386349424937E-3</v>
          </cell>
        </row>
        <row r="107">
          <cell r="A107">
            <v>38504</v>
          </cell>
          <cell r="B107">
            <v>0</v>
          </cell>
          <cell r="C107">
            <v>199.31828694217535</v>
          </cell>
          <cell r="D107">
            <v>2.3215273440330636E-3</v>
          </cell>
          <cell r="E107">
            <v>0</v>
          </cell>
          <cell r="F107">
            <v>2.3215273440330636E-3</v>
          </cell>
          <cell r="G107">
            <v>1.236386349424937E-3</v>
          </cell>
        </row>
        <row r="108">
          <cell r="A108">
            <v>38534</v>
          </cell>
          <cell r="B108">
            <v>0</v>
          </cell>
          <cell r="C108">
            <v>199.78087268301138</v>
          </cell>
          <cell r="D108">
            <v>2.3181504487500659E-3</v>
          </cell>
          <cell r="E108">
            <v>0</v>
          </cell>
          <cell r="F108">
            <v>2.3181504487500659E-3</v>
          </cell>
          <cell r="G108">
            <v>1.236386349424937E-3</v>
          </cell>
        </row>
        <row r="109">
          <cell r="A109">
            <v>38565</v>
          </cell>
          <cell r="B109">
            <v>0</v>
          </cell>
          <cell r="C109">
            <v>200.24385578000116</v>
          </cell>
          <cell r="D109">
            <v>2.3147734166204495E-3</v>
          </cell>
          <cell r="E109">
            <v>0</v>
          </cell>
          <cell r="F109">
            <v>2.3147734166204495E-3</v>
          </cell>
          <cell r="G109">
            <v>1.236386349424937E-3</v>
          </cell>
        </row>
        <row r="110">
          <cell r="A110">
            <v>38596</v>
          </cell>
          <cell r="B110">
            <v>0</v>
          </cell>
          <cell r="C110">
            <v>200.70723399589556</v>
          </cell>
          <cell r="D110">
            <v>2.3113962476333395E-3</v>
          </cell>
          <cell r="E110">
            <v>0</v>
          </cell>
          <cell r="F110">
            <v>2.3113962476333395E-3</v>
          </cell>
          <cell r="G110">
            <v>1.236386349424937E-3</v>
          </cell>
        </row>
        <row r="111">
          <cell r="A111">
            <v>38626</v>
          </cell>
          <cell r="B111">
            <v>0</v>
          </cell>
          <cell r="C111">
            <v>201.17100508406406</v>
          </cell>
          <cell r="D111">
            <v>2.3080189417771985E-3</v>
          </cell>
          <cell r="E111">
            <v>0</v>
          </cell>
          <cell r="F111">
            <v>2.3080189417771985E-3</v>
          </cell>
          <cell r="G111">
            <v>1.236386349424937E-3</v>
          </cell>
        </row>
        <row r="112">
          <cell r="A112">
            <v>38657</v>
          </cell>
          <cell r="B112">
            <v>0</v>
          </cell>
          <cell r="C112">
            <v>201.6351667885032</v>
          </cell>
          <cell r="D112">
            <v>2.304641499041373E-3</v>
          </cell>
          <cell r="E112">
            <v>0</v>
          </cell>
          <cell r="F112">
            <v>2.304641499041373E-3</v>
          </cell>
          <cell r="G112">
            <v>1.236386349424937E-3</v>
          </cell>
        </row>
        <row r="113">
          <cell r="A113">
            <v>38687</v>
          </cell>
          <cell r="B113">
            <v>0</v>
          </cell>
          <cell r="C113">
            <v>202.09971684384502</v>
          </cell>
          <cell r="D113">
            <v>2.3012639194145462E-3</v>
          </cell>
          <cell r="E113">
            <v>0</v>
          </cell>
          <cell r="F113">
            <v>2.3012639194145462E-3</v>
          </cell>
          <cell r="G113">
            <v>1.236386349424937E-3</v>
          </cell>
        </row>
        <row r="114">
          <cell r="A114">
            <v>38718</v>
          </cell>
          <cell r="B114">
            <v>0</v>
          </cell>
          <cell r="C114">
            <v>202.5642424388837</v>
          </cell>
          <cell r="D114">
            <v>2.2958595072503567E-3</v>
          </cell>
          <cell r="E114">
            <v>0</v>
          </cell>
          <cell r="F114">
            <v>2.2958595072503567E-3</v>
          </cell>
          <cell r="G114">
            <v>1.236386349424937E-3</v>
          </cell>
        </row>
        <row r="115">
          <cell r="A115">
            <v>38749</v>
          </cell>
          <cell r="B115">
            <v>0</v>
          </cell>
          <cell r="C115">
            <v>203.02873841950048</v>
          </cell>
          <cell r="D115">
            <v>2.2904547445716174E-3</v>
          </cell>
          <cell r="E115">
            <v>0</v>
          </cell>
          <cell r="F115">
            <v>2.2904547445716174E-3</v>
          </cell>
          <cell r="G115">
            <v>1.236386349424937E-3</v>
          </cell>
        </row>
        <row r="116">
          <cell r="A116">
            <v>38777</v>
          </cell>
          <cell r="B116">
            <v>0</v>
          </cell>
          <cell r="C116">
            <v>203.49319961972628</v>
          </cell>
          <cell r="D116">
            <v>2.2850496313327044E-3</v>
          </cell>
          <cell r="E116">
            <v>0</v>
          </cell>
          <cell r="F116">
            <v>2.2850496313327044E-3</v>
          </cell>
          <cell r="G116">
            <v>1.236386349424937E-3</v>
          </cell>
        </row>
        <row r="117">
          <cell r="A117">
            <v>38808</v>
          </cell>
          <cell r="B117">
            <v>0</v>
          </cell>
          <cell r="C117">
            <v>203.95762086182629</v>
          </cell>
          <cell r="D117">
            <v>2.279644167487993E-3</v>
          </cell>
          <cell r="E117">
            <v>0</v>
          </cell>
          <cell r="F117">
            <v>2.279644167487993E-3</v>
          </cell>
          <cell r="G117">
            <v>1.236386349424937E-3</v>
          </cell>
        </row>
        <row r="118">
          <cell r="A118">
            <v>38838</v>
          </cell>
          <cell r="B118">
            <v>0</v>
          </cell>
          <cell r="C118">
            <v>204.42199695638521</v>
          </cell>
          <cell r="D118">
            <v>2.2742383529920783E-3</v>
          </cell>
          <cell r="E118">
            <v>0</v>
          </cell>
          <cell r="F118">
            <v>2.2742383529920783E-3</v>
          </cell>
          <cell r="G118">
            <v>1.236386349424937E-3</v>
          </cell>
        </row>
        <row r="119">
          <cell r="A119">
            <v>38869</v>
          </cell>
          <cell r="B119">
            <v>0</v>
          </cell>
          <cell r="C119">
            <v>204.88632270239293</v>
          </cell>
          <cell r="D119">
            <v>2.2688321877993322E-3</v>
          </cell>
          <cell r="E119">
            <v>0</v>
          </cell>
          <cell r="F119">
            <v>2.2688321877993322E-3</v>
          </cell>
          <cell r="G119">
            <v>1.236386349424937E-3</v>
          </cell>
        </row>
        <row r="120">
          <cell r="A120">
            <v>38899</v>
          </cell>
          <cell r="B120">
            <v>0</v>
          </cell>
          <cell r="C120">
            <v>205.35059288733066</v>
          </cell>
          <cell r="D120">
            <v>2.263425671864347E-3</v>
          </cell>
          <cell r="E120">
            <v>0</v>
          </cell>
          <cell r="F120">
            <v>2.263425671864347E-3</v>
          </cell>
          <cell r="G120">
            <v>1.236386349424937E-3</v>
          </cell>
        </row>
        <row r="121">
          <cell r="A121">
            <v>38930</v>
          </cell>
          <cell r="B121">
            <v>0</v>
          </cell>
          <cell r="C121">
            <v>205.81480228725783</v>
          </cell>
          <cell r="D121">
            <v>2.2580188051417147E-3</v>
          </cell>
          <cell r="E121">
            <v>0</v>
          </cell>
          <cell r="F121">
            <v>2.2580188051417147E-3</v>
          </cell>
          <cell r="G121">
            <v>1.236386349424937E-3</v>
          </cell>
        </row>
        <row r="122">
          <cell r="A122">
            <v>38961</v>
          </cell>
          <cell r="B122">
            <v>0</v>
          </cell>
          <cell r="C122">
            <v>206.27894566689915</v>
          </cell>
          <cell r="D122">
            <v>2.2526115875858032E-3</v>
          </cell>
          <cell r="E122">
            <v>0</v>
          </cell>
          <cell r="F122">
            <v>2.2526115875858032E-3</v>
          </cell>
          <cell r="G122">
            <v>1.236386349424937E-3</v>
          </cell>
        </row>
        <row r="123">
          <cell r="A123">
            <v>38991</v>
          </cell>
          <cell r="B123">
            <v>0</v>
          </cell>
          <cell r="C123">
            <v>206.7430177797325</v>
          </cell>
          <cell r="D123">
            <v>2.2472040191512011E-3</v>
          </cell>
          <cell r="E123">
            <v>0</v>
          </cell>
          <cell r="F123">
            <v>2.2472040191512011E-3</v>
          </cell>
          <cell r="G123">
            <v>1.236386349424937E-3</v>
          </cell>
        </row>
        <row r="124">
          <cell r="A124">
            <v>39022</v>
          </cell>
          <cell r="B124">
            <v>0</v>
          </cell>
          <cell r="C124">
            <v>207.20701336807727</v>
          </cell>
          <cell r="D124">
            <v>2.2417960997922742E-3</v>
          </cell>
          <cell r="E124">
            <v>0</v>
          </cell>
          <cell r="F124">
            <v>2.2417960997922742E-3</v>
          </cell>
          <cell r="G124">
            <v>1.236386349424937E-3</v>
          </cell>
        </row>
        <row r="125">
          <cell r="A125">
            <v>39052</v>
          </cell>
          <cell r="B125">
            <v>0</v>
          </cell>
          <cell r="C125">
            <v>207.67092716318305</v>
          </cell>
          <cell r="D125">
            <v>2.2363878294633871E-3</v>
          </cell>
          <cell r="E125">
            <v>0</v>
          </cell>
          <cell r="F125">
            <v>2.2363878294633871E-3</v>
          </cell>
          <cell r="G125">
            <v>1.236386349424937E-3</v>
          </cell>
        </row>
        <row r="126">
          <cell r="A126">
            <v>39083</v>
          </cell>
          <cell r="B126">
            <v>0</v>
          </cell>
          <cell r="C126">
            <v>208.13517604008646</v>
          </cell>
          <cell r="D126">
            <v>2.2330074822607179E-3</v>
          </cell>
          <cell r="E126">
            <v>0</v>
          </cell>
          <cell r="F126">
            <v>2.2330074822607179E-3</v>
          </cell>
          <cell r="G126">
            <v>1.236386349424937E-3</v>
          </cell>
        </row>
        <row r="127">
          <cell r="A127">
            <v>39114</v>
          </cell>
          <cell r="B127">
            <v>0</v>
          </cell>
          <cell r="C127">
            <v>208.59975757711146</v>
          </cell>
          <cell r="D127">
            <v>2.2296269979315015E-3</v>
          </cell>
          <cell r="E127">
            <v>0</v>
          </cell>
          <cell r="F127">
            <v>2.2296269979315015E-3</v>
          </cell>
          <cell r="G127">
            <v>1.236386349424937E-3</v>
          </cell>
        </row>
        <row r="128">
          <cell r="A128">
            <v>39142</v>
          </cell>
          <cell r="B128">
            <v>0</v>
          </cell>
          <cell r="C128">
            <v>209.06466934360142</v>
          </cell>
          <cell r="D128">
            <v>2.226246376464638E-3</v>
          </cell>
          <cell r="E128">
            <v>0</v>
          </cell>
          <cell r="F128">
            <v>2.226246376464638E-3</v>
          </cell>
          <cell r="G128">
            <v>1.236386349424937E-3</v>
          </cell>
        </row>
        <row r="129">
          <cell r="A129">
            <v>39173</v>
          </cell>
          <cell r="B129">
            <v>0</v>
          </cell>
          <cell r="C129">
            <v>209.52990889993168</v>
          </cell>
          <cell r="D129">
            <v>2.2228656178488056E-3</v>
          </cell>
          <cell r="E129">
            <v>0</v>
          </cell>
          <cell r="F129">
            <v>2.2228656178488056E-3</v>
          </cell>
          <cell r="G129">
            <v>1.236386349424937E-3</v>
          </cell>
        </row>
        <row r="130">
          <cell r="A130">
            <v>39203</v>
          </cell>
          <cell r="B130">
            <v>0</v>
          </cell>
          <cell r="C130">
            <v>209.99547379752244</v>
          </cell>
          <cell r="D130">
            <v>2.2194847220733463E-3</v>
          </cell>
          <cell r="E130">
            <v>0</v>
          </cell>
          <cell r="F130">
            <v>2.2194847220733463E-3</v>
          </cell>
          <cell r="G130">
            <v>1.236386349424937E-3</v>
          </cell>
        </row>
        <row r="131">
          <cell r="A131">
            <v>39234</v>
          </cell>
          <cell r="B131">
            <v>0</v>
          </cell>
          <cell r="C131">
            <v>210.46136157885147</v>
          </cell>
          <cell r="D131">
            <v>2.2161036891267163E-3</v>
          </cell>
          <cell r="E131">
            <v>0</v>
          </cell>
          <cell r="F131">
            <v>2.2161036891267163E-3</v>
          </cell>
          <cell r="G131">
            <v>1.236386349424937E-3</v>
          </cell>
        </row>
        <row r="132">
          <cell r="A132">
            <v>39264</v>
          </cell>
          <cell r="B132">
            <v>0</v>
          </cell>
          <cell r="C132">
            <v>210.9275697774674</v>
          </cell>
          <cell r="D132">
            <v>2.2127225189980363E-3</v>
          </cell>
          <cell r="E132">
            <v>0</v>
          </cell>
          <cell r="F132">
            <v>2.2127225189980363E-3</v>
          </cell>
          <cell r="G132">
            <v>1.236386349424937E-3</v>
          </cell>
        </row>
        <row r="133">
          <cell r="A133">
            <v>39295</v>
          </cell>
          <cell r="B133">
            <v>0</v>
          </cell>
          <cell r="C133">
            <v>211.39409591800285</v>
          </cell>
          <cell r="D133">
            <v>2.2093412116757612E-3</v>
          </cell>
          <cell r="E133">
            <v>0</v>
          </cell>
          <cell r="F133">
            <v>2.2093412116757612E-3</v>
          </cell>
          <cell r="G133">
            <v>1.236386349424937E-3</v>
          </cell>
        </row>
        <row r="134">
          <cell r="A134">
            <v>39326</v>
          </cell>
          <cell r="B134">
            <v>0</v>
          </cell>
          <cell r="C134">
            <v>211.86093751618819</v>
          </cell>
          <cell r="D134">
            <v>2.2059597671494555E-3</v>
          </cell>
          <cell r="E134">
            <v>0</v>
          </cell>
          <cell r="F134">
            <v>2.2059597671494555E-3</v>
          </cell>
          <cell r="G134">
            <v>1.236386349424937E-3</v>
          </cell>
        </row>
        <row r="135">
          <cell r="A135">
            <v>39356</v>
          </cell>
          <cell r="B135">
            <v>0</v>
          </cell>
          <cell r="C135">
            <v>212.3280920788649</v>
          </cell>
          <cell r="D135">
            <v>2.2025781854073515E-3</v>
          </cell>
          <cell r="E135">
            <v>0</v>
          </cell>
          <cell r="F135">
            <v>2.2025781854073515E-3</v>
          </cell>
          <cell r="G135">
            <v>1.236386349424937E-3</v>
          </cell>
        </row>
        <row r="136">
          <cell r="A136">
            <v>39387</v>
          </cell>
          <cell r="B136">
            <v>0</v>
          </cell>
          <cell r="C136">
            <v>212.79555710399961</v>
          </cell>
          <cell r="D136">
            <v>2.1991964664385697E-3</v>
          </cell>
          <cell r="E136">
            <v>0</v>
          </cell>
          <cell r="F136">
            <v>2.1991964664385697E-3</v>
          </cell>
          <cell r="G136">
            <v>1.236386349424937E-3</v>
          </cell>
        </row>
        <row r="137">
          <cell r="A137">
            <v>39417</v>
          </cell>
          <cell r="B137">
            <v>0</v>
          </cell>
          <cell r="C137">
            <v>213.26333008069801</v>
          </cell>
          <cell r="D137">
            <v>2.1958146102317865E-3</v>
          </cell>
          <cell r="E137">
            <v>0</v>
          </cell>
          <cell r="F137">
            <v>2.1958146102317865E-3</v>
          </cell>
          <cell r="G137">
            <v>1.236386349424937E-3</v>
          </cell>
        </row>
        <row r="138">
          <cell r="A138">
            <v>39448</v>
          </cell>
          <cell r="B138">
            <v>0</v>
          </cell>
          <cell r="C138">
            <v>213.73140848921918</v>
          </cell>
          <cell r="D138">
            <v>2.1924326167761209E-3</v>
          </cell>
          <cell r="E138">
            <v>0</v>
          </cell>
          <cell r="F138">
            <v>2.1924326167761209E-3</v>
          </cell>
          <cell r="G138">
            <v>1.236386349424937E-3</v>
          </cell>
        </row>
        <row r="139">
          <cell r="A139">
            <v>39479</v>
          </cell>
          <cell r="B139">
            <v>0</v>
          </cell>
          <cell r="C139">
            <v>214.19978980099</v>
          </cell>
          <cell r="D139">
            <v>2.1890504860604706E-3</v>
          </cell>
          <cell r="E139">
            <v>0</v>
          </cell>
          <cell r="F139">
            <v>2.1890504860604706E-3</v>
          </cell>
          <cell r="G139">
            <v>1.236386349424937E-3</v>
          </cell>
        </row>
        <row r="140">
          <cell r="A140">
            <v>39508</v>
          </cell>
          <cell r="B140">
            <v>0</v>
          </cell>
          <cell r="C140">
            <v>214.66847147861961</v>
          </cell>
          <cell r="D140">
            <v>2.1856682180735111E-3</v>
          </cell>
          <cell r="E140">
            <v>0</v>
          </cell>
          <cell r="F140">
            <v>2.1856682180735111E-3</v>
          </cell>
          <cell r="G140">
            <v>1.236386349424937E-3</v>
          </cell>
        </row>
        <row r="141">
          <cell r="A141">
            <v>39539</v>
          </cell>
          <cell r="B141">
            <v>0</v>
          </cell>
          <cell r="C141">
            <v>215.13745097591422</v>
          </cell>
          <cell r="D141">
            <v>2.1822858128039187E-3</v>
          </cell>
          <cell r="E141">
            <v>0</v>
          </cell>
          <cell r="F141">
            <v>2.1822858128039187E-3</v>
          </cell>
          <cell r="G141">
            <v>1.236386349424937E-3</v>
          </cell>
        </row>
        <row r="142">
          <cell r="A142">
            <v>39569</v>
          </cell>
          <cell r="B142">
            <v>0</v>
          </cell>
          <cell r="C142">
            <v>215.60672573789222</v>
          </cell>
          <cell r="D142">
            <v>2.1789032702410325E-3</v>
          </cell>
          <cell r="E142">
            <v>0</v>
          </cell>
          <cell r="F142">
            <v>2.1789032702410325E-3</v>
          </cell>
          <cell r="G142">
            <v>1.236386349424937E-3</v>
          </cell>
        </row>
        <row r="143">
          <cell r="A143">
            <v>39600</v>
          </cell>
          <cell r="B143">
            <v>0</v>
          </cell>
          <cell r="C143">
            <v>216.07629320079911</v>
          </cell>
          <cell r="D143">
            <v>2.1755205903733073E-3</v>
          </cell>
          <cell r="E143">
            <v>0</v>
          </cell>
          <cell r="F143">
            <v>2.1755205903733073E-3</v>
          </cell>
          <cell r="G143">
            <v>1.236386349424937E-3</v>
          </cell>
        </row>
        <row r="144">
          <cell r="A144">
            <v>39630</v>
          </cell>
          <cell r="B144">
            <v>0</v>
          </cell>
          <cell r="C144">
            <v>216.54615079212297</v>
          </cell>
          <cell r="D144">
            <v>2.1721377731896384E-3</v>
          </cell>
          <cell r="E144">
            <v>0</v>
          </cell>
          <cell r="F144">
            <v>2.1721377731896384E-3</v>
          </cell>
          <cell r="G144">
            <v>1.236386349424937E-3</v>
          </cell>
        </row>
        <row r="145">
          <cell r="A145">
            <v>39661</v>
          </cell>
          <cell r="B145">
            <v>0</v>
          </cell>
          <cell r="C145">
            <v>217.01629593060991</v>
          </cell>
          <cell r="D145">
            <v>2.1687548186791446E-3</v>
          </cell>
          <cell r="E145">
            <v>0</v>
          </cell>
          <cell r="F145">
            <v>2.1687548186791446E-3</v>
          </cell>
          <cell r="G145">
            <v>1.236386349424937E-3</v>
          </cell>
        </row>
        <row r="146">
          <cell r="A146">
            <v>39692</v>
          </cell>
          <cell r="B146">
            <v>0</v>
          </cell>
          <cell r="C146">
            <v>217.48672602627977</v>
          </cell>
          <cell r="D146">
            <v>2.1653717268305004E-3</v>
          </cell>
          <cell r="E146">
            <v>0</v>
          </cell>
          <cell r="F146">
            <v>2.1653717268305004E-3</v>
          </cell>
          <cell r="G146">
            <v>1.236386349424937E-3</v>
          </cell>
        </row>
        <row r="147">
          <cell r="A147">
            <v>39722</v>
          </cell>
          <cell r="B147">
            <v>0</v>
          </cell>
          <cell r="C147">
            <v>217.95743848044199</v>
          </cell>
          <cell r="D147">
            <v>2.1619884976323799E-3</v>
          </cell>
          <cell r="E147">
            <v>0</v>
          </cell>
          <cell r="F147">
            <v>2.1619884976323799E-3</v>
          </cell>
          <cell r="G147">
            <v>1.236386349424937E-3</v>
          </cell>
        </row>
        <row r="148">
          <cell r="A148">
            <v>39753</v>
          </cell>
          <cell r="B148">
            <v>0</v>
          </cell>
          <cell r="C148">
            <v>218.42843068571182</v>
          </cell>
          <cell r="D148">
            <v>2.1586051310741225E-3</v>
          </cell>
          <cell r="E148">
            <v>0</v>
          </cell>
          <cell r="F148">
            <v>2.1586051310741225E-3</v>
          </cell>
          <cell r="G148">
            <v>1.236386349424937E-3</v>
          </cell>
        </row>
        <row r="149">
          <cell r="A149">
            <v>39783</v>
          </cell>
          <cell r="B149">
            <v>0</v>
          </cell>
          <cell r="C149">
            <v>218.8997000260263</v>
          </cell>
          <cell r="D149">
            <v>2.1552216271439584E-3</v>
          </cell>
          <cell r="E149">
            <v>0</v>
          </cell>
          <cell r="F149">
            <v>2.1552216271439584E-3</v>
          </cell>
          <cell r="G149">
            <v>1.236386349424937E-3</v>
          </cell>
        </row>
        <row r="150">
          <cell r="A150">
            <v>39814</v>
          </cell>
          <cell r="B150">
            <v>0</v>
          </cell>
          <cell r="C150">
            <v>219.37139233384303</v>
          </cell>
          <cell r="D150">
            <v>2.1525147250849308E-3</v>
          </cell>
          <cell r="E150">
            <v>0</v>
          </cell>
          <cell r="F150">
            <v>2.1525147250849308E-3</v>
          </cell>
          <cell r="G150">
            <v>1.236386349424937E-3</v>
          </cell>
        </row>
        <row r="151">
          <cell r="A151">
            <v>39845</v>
          </cell>
          <cell r="B151">
            <v>0</v>
          </cell>
          <cell r="C151">
            <v>219.84350594485775</v>
          </cell>
          <cell r="D151">
            <v>2.1498077350950921E-3</v>
          </cell>
          <cell r="E151">
            <v>0</v>
          </cell>
          <cell r="F151">
            <v>2.1498077350950921E-3</v>
          </cell>
          <cell r="G151">
            <v>1.236386349424937E-3</v>
          </cell>
        </row>
        <row r="152">
          <cell r="A152">
            <v>39873</v>
          </cell>
          <cell r="B152">
            <v>0</v>
          </cell>
          <cell r="C152">
            <v>220.31603918763119</v>
          </cell>
          <cell r="D152">
            <v>2.1471006571688743E-3</v>
          </cell>
          <cell r="E152">
            <v>0</v>
          </cell>
          <cell r="F152">
            <v>2.1471006571688743E-3</v>
          </cell>
          <cell r="G152">
            <v>1.236386349424937E-3</v>
          </cell>
        </row>
        <row r="153">
          <cell r="A153">
            <v>39904</v>
          </cell>
          <cell r="B153">
            <v>0</v>
          </cell>
          <cell r="C153">
            <v>220.7889903835916</v>
          </cell>
          <cell r="D153">
            <v>2.1443934913004861E-3</v>
          </cell>
          <cell r="E153">
            <v>0</v>
          </cell>
          <cell r="F153">
            <v>2.1443934913004861E-3</v>
          </cell>
          <cell r="G153">
            <v>1.236386349424937E-3</v>
          </cell>
        </row>
        <row r="154">
          <cell r="A154">
            <v>39934</v>
          </cell>
          <cell r="B154">
            <v>0</v>
          </cell>
          <cell r="C154">
            <v>221.26235784703746</v>
          </cell>
          <cell r="D154">
            <v>2.1416862374843589E-3</v>
          </cell>
          <cell r="E154">
            <v>0</v>
          </cell>
          <cell r="F154">
            <v>2.1416862374843589E-3</v>
          </cell>
          <cell r="G154">
            <v>1.236386349424937E-3</v>
          </cell>
        </row>
        <row r="155">
          <cell r="A155">
            <v>39965</v>
          </cell>
          <cell r="B155">
            <v>0</v>
          </cell>
          <cell r="C155">
            <v>221.73613988514023</v>
          </cell>
          <cell r="D155">
            <v>2.1389788957149234E-3</v>
          </cell>
          <cell r="E155">
            <v>0</v>
          </cell>
          <cell r="F155">
            <v>2.1389788957149234E-3</v>
          </cell>
          <cell r="G155">
            <v>1.236386349424937E-3</v>
          </cell>
        </row>
        <row r="156">
          <cell r="A156">
            <v>39995</v>
          </cell>
          <cell r="B156">
            <v>0</v>
          </cell>
          <cell r="C156">
            <v>222.21033479794698</v>
          </cell>
          <cell r="D156">
            <v>2.1362714659859464E-3</v>
          </cell>
          <cell r="E156">
            <v>0</v>
          </cell>
          <cell r="F156">
            <v>2.1362714659859464E-3</v>
          </cell>
          <cell r="G156">
            <v>1.236386349424937E-3</v>
          </cell>
        </row>
        <row r="157">
          <cell r="A157">
            <v>40026</v>
          </cell>
          <cell r="B157">
            <v>0</v>
          </cell>
          <cell r="C157">
            <v>222.68494087838357</v>
          </cell>
          <cell r="D157">
            <v>2.1335639482920801E-3</v>
          </cell>
          <cell r="E157">
            <v>0</v>
          </cell>
          <cell r="F157">
            <v>2.1335639482920801E-3</v>
          </cell>
          <cell r="G157">
            <v>1.236386349424937E-3</v>
          </cell>
        </row>
        <row r="158">
          <cell r="A158">
            <v>40057</v>
          </cell>
          <cell r="B158">
            <v>0</v>
          </cell>
          <cell r="C158">
            <v>223.1599564122576</v>
          </cell>
          <cell r="D158">
            <v>2.1308563426275335E-3</v>
          </cell>
          <cell r="E158">
            <v>0</v>
          </cell>
          <cell r="F158">
            <v>2.1308563426275335E-3</v>
          </cell>
          <cell r="G158">
            <v>1.236386349424937E-3</v>
          </cell>
        </row>
        <row r="159">
          <cell r="A159">
            <v>40087</v>
          </cell>
          <cell r="B159">
            <v>0</v>
          </cell>
          <cell r="C159">
            <v>223.63537967826156</v>
          </cell>
          <cell r="D159">
            <v>2.1281486489865163E-3</v>
          </cell>
          <cell r="E159">
            <v>0</v>
          </cell>
          <cell r="F159">
            <v>2.1281486489865163E-3</v>
          </cell>
          <cell r="G159">
            <v>1.236386349424937E-3</v>
          </cell>
        </row>
        <row r="160">
          <cell r="A160">
            <v>40118</v>
          </cell>
          <cell r="B160">
            <v>0</v>
          </cell>
          <cell r="C160">
            <v>224.11120894797611</v>
          </cell>
          <cell r="D160">
            <v>2.1254408673634581E-3</v>
          </cell>
          <cell r="E160">
            <v>0</v>
          </cell>
          <cell r="F160">
            <v>2.1254408673634581E-3</v>
          </cell>
          <cell r="G160">
            <v>1.236386349424937E-3</v>
          </cell>
        </row>
        <row r="161">
          <cell r="A161">
            <v>40148</v>
          </cell>
          <cell r="B161">
            <v>0</v>
          </cell>
          <cell r="C161">
            <v>224.58744248587348</v>
          </cell>
          <cell r="D161">
            <v>2.1227329977525685E-3</v>
          </cell>
          <cell r="E161">
            <v>0</v>
          </cell>
          <cell r="F161">
            <v>2.1227329977525685E-3</v>
          </cell>
          <cell r="G161">
            <v>1.236386349424937E-3</v>
          </cell>
        </row>
        <row r="162">
          <cell r="A162">
            <v>40179</v>
          </cell>
          <cell r="B162">
            <v>0</v>
          </cell>
          <cell r="C162">
            <v>225.06407854932081</v>
          </cell>
          <cell r="D162">
            <v>2.1200250401480565E-3</v>
          </cell>
          <cell r="E162">
            <v>0</v>
          </cell>
          <cell r="F162">
            <v>2.1200250401480565E-3</v>
          </cell>
          <cell r="G162">
            <v>1.236386349424937E-3</v>
          </cell>
        </row>
        <row r="163">
          <cell r="A163">
            <v>40210</v>
          </cell>
          <cell r="B163">
            <v>0</v>
          </cell>
          <cell r="C163">
            <v>225.5411153885839</v>
          </cell>
          <cell r="D163">
            <v>2.117316994544352E-3</v>
          </cell>
          <cell r="E163">
            <v>0</v>
          </cell>
          <cell r="F163">
            <v>2.117316994544352E-3</v>
          </cell>
          <cell r="G163">
            <v>1.236386349424937E-3</v>
          </cell>
        </row>
        <row r="164">
          <cell r="A164">
            <v>40238</v>
          </cell>
          <cell r="B164">
            <v>0</v>
          </cell>
          <cell r="C164">
            <v>226.01855124683078</v>
          </cell>
          <cell r="D164">
            <v>2.1146088609356639E-3</v>
          </cell>
          <cell r="E164">
            <v>0</v>
          </cell>
          <cell r="F164">
            <v>2.1146088609356639E-3</v>
          </cell>
          <cell r="G164">
            <v>1.236386349424937E-3</v>
          </cell>
        </row>
        <row r="165">
          <cell r="A165">
            <v>40269</v>
          </cell>
          <cell r="B165">
            <v>0</v>
          </cell>
          <cell r="C165">
            <v>226.49638436013544</v>
          </cell>
          <cell r="D165">
            <v>2.111900639316201E-3</v>
          </cell>
          <cell r="E165">
            <v>0</v>
          </cell>
          <cell r="F165">
            <v>2.111900639316201E-3</v>
          </cell>
          <cell r="G165">
            <v>1.236386349424937E-3</v>
          </cell>
        </row>
        <row r="166">
          <cell r="A166">
            <v>40299</v>
          </cell>
          <cell r="B166">
            <v>0</v>
          </cell>
          <cell r="C166">
            <v>226.97461295748187</v>
          </cell>
          <cell r="D166">
            <v>2.109192329680393E-3</v>
          </cell>
          <cell r="E166">
            <v>0</v>
          </cell>
          <cell r="F166">
            <v>2.109192329680393E-3</v>
          </cell>
          <cell r="G166">
            <v>1.236386349424937E-3</v>
          </cell>
        </row>
        <row r="167">
          <cell r="A167">
            <v>40330</v>
          </cell>
          <cell r="B167">
            <v>0</v>
          </cell>
          <cell r="C167">
            <v>227.45323526076797</v>
          </cell>
          <cell r="D167">
            <v>2.1064839320224485E-3</v>
          </cell>
          <cell r="E167">
            <v>0</v>
          </cell>
          <cell r="F167">
            <v>2.1064839320224485E-3</v>
          </cell>
          <cell r="G167">
            <v>1.236386349424937E-3</v>
          </cell>
        </row>
        <row r="168">
          <cell r="A168">
            <v>40360</v>
          </cell>
          <cell r="B168">
            <v>0</v>
          </cell>
          <cell r="C168">
            <v>227.93224948480963</v>
          </cell>
          <cell r="D168">
            <v>2.1037754463365762E-3</v>
          </cell>
          <cell r="E168">
            <v>0</v>
          </cell>
          <cell r="F168">
            <v>2.1037754463365762E-3</v>
          </cell>
          <cell r="G168">
            <v>1.236386349424937E-3</v>
          </cell>
        </row>
        <row r="169">
          <cell r="A169">
            <v>40391</v>
          </cell>
          <cell r="B169">
            <v>0</v>
          </cell>
          <cell r="C169">
            <v>228.41165383734494</v>
          </cell>
          <cell r="D169">
            <v>2.1010668726169843E-3</v>
          </cell>
          <cell r="E169">
            <v>0</v>
          </cell>
          <cell r="F169">
            <v>2.1010668726169843E-3</v>
          </cell>
          <cell r="G169">
            <v>1.236386349424937E-3</v>
          </cell>
        </row>
        <row r="170">
          <cell r="A170">
            <v>40422</v>
          </cell>
          <cell r="B170">
            <v>0</v>
          </cell>
          <cell r="C170">
            <v>228.89144651903857</v>
          </cell>
          <cell r="D170">
            <v>2.0983582108581021E-3</v>
          </cell>
          <cell r="E170">
            <v>0</v>
          </cell>
          <cell r="F170">
            <v>2.0983582108581021E-3</v>
          </cell>
          <cell r="G170">
            <v>1.236386349424937E-3</v>
          </cell>
        </row>
        <row r="171">
          <cell r="A171">
            <v>40452</v>
          </cell>
          <cell r="B171">
            <v>0</v>
          </cell>
          <cell r="C171">
            <v>229.3716257234862</v>
          </cell>
          <cell r="D171">
            <v>2.0956494610543598E-3</v>
          </cell>
          <cell r="E171">
            <v>0</v>
          </cell>
          <cell r="F171">
            <v>2.0956494610543598E-3</v>
          </cell>
          <cell r="G171">
            <v>1.236386349424937E-3</v>
          </cell>
        </row>
        <row r="172">
          <cell r="A172">
            <v>40483</v>
          </cell>
          <cell r="B172">
            <v>0</v>
          </cell>
          <cell r="C172">
            <v>229.85218963721894</v>
          </cell>
          <cell r="D172">
            <v>2.0929406231997441E-3</v>
          </cell>
          <cell r="E172">
            <v>0</v>
          </cell>
          <cell r="F172">
            <v>2.0929406231997441E-3</v>
          </cell>
          <cell r="G172">
            <v>1.236386349424937E-3</v>
          </cell>
        </row>
        <row r="173">
          <cell r="A173">
            <v>40513</v>
          </cell>
          <cell r="B173">
            <v>0</v>
          </cell>
          <cell r="C173">
            <v>230.33313643970806</v>
          </cell>
          <cell r="D173">
            <v>2.0902316972886839E-3</v>
          </cell>
          <cell r="E173">
            <v>0</v>
          </cell>
          <cell r="F173">
            <v>2.0902316972886839E-3</v>
          </cell>
          <cell r="G173">
            <v>1.236386349424937E-3</v>
          </cell>
        </row>
        <row r="174">
          <cell r="A174">
            <v>40544</v>
          </cell>
          <cell r="B174">
            <v>0</v>
          </cell>
          <cell r="C174">
            <v>230.81477694592672</v>
          </cell>
          <cell r="D174">
            <v>2.08887720131008E-3</v>
          </cell>
          <cell r="E174">
            <v>0</v>
          </cell>
          <cell r="F174">
            <v>2.08887720131008E-3</v>
          </cell>
          <cell r="G174">
            <v>1.236386349424937E-3</v>
          </cell>
        </row>
        <row r="175">
          <cell r="A175">
            <v>40575</v>
          </cell>
          <cell r="B175">
            <v>0</v>
          </cell>
          <cell r="C175">
            <v>231.29711129523551</v>
          </cell>
          <cell r="D175">
            <v>2.0875226833151654E-3</v>
          </cell>
          <cell r="E175">
            <v>0</v>
          </cell>
          <cell r="F175">
            <v>2.0875226833151654E-3</v>
          </cell>
          <cell r="G175">
            <v>1.236386349424937E-3</v>
          </cell>
        </row>
        <row r="176">
          <cell r="A176">
            <v>40603</v>
          </cell>
          <cell r="B176">
            <v>0</v>
          </cell>
          <cell r="C176">
            <v>231.78013962443188</v>
          </cell>
          <cell r="D176">
            <v>2.0861681433034102E-3</v>
          </cell>
          <cell r="E176">
            <v>0</v>
          </cell>
          <cell r="F176">
            <v>2.0861681433034102E-3</v>
          </cell>
          <cell r="G176">
            <v>1.236386349424937E-3</v>
          </cell>
        </row>
        <row r="177">
          <cell r="A177">
            <v>40634</v>
          </cell>
          <cell r="B177">
            <v>0</v>
          </cell>
          <cell r="C177">
            <v>232.26386206774401</v>
          </cell>
          <cell r="D177">
            <v>2.0848135812740619E-3</v>
          </cell>
          <cell r="E177">
            <v>0</v>
          </cell>
          <cell r="F177">
            <v>2.0848135812740619E-3</v>
          </cell>
          <cell r="G177">
            <v>1.236386349424937E-3</v>
          </cell>
        </row>
        <row r="178">
          <cell r="A178">
            <v>40664</v>
          </cell>
          <cell r="B178">
            <v>0</v>
          </cell>
          <cell r="C178">
            <v>232.74827875682448</v>
          </cell>
          <cell r="D178">
            <v>2.0834589972261479E-3</v>
          </cell>
          <cell r="E178">
            <v>0</v>
          </cell>
          <cell r="F178">
            <v>2.0834589972261479E-3</v>
          </cell>
          <cell r="G178">
            <v>1.236386349424937E-3</v>
          </cell>
        </row>
        <row r="179">
          <cell r="A179">
            <v>40695</v>
          </cell>
          <cell r="B179">
            <v>0</v>
          </cell>
          <cell r="C179">
            <v>233.23338982074421</v>
          </cell>
          <cell r="D179">
            <v>2.0821043911591376E-3</v>
          </cell>
          <cell r="E179">
            <v>0</v>
          </cell>
          <cell r="F179">
            <v>2.0821043911591376E-3</v>
          </cell>
          <cell r="G179">
            <v>1.236386349424937E-3</v>
          </cell>
        </row>
        <row r="180">
          <cell r="A180">
            <v>40725</v>
          </cell>
          <cell r="B180">
            <v>0</v>
          </cell>
          <cell r="C180">
            <v>233.71919538598621</v>
          </cell>
          <cell r="D180">
            <v>2.080749763072058E-3</v>
          </cell>
          <cell r="E180">
            <v>0</v>
          </cell>
          <cell r="F180">
            <v>2.080749763072058E-3</v>
          </cell>
          <cell r="G180">
            <v>1.236386349424937E-3</v>
          </cell>
        </row>
        <row r="181">
          <cell r="A181">
            <v>40756</v>
          </cell>
          <cell r="B181">
            <v>0</v>
          </cell>
          <cell r="C181">
            <v>234.20569557643958</v>
          </cell>
          <cell r="D181">
            <v>2.0793951129646003E-3</v>
          </cell>
          <cell r="E181">
            <v>0</v>
          </cell>
          <cell r="F181">
            <v>2.0793951129646003E-3</v>
          </cell>
          <cell r="G181">
            <v>1.236386349424937E-3</v>
          </cell>
        </row>
        <row r="182">
          <cell r="A182">
            <v>40787</v>
          </cell>
          <cell r="B182">
            <v>0</v>
          </cell>
          <cell r="C182">
            <v>234.69289051339314</v>
          </cell>
          <cell r="D182">
            <v>2.0780404408360124E-3</v>
          </cell>
          <cell r="E182">
            <v>0</v>
          </cell>
          <cell r="F182">
            <v>2.0780404408360124E-3</v>
          </cell>
          <cell r="G182">
            <v>1.236386349424937E-3</v>
          </cell>
        </row>
        <row r="183">
          <cell r="A183">
            <v>40817</v>
          </cell>
          <cell r="B183">
            <v>0</v>
          </cell>
          <cell r="C183">
            <v>235.18078031552929</v>
          </cell>
          <cell r="D183">
            <v>2.0766857466853216E-3</v>
          </cell>
          <cell r="E183">
            <v>0</v>
          </cell>
          <cell r="F183">
            <v>2.0766857466853216E-3</v>
          </cell>
          <cell r="G183">
            <v>1.236386349424937E-3</v>
          </cell>
        </row>
        <row r="184">
          <cell r="A184">
            <v>40848</v>
          </cell>
          <cell r="B184">
            <v>0</v>
          </cell>
          <cell r="C184">
            <v>235.66936509891792</v>
          </cell>
          <cell r="D184">
            <v>2.075331030511776E-3</v>
          </cell>
          <cell r="E184">
            <v>0</v>
          </cell>
          <cell r="F184">
            <v>2.075331030511776E-3</v>
          </cell>
          <cell r="G184">
            <v>1.236386349424937E-3</v>
          </cell>
        </row>
        <row r="185">
          <cell r="A185">
            <v>40878</v>
          </cell>
          <cell r="B185">
            <v>0</v>
          </cell>
          <cell r="C185">
            <v>236.15864497701025</v>
          </cell>
          <cell r="D185">
            <v>2.073976292314845E-3</v>
          </cell>
          <cell r="E185">
            <v>0</v>
          </cell>
          <cell r="F185">
            <v>2.073976292314845E-3</v>
          </cell>
          <cell r="G185">
            <v>1.236386349424937E-3</v>
          </cell>
        </row>
        <row r="186">
          <cell r="A186">
            <v>40909</v>
          </cell>
          <cell r="B186">
            <v>0</v>
          </cell>
          <cell r="C186">
            <v>236.64862006063274</v>
          </cell>
          <cell r="D186">
            <v>2.0726215320939988E-3</v>
          </cell>
          <cell r="E186">
            <v>0</v>
          </cell>
          <cell r="F186">
            <v>2.0726215320939988E-3</v>
          </cell>
          <cell r="G186">
            <v>1.236386349424937E-3</v>
          </cell>
        </row>
        <row r="187">
          <cell r="A187">
            <v>40940</v>
          </cell>
          <cell r="B187">
            <v>0</v>
          </cell>
          <cell r="C187">
            <v>237.13929045798071</v>
          </cell>
          <cell r="D187">
            <v>2.0712667498480426E-3</v>
          </cell>
          <cell r="E187">
            <v>0</v>
          </cell>
          <cell r="F187">
            <v>2.0712667498480426E-3</v>
          </cell>
          <cell r="G187">
            <v>1.236386349424937E-3</v>
          </cell>
        </row>
        <row r="188">
          <cell r="A188">
            <v>40969</v>
          </cell>
          <cell r="B188">
            <v>0</v>
          </cell>
          <cell r="C188">
            <v>237.63065627461251</v>
          </cell>
          <cell r="D188">
            <v>2.0699119455766671E-3</v>
          </cell>
          <cell r="E188">
            <v>0</v>
          </cell>
          <cell r="F188">
            <v>2.0699119455766671E-3</v>
          </cell>
          <cell r="G188">
            <v>1.236386349424937E-3</v>
          </cell>
        </row>
        <row r="189">
          <cell r="A189">
            <v>41000</v>
          </cell>
          <cell r="B189">
            <v>0</v>
          </cell>
          <cell r="C189">
            <v>238.12271761344311</v>
          </cell>
          <cell r="D189">
            <v>2.0685571192788996E-3</v>
          </cell>
          <cell r="E189">
            <v>0</v>
          </cell>
          <cell r="F189">
            <v>2.0685571192788996E-3</v>
          </cell>
          <cell r="G189">
            <v>1.236386349424937E-3</v>
          </cell>
        </row>
        <row r="190">
          <cell r="A190">
            <v>41030</v>
          </cell>
          <cell r="B190">
            <v>0</v>
          </cell>
          <cell r="C190">
            <v>238.61547457473819</v>
          </cell>
          <cell r="D190">
            <v>2.0672022709539882E-3</v>
          </cell>
          <cell r="E190">
            <v>0</v>
          </cell>
          <cell r="F190">
            <v>2.0672022709539882E-3</v>
          </cell>
          <cell r="G190">
            <v>1.236386349424937E-3</v>
          </cell>
        </row>
        <row r="191">
          <cell r="A191">
            <v>41061</v>
          </cell>
          <cell r="B191">
            <v>0</v>
          </cell>
          <cell r="C191">
            <v>239.10892725610793</v>
          </cell>
          <cell r="D191">
            <v>2.0658474006016239E-3</v>
          </cell>
          <cell r="E191">
            <v>0</v>
          </cell>
          <cell r="F191">
            <v>2.0658474006016239E-3</v>
          </cell>
          <cell r="G191">
            <v>1.236386349424937E-3</v>
          </cell>
        </row>
        <row r="192">
          <cell r="A192">
            <v>41091</v>
          </cell>
          <cell r="B192">
            <v>0</v>
          </cell>
          <cell r="C192">
            <v>239.60307575250081</v>
          </cell>
          <cell r="D192">
            <v>2.0644925082206121E-3</v>
          </cell>
          <cell r="E192">
            <v>0</v>
          </cell>
          <cell r="F192">
            <v>2.0644925082206121E-3</v>
          </cell>
          <cell r="G192">
            <v>1.236386349424937E-3</v>
          </cell>
        </row>
        <row r="193">
          <cell r="A193">
            <v>41122</v>
          </cell>
          <cell r="B193">
            <v>0</v>
          </cell>
          <cell r="C193">
            <v>240.09792015619769</v>
          </cell>
          <cell r="D193">
            <v>2.0631375938106439E-3</v>
          </cell>
          <cell r="E193">
            <v>0</v>
          </cell>
          <cell r="F193">
            <v>2.0631375938106439E-3</v>
          </cell>
          <cell r="G193">
            <v>1.236386349424937E-3</v>
          </cell>
        </row>
        <row r="194">
          <cell r="A194">
            <v>41153</v>
          </cell>
          <cell r="B194">
            <v>0</v>
          </cell>
          <cell r="C194">
            <v>240.59346055680544</v>
          </cell>
          <cell r="D194">
            <v>2.0617826573705242E-3</v>
          </cell>
          <cell r="E194">
            <v>0</v>
          </cell>
          <cell r="F194">
            <v>2.0617826573705242E-3</v>
          </cell>
          <cell r="G194">
            <v>1.236386349424937E-3</v>
          </cell>
        </row>
        <row r="195">
          <cell r="A195">
            <v>41183</v>
          </cell>
          <cell r="B195">
            <v>0</v>
          </cell>
          <cell r="C195">
            <v>241.08969704125113</v>
          </cell>
          <cell r="D195">
            <v>2.060427698899945E-3</v>
          </cell>
          <cell r="E195">
            <v>0</v>
          </cell>
          <cell r="F195">
            <v>2.060427698899945E-3</v>
          </cell>
          <cell r="G195">
            <v>1.236386349424937E-3</v>
          </cell>
        </row>
        <row r="196">
          <cell r="A196">
            <v>41214</v>
          </cell>
          <cell r="B196">
            <v>0</v>
          </cell>
          <cell r="C196">
            <v>241.58662969377573</v>
          </cell>
          <cell r="D196">
            <v>2.0590727183981534E-3</v>
          </cell>
          <cell r="E196">
            <v>0</v>
          </cell>
          <cell r="F196">
            <v>2.0590727183981534E-3</v>
          </cell>
          <cell r="G196">
            <v>1.236386349424937E-3</v>
          </cell>
        </row>
        <row r="197">
          <cell r="A197">
            <v>41244</v>
          </cell>
          <cell r="B197">
            <v>0</v>
          </cell>
          <cell r="C197">
            <v>242.08425859592805</v>
          </cell>
          <cell r="D197">
            <v>2.0577177158641771E-3</v>
          </cell>
          <cell r="E197">
            <v>0</v>
          </cell>
          <cell r="F197">
            <v>2.0577177158641771E-3</v>
          </cell>
          <cell r="G197">
            <v>1.236386349424937E-3</v>
          </cell>
        </row>
        <row r="198">
          <cell r="A198">
            <v>41275</v>
          </cell>
          <cell r="B198">
            <v>0</v>
          </cell>
          <cell r="C198">
            <v>242.58340558133051</v>
          </cell>
          <cell r="D198">
            <v>2.0597502114029836E-3</v>
          </cell>
          <cell r="E198">
            <v>0</v>
          </cell>
          <cell r="F198">
            <v>2.0597502114029836E-3</v>
          </cell>
          <cell r="G198">
            <v>1.236386349424937E-3</v>
          </cell>
        </row>
        <row r="199">
          <cell r="A199">
            <v>41306</v>
          </cell>
          <cell r="B199">
            <v>0</v>
          </cell>
          <cell r="C199">
            <v>243.08407579914982</v>
          </cell>
          <cell r="D199">
            <v>2.0617826573705242E-3</v>
          </cell>
          <cell r="E199">
            <v>0</v>
          </cell>
          <cell r="F199">
            <v>2.0617826573705242E-3</v>
          </cell>
          <cell r="G199">
            <v>1.236386349424937E-3</v>
          </cell>
        </row>
        <row r="200">
          <cell r="A200">
            <v>41334</v>
          </cell>
          <cell r="B200">
            <v>0</v>
          </cell>
          <cell r="C200">
            <v>243.58627441839832</v>
          </cell>
          <cell r="D200">
            <v>2.0638150537693081E-3</v>
          </cell>
          <cell r="E200">
            <v>0</v>
          </cell>
          <cell r="F200">
            <v>2.0638150537693081E-3</v>
          </cell>
          <cell r="G200">
            <v>1.236386349424937E-3</v>
          </cell>
        </row>
        <row r="201">
          <cell r="A201">
            <v>41365</v>
          </cell>
          <cell r="B201">
            <v>0</v>
          </cell>
          <cell r="C201">
            <v>244.09000662801651</v>
          </cell>
          <cell r="D201">
            <v>2.0658474006016239E-3</v>
          </cell>
          <cell r="E201">
            <v>0</v>
          </cell>
          <cell r="F201">
            <v>2.0658474006016239E-3</v>
          </cell>
          <cell r="G201">
            <v>1.236386349424937E-3</v>
          </cell>
        </row>
        <row r="202">
          <cell r="A202">
            <v>41395</v>
          </cell>
          <cell r="B202">
            <v>0</v>
          </cell>
          <cell r="C202">
            <v>244.59527763695593</v>
          </cell>
          <cell r="D202">
            <v>2.0678796978697593E-3</v>
          </cell>
          <cell r="E202">
            <v>0</v>
          </cell>
          <cell r="F202">
            <v>2.0678796978697593E-3</v>
          </cell>
          <cell r="G202">
            <v>1.236386349424937E-3</v>
          </cell>
        </row>
        <row r="203">
          <cell r="A203">
            <v>41426</v>
          </cell>
          <cell r="B203">
            <v>0</v>
          </cell>
          <cell r="C203">
            <v>245.10209267426271</v>
          </cell>
          <cell r="D203">
            <v>2.0699119455766671E-3</v>
          </cell>
          <cell r="E203">
            <v>0</v>
          </cell>
          <cell r="F203">
            <v>2.0699119455766671E-3</v>
          </cell>
          <cell r="G203">
            <v>1.236386349424937E-3</v>
          </cell>
        </row>
        <row r="204">
          <cell r="A204">
            <v>41456</v>
          </cell>
          <cell r="B204">
            <v>0</v>
          </cell>
          <cell r="C204">
            <v>245.61045698916095</v>
          </cell>
          <cell r="D204">
            <v>2.0719441437241927E-3</v>
          </cell>
          <cell r="E204">
            <v>0</v>
          </cell>
          <cell r="F204">
            <v>2.0719441437241927E-3</v>
          </cell>
          <cell r="G204">
            <v>1.236386349424937E-3</v>
          </cell>
        </row>
        <row r="205">
          <cell r="A205">
            <v>41487</v>
          </cell>
          <cell r="B205">
            <v>0</v>
          </cell>
          <cell r="C205">
            <v>246.120375851137</v>
          </cell>
          <cell r="D205">
            <v>2.073976292314845E-3</v>
          </cell>
          <cell r="E205">
            <v>0</v>
          </cell>
          <cell r="F205">
            <v>2.073976292314845E-3</v>
          </cell>
          <cell r="G205">
            <v>1.236386349424937E-3</v>
          </cell>
        </row>
        <row r="206">
          <cell r="A206">
            <v>41518</v>
          </cell>
          <cell r="B206">
            <v>0</v>
          </cell>
          <cell r="C206">
            <v>246.63185455002392</v>
          </cell>
          <cell r="D206">
            <v>2.0760083913513557E-3</v>
          </cell>
          <cell r="E206">
            <v>0</v>
          </cell>
          <cell r="F206">
            <v>2.0760083913513557E-3</v>
          </cell>
          <cell r="G206">
            <v>1.236386349424937E-3</v>
          </cell>
        </row>
        <row r="207">
          <cell r="A207">
            <v>41548</v>
          </cell>
          <cell r="B207">
            <v>0</v>
          </cell>
          <cell r="C207">
            <v>247.14489839608623</v>
          </cell>
          <cell r="D207">
            <v>2.0780404408360124E-3</v>
          </cell>
          <cell r="E207">
            <v>0</v>
          </cell>
          <cell r="F207">
            <v>2.0780404408360124E-3</v>
          </cell>
          <cell r="G207">
            <v>1.236386349424937E-3</v>
          </cell>
        </row>
        <row r="208">
          <cell r="A208">
            <v>41579</v>
          </cell>
          <cell r="B208">
            <v>0</v>
          </cell>
          <cell r="C208">
            <v>247.65951272010508</v>
          </cell>
          <cell r="D208">
            <v>2.0800724407711033E-3</v>
          </cell>
          <cell r="E208">
            <v>0</v>
          </cell>
          <cell r="F208">
            <v>2.0800724407711033E-3</v>
          </cell>
          <cell r="G208">
            <v>1.236386349424937E-3</v>
          </cell>
        </row>
        <row r="209">
          <cell r="A209">
            <v>41609</v>
          </cell>
          <cell r="B209">
            <v>0</v>
          </cell>
          <cell r="C209">
            <v>248.17570287346393</v>
          </cell>
          <cell r="D209">
            <v>2.0821043911591376E-3</v>
          </cell>
          <cell r="E209">
            <v>0</v>
          </cell>
          <cell r="F209">
            <v>2.0821043911591376E-3</v>
          </cell>
          <cell r="G209">
            <v>1.236386349424937E-3</v>
          </cell>
        </row>
        <row r="210">
          <cell r="A210">
            <v>41640</v>
          </cell>
          <cell r="B210">
            <v>0</v>
          </cell>
          <cell r="C210">
            <v>248.69364266571353</v>
          </cell>
          <cell r="D210">
            <v>2.0848135812740619E-3</v>
          </cell>
          <cell r="E210">
            <v>0</v>
          </cell>
          <cell r="F210">
            <v>2.0848135812740619E-3</v>
          </cell>
          <cell r="G210">
            <v>1.236386349424937E-3</v>
          </cell>
        </row>
        <row r="211">
          <cell r="A211">
            <v>41671</v>
          </cell>
          <cell r="B211">
            <v>0</v>
          </cell>
          <cell r="C211">
            <v>249.21333853570758</v>
          </cell>
          <cell r="D211">
            <v>2.0875226833151654E-3</v>
          </cell>
          <cell r="E211">
            <v>0</v>
          </cell>
          <cell r="F211">
            <v>2.0875226833151654E-3</v>
          </cell>
          <cell r="G211">
            <v>1.236386349424937E-3</v>
          </cell>
        </row>
        <row r="212">
          <cell r="A212">
            <v>41699</v>
          </cell>
          <cell r="B212">
            <v>0</v>
          </cell>
          <cell r="C212">
            <v>249.73479694989786</v>
          </cell>
          <cell r="D212">
            <v>2.0902316972886839E-3</v>
          </cell>
          <cell r="E212">
            <v>0</v>
          </cell>
          <cell r="F212">
            <v>2.0902316972886839E-3</v>
          </cell>
          <cell r="G212">
            <v>1.236386349424937E-3</v>
          </cell>
        </row>
        <row r="213">
          <cell r="A213">
            <v>41730</v>
          </cell>
          <cell r="B213">
            <v>0</v>
          </cell>
          <cell r="C213">
            <v>250.25802440246068</v>
          </cell>
          <cell r="D213">
            <v>2.0929406231997441E-3</v>
          </cell>
          <cell r="E213">
            <v>0</v>
          </cell>
          <cell r="F213">
            <v>2.0929406231997441E-3</v>
          </cell>
          <cell r="G213">
            <v>1.236386349424937E-3</v>
          </cell>
        </row>
        <row r="214">
          <cell r="A214">
            <v>41760</v>
          </cell>
          <cell r="B214">
            <v>0</v>
          </cell>
          <cell r="C214">
            <v>250.78302741542481</v>
          </cell>
          <cell r="D214">
            <v>2.0956494610543598E-3</v>
          </cell>
          <cell r="E214">
            <v>0</v>
          </cell>
          <cell r="F214">
            <v>2.0956494610543598E-3</v>
          </cell>
          <cell r="G214">
            <v>1.236386349424937E-3</v>
          </cell>
        </row>
        <row r="215">
          <cell r="A215">
            <v>41791</v>
          </cell>
          <cell r="B215">
            <v>0</v>
          </cell>
          <cell r="C215">
            <v>251.30981253879938</v>
          </cell>
          <cell r="D215">
            <v>2.0983582108581021E-3</v>
          </cell>
          <cell r="E215">
            <v>0</v>
          </cell>
          <cell r="F215">
            <v>2.0983582108581021E-3</v>
          </cell>
          <cell r="G215">
            <v>1.236386349424937E-3</v>
          </cell>
        </row>
        <row r="216">
          <cell r="A216">
            <v>41821</v>
          </cell>
          <cell r="B216">
            <v>0</v>
          </cell>
          <cell r="C216">
            <v>251.8383863507029</v>
          </cell>
          <cell r="D216">
            <v>2.1010668726169843E-3</v>
          </cell>
          <cell r="E216">
            <v>0</v>
          </cell>
          <cell r="F216">
            <v>2.1010668726169843E-3</v>
          </cell>
          <cell r="G216">
            <v>1.236386349424937E-3</v>
          </cell>
        </row>
        <row r="217">
          <cell r="A217">
            <v>41852</v>
          </cell>
          <cell r="B217">
            <v>0</v>
          </cell>
          <cell r="C217">
            <v>252.36875545749263</v>
          </cell>
          <cell r="D217">
            <v>2.1037754463365762E-3</v>
          </cell>
          <cell r="E217">
            <v>0</v>
          </cell>
          <cell r="F217">
            <v>2.1037754463365762E-3</v>
          </cell>
          <cell r="G217">
            <v>1.236386349424937E-3</v>
          </cell>
        </row>
        <row r="218">
          <cell r="A218">
            <v>41883</v>
          </cell>
          <cell r="B218">
            <v>0</v>
          </cell>
          <cell r="C218">
            <v>252.90092649389456</v>
          </cell>
          <cell r="D218">
            <v>2.1064839320224485E-3</v>
          </cell>
          <cell r="E218">
            <v>0</v>
          </cell>
          <cell r="F218">
            <v>2.1064839320224485E-3</v>
          </cell>
          <cell r="G218">
            <v>1.236386349424937E-3</v>
          </cell>
        </row>
        <row r="219">
          <cell r="A219">
            <v>41913</v>
          </cell>
          <cell r="B219">
            <v>0</v>
          </cell>
          <cell r="C219">
            <v>253.4349061231344</v>
          </cell>
          <cell r="D219">
            <v>2.109192329680393E-3</v>
          </cell>
          <cell r="E219">
            <v>0</v>
          </cell>
          <cell r="F219">
            <v>2.109192329680393E-3</v>
          </cell>
          <cell r="G219">
            <v>1.236386349424937E-3</v>
          </cell>
        </row>
        <row r="220">
          <cell r="A220">
            <v>41944</v>
          </cell>
          <cell r="B220">
            <v>0</v>
          </cell>
          <cell r="C220">
            <v>253.97070103706889</v>
          </cell>
          <cell r="D220">
            <v>2.111900639316201E-3</v>
          </cell>
          <cell r="E220">
            <v>0</v>
          </cell>
          <cell r="F220">
            <v>2.111900639316201E-3</v>
          </cell>
          <cell r="G220">
            <v>1.236386349424937E-3</v>
          </cell>
        </row>
        <row r="221">
          <cell r="A221">
            <v>41974</v>
          </cell>
          <cell r="B221">
            <v>0</v>
          </cell>
          <cell r="C221">
            <v>254.50831795631788</v>
          </cell>
          <cell r="D221">
            <v>2.1146088609356639E-3</v>
          </cell>
          <cell r="E221">
            <v>0</v>
          </cell>
          <cell r="F221">
            <v>2.1146088609356639E-3</v>
          </cell>
          <cell r="G221">
            <v>1.236386349424937E-3</v>
          </cell>
        </row>
        <row r="222">
          <cell r="A222">
            <v>42005</v>
          </cell>
          <cell r="B222">
            <v>0</v>
          </cell>
          <cell r="C222">
            <v>255.04776363039707</v>
          </cell>
          <cell r="D222">
            <v>2.117316994544352E-3</v>
          </cell>
          <cell r="E222">
            <v>0</v>
          </cell>
          <cell r="F222">
            <v>2.117316994544352E-3</v>
          </cell>
          <cell r="G222">
            <v>1.236386349424937E-3</v>
          </cell>
        </row>
        <row r="223">
          <cell r="A223">
            <v>42036</v>
          </cell>
          <cell r="B223">
            <v>0</v>
          </cell>
          <cell r="C223">
            <v>255.58904483785142</v>
          </cell>
          <cell r="D223">
            <v>2.1200250401480565E-3</v>
          </cell>
          <cell r="E223">
            <v>0</v>
          </cell>
          <cell r="F223">
            <v>2.1200250401480565E-3</v>
          </cell>
          <cell r="G223">
            <v>1.236386349424937E-3</v>
          </cell>
        </row>
        <row r="224">
          <cell r="A224">
            <v>42064</v>
          </cell>
          <cell r="B224">
            <v>0</v>
          </cell>
          <cell r="C224">
            <v>256.13216838638931</v>
          </cell>
          <cell r="D224">
            <v>2.1227329977525685E-3</v>
          </cell>
          <cell r="E224">
            <v>0</v>
          </cell>
          <cell r="F224">
            <v>2.1227329977525685E-3</v>
          </cell>
          <cell r="G224">
            <v>1.236386349424937E-3</v>
          </cell>
        </row>
        <row r="225">
          <cell r="A225">
            <v>42095</v>
          </cell>
          <cell r="B225">
            <v>0</v>
          </cell>
          <cell r="C225">
            <v>256.67714111301711</v>
          </cell>
          <cell r="D225">
            <v>2.1254408673634581E-3</v>
          </cell>
          <cell r="E225">
            <v>0</v>
          </cell>
          <cell r="F225">
            <v>2.1254408673634581E-3</v>
          </cell>
          <cell r="G225">
            <v>1.236386349424937E-3</v>
          </cell>
        </row>
        <row r="226">
          <cell r="A226">
            <v>42125</v>
          </cell>
          <cell r="B226">
            <v>0</v>
          </cell>
          <cell r="C226">
            <v>257.22396988417478</v>
          </cell>
          <cell r="D226">
            <v>2.1281486489865163E-3</v>
          </cell>
          <cell r="E226">
            <v>0</v>
          </cell>
          <cell r="F226">
            <v>2.1281486489865163E-3</v>
          </cell>
          <cell r="G226">
            <v>1.236386349424937E-3</v>
          </cell>
        </row>
        <row r="227">
          <cell r="A227">
            <v>42156</v>
          </cell>
          <cell r="B227">
            <v>0</v>
          </cell>
          <cell r="C227">
            <v>257.77266159587185</v>
          </cell>
          <cell r="D227">
            <v>2.1308563426275335E-3</v>
          </cell>
          <cell r="E227">
            <v>0</v>
          </cell>
          <cell r="F227">
            <v>2.1308563426275335E-3</v>
          </cell>
          <cell r="G227">
            <v>1.236386349424937E-3</v>
          </cell>
        </row>
        <row r="228">
          <cell r="A228">
            <v>42186</v>
          </cell>
          <cell r="B228">
            <v>0</v>
          </cell>
          <cell r="C228">
            <v>258.32322317382443</v>
          </cell>
          <cell r="D228">
            <v>2.1335639482920801E-3</v>
          </cell>
          <cell r="E228">
            <v>0</v>
          </cell>
          <cell r="F228">
            <v>2.1335639482920801E-3</v>
          </cell>
          <cell r="G228">
            <v>1.236386349424937E-3</v>
          </cell>
        </row>
        <row r="229">
          <cell r="A229">
            <v>42217</v>
          </cell>
          <cell r="B229">
            <v>0</v>
          </cell>
          <cell r="C229">
            <v>258.87566157359237</v>
          </cell>
          <cell r="D229">
            <v>2.1362714659859464E-3</v>
          </cell>
          <cell r="E229">
            <v>0</v>
          </cell>
          <cell r="F229">
            <v>2.1362714659859464E-3</v>
          </cell>
          <cell r="G229">
            <v>1.236386349424937E-3</v>
          </cell>
        </row>
        <row r="230">
          <cell r="A230">
            <v>42248</v>
          </cell>
          <cell r="B230">
            <v>0</v>
          </cell>
          <cell r="C230">
            <v>259.42998378071775</v>
          </cell>
          <cell r="D230">
            <v>2.1389788957149234E-3</v>
          </cell>
          <cell r="E230">
            <v>0</v>
          </cell>
          <cell r="F230">
            <v>2.1389788957149234E-3</v>
          </cell>
          <cell r="G230">
            <v>1.236386349424937E-3</v>
          </cell>
        </row>
        <row r="231">
          <cell r="A231">
            <v>42278</v>
          </cell>
          <cell r="B231">
            <v>0</v>
          </cell>
          <cell r="C231">
            <v>259.98619681086353</v>
          </cell>
          <cell r="D231">
            <v>2.1416862374843589E-3</v>
          </cell>
          <cell r="E231">
            <v>0</v>
          </cell>
          <cell r="F231">
            <v>2.1416862374843589E-3</v>
          </cell>
          <cell r="G231">
            <v>1.236386349424937E-3</v>
          </cell>
        </row>
        <row r="232">
          <cell r="A232">
            <v>42309</v>
          </cell>
          <cell r="B232">
            <v>0</v>
          </cell>
          <cell r="C232">
            <v>260.54430770995327</v>
          </cell>
          <cell r="D232">
            <v>2.1443934913004861E-3</v>
          </cell>
          <cell r="E232">
            <v>0</v>
          </cell>
          <cell r="F232">
            <v>2.1443934913004861E-3</v>
          </cell>
          <cell r="G232">
            <v>1.236386349424937E-3</v>
          </cell>
        </row>
        <row r="233">
          <cell r="A233">
            <v>42339</v>
          </cell>
          <cell r="B233">
            <v>0</v>
          </cell>
          <cell r="C233">
            <v>261.10432355431129</v>
          </cell>
          <cell r="D233">
            <v>2.1471006571688743E-3</v>
          </cell>
          <cell r="E233">
            <v>0</v>
          </cell>
          <cell r="F233">
            <v>2.1471006571688743E-3</v>
          </cell>
          <cell r="G233">
            <v>1.236386349424937E-3</v>
          </cell>
        </row>
        <row r="234">
          <cell r="A234">
            <v>42370</v>
          </cell>
          <cell r="B234">
            <v>0</v>
          </cell>
          <cell r="C234">
            <v>261.66660561788126</v>
          </cell>
          <cell r="D234">
            <v>2.1511612410815449E-3</v>
          </cell>
          <cell r="E234">
            <v>0</v>
          </cell>
          <cell r="F234">
            <v>2.1511612410815449E-3</v>
          </cell>
          <cell r="G234">
            <v>1.236386349424937E-3</v>
          </cell>
        </row>
        <row r="235">
          <cell r="A235">
            <v>42401</v>
          </cell>
          <cell r="B235">
            <v>0</v>
          </cell>
          <cell r="C235">
            <v>262.23116330034384</v>
          </cell>
          <cell r="D235">
            <v>2.1552216271439584E-3</v>
          </cell>
          <cell r="E235">
            <v>0</v>
          </cell>
          <cell r="F235">
            <v>2.1552216271439584E-3</v>
          </cell>
          <cell r="G235">
            <v>1.236386349424937E-3</v>
          </cell>
        </row>
        <row r="236">
          <cell r="A236">
            <v>42430</v>
          </cell>
          <cell r="B236">
            <v>0</v>
          </cell>
          <cell r="C236">
            <v>262.79800604906075</v>
          </cell>
          <cell r="D236">
            <v>2.1592818153750755E-3</v>
          </cell>
          <cell r="E236">
            <v>0</v>
          </cell>
          <cell r="F236">
            <v>2.1592818153750755E-3</v>
          </cell>
          <cell r="G236">
            <v>1.236386349424937E-3</v>
          </cell>
        </row>
        <row r="237">
          <cell r="A237">
            <v>42461</v>
          </cell>
          <cell r="B237">
            <v>0</v>
          </cell>
          <cell r="C237">
            <v>263.36714335932851</v>
          </cell>
          <cell r="D237">
            <v>2.163341805794299E-3</v>
          </cell>
          <cell r="E237">
            <v>0</v>
          </cell>
          <cell r="F237">
            <v>2.163341805794299E-3</v>
          </cell>
          <cell r="G237">
            <v>1.236386349424937E-3</v>
          </cell>
        </row>
        <row r="238">
          <cell r="A238">
            <v>42491</v>
          </cell>
          <cell r="B238">
            <v>0</v>
          </cell>
          <cell r="C238">
            <v>263.93858477463385</v>
          </cell>
          <cell r="D238">
            <v>2.1674015984208105E-3</v>
          </cell>
          <cell r="E238">
            <v>0</v>
          </cell>
          <cell r="F238">
            <v>2.1674015984208105E-3</v>
          </cell>
          <cell r="G238">
            <v>1.236386349424937E-3</v>
          </cell>
        </row>
        <row r="239">
          <cell r="A239">
            <v>42522</v>
          </cell>
          <cell r="B239">
            <v>0</v>
          </cell>
          <cell r="C239">
            <v>264.51233988691047</v>
          </cell>
          <cell r="D239">
            <v>2.1714611932742343E-3</v>
          </cell>
          <cell r="E239">
            <v>0</v>
          </cell>
          <cell r="F239">
            <v>2.1714611932742343E-3</v>
          </cell>
          <cell r="G239">
            <v>1.236386349424937E-3</v>
          </cell>
        </row>
        <row r="240">
          <cell r="A240">
            <v>42552</v>
          </cell>
          <cell r="B240">
            <v>0</v>
          </cell>
          <cell r="C240">
            <v>265.0884183367973</v>
          </cell>
          <cell r="D240">
            <v>2.1755205903733073E-3</v>
          </cell>
          <cell r="E240">
            <v>0</v>
          </cell>
          <cell r="F240">
            <v>2.1755205903733073E-3</v>
          </cell>
          <cell r="G240">
            <v>1.236386349424937E-3</v>
          </cell>
        </row>
        <row r="241">
          <cell r="A241">
            <v>42583</v>
          </cell>
          <cell r="B241">
            <v>0</v>
          </cell>
          <cell r="C241">
            <v>265.66682981389863</v>
          </cell>
          <cell r="D241">
            <v>2.1795797897376525E-3</v>
          </cell>
          <cell r="E241">
            <v>0</v>
          </cell>
          <cell r="F241">
            <v>2.1795797897376525E-3</v>
          </cell>
          <cell r="G241">
            <v>1.236386349424937E-3</v>
          </cell>
        </row>
        <row r="242">
          <cell r="A242">
            <v>42614</v>
          </cell>
          <cell r="B242">
            <v>0</v>
          </cell>
          <cell r="C242">
            <v>266.24758405704523</v>
          </cell>
          <cell r="D242">
            <v>2.1836387913864498E-3</v>
          </cell>
          <cell r="E242">
            <v>0</v>
          </cell>
          <cell r="F242">
            <v>2.1836387913864498E-3</v>
          </cell>
          <cell r="G242">
            <v>1.236386349424937E-3</v>
          </cell>
        </row>
        <row r="243">
          <cell r="A243">
            <v>42644</v>
          </cell>
          <cell r="B243">
            <v>0</v>
          </cell>
          <cell r="C243">
            <v>266.83069085455759</v>
          </cell>
          <cell r="D243">
            <v>2.1876975953388782E-3</v>
          </cell>
          <cell r="E243">
            <v>0</v>
          </cell>
          <cell r="F243">
            <v>2.1876975953388782E-3</v>
          </cell>
          <cell r="G243">
            <v>1.236386349424937E-3</v>
          </cell>
        </row>
        <row r="244">
          <cell r="A244">
            <v>42675</v>
          </cell>
          <cell r="B244">
            <v>0</v>
          </cell>
          <cell r="C244">
            <v>267.41616004451021</v>
          </cell>
          <cell r="D244">
            <v>2.1917562016141165E-3</v>
          </cell>
          <cell r="E244">
            <v>0</v>
          </cell>
          <cell r="F244">
            <v>2.1917562016141165E-3</v>
          </cell>
          <cell r="G244">
            <v>1.236386349424937E-3</v>
          </cell>
        </row>
        <row r="245">
          <cell r="A245">
            <v>42705</v>
          </cell>
          <cell r="B245">
            <v>0</v>
          </cell>
          <cell r="C245">
            <v>268.00400151499792</v>
          </cell>
          <cell r="D245">
            <v>2.1958146102317865E-3</v>
          </cell>
          <cell r="E245">
            <v>0</v>
          </cell>
          <cell r="F245">
            <v>2.1958146102317865E-3</v>
          </cell>
          <cell r="G245">
            <v>1.236386349424937E-3</v>
          </cell>
        </row>
        <row r="246">
          <cell r="A246">
            <v>42736</v>
          </cell>
          <cell r="B246">
            <v>0</v>
          </cell>
          <cell r="C246">
            <v>268.59386187320274</v>
          </cell>
          <cell r="D246">
            <v>2.1985201061766155E-3</v>
          </cell>
          <cell r="E246">
            <v>0</v>
          </cell>
          <cell r="F246">
            <v>2.1985201061766155E-3</v>
          </cell>
          <cell r="G246">
            <v>1.236386349424937E-3</v>
          </cell>
        </row>
        <row r="247">
          <cell r="A247">
            <v>42767</v>
          </cell>
          <cell r="B247">
            <v>0</v>
          </cell>
          <cell r="C247">
            <v>269.18574873417532</v>
          </cell>
          <cell r="D247">
            <v>2.201225514287506E-3</v>
          </cell>
          <cell r="E247">
            <v>0</v>
          </cell>
          <cell r="F247">
            <v>2.201225514287506E-3</v>
          </cell>
          <cell r="G247">
            <v>1.236386349424937E-3</v>
          </cell>
        </row>
        <row r="248">
          <cell r="A248">
            <v>42795</v>
          </cell>
          <cell r="B248">
            <v>0</v>
          </cell>
          <cell r="C248">
            <v>269.77966974604834</v>
          </cell>
          <cell r="D248">
            <v>2.2039308345706892E-3</v>
          </cell>
          <cell r="E248">
            <v>0</v>
          </cell>
          <cell r="F248">
            <v>2.2039308345706892E-3</v>
          </cell>
          <cell r="G248">
            <v>1.236386349424937E-3</v>
          </cell>
        </row>
        <row r="249">
          <cell r="A249">
            <v>42826</v>
          </cell>
          <cell r="B249">
            <v>0</v>
          </cell>
          <cell r="C249">
            <v>270.37563259019112</v>
          </cell>
          <cell r="D249">
            <v>2.2066360670315115E-3</v>
          </cell>
          <cell r="E249">
            <v>0</v>
          </cell>
          <cell r="F249">
            <v>2.2066360670315115E-3</v>
          </cell>
          <cell r="G249">
            <v>1.236386349424937E-3</v>
          </cell>
        </row>
        <row r="250">
          <cell r="A250">
            <v>42856</v>
          </cell>
          <cell r="B250">
            <v>0</v>
          </cell>
          <cell r="C250">
            <v>270.97364498136506</v>
          </cell>
          <cell r="D250">
            <v>2.2093412116757612E-3</v>
          </cell>
          <cell r="E250">
            <v>0</v>
          </cell>
          <cell r="F250">
            <v>2.2093412116757612E-3</v>
          </cell>
          <cell r="G250">
            <v>1.236386349424937E-3</v>
          </cell>
        </row>
        <row r="251">
          <cell r="A251">
            <v>42887</v>
          </cell>
          <cell r="B251">
            <v>0</v>
          </cell>
          <cell r="C251">
            <v>271.5737146678801</v>
          </cell>
          <cell r="D251">
            <v>2.2120462685094487E-3</v>
          </cell>
          <cell r="E251">
            <v>0</v>
          </cell>
          <cell r="F251">
            <v>2.2120462685094487E-3</v>
          </cell>
          <cell r="G251">
            <v>1.236386349424937E-3</v>
          </cell>
        </row>
        <row r="252">
          <cell r="A252">
            <v>42917</v>
          </cell>
          <cell r="B252">
            <v>0</v>
          </cell>
          <cell r="C252">
            <v>272.17584943175149</v>
          </cell>
          <cell r="D252">
            <v>2.2147512375376979E-3</v>
          </cell>
          <cell r="E252">
            <v>0</v>
          </cell>
          <cell r="F252">
            <v>2.2147512375376979E-3</v>
          </cell>
          <cell r="G252">
            <v>1.236386349424937E-3</v>
          </cell>
        </row>
        <row r="253">
          <cell r="A253">
            <v>42948</v>
          </cell>
          <cell r="B253">
            <v>0</v>
          </cell>
          <cell r="C253">
            <v>272.78005708885786</v>
          </cell>
          <cell r="D253">
            <v>2.2174561187665183E-3</v>
          </cell>
          <cell r="E253">
            <v>0</v>
          </cell>
          <cell r="F253">
            <v>2.2174561187665183E-3</v>
          </cell>
          <cell r="G253">
            <v>1.236386349424937E-3</v>
          </cell>
        </row>
        <row r="254">
          <cell r="A254">
            <v>42979</v>
          </cell>
          <cell r="B254">
            <v>0</v>
          </cell>
          <cell r="C254">
            <v>273.38634548909982</v>
          </cell>
          <cell r="D254">
            <v>2.2201609122016984E-3</v>
          </cell>
          <cell r="E254">
            <v>0</v>
          </cell>
          <cell r="F254">
            <v>2.2201609122016984E-3</v>
          </cell>
          <cell r="G254">
            <v>1.236386349424937E-3</v>
          </cell>
        </row>
        <row r="255">
          <cell r="A255">
            <v>43009</v>
          </cell>
          <cell r="B255">
            <v>0</v>
          </cell>
          <cell r="C255">
            <v>273.99472251655948</v>
          </cell>
          <cell r="D255">
            <v>2.2228656178488056E-3</v>
          </cell>
          <cell r="E255">
            <v>0</v>
          </cell>
          <cell r="F255">
            <v>2.2228656178488056E-3</v>
          </cell>
          <cell r="G255">
            <v>1.236386349424937E-3</v>
          </cell>
        </row>
        <row r="256">
          <cell r="A256">
            <v>43040</v>
          </cell>
          <cell r="B256">
            <v>0</v>
          </cell>
          <cell r="C256">
            <v>274.60519608966069</v>
          </cell>
          <cell r="D256">
            <v>2.2255702357136271E-3</v>
          </cell>
          <cell r="E256">
            <v>0</v>
          </cell>
          <cell r="F256">
            <v>2.2255702357136271E-3</v>
          </cell>
          <cell r="G256">
            <v>1.236386349424937E-3</v>
          </cell>
        </row>
        <row r="257">
          <cell r="A257">
            <v>43070</v>
          </cell>
          <cell r="B257">
            <v>0</v>
          </cell>
          <cell r="C257">
            <v>275.21777416133011</v>
          </cell>
          <cell r="D257">
            <v>2.2282747658017303E-3</v>
          </cell>
          <cell r="E257">
            <v>0</v>
          </cell>
          <cell r="F257">
            <v>2.2282747658017303E-3</v>
          </cell>
          <cell r="G257">
            <v>1.236386349424937E-3</v>
          </cell>
        </row>
        <row r="258">
          <cell r="A258">
            <v>43101</v>
          </cell>
          <cell r="B258">
            <v>0</v>
          </cell>
          <cell r="C258">
            <v>275.83227822824432</v>
          </cell>
          <cell r="D258">
            <v>2.2303031057680205E-3</v>
          </cell>
          <cell r="E258">
            <v>0</v>
          </cell>
          <cell r="F258">
            <v>2.2303031057680205E-3</v>
          </cell>
          <cell r="G258">
            <v>1.236386349424937E-3</v>
          </cell>
        </row>
        <row r="259">
          <cell r="A259">
            <v>43132</v>
          </cell>
          <cell r="B259">
            <v>0</v>
          </cell>
          <cell r="C259">
            <v>276.44871507273416</v>
          </cell>
          <cell r="D259">
            <v>2.2323313963653517E-3</v>
          </cell>
          <cell r="E259">
            <v>0</v>
          </cell>
          <cell r="F259">
            <v>2.2323313963653517E-3</v>
          </cell>
          <cell r="G259">
            <v>1.236386349424937E-3</v>
          </cell>
        </row>
        <row r="260">
          <cell r="A260">
            <v>43160</v>
          </cell>
          <cell r="B260">
            <v>0</v>
          </cell>
          <cell r="C260">
            <v>277.06709150396415</v>
          </cell>
          <cell r="D260">
            <v>2.2343596375962306E-3</v>
          </cell>
          <cell r="E260">
            <v>0</v>
          </cell>
          <cell r="F260">
            <v>2.2343596375962306E-3</v>
          </cell>
          <cell r="G260">
            <v>1.236386349424937E-3</v>
          </cell>
        </row>
        <row r="261">
          <cell r="A261">
            <v>43191</v>
          </cell>
          <cell r="B261">
            <v>0</v>
          </cell>
          <cell r="C261">
            <v>277.68741435804725</v>
          </cell>
          <cell r="D261">
            <v>2.2363878294633871E-3</v>
          </cell>
          <cell r="E261">
            <v>0</v>
          </cell>
          <cell r="F261">
            <v>2.2363878294633871E-3</v>
          </cell>
          <cell r="G261">
            <v>1.236386349424937E-3</v>
          </cell>
        </row>
        <row r="262">
          <cell r="A262">
            <v>43221</v>
          </cell>
          <cell r="B262">
            <v>0</v>
          </cell>
          <cell r="C262">
            <v>278.30969049816002</v>
          </cell>
          <cell r="D262">
            <v>2.2384159719688853E-3</v>
          </cell>
          <cell r="E262">
            <v>0</v>
          </cell>
          <cell r="F262">
            <v>2.2384159719688853E-3</v>
          </cell>
          <cell r="G262">
            <v>1.236386349424937E-3</v>
          </cell>
        </row>
        <row r="263">
          <cell r="A263">
            <v>43252</v>
          </cell>
          <cell r="B263">
            <v>0</v>
          </cell>
          <cell r="C263">
            <v>278.93392681465843</v>
          </cell>
          <cell r="D263">
            <v>2.2404440651152325E-3</v>
          </cell>
          <cell r="E263">
            <v>0</v>
          </cell>
          <cell r="F263">
            <v>2.2404440651152325E-3</v>
          </cell>
          <cell r="G263">
            <v>1.236386349424937E-3</v>
          </cell>
        </row>
        <row r="264">
          <cell r="A264">
            <v>43282</v>
          </cell>
          <cell r="B264">
            <v>0</v>
          </cell>
          <cell r="C264">
            <v>279.56013022519414</v>
          </cell>
          <cell r="D264">
            <v>2.2424721089047148E-3</v>
          </cell>
          <cell r="E264">
            <v>0</v>
          </cell>
          <cell r="F264">
            <v>2.2424721089047148E-3</v>
          </cell>
          <cell r="G264">
            <v>1.236386349424937E-3</v>
          </cell>
        </row>
        <row r="265">
          <cell r="A265">
            <v>43313</v>
          </cell>
          <cell r="B265">
            <v>0</v>
          </cell>
          <cell r="C265">
            <v>280.18830767483132</v>
          </cell>
          <cell r="D265">
            <v>2.2445001033400609E-3</v>
          </cell>
          <cell r="E265">
            <v>0</v>
          </cell>
          <cell r="F265">
            <v>2.2445001033400609E-3</v>
          </cell>
          <cell r="G265">
            <v>1.236386349424937E-3</v>
          </cell>
        </row>
        <row r="266">
          <cell r="A266">
            <v>43344</v>
          </cell>
          <cell r="B266">
            <v>0</v>
          </cell>
          <cell r="C266">
            <v>280.81846613616403</v>
          </cell>
          <cell r="D266">
            <v>2.2465280484233355E-3</v>
          </cell>
          <cell r="E266">
            <v>0</v>
          </cell>
          <cell r="F266">
            <v>2.2465280484233355E-3</v>
          </cell>
          <cell r="G266">
            <v>1.236386349424937E-3</v>
          </cell>
        </row>
        <row r="267">
          <cell r="A267">
            <v>43374</v>
          </cell>
          <cell r="B267">
            <v>0</v>
          </cell>
          <cell r="C267">
            <v>281.45061260943407</v>
          </cell>
          <cell r="D267">
            <v>2.2485559441572677E-3</v>
          </cell>
          <cell r="E267">
            <v>0</v>
          </cell>
          <cell r="F267">
            <v>2.2485559441572677E-3</v>
          </cell>
          <cell r="G267">
            <v>1.236386349424937E-3</v>
          </cell>
        </row>
        <row r="268">
          <cell r="A268">
            <v>43405</v>
          </cell>
          <cell r="B268">
            <v>0</v>
          </cell>
          <cell r="C268">
            <v>282.08475412264954</v>
          </cell>
          <cell r="D268">
            <v>2.2505837905439207E-3</v>
          </cell>
          <cell r="E268">
            <v>0</v>
          </cell>
          <cell r="F268">
            <v>2.2505837905439207E-3</v>
          </cell>
          <cell r="G268">
            <v>1.236386349424937E-3</v>
          </cell>
        </row>
        <row r="269">
          <cell r="A269">
            <v>43435</v>
          </cell>
          <cell r="B269">
            <v>0</v>
          </cell>
          <cell r="C269">
            <v>282.72089773170364</v>
          </cell>
          <cell r="D269">
            <v>2.2526115875858032E-3</v>
          </cell>
          <cell r="E269">
            <v>0</v>
          </cell>
          <cell r="F269">
            <v>2.2526115875858032E-3</v>
          </cell>
          <cell r="G269">
            <v>1.236386349424937E-3</v>
          </cell>
        </row>
        <row r="270">
          <cell r="A270">
            <v>43466</v>
          </cell>
          <cell r="B270">
            <v>0</v>
          </cell>
          <cell r="C270">
            <v>283.3600081254823</v>
          </cell>
          <cell r="D270">
            <v>2.2580188051417147E-3</v>
          </cell>
          <cell r="E270">
            <v>0</v>
          </cell>
          <cell r="F270">
            <v>2.2580188051417147E-3</v>
          </cell>
          <cell r="G270">
            <v>1.236386349424937E-3</v>
          </cell>
        </row>
        <row r="271">
          <cell r="A271">
            <v>43497</v>
          </cell>
          <cell r="B271">
            <v>0</v>
          </cell>
          <cell r="C271">
            <v>284.00209883042152</v>
          </cell>
          <cell r="D271">
            <v>2.263425671864347E-3</v>
          </cell>
          <cell r="E271">
            <v>0</v>
          </cell>
          <cell r="F271">
            <v>2.263425671864347E-3</v>
          </cell>
          <cell r="G271">
            <v>1.236386349424937E-3</v>
          </cell>
        </row>
        <row r="272">
          <cell r="A272">
            <v>43525</v>
          </cell>
          <cell r="B272">
            <v>0</v>
          </cell>
          <cell r="C272">
            <v>284.64718345130666</v>
          </cell>
          <cell r="D272">
            <v>2.2688321877993322E-3</v>
          </cell>
          <cell r="E272">
            <v>0</v>
          </cell>
          <cell r="F272">
            <v>2.2688321877993322E-3</v>
          </cell>
          <cell r="G272">
            <v>1.236386349424937E-3</v>
          </cell>
        </row>
        <row r="273">
          <cell r="A273">
            <v>43556</v>
          </cell>
          <cell r="B273">
            <v>0</v>
          </cell>
          <cell r="C273">
            <v>285.29527567173841</v>
          </cell>
          <cell r="D273">
            <v>2.2742383529920783E-3</v>
          </cell>
          <cell r="E273">
            <v>0</v>
          </cell>
          <cell r="F273">
            <v>2.2742383529920783E-3</v>
          </cell>
          <cell r="G273">
            <v>1.236386349424937E-3</v>
          </cell>
        </row>
        <row r="274">
          <cell r="A274">
            <v>43586</v>
          </cell>
          <cell r="B274">
            <v>0</v>
          </cell>
          <cell r="C274">
            <v>285.9463892546018</v>
          </cell>
          <cell r="D274">
            <v>2.279644167487993E-3</v>
          </cell>
          <cell r="E274">
            <v>0</v>
          </cell>
          <cell r="F274">
            <v>2.279644167487993E-3</v>
          </cell>
          <cell r="G274">
            <v>1.236386349424937E-3</v>
          </cell>
        </row>
        <row r="275">
          <cell r="A275">
            <v>43617</v>
          </cell>
          <cell r="B275">
            <v>0</v>
          </cell>
          <cell r="C275">
            <v>286.60053804253846</v>
          </cell>
          <cell r="D275">
            <v>2.2850496313327044E-3</v>
          </cell>
          <cell r="E275">
            <v>0</v>
          </cell>
          <cell r="F275">
            <v>2.2850496313327044E-3</v>
          </cell>
          <cell r="G275">
            <v>1.236386349424937E-3</v>
          </cell>
        </row>
        <row r="276">
          <cell r="A276">
            <v>43647</v>
          </cell>
          <cell r="B276">
            <v>0</v>
          </cell>
          <cell r="C276">
            <v>287.25773595842202</v>
          </cell>
          <cell r="D276">
            <v>2.2904547445716174E-3</v>
          </cell>
          <cell r="E276">
            <v>0</v>
          </cell>
          <cell r="F276">
            <v>2.2904547445716174E-3</v>
          </cell>
          <cell r="G276">
            <v>1.236386349424937E-3</v>
          </cell>
        </row>
        <row r="277">
          <cell r="A277">
            <v>43678</v>
          </cell>
          <cell r="B277">
            <v>0</v>
          </cell>
          <cell r="C277">
            <v>287.91799700583681</v>
          </cell>
          <cell r="D277">
            <v>2.2958595072503567E-3</v>
          </cell>
          <cell r="E277">
            <v>0</v>
          </cell>
          <cell r="F277">
            <v>2.2958595072503567E-3</v>
          </cell>
          <cell r="G277">
            <v>1.236386349424937E-3</v>
          </cell>
        </row>
        <row r="278">
          <cell r="A278">
            <v>43709</v>
          </cell>
          <cell r="B278">
            <v>0</v>
          </cell>
          <cell r="C278">
            <v>288.5813352695597</v>
          </cell>
          <cell r="D278">
            <v>2.3012639194145462E-3</v>
          </cell>
          <cell r="E278">
            <v>0</v>
          </cell>
          <cell r="F278">
            <v>2.3012639194145462E-3</v>
          </cell>
          <cell r="G278">
            <v>1.236386349424937E-3</v>
          </cell>
        </row>
        <row r="279">
          <cell r="A279">
            <v>43739</v>
          </cell>
          <cell r="B279">
            <v>0</v>
          </cell>
          <cell r="C279">
            <v>289.24776491604507</v>
          </cell>
          <cell r="D279">
            <v>2.3066679811091441E-3</v>
          </cell>
          <cell r="E279">
            <v>0</v>
          </cell>
          <cell r="F279">
            <v>2.3066679811091441E-3</v>
          </cell>
          <cell r="G279">
            <v>1.236386349424937E-3</v>
          </cell>
        </row>
        <row r="280">
          <cell r="A280">
            <v>43770</v>
          </cell>
          <cell r="B280">
            <v>0</v>
          </cell>
          <cell r="C280">
            <v>289.91730019391332</v>
          </cell>
          <cell r="D280">
            <v>2.3120716923799929E-3</v>
          </cell>
          <cell r="E280">
            <v>0</v>
          </cell>
          <cell r="F280">
            <v>2.3120716923799929E-3</v>
          </cell>
          <cell r="G280">
            <v>1.236386349424937E-3</v>
          </cell>
        </row>
        <row r="281">
          <cell r="A281">
            <v>43800</v>
          </cell>
          <cell r="B281">
            <v>0</v>
          </cell>
          <cell r="C281">
            <v>290.58995543444257</v>
          </cell>
          <cell r="D281">
            <v>2.3174750532722697E-3</v>
          </cell>
          <cell r="E281">
            <v>0</v>
          </cell>
          <cell r="F281">
            <v>2.3174750532722697E-3</v>
          </cell>
          <cell r="G281">
            <v>1.236386349424937E-3</v>
          </cell>
        </row>
        <row r="282">
          <cell r="A282">
            <v>43831</v>
          </cell>
          <cell r="B282">
            <v>0</v>
          </cell>
          <cell r="C282">
            <v>291.26574505206366</v>
          </cell>
          <cell r="D282">
            <v>2.3228780638315937E-3</v>
          </cell>
          <cell r="E282">
            <v>0</v>
          </cell>
          <cell r="F282">
            <v>2.3228780638315937E-3</v>
          </cell>
          <cell r="G282">
            <v>1.236386349424937E-3</v>
          </cell>
        </row>
        <row r="283">
          <cell r="A283">
            <v>43862</v>
          </cell>
          <cell r="B283">
            <v>0</v>
          </cell>
          <cell r="C283">
            <v>291.94468354485855</v>
          </cell>
          <cell r="D283">
            <v>2.32828072410336E-3</v>
          </cell>
          <cell r="E283">
            <v>0</v>
          </cell>
          <cell r="F283">
            <v>2.32828072410336E-3</v>
          </cell>
          <cell r="G283">
            <v>1.236386349424937E-3</v>
          </cell>
        </row>
        <row r="284">
          <cell r="A284">
            <v>43891</v>
          </cell>
          <cell r="B284">
            <v>0</v>
          </cell>
          <cell r="C284">
            <v>292.62678549506199</v>
          </cell>
          <cell r="D284">
            <v>2.333683034133185E-3</v>
          </cell>
          <cell r="E284">
            <v>0</v>
          </cell>
          <cell r="F284">
            <v>2.333683034133185E-3</v>
          </cell>
          <cell r="G284">
            <v>1.236386349424937E-3</v>
          </cell>
        </row>
        <row r="285">
          <cell r="A285">
            <v>43922</v>
          </cell>
          <cell r="B285">
            <v>0</v>
          </cell>
          <cell r="C285">
            <v>293.3120655695667</v>
          </cell>
          <cell r="D285">
            <v>2.3390849939660188E-3</v>
          </cell>
          <cell r="E285">
            <v>0</v>
          </cell>
          <cell r="F285">
            <v>2.3390849939660188E-3</v>
          </cell>
          <cell r="G285">
            <v>1.236386349424937E-3</v>
          </cell>
        </row>
        <row r="286">
          <cell r="A286">
            <v>43952</v>
          </cell>
          <cell r="B286">
            <v>0</v>
          </cell>
          <cell r="C286">
            <v>294.00053852043192</v>
          </cell>
          <cell r="D286">
            <v>2.3444866036476967E-3</v>
          </cell>
          <cell r="E286">
            <v>0</v>
          </cell>
          <cell r="F286">
            <v>2.3444866036476967E-3</v>
          </cell>
          <cell r="G286">
            <v>1.236386349424937E-3</v>
          </cell>
        </row>
        <row r="287">
          <cell r="A287">
            <v>43983</v>
          </cell>
          <cell r="B287">
            <v>0</v>
          </cell>
          <cell r="C287">
            <v>294.69221918539529</v>
          </cell>
          <cell r="D287">
            <v>2.3498878632231663E-3</v>
          </cell>
          <cell r="E287">
            <v>0</v>
          </cell>
          <cell r="F287">
            <v>2.3498878632231663E-3</v>
          </cell>
          <cell r="G287">
            <v>1.236386349424937E-3</v>
          </cell>
        </row>
        <row r="288">
          <cell r="A288">
            <v>44013</v>
          </cell>
          <cell r="B288">
            <v>0</v>
          </cell>
          <cell r="C288">
            <v>295.38712248838846</v>
          </cell>
          <cell r="D288">
            <v>2.3552887727382598E-3</v>
          </cell>
          <cell r="E288">
            <v>0</v>
          </cell>
          <cell r="F288">
            <v>2.3552887727382598E-3</v>
          </cell>
          <cell r="G288">
            <v>1.236386349424937E-3</v>
          </cell>
        </row>
        <row r="289">
          <cell r="A289">
            <v>44044</v>
          </cell>
          <cell r="B289">
            <v>0</v>
          </cell>
          <cell r="C289">
            <v>296.08526344005605</v>
          </cell>
          <cell r="D289">
            <v>2.3606893322381441E-3</v>
          </cell>
          <cell r="E289">
            <v>0</v>
          </cell>
          <cell r="F289">
            <v>2.3606893322381441E-3</v>
          </cell>
          <cell r="G289">
            <v>1.236386349424937E-3</v>
          </cell>
        </row>
        <row r="290">
          <cell r="A290">
            <v>44075</v>
          </cell>
          <cell r="B290">
            <v>0</v>
          </cell>
          <cell r="C290">
            <v>296.78665713827792</v>
          </cell>
          <cell r="D290">
            <v>2.3660895417682059E-3</v>
          </cell>
          <cell r="E290">
            <v>0</v>
          </cell>
          <cell r="F290">
            <v>2.3660895417682059E-3</v>
          </cell>
          <cell r="G290">
            <v>1.236386349424937E-3</v>
          </cell>
        </row>
        <row r="291">
          <cell r="A291">
            <v>44105</v>
          </cell>
          <cell r="B291">
            <v>0</v>
          </cell>
          <cell r="C291">
            <v>297.49131876869535</v>
          </cell>
          <cell r="D291">
            <v>2.3714894013736093E-3</v>
          </cell>
          <cell r="E291">
            <v>0</v>
          </cell>
          <cell r="F291">
            <v>2.3714894013736093E-3</v>
          </cell>
          <cell r="G291">
            <v>1.236386349424937E-3</v>
          </cell>
        </row>
        <row r="292">
          <cell r="A292">
            <v>44136</v>
          </cell>
          <cell r="B292">
            <v>0</v>
          </cell>
          <cell r="C292">
            <v>298.19926360524062</v>
          </cell>
          <cell r="D292">
            <v>2.3768889111001816E-3</v>
          </cell>
          <cell r="E292">
            <v>0</v>
          </cell>
          <cell r="F292">
            <v>2.3768889111001816E-3</v>
          </cell>
          <cell r="G292">
            <v>1.236386349424937E-3</v>
          </cell>
        </row>
        <row r="293">
          <cell r="A293">
            <v>44166</v>
          </cell>
          <cell r="B293">
            <v>0</v>
          </cell>
          <cell r="C293">
            <v>298.91050701066996</v>
          </cell>
          <cell r="D293">
            <v>2.3822880709926412E-3</v>
          </cell>
          <cell r="E293">
            <v>0</v>
          </cell>
          <cell r="F293">
            <v>2.3822880709926412E-3</v>
          </cell>
          <cell r="G293">
            <v>1.236386349424937E-3</v>
          </cell>
        </row>
        <row r="294">
          <cell r="A294">
            <v>44197</v>
          </cell>
          <cell r="B294">
            <v>0</v>
          </cell>
          <cell r="C294">
            <v>299.6264797709531</v>
          </cell>
          <cell r="D294">
            <v>2.392410553037841E-3</v>
          </cell>
          <cell r="E294">
            <v>0</v>
          </cell>
          <cell r="F294">
            <v>2.392410553037841E-3</v>
          </cell>
          <cell r="G294">
            <v>1.236386349424937E-3</v>
          </cell>
        </row>
        <row r="295">
          <cell r="A295">
            <v>44228</v>
          </cell>
          <cell r="B295">
            <v>0</v>
          </cell>
          <cell r="C295">
            <v>300.34720735721476</v>
          </cell>
          <cell r="D295">
            <v>2.4025318056563457E-3</v>
          </cell>
          <cell r="E295">
            <v>0</v>
          </cell>
          <cell r="F295">
            <v>2.4025318056563457E-3</v>
          </cell>
          <cell r="G295">
            <v>1.236386349424937E-3</v>
          </cell>
        </row>
        <row r="296">
          <cell r="A296">
            <v>44256</v>
          </cell>
          <cell r="B296">
            <v>0</v>
          </cell>
          <cell r="C296">
            <v>301.07271544370531</v>
          </cell>
          <cell r="D296">
            <v>2.4126518291473797E-3</v>
          </cell>
          <cell r="E296">
            <v>0</v>
          </cell>
          <cell r="F296">
            <v>2.4126518291473797E-3</v>
          </cell>
          <cell r="G296">
            <v>1.236386349424937E-3</v>
          </cell>
        </row>
        <row r="297">
          <cell r="A297">
            <v>44287</v>
          </cell>
          <cell r="B297">
            <v>0</v>
          </cell>
          <cell r="C297">
            <v>301.80302990929499</v>
          </cell>
          <cell r="D297">
            <v>2.4227706238088226E-3</v>
          </cell>
          <cell r="E297">
            <v>0</v>
          </cell>
          <cell r="F297">
            <v>2.4227706238088226E-3</v>
          </cell>
          <cell r="G297">
            <v>1.236386349424937E-3</v>
          </cell>
        </row>
        <row r="298">
          <cell r="A298">
            <v>44317</v>
          </cell>
          <cell r="B298">
            <v>0</v>
          </cell>
          <cell r="C298">
            <v>302.53817683898308</v>
          </cell>
          <cell r="D298">
            <v>2.4328881899396454E-3</v>
          </cell>
          <cell r="E298">
            <v>0</v>
          </cell>
          <cell r="F298">
            <v>2.4328881899396454E-3</v>
          </cell>
          <cell r="G298">
            <v>1.236386349424937E-3</v>
          </cell>
        </row>
        <row r="299">
          <cell r="A299">
            <v>44348</v>
          </cell>
          <cell r="B299">
            <v>0</v>
          </cell>
          <cell r="C299">
            <v>303.2781825254196</v>
          </cell>
          <cell r="D299">
            <v>2.4430045278376958E-3</v>
          </cell>
          <cell r="E299">
            <v>0</v>
          </cell>
          <cell r="F299">
            <v>2.4430045278376958E-3</v>
          </cell>
          <cell r="G299">
            <v>1.236386349424937E-3</v>
          </cell>
        </row>
        <row r="300">
          <cell r="A300">
            <v>44378</v>
          </cell>
          <cell r="B300">
            <v>0</v>
          </cell>
          <cell r="C300">
            <v>304.02307347044194</v>
          </cell>
          <cell r="D300">
            <v>2.4531196378014711E-3</v>
          </cell>
          <cell r="E300">
            <v>0</v>
          </cell>
          <cell r="F300">
            <v>2.4531196378014711E-3</v>
          </cell>
          <cell r="G300">
            <v>1.236386349424937E-3</v>
          </cell>
        </row>
        <row r="301">
          <cell r="A301">
            <v>44409</v>
          </cell>
          <cell r="B301">
            <v>0</v>
          </cell>
          <cell r="C301">
            <v>304.77287638662494</v>
          </cell>
          <cell r="D301">
            <v>2.4632335201287864E-3</v>
          </cell>
          <cell r="E301">
            <v>0</v>
          </cell>
          <cell r="F301">
            <v>2.4632335201287864E-3</v>
          </cell>
          <cell r="G301">
            <v>1.236386349424937E-3</v>
          </cell>
        </row>
        <row r="302">
          <cell r="A302">
            <v>44440</v>
          </cell>
          <cell r="B302">
            <v>0</v>
          </cell>
          <cell r="C302">
            <v>305.52761819884523</v>
          </cell>
          <cell r="D302">
            <v>2.4733461751174426E-3</v>
          </cell>
          <cell r="E302">
            <v>0</v>
          </cell>
          <cell r="F302">
            <v>2.4733461751174426E-3</v>
          </cell>
          <cell r="G302">
            <v>1.236386349424937E-3</v>
          </cell>
        </row>
        <row r="303">
          <cell r="A303">
            <v>44470</v>
          </cell>
          <cell r="B303">
            <v>0</v>
          </cell>
          <cell r="C303">
            <v>306.28732604586014</v>
          </cell>
          <cell r="D303">
            <v>2.4834576030658886E-3</v>
          </cell>
          <cell r="E303">
            <v>0</v>
          </cell>
          <cell r="F303">
            <v>2.4834576030658886E-3</v>
          </cell>
          <cell r="G303">
            <v>1.236386349424937E-3</v>
          </cell>
        </row>
        <row r="304">
          <cell r="A304">
            <v>44501</v>
          </cell>
          <cell r="B304">
            <v>0</v>
          </cell>
          <cell r="C304">
            <v>307.05202728190045</v>
          </cell>
          <cell r="D304">
            <v>2.4935678042712281E-3</v>
          </cell>
          <cell r="E304">
            <v>0</v>
          </cell>
          <cell r="F304">
            <v>2.4935678042712281E-3</v>
          </cell>
          <cell r="G304">
            <v>1.236386349424937E-3</v>
          </cell>
        </row>
        <row r="305">
          <cell r="A305">
            <v>44531</v>
          </cell>
          <cell r="B305">
            <v>0</v>
          </cell>
          <cell r="C305">
            <v>307.82174947827838</v>
          </cell>
          <cell r="D305">
            <v>2.503676779031436E-3</v>
          </cell>
          <cell r="E305">
            <v>0</v>
          </cell>
          <cell r="F305">
            <v>2.503676779031436E-3</v>
          </cell>
          <cell r="G305">
            <v>1.236386349424937E-3</v>
          </cell>
        </row>
        <row r="306">
          <cell r="A306">
            <v>44562</v>
          </cell>
          <cell r="B306">
            <v>0</v>
          </cell>
          <cell r="C306">
            <v>308.59464894645481</v>
          </cell>
          <cell r="D306">
            <v>2.5077200255975264E-3</v>
          </cell>
          <cell r="E306">
            <v>0</v>
          </cell>
          <cell r="F306">
            <v>2.5077200255975264E-3</v>
          </cell>
          <cell r="G306">
            <v>1.236386349424937E-3</v>
          </cell>
        </row>
        <row r="307">
          <cell r="A307">
            <v>44593</v>
          </cell>
          <cell r="B307">
            <v>0</v>
          </cell>
          <cell r="C307">
            <v>309.37073986135442</v>
          </cell>
          <cell r="D307">
            <v>2.5117630759989322E-3</v>
          </cell>
          <cell r="E307">
            <v>0</v>
          </cell>
          <cell r="F307">
            <v>2.5117630759989322E-3</v>
          </cell>
          <cell r="G307">
            <v>1.236386349424937E-3</v>
          </cell>
        </row>
        <row r="308">
          <cell r="A308">
            <v>44621</v>
          </cell>
          <cell r="B308">
            <v>0</v>
          </cell>
          <cell r="C308">
            <v>310.15003647182982</v>
          </cell>
          <cell r="D308">
            <v>2.5158059302547997E-3</v>
          </cell>
          <cell r="E308">
            <v>0</v>
          </cell>
          <cell r="F308">
            <v>2.5158059302547997E-3</v>
          </cell>
          <cell r="G308">
            <v>1.236386349424937E-3</v>
          </cell>
        </row>
        <row r="309">
          <cell r="A309">
            <v>44652</v>
          </cell>
          <cell r="B309">
            <v>0</v>
          </cell>
          <cell r="C309">
            <v>310.9325531010744</v>
          </cell>
          <cell r="D309">
            <v>2.5198485883840532E-3</v>
          </cell>
          <cell r="E309">
            <v>0</v>
          </cell>
          <cell r="F309">
            <v>2.5198485883840532E-3</v>
          </cell>
          <cell r="G309">
            <v>1.236386349424937E-3</v>
          </cell>
        </row>
        <row r="310">
          <cell r="A310">
            <v>44682</v>
          </cell>
          <cell r="B310">
            <v>0</v>
          </cell>
          <cell r="C310">
            <v>311.718304147038</v>
          </cell>
          <cell r="D310">
            <v>2.5238910504060594E-3</v>
          </cell>
          <cell r="E310">
            <v>0</v>
          </cell>
          <cell r="F310">
            <v>2.5238910504060594E-3</v>
          </cell>
          <cell r="G310">
            <v>1.236386349424937E-3</v>
          </cell>
        </row>
        <row r="311">
          <cell r="A311">
            <v>44713</v>
          </cell>
          <cell r="B311">
            <v>0</v>
          </cell>
          <cell r="C311">
            <v>312.50730408284443</v>
          </cell>
          <cell r="D311">
            <v>2.5279333163392994E-3</v>
          </cell>
          <cell r="E311">
            <v>0</v>
          </cell>
          <cell r="F311">
            <v>2.5279333163392994E-3</v>
          </cell>
          <cell r="G311">
            <v>1.236386349424937E-3</v>
          </cell>
        </row>
        <row r="312">
          <cell r="A312">
            <v>44743</v>
          </cell>
          <cell r="B312">
            <v>0</v>
          </cell>
          <cell r="C312">
            <v>313.29956745721256</v>
          </cell>
          <cell r="D312">
            <v>2.5319753862033602E-3</v>
          </cell>
          <cell r="E312">
            <v>0</v>
          </cell>
          <cell r="F312">
            <v>2.5319753862033602E-3</v>
          </cell>
          <cell r="G312">
            <v>1.236386349424937E-3</v>
          </cell>
        </row>
        <row r="313">
          <cell r="A313">
            <v>44774</v>
          </cell>
          <cell r="B313">
            <v>0</v>
          </cell>
          <cell r="C313">
            <v>314.09510889487905</v>
          </cell>
          <cell r="D313">
            <v>2.5360172600167219E-3</v>
          </cell>
          <cell r="E313">
            <v>0</v>
          </cell>
          <cell r="F313">
            <v>2.5360172600167219E-3</v>
          </cell>
          <cell r="G313">
            <v>1.236386349424937E-3</v>
          </cell>
        </row>
        <row r="314">
          <cell r="A314">
            <v>44805</v>
          </cell>
          <cell r="B314">
            <v>0</v>
          </cell>
          <cell r="C314">
            <v>314.89394309702413</v>
          </cell>
          <cell r="D314">
            <v>2.5400589377989708E-3</v>
          </cell>
          <cell r="E314">
            <v>0</v>
          </cell>
          <cell r="F314">
            <v>2.5400589377989708E-3</v>
          </cell>
          <cell r="G314">
            <v>1.236386349424937E-3</v>
          </cell>
        </row>
        <row r="315">
          <cell r="A315">
            <v>44835</v>
          </cell>
          <cell r="B315">
            <v>0</v>
          </cell>
          <cell r="C315">
            <v>315.69608484169987</v>
          </cell>
          <cell r="D315">
            <v>2.5441004195685866E-3</v>
          </cell>
          <cell r="E315">
            <v>0</v>
          </cell>
          <cell r="F315">
            <v>2.5441004195685866E-3</v>
          </cell>
          <cell r="G315">
            <v>1.236386349424937E-3</v>
          </cell>
        </row>
        <row r="316">
          <cell r="A316">
            <v>44866</v>
          </cell>
          <cell r="B316">
            <v>0</v>
          </cell>
          <cell r="C316">
            <v>316.50154898426109</v>
          </cell>
          <cell r="D316">
            <v>2.5481417053449325E-3</v>
          </cell>
          <cell r="E316">
            <v>0</v>
          </cell>
          <cell r="F316">
            <v>2.5481417053449325E-3</v>
          </cell>
          <cell r="G316">
            <v>1.236386349424937E-3</v>
          </cell>
        </row>
        <row r="317">
          <cell r="A317">
            <v>44896</v>
          </cell>
          <cell r="B317">
            <v>0</v>
          </cell>
          <cell r="C317">
            <v>317.31035045779885</v>
          </cell>
          <cell r="D317">
            <v>2.5521827951467094E-3</v>
          </cell>
          <cell r="E317">
            <v>0</v>
          </cell>
          <cell r="F317">
            <v>2.5521827951467094E-3</v>
          </cell>
          <cell r="G317">
            <v>1.236386349424937E-3</v>
          </cell>
        </row>
        <row r="318">
          <cell r="A318">
            <v>44927</v>
          </cell>
          <cell r="B318">
            <v>0</v>
          </cell>
          <cell r="C318">
            <v>318.12271851746698</v>
          </cell>
          <cell r="D318">
            <v>2.5568971522511568E-3</v>
          </cell>
          <cell r="E318">
            <v>0</v>
          </cell>
          <cell r="F318">
            <v>2.5568971522511568E-3</v>
          </cell>
          <cell r="G318">
            <v>1.236386349424937E-3</v>
          </cell>
        </row>
        <row r="319">
          <cell r="A319">
            <v>44958</v>
          </cell>
          <cell r="B319">
            <v>0</v>
          </cell>
          <cell r="C319">
            <v>318.93866987868051</v>
          </cell>
          <cell r="D319">
            <v>2.5616112426687268E-3</v>
          </cell>
          <cell r="E319">
            <v>0</v>
          </cell>
          <cell r="F319">
            <v>2.5616112426687268E-3</v>
          </cell>
          <cell r="G319">
            <v>1.236386349424937E-3</v>
          </cell>
        </row>
        <row r="320">
          <cell r="A320">
            <v>44986</v>
          </cell>
          <cell r="B320">
            <v>0</v>
          </cell>
          <cell r="C320">
            <v>319.75822134978682</v>
          </cell>
          <cell r="D320">
            <v>2.5663250664294422E-3</v>
          </cell>
          <cell r="E320">
            <v>0</v>
          </cell>
          <cell r="F320">
            <v>2.5663250664294422E-3</v>
          </cell>
          <cell r="G320">
            <v>1.236386349424937E-3</v>
          </cell>
        </row>
        <row r="321">
          <cell r="A321">
            <v>45017</v>
          </cell>
          <cell r="B321">
            <v>0</v>
          </cell>
          <cell r="C321">
            <v>320.58138983261568</v>
          </cell>
          <cell r="D321">
            <v>2.5710386235637669E-3</v>
          </cell>
          <cell r="E321">
            <v>0</v>
          </cell>
          <cell r="F321">
            <v>2.5710386235637669E-3</v>
          </cell>
          <cell r="G321">
            <v>1.236386349424937E-3</v>
          </cell>
        </row>
        <row r="322">
          <cell r="A322">
            <v>45047</v>
          </cell>
          <cell r="B322">
            <v>0</v>
          </cell>
          <cell r="C322">
            <v>321.40819232303284</v>
          </cell>
          <cell r="D322">
            <v>2.5757519141017221E-3</v>
          </cell>
          <cell r="E322">
            <v>0</v>
          </cell>
          <cell r="F322">
            <v>2.5757519141017221E-3</v>
          </cell>
          <cell r="G322">
            <v>1.236386349424937E-3</v>
          </cell>
        </row>
        <row r="323">
          <cell r="A323">
            <v>45078</v>
          </cell>
          <cell r="B323">
            <v>0</v>
          </cell>
          <cell r="C323">
            <v>322.2386459114972</v>
          </cell>
          <cell r="D323">
            <v>2.580464938073328E-3</v>
          </cell>
          <cell r="E323">
            <v>0</v>
          </cell>
          <cell r="F323">
            <v>2.580464938073328E-3</v>
          </cell>
          <cell r="G323">
            <v>1.236386349424937E-3</v>
          </cell>
        </row>
        <row r="324">
          <cell r="A324">
            <v>45108</v>
          </cell>
          <cell r="B324">
            <v>0</v>
          </cell>
          <cell r="C324">
            <v>323.07276778362188</v>
          </cell>
          <cell r="D324">
            <v>2.5851776955090468E-3</v>
          </cell>
          <cell r="E324">
            <v>0</v>
          </cell>
          <cell r="F324">
            <v>2.5851776955090468E-3</v>
          </cell>
          <cell r="G324">
            <v>1.236386349424937E-3</v>
          </cell>
        </row>
        <row r="325">
          <cell r="A325">
            <v>45139</v>
          </cell>
          <cell r="B325">
            <v>0</v>
          </cell>
          <cell r="C325">
            <v>323.91057522073845</v>
          </cell>
          <cell r="D325">
            <v>2.5898901864386758E-3</v>
          </cell>
          <cell r="E325">
            <v>0</v>
          </cell>
          <cell r="F325">
            <v>2.5898901864386758E-3</v>
          </cell>
          <cell r="G325">
            <v>1.236386349424937E-3</v>
          </cell>
        </row>
        <row r="326">
          <cell r="A326">
            <v>45170</v>
          </cell>
          <cell r="B326">
            <v>0</v>
          </cell>
          <cell r="C326">
            <v>324.75208560046525</v>
          </cell>
          <cell r="D326">
            <v>2.594602410892675E-3</v>
          </cell>
          <cell r="E326">
            <v>0</v>
          </cell>
          <cell r="F326">
            <v>2.594602410892675E-3</v>
          </cell>
          <cell r="G326">
            <v>1.236386349424937E-3</v>
          </cell>
        </row>
        <row r="327">
          <cell r="A327">
            <v>45200</v>
          </cell>
          <cell r="B327">
            <v>0</v>
          </cell>
          <cell r="C327">
            <v>325.59731639727909</v>
          </cell>
          <cell r="D327">
            <v>2.5993143689008414E-3</v>
          </cell>
          <cell r="E327">
            <v>0</v>
          </cell>
          <cell r="F327">
            <v>2.5993143689008414E-3</v>
          </cell>
          <cell r="G327">
            <v>1.236386349424937E-3</v>
          </cell>
        </row>
        <row r="328">
          <cell r="A328">
            <v>45231</v>
          </cell>
          <cell r="B328">
            <v>0</v>
          </cell>
          <cell r="C328">
            <v>326.44628518309116</v>
          </cell>
          <cell r="D328">
            <v>2.6040260604936333E-3</v>
          </cell>
          <cell r="E328">
            <v>0</v>
          </cell>
          <cell r="F328">
            <v>2.6040260604936333E-3</v>
          </cell>
          <cell r="G328">
            <v>1.236386349424937E-3</v>
          </cell>
        </row>
        <row r="329">
          <cell r="A329">
            <v>45261</v>
          </cell>
          <cell r="B329">
            <v>0</v>
          </cell>
          <cell r="C329">
            <v>327.29900962782602</v>
          </cell>
          <cell r="D329">
            <v>2.6087374857010669E-3</v>
          </cell>
          <cell r="E329">
            <v>0</v>
          </cell>
          <cell r="F329">
            <v>2.6087374857010669E-3</v>
          </cell>
          <cell r="G329">
            <v>1.236386349424937E-3</v>
          </cell>
        </row>
        <row r="330">
          <cell r="A330">
            <v>45292</v>
          </cell>
          <cell r="B330">
            <v>0</v>
          </cell>
          <cell r="C330">
            <v>327.29900962782602</v>
          </cell>
          <cell r="D330">
            <v>0</v>
          </cell>
          <cell r="E330">
            <v>0</v>
          </cell>
          <cell r="F330">
            <v>0</v>
          </cell>
          <cell r="G330">
            <v>1.236386349424937E-3</v>
          </cell>
        </row>
        <row r="331">
          <cell r="A331">
            <v>45323</v>
          </cell>
          <cell r="B331">
            <v>0</v>
          </cell>
          <cell r="C331">
            <v>328.15661172887155</v>
          </cell>
          <cell r="D331">
            <v>2.6168135949609607E-3</v>
          </cell>
          <cell r="E331">
            <v>0</v>
          </cell>
          <cell r="F331">
            <v>2.6168135949609607E-3</v>
          </cell>
          <cell r="G331">
            <v>1.236386349424937E-3</v>
          </cell>
        </row>
        <row r="332">
          <cell r="A332">
            <v>45352</v>
          </cell>
          <cell r="B332">
            <v>0</v>
          </cell>
          <cell r="C332">
            <v>329.01911787974802</v>
          </cell>
          <cell r="D332">
            <v>2.6248889216142772E-3</v>
          </cell>
          <cell r="E332">
            <v>0</v>
          </cell>
          <cell r="F332">
            <v>2.6248889216142772E-3</v>
          </cell>
          <cell r="G332">
            <v>1.236386349424937E-3</v>
          </cell>
        </row>
        <row r="333">
          <cell r="A333">
            <v>45383</v>
          </cell>
          <cell r="B333">
            <v>0</v>
          </cell>
          <cell r="C333">
            <v>329.88389098741806</v>
          </cell>
          <cell r="D333">
            <v>2.6248889216142772E-3</v>
          </cell>
          <cell r="E333">
            <v>0</v>
          </cell>
          <cell r="F333">
            <v>2.6248889216142772E-3</v>
          </cell>
          <cell r="G333">
            <v>1.236386349424937E-3</v>
          </cell>
        </row>
        <row r="334">
          <cell r="A334">
            <v>45413</v>
          </cell>
          <cell r="B334">
            <v>0</v>
          </cell>
          <cell r="C334">
            <v>330.75360768404965</v>
          </cell>
          <cell r="D334">
            <v>2.6329634658125481E-3</v>
          </cell>
          <cell r="E334">
            <v>0</v>
          </cell>
          <cell r="F334">
            <v>2.6329634658125481E-3</v>
          </cell>
          <cell r="G334">
            <v>1.236386349424937E-3</v>
          </cell>
        </row>
        <row r="335">
          <cell r="A335">
            <v>45444</v>
          </cell>
          <cell r="B335">
            <v>0</v>
          </cell>
          <cell r="C335">
            <v>331.62829480735195</v>
          </cell>
          <cell r="D335">
            <v>2.6410372277075179E-3</v>
          </cell>
          <cell r="E335">
            <v>0</v>
          </cell>
          <cell r="F335">
            <v>2.6410372277075179E-3</v>
          </cell>
          <cell r="G335">
            <v>1.236386349424937E-3</v>
          </cell>
        </row>
        <row r="336">
          <cell r="A336">
            <v>45474</v>
          </cell>
          <cell r="B336">
            <v>0</v>
          </cell>
          <cell r="C336">
            <v>332.50529506510202</v>
          </cell>
          <cell r="D336">
            <v>2.6410372277075179E-3</v>
          </cell>
          <cell r="E336">
            <v>0</v>
          </cell>
          <cell r="F336">
            <v>2.6410372277075179E-3</v>
          </cell>
          <cell r="G336">
            <v>1.236386349424937E-3</v>
          </cell>
        </row>
        <row r="337">
          <cell r="A337">
            <v>45505</v>
          </cell>
          <cell r="B337">
            <v>0</v>
          </cell>
          <cell r="C337">
            <v>333.38730599255234</v>
          </cell>
          <cell r="D337">
            <v>2.6491102074507047E-3</v>
          </cell>
          <cell r="E337">
            <v>0</v>
          </cell>
          <cell r="F337">
            <v>2.6491102074507047E-3</v>
          </cell>
          <cell r="G337">
            <v>1.236386349424937E-3</v>
          </cell>
        </row>
        <row r="338">
          <cell r="A338">
            <v>45536</v>
          </cell>
          <cell r="B338">
            <v>0</v>
          </cell>
          <cell r="C338">
            <v>334.27165656176987</v>
          </cell>
          <cell r="D338">
            <v>2.6491102074507047E-3</v>
          </cell>
          <cell r="E338">
            <v>0</v>
          </cell>
          <cell r="F338">
            <v>2.6491102074507047E-3</v>
          </cell>
          <cell r="G338">
            <v>1.236386349424937E-3</v>
          </cell>
        </row>
        <row r="339">
          <cell r="A339">
            <v>45566</v>
          </cell>
          <cell r="B339">
            <v>0</v>
          </cell>
          <cell r="C339">
            <v>335.15835297894029</v>
          </cell>
          <cell r="D339">
            <v>2.6491102074507047E-3</v>
          </cell>
          <cell r="E339">
            <v>0</v>
          </cell>
          <cell r="F339">
            <v>2.6491102074507047E-3</v>
          </cell>
          <cell r="G339">
            <v>1.236386349424937E-3</v>
          </cell>
        </row>
        <row r="340">
          <cell r="A340">
            <v>45597</v>
          </cell>
          <cell r="B340">
            <v>0</v>
          </cell>
          <cell r="C340">
            <v>336.05011411873596</v>
          </cell>
          <cell r="D340">
            <v>2.6571824051933981E-3</v>
          </cell>
          <cell r="E340">
            <v>0</v>
          </cell>
          <cell r="F340">
            <v>2.6571824051933981E-3</v>
          </cell>
          <cell r="G340">
            <v>1.236386349424937E-3</v>
          </cell>
        </row>
        <row r="341">
          <cell r="A341">
            <v>45627</v>
          </cell>
          <cell r="B341">
            <v>0</v>
          </cell>
          <cell r="C341">
            <v>336.94424798152477</v>
          </cell>
          <cell r="D341">
            <v>2.6571824051933981E-3</v>
          </cell>
          <cell r="E341">
            <v>0</v>
          </cell>
          <cell r="F341">
            <v>2.6571824051933981E-3</v>
          </cell>
          <cell r="G341">
            <v>1.236386349424937E-3</v>
          </cell>
        </row>
        <row r="342">
          <cell r="A342">
            <v>45658</v>
          </cell>
          <cell r="B342">
            <v>0</v>
          </cell>
          <cell r="C342">
            <v>337.84076088044839</v>
          </cell>
          <cell r="D342">
            <v>2.6571824051933981E-3</v>
          </cell>
          <cell r="E342">
            <v>0</v>
          </cell>
          <cell r="F342">
            <v>2.6571824051933981E-3</v>
          </cell>
          <cell r="G342">
            <v>1.236386349424937E-3</v>
          </cell>
        </row>
        <row r="343">
          <cell r="A343">
            <v>45689</v>
          </cell>
          <cell r="B343">
            <v>0</v>
          </cell>
          <cell r="C343">
            <v>338.7396591454459</v>
          </cell>
          <cell r="D343">
            <v>2.6571824051933981E-3</v>
          </cell>
          <cell r="E343">
            <v>0</v>
          </cell>
          <cell r="F343">
            <v>2.6571824051933981E-3</v>
          </cell>
          <cell r="G343">
            <v>1.236386349424937E-3</v>
          </cell>
        </row>
        <row r="344">
          <cell r="A344">
            <v>45717</v>
          </cell>
          <cell r="B344">
            <v>0</v>
          </cell>
          <cell r="C344">
            <v>339.64094912329864</v>
          </cell>
          <cell r="D344">
            <v>2.6571824051933981E-3</v>
          </cell>
          <cell r="E344">
            <v>0</v>
          </cell>
          <cell r="F344">
            <v>2.6571824051933981E-3</v>
          </cell>
          <cell r="G344">
            <v>1.236386349424937E-3</v>
          </cell>
        </row>
        <row r="345">
          <cell r="A345">
            <v>45748</v>
          </cell>
          <cell r="B345">
            <v>0</v>
          </cell>
          <cell r="C345">
            <v>340.54463717767487</v>
          </cell>
          <cell r="D345">
            <v>2.6571824051933981E-3</v>
          </cell>
          <cell r="E345">
            <v>0</v>
          </cell>
          <cell r="F345">
            <v>2.6571824051933981E-3</v>
          </cell>
          <cell r="G345">
            <v>1.236386349424937E-3</v>
          </cell>
        </row>
        <row r="346">
          <cell r="A346">
            <v>45778</v>
          </cell>
          <cell r="B346">
            <v>0</v>
          </cell>
          <cell r="C346">
            <v>341.45072968917481</v>
          </cell>
          <cell r="D346">
            <v>2.6571824051933981E-3</v>
          </cell>
          <cell r="E346">
            <v>0</v>
          </cell>
          <cell r="F346">
            <v>2.6571824051933981E-3</v>
          </cell>
          <cell r="G346">
            <v>1.236386349424937E-3</v>
          </cell>
        </row>
        <row r="347">
          <cell r="A347">
            <v>45809</v>
          </cell>
          <cell r="B347">
            <v>0</v>
          </cell>
          <cell r="C347">
            <v>342.35923305537563</v>
          </cell>
          <cell r="D347">
            <v>2.6571824051933981E-3</v>
          </cell>
          <cell r="E347">
            <v>0</v>
          </cell>
          <cell r="F347">
            <v>2.6571824051933981E-3</v>
          </cell>
          <cell r="G347">
            <v>1.236386349424937E-3</v>
          </cell>
        </row>
        <row r="348">
          <cell r="A348">
            <v>45839</v>
          </cell>
          <cell r="B348">
            <v>0</v>
          </cell>
          <cell r="C348">
            <v>343.27015369087661</v>
          </cell>
          <cell r="D348">
            <v>2.6571824051933981E-3</v>
          </cell>
          <cell r="E348">
            <v>0</v>
          </cell>
          <cell r="F348">
            <v>2.6571824051933981E-3</v>
          </cell>
          <cell r="G348">
            <v>1.236386349424937E-3</v>
          </cell>
        </row>
        <row r="349">
          <cell r="A349">
            <v>45870</v>
          </cell>
          <cell r="B349">
            <v>0</v>
          </cell>
          <cell r="C349">
            <v>344.18349802734451</v>
          </cell>
          <cell r="D349">
            <v>2.6571824051933981E-3</v>
          </cell>
          <cell r="E349">
            <v>0</v>
          </cell>
          <cell r="F349">
            <v>2.6571824051933981E-3</v>
          </cell>
          <cell r="G349">
            <v>1.236386349424937E-3</v>
          </cell>
        </row>
        <row r="350">
          <cell r="A350">
            <v>45901</v>
          </cell>
          <cell r="B350">
            <v>0</v>
          </cell>
          <cell r="C350">
            <v>345.09927251355884</v>
          </cell>
          <cell r="D350">
            <v>2.6571824051933981E-3</v>
          </cell>
          <cell r="E350">
            <v>0</v>
          </cell>
          <cell r="F350">
            <v>2.6571824051933981E-3</v>
          </cell>
          <cell r="G350">
            <v>1.236386349424937E-3</v>
          </cell>
        </row>
        <row r="351">
          <cell r="A351">
            <v>45931</v>
          </cell>
          <cell r="B351">
            <v>0</v>
          </cell>
          <cell r="C351">
            <v>346.01748361545759</v>
          </cell>
          <cell r="D351">
            <v>2.6571824051933981E-3</v>
          </cell>
          <cell r="E351">
            <v>0</v>
          </cell>
          <cell r="F351">
            <v>2.6571824051933981E-3</v>
          </cell>
          <cell r="G351">
            <v>1.236386349424937E-3</v>
          </cell>
        </row>
        <row r="352">
          <cell r="A352">
            <v>45962</v>
          </cell>
          <cell r="B352">
            <v>0</v>
          </cell>
          <cell r="C352">
            <v>346.93813781618269</v>
          </cell>
          <cell r="D352">
            <v>2.6571824051933981E-3</v>
          </cell>
          <cell r="E352">
            <v>0</v>
          </cell>
          <cell r="F352">
            <v>2.6571824051933981E-3</v>
          </cell>
          <cell r="G352">
            <v>1.236386349424937E-3</v>
          </cell>
        </row>
        <row r="353">
          <cell r="A353">
            <v>45992</v>
          </cell>
          <cell r="B353">
            <v>0</v>
          </cell>
          <cell r="C353">
            <v>347.86124161612588</v>
          </cell>
          <cell r="D353">
            <v>2.6571824051933981E-3</v>
          </cell>
          <cell r="E353">
            <v>0</v>
          </cell>
          <cell r="F353">
            <v>2.6571824051933981E-3</v>
          </cell>
          <cell r="G353">
            <v>1.236386349424937E-3</v>
          </cell>
        </row>
        <row r="354">
          <cell r="A354">
            <v>46023</v>
          </cell>
          <cell r="B354">
            <v>0</v>
          </cell>
          <cell r="C354">
            <v>348.78680153297461</v>
          </cell>
          <cell r="D354">
            <v>2.6571824051933981E-3</v>
          </cell>
          <cell r="E354">
            <v>0</v>
          </cell>
          <cell r="F354">
            <v>2.6571824051933981E-3</v>
          </cell>
          <cell r="G354">
            <v>1.236386349424937E-3</v>
          </cell>
        </row>
        <row r="355">
          <cell r="A355">
            <v>46054</v>
          </cell>
          <cell r="B355">
            <v>0</v>
          </cell>
          <cell r="C355">
            <v>349.71482410175804</v>
          </cell>
          <cell r="D355">
            <v>2.6571824051933981E-3</v>
          </cell>
          <cell r="E355">
            <v>0</v>
          </cell>
          <cell r="F355">
            <v>2.6571824051933981E-3</v>
          </cell>
          <cell r="G355">
            <v>1.236386349424937E-3</v>
          </cell>
        </row>
        <row r="356">
          <cell r="A356">
            <v>46082</v>
          </cell>
          <cell r="B356">
            <v>0</v>
          </cell>
          <cell r="C356">
            <v>350.64531587489319</v>
          </cell>
          <cell r="D356">
            <v>2.6571824051933981E-3</v>
          </cell>
          <cell r="E356">
            <v>0</v>
          </cell>
          <cell r="F356">
            <v>2.6571824051933981E-3</v>
          </cell>
          <cell r="G356">
            <v>1.236386349424937E-3</v>
          </cell>
        </row>
        <row r="357">
          <cell r="A357">
            <v>46113</v>
          </cell>
          <cell r="B357">
            <v>0</v>
          </cell>
          <cell r="C357">
            <v>351.57828342223121</v>
          </cell>
          <cell r="D357">
            <v>2.6571824051933981E-3</v>
          </cell>
          <cell r="E357">
            <v>0</v>
          </cell>
          <cell r="F357">
            <v>2.6571824051933981E-3</v>
          </cell>
          <cell r="G357">
            <v>1.236386349424937E-3</v>
          </cell>
        </row>
        <row r="358">
          <cell r="A358">
            <v>46143</v>
          </cell>
          <cell r="B358">
            <v>0</v>
          </cell>
          <cell r="C358">
            <v>352.51373333110377</v>
          </cell>
          <cell r="D358">
            <v>2.6571824051933981E-3</v>
          </cell>
          <cell r="E358">
            <v>0</v>
          </cell>
          <cell r="F358">
            <v>2.6571824051933981E-3</v>
          </cell>
          <cell r="G358">
            <v>1.236386349424937E-3</v>
          </cell>
        </row>
        <row r="359">
          <cell r="A359">
            <v>46174</v>
          </cell>
          <cell r="B359">
            <v>0</v>
          </cell>
          <cell r="C359">
            <v>353.45167220636949</v>
          </cell>
          <cell r="D359">
            <v>2.6571824051933981E-3</v>
          </cell>
          <cell r="E359">
            <v>0</v>
          </cell>
          <cell r="F359">
            <v>2.6571824051933981E-3</v>
          </cell>
          <cell r="G359">
            <v>1.236386349424937E-3</v>
          </cell>
        </row>
        <row r="360">
          <cell r="A360">
            <v>46204</v>
          </cell>
          <cell r="B360">
            <v>0</v>
          </cell>
          <cell r="C360">
            <v>354.39210667046069</v>
          </cell>
          <cell r="D360">
            <v>2.6571824051933981E-3</v>
          </cell>
          <cell r="E360">
            <v>0</v>
          </cell>
          <cell r="F360">
            <v>2.6571824051933981E-3</v>
          </cell>
          <cell r="G360">
            <v>1.236386349424937E-3</v>
          </cell>
        </row>
        <row r="361">
          <cell r="A361">
            <v>46235</v>
          </cell>
          <cell r="B361">
            <v>0</v>
          </cell>
          <cell r="C361">
            <v>355.33504336343015</v>
          </cell>
          <cell r="D361">
            <v>2.6571824051933981E-3</v>
          </cell>
          <cell r="E361">
            <v>0</v>
          </cell>
          <cell r="F361">
            <v>2.6571824051933981E-3</v>
          </cell>
          <cell r="G361">
            <v>1.236386349424937E-3</v>
          </cell>
        </row>
        <row r="362">
          <cell r="A362">
            <v>46266</v>
          </cell>
          <cell r="B362">
            <v>0</v>
          </cell>
          <cell r="C362">
            <v>356.28048894299781</v>
          </cell>
          <cell r="D362">
            <v>2.6571824051933981E-3</v>
          </cell>
          <cell r="E362">
            <v>0</v>
          </cell>
          <cell r="F362">
            <v>2.6571824051933981E-3</v>
          </cell>
          <cell r="G362">
            <v>1.236386349424937E-3</v>
          </cell>
        </row>
        <row r="363">
          <cell r="A363">
            <v>46296</v>
          </cell>
          <cell r="B363">
            <v>0</v>
          </cell>
          <cell r="C363">
            <v>357.22845008459808</v>
          </cell>
          <cell r="D363">
            <v>2.6571824051933981E-3</v>
          </cell>
          <cell r="E363">
            <v>0</v>
          </cell>
          <cell r="F363">
            <v>2.6571824051933981E-3</v>
          </cell>
          <cell r="G363">
            <v>1.236386349424937E-3</v>
          </cell>
        </row>
        <row r="364">
          <cell r="A364">
            <v>46327</v>
          </cell>
          <cell r="B364">
            <v>0</v>
          </cell>
          <cell r="C364">
            <v>358.17893348142667</v>
          </cell>
          <cell r="D364">
            <v>2.6571824051933981E-3</v>
          </cell>
          <cell r="E364">
            <v>0</v>
          </cell>
          <cell r="F364">
            <v>2.6571824051933981E-3</v>
          </cell>
          <cell r="G364">
            <v>1.236386349424937E-3</v>
          </cell>
        </row>
        <row r="365">
          <cell r="A365">
            <v>46357</v>
          </cell>
          <cell r="B365">
            <v>0</v>
          </cell>
          <cell r="C365">
            <v>359.13194584448797</v>
          </cell>
          <cell r="D365">
            <v>2.6571824051933981E-3</v>
          </cell>
          <cell r="E365">
            <v>0</v>
          </cell>
          <cell r="F365">
            <v>2.6571824051933981E-3</v>
          </cell>
          <cell r="G365">
            <v>1.236386349424937E-3</v>
          </cell>
        </row>
        <row r="366">
          <cell r="A366">
            <v>46388</v>
          </cell>
          <cell r="B366">
            <v>0</v>
          </cell>
          <cell r="C366">
            <v>360.08749390264256</v>
          </cell>
          <cell r="D366">
            <v>2.6571824051933981E-3</v>
          </cell>
          <cell r="E366">
            <v>0</v>
          </cell>
          <cell r="F366">
            <v>2.6571824051933981E-3</v>
          </cell>
          <cell r="G366">
            <v>1.236386349424937E-3</v>
          </cell>
        </row>
        <row r="367">
          <cell r="A367">
            <v>46419</v>
          </cell>
          <cell r="B367">
            <v>0</v>
          </cell>
          <cell r="C367">
            <v>361.04558440265458</v>
          </cell>
          <cell r="D367">
            <v>2.6571824051933981E-3</v>
          </cell>
          <cell r="E367">
            <v>0</v>
          </cell>
          <cell r="F367">
            <v>2.6571824051933981E-3</v>
          </cell>
          <cell r="G367">
            <v>1.236386349424937E-3</v>
          </cell>
        </row>
        <row r="368">
          <cell r="A368">
            <v>46447</v>
          </cell>
          <cell r="B368">
            <v>0</v>
          </cell>
          <cell r="C368">
            <v>362.00622410923933</v>
          </cell>
          <cell r="D368">
            <v>2.6571824051933981E-3</v>
          </cell>
          <cell r="E368">
            <v>0</v>
          </cell>
          <cell r="F368">
            <v>2.6571824051933981E-3</v>
          </cell>
          <cell r="G368">
            <v>1.236386349424937E-3</v>
          </cell>
        </row>
        <row r="369">
          <cell r="A369">
            <v>46478</v>
          </cell>
          <cell r="B369">
            <v>0</v>
          </cell>
          <cell r="C369">
            <v>362.9694198051111</v>
          </cell>
          <cell r="D369">
            <v>2.6571824051933981E-3</v>
          </cell>
          <cell r="E369">
            <v>0</v>
          </cell>
          <cell r="F369">
            <v>2.6571824051933981E-3</v>
          </cell>
          <cell r="G369">
            <v>1.236386349424937E-3</v>
          </cell>
        </row>
        <row r="370">
          <cell r="A370">
            <v>46508</v>
          </cell>
          <cell r="B370">
            <v>0</v>
          </cell>
          <cell r="C370">
            <v>363.93517829103109</v>
          </cell>
          <cell r="D370">
            <v>2.6571824051933981E-3</v>
          </cell>
          <cell r="E370">
            <v>0</v>
          </cell>
          <cell r="F370">
            <v>2.6571824051933981E-3</v>
          </cell>
          <cell r="G370">
            <v>1.236386349424937E-3</v>
          </cell>
        </row>
        <row r="371">
          <cell r="A371">
            <v>46539</v>
          </cell>
          <cell r="B371">
            <v>0</v>
          </cell>
          <cell r="C371">
            <v>364.90350638585545</v>
          </cell>
          <cell r="D371">
            <v>2.6571824051933981E-3</v>
          </cell>
          <cell r="E371">
            <v>0</v>
          </cell>
          <cell r="F371">
            <v>2.6571824051933981E-3</v>
          </cell>
          <cell r="G371">
            <v>1.236386349424937E-3</v>
          </cell>
        </row>
        <row r="372">
          <cell r="A372">
            <v>46569</v>
          </cell>
          <cell r="B372">
            <v>0</v>
          </cell>
          <cell r="C372">
            <v>365.87441092658321</v>
          </cell>
          <cell r="D372">
            <v>2.6571824051933981E-3</v>
          </cell>
          <cell r="E372">
            <v>0</v>
          </cell>
          <cell r="F372">
            <v>2.6571824051933981E-3</v>
          </cell>
          <cell r="G372">
            <v>1.236386349424937E-3</v>
          </cell>
        </row>
        <row r="373">
          <cell r="A373">
            <v>46600</v>
          </cell>
          <cell r="B373">
            <v>0</v>
          </cell>
          <cell r="C373">
            <v>366.84789876840489</v>
          </cell>
          <cell r="D373">
            <v>2.6571824051933981E-3</v>
          </cell>
          <cell r="E373">
            <v>0</v>
          </cell>
          <cell r="F373">
            <v>2.6571824051933981E-3</v>
          </cell>
          <cell r="G373">
            <v>1.236386349424937E-3</v>
          </cell>
        </row>
        <row r="374">
          <cell r="A374">
            <v>46631</v>
          </cell>
          <cell r="B374">
            <v>0</v>
          </cell>
          <cell r="C374">
            <v>367.82397678475058</v>
          </cell>
          <cell r="D374">
            <v>2.6571824051933981E-3</v>
          </cell>
          <cell r="E374">
            <v>0</v>
          </cell>
          <cell r="F374">
            <v>2.6571824051933981E-3</v>
          </cell>
          <cell r="G374">
            <v>1.236386349424937E-3</v>
          </cell>
        </row>
        <row r="375">
          <cell r="A375">
            <v>46661</v>
          </cell>
          <cell r="B375">
            <v>0</v>
          </cell>
          <cell r="C375">
            <v>368.80265186733868</v>
          </cell>
          <cell r="D375">
            <v>2.6571824051933981E-3</v>
          </cell>
          <cell r="E375">
            <v>0</v>
          </cell>
          <cell r="F375">
            <v>2.6571824051933981E-3</v>
          </cell>
          <cell r="G375">
            <v>1.236386349424937E-3</v>
          </cell>
        </row>
        <row r="376">
          <cell r="A376">
            <v>46692</v>
          </cell>
          <cell r="B376">
            <v>0</v>
          </cell>
          <cell r="C376">
            <v>369.78393092622451</v>
          </cell>
          <cell r="D376">
            <v>2.6571824051933981E-3</v>
          </cell>
          <cell r="E376">
            <v>0</v>
          </cell>
          <cell r="F376">
            <v>2.6571824051933981E-3</v>
          </cell>
          <cell r="G376">
            <v>1.236386349424937E-3</v>
          </cell>
        </row>
        <row r="377">
          <cell r="A377">
            <v>46722</v>
          </cell>
          <cell r="B377">
            <v>0</v>
          </cell>
          <cell r="C377">
            <v>370.76782088984902</v>
          </cell>
          <cell r="D377">
            <v>2.6571824051933981E-3</v>
          </cell>
          <cell r="E377">
            <v>0</v>
          </cell>
          <cell r="F377">
            <v>2.6571824051933981E-3</v>
          </cell>
          <cell r="G377">
            <v>1.236386349424937E-3</v>
          </cell>
        </row>
        <row r="378">
          <cell r="A378">
            <v>46753</v>
          </cell>
          <cell r="B378">
            <v>0</v>
          </cell>
          <cell r="C378">
            <v>371.75432870508786</v>
          </cell>
          <cell r="D378">
            <v>2.6571824051933981E-3</v>
          </cell>
          <cell r="E378">
            <v>0</v>
          </cell>
          <cell r="F378">
            <v>2.6571824051933981E-3</v>
          </cell>
          <cell r="G378">
            <v>1.236386349424937E-3</v>
          </cell>
        </row>
        <row r="379">
          <cell r="A379">
            <v>46784</v>
          </cell>
          <cell r="B379">
            <v>0</v>
          </cell>
          <cell r="C379">
            <v>372.74346133730029</v>
          </cell>
          <cell r="D379">
            <v>2.6571824051933981E-3</v>
          </cell>
          <cell r="E379">
            <v>0</v>
          </cell>
          <cell r="F379">
            <v>2.6571824051933981E-3</v>
          </cell>
          <cell r="G379">
            <v>1.236386349424937E-3</v>
          </cell>
        </row>
        <row r="380">
          <cell r="A380">
            <v>46813</v>
          </cell>
          <cell r="B380">
            <v>0</v>
          </cell>
          <cell r="C380">
            <v>373.73522577037835</v>
          </cell>
          <cell r="D380">
            <v>2.6571824051933981E-3</v>
          </cell>
          <cell r="E380">
            <v>0</v>
          </cell>
          <cell r="F380">
            <v>2.6571824051933981E-3</v>
          </cell>
          <cell r="G380">
            <v>1.236386349424937E-3</v>
          </cell>
        </row>
        <row r="381">
          <cell r="A381">
            <v>46844</v>
          </cell>
          <cell r="B381">
            <v>0</v>
          </cell>
          <cell r="C381">
            <v>374.72962900679636</v>
          </cell>
          <cell r="D381">
            <v>2.6571824051933981E-3</v>
          </cell>
          <cell r="E381">
            <v>0</v>
          </cell>
          <cell r="F381">
            <v>2.6571824051933981E-3</v>
          </cell>
          <cell r="G381">
            <v>1.236386349424937E-3</v>
          </cell>
        </row>
        <row r="382">
          <cell r="A382">
            <v>46874</v>
          </cell>
          <cell r="B382">
            <v>0</v>
          </cell>
          <cell r="C382">
            <v>375.7266780676602</v>
          </cell>
          <cell r="D382">
            <v>2.6571824051933981E-3</v>
          </cell>
          <cell r="E382">
            <v>0</v>
          </cell>
          <cell r="F382">
            <v>2.6571824051933981E-3</v>
          </cell>
          <cell r="G382">
            <v>1.236386349424937E-3</v>
          </cell>
        </row>
        <row r="383">
          <cell r="A383">
            <v>46905</v>
          </cell>
          <cell r="B383">
            <v>0</v>
          </cell>
          <cell r="C383">
            <v>376.72637999275685</v>
          </cell>
          <cell r="D383">
            <v>2.6571824051933981E-3</v>
          </cell>
          <cell r="E383">
            <v>0</v>
          </cell>
          <cell r="F383">
            <v>2.6571824051933981E-3</v>
          </cell>
          <cell r="G383">
            <v>1.236386349424937E-3</v>
          </cell>
        </row>
        <row r="384">
          <cell r="A384">
            <v>46935</v>
          </cell>
          <cell r="B384">
            <v>0</v>
          </cell>
          <cell r="C384">
            <v>377.72874184060419</v>
          </cell>
          <cell r="D384">
            <v>2.6571824051933981E-3</v>
          </cell>
          <cell r="E384">
            <v>0</v>
          </cell>
          <cell r="F384">
            <v>2.6571824051933981E-3</v>
          </cell>
          <cell r="G384">
            <v>1.236386349424937E-3</v>
          </cell>
        </row>
        <row r="385">
          <cell r="A385">
            <v>46966</v>
          </cell>
          <cell r="B385">
            <v>0</v>
          </cell>
          <cell r="C385">
            <v>378.73377068850084</v>
          </cell>
          <cell r="D385">
            <v>2.6571824051933981E-3</v>
          </cell>
          <cell r="E385">
            <v>0</v>
          </cell>
          <cell r="F385">
            <v>2.6571824051933981E-3</v>
          </cell>
          <cell r="G385">
            <v>1.236386349424937E-3</v>
          </cell>
        </row>
        <row r="386">
          <cell r="A386">
            <v>46997</v>
          </cell>
          <cell r="B386">
            <v>0</v>
          </cell>
          <cell r="C386">
            <v>379.74147363257612</v>
          </cell>
          <cell r="D386">
            <v>2.6571824051933981E-3</v>
          </cell>
          <cell r="E386">
            <v>0</v>
          </cell>
          <cell r="F386">
            <v>2.6571824051933981E-3</v>
          </cell>
          <cell r="G386">
            <v>1.236386349424937E-3</v>
          </cell>
        </row>
        <row r="387">
          <cell r="A387">
            <v>47027</v>
          </cell>
          <cell r="B387">
            <v>0</v>
          </cell>
          <cell r="C387">
            <v>380.75185778784009</v>
          </cell>
          <cell r="D387">
            <v>2.6571824051933981E-3</v>
          </cell>
          <cell r="E387">
            <v>0</v>
          </cell>
          <cell r="F387">
            <v>2.6571824051933981E-3</v>
          </cell>
          <cell r="G387">
            <v>1.236386349424937E-3</v>
          </cell>
        </row>
        <row r="388">
          <cell r="A388">
            <v>47058</v>
          </cell>
          <cell r="B388">
            <v>0</v>
          </cell>
          <cell r="C388">
            <v>381.76493028823381</v>
          </cell>
          <cell r="D388">
            <v>2.6571824051933981E-3</v>
          </cell>
          <cell r="E388">
            <v>0</v>
          </cell>
          <cell r="F388">
            <v>2.6571824051933981E-3</v>
          </cell>
          <cell r="G388">
            <v>1.236386349424937E-3</v>
          </cell>
        </row>
        <row r="389">
          <cell r="A389">
            <v>47088</v>
          </cell>
          <cell r="B389">
            <v>0</v>
          </cell>
          <cell r="C389">
            <v>382.78069828667975</v>
          </cell>
          <cell r="D389">
            <v>2.6571824051933981E-3</v>
          </cell>
          <cell r="E389">
            <v>0</v>
          </cell>
          <cell r="F389">
            <v>2.6571824051933981E-3</v>
          </cell>
          <cell r="G389">
            <v>1.236386349424937E-3</v>
          </cell>
        </row>
        <row r="390">
          <cell r="A390">
            <v>47119</v>
          </cell>
          <cell r="B390">
            <v>0</v>
          </cell>
          <cell r="C390">
            <v>383.7991689551323</v>
          </cell>
          <cell r="D390">
            <v>2.6571824051933981E-3</v>
          </cell>
          <cell r="E390">
            <v>0</v>
          </cell>
          <cell r="F390">
            <v>2.6571824051933981E-3</v>
          </cell>
          <cell r="G390">
            <v>1.236386349424937E-3</v>
          </cell>
        </row>
        <row r="391">
          <cell r="A391">
            <v>47150</v>
          </cell>
          <cell r="B391">
            <v>0</v>
          </cell>
          <cell r="C391">
            <v>384.82034948462837</v>
          </cell>
          <cell r="D391">
            <v>2.6571824051933981E-3</v>
          </cell>
          <cell r="E391">
            <v>0</v>
          </cell>
          <cell r="F391">
            <v>2.6571824051933981E-3</v>
          </cell>
          <cell r="G391">
            <v>1.236386349424937E-3</v>
          </cell>
        </row>
        <row r="392">
          <cell r="A392">
            <v>47178</v>
          </cell>
          <cell r="B392">
            <v>0</v>
          </cell>
          <cell r="C392">
            <v>385.84424708533817</v>
          </cell>
          <cell r="D392">
            <v>2.6571824051933981E-3</v>
          </cell>
          <cell r="E392">
            <v>0</v>
          </cell>
          <cell r="F392">
            <v>2.6571824051933981E-3</v>
          </cell>
          <cell r="G392">
            <v>1.236386349424937E-3</v>
          </cell>
        </row>
        <row r="393">
          <cell r="A393">
            <v>47209</v>
          </cell>
          <cell r="B393">
            <v>0</v>
          </cell>
          <cell r="C393">
            <v>386.87086898661613</v>
          </cell>
          <cell r="D393">
            <v>2.6571824051933981E-3</v>
          </cell>
          <cell r="E393">
            <v>0</v>
          </cell>
          <cell r="F393">
            <v>2.6571824051933981E-3</v>
          </cell>
          <cell r="G393">
            <v>1.236386349424937E-3</v>
          </cell>
        </row>
        <row r="394">
          <cell r="A394">
            <v>47239</v>
          </cell>
          <cell r="B394">
            <v>0</v>
          </cell>
          <cell r="C394">
            <v>387.90022243705192</v>
          </cell>
          <cell r="D394">
            <v>2.6571824051933981E-3</v>
          </cell>
          <cell r="E394">
            <v>0</v>
          </cell>
          <cell r="F394">
            <v>2.6571824051933981E-3</v>
          </cell>
          <cell r="G394">
            <v>1.236386349424937E-3</v>
          </cell>
        </row>
        <row r="395">
          <cell r="A395">
            <v>47270</v>
          </cell>
          <cell r="B395">
            <v>0</v>
          </cell>
          <cell r="C395">
            <v>388.93231470452167</v>
          </cell>
          <cell r="D395">
            <v>2.6571824051933981E-3</v>
          </cell>
          <cell r="E395">
            <v>0</v>
          </cell>
          <cell r="F395">
            <v>2.6571824051933981E-3</v>
          </cell>
          <cell r="G395">
            <v>1.236386349424937E-3</v>
          </cell>
        </row>
        <row r="396">
          <cell r="A396">
            <v>47300</v>
          </cell>
          <cell r="B396">
            <v>0</v>
          </cell>
          <cell r="C396">
            <v>389.9671530762393</v>
          </cell>
          <cell r="D396">
            <v>2.6571824051933981E-3</v>
          </cell>
          <cell r="E396">
            <v>0</v>
          </cell>
          <cell r="F396">
            <v>2.6571824051933981E-3</v>
          </cell>
          <cell r="G396">
            <v>1.236386349424937E-3</v>
          </cell>
        </row>
        <row r="397">
          <cell r="A397">
            <v>47331</v>
          </cell>
          <cell r="B397">
            <v>0</v>
          </cell>
          <cell r="C397">
            <v>391.00474485880784</v>
          </cell>
          <cell r="D397">
            <v>2.6571824051933981E-3</v>
          </cell>
          <cell r="E397">
            <v>0</v>
          </cell>
          <cell r="F397">
            <v>2.6571824051933981E-3</v>
          </cell>
          <cell r="G397">
            <v>1.236386349424937E-3</v>
          </cell>
        </row>
        <row r="398">
          <cell r="A398">
            <v>47362</v>
          </cell>
          <cell r="B398">
            <v>0</v>
          </cell>
          <cell r="C398">
            <v>392.04509737827118</v>
          </cell>
          <cell r="D398">
            <v>2.6571824051933981E-3</v>
          </cell>
          <cell r="E398">
            <v>0</v>
          </cell>
          <cell r="F398">
            <v>2.6571824051933981E-3</v>
          </cell>
          <cell r="G398">
            <v>1.236386349424937E-3</v>
          </cell>
        </row>
        <row r="399">
          <cell r="A399">
            <v>47392</v>
          </cell>
          <cell r="B399">
            <v>0</v>
          </cell>
          <cell r="C399">
            <v>393.08821798016567</v>
          </cell>
          <cell r="D399">
            <v>2.6571824051933981E-3</v>
          </cell>
          <cell r="E399">
            <v>0</v>
          </cell>
          <cell r="F399">
            <v>2.6571824051933981E-3</v>
          </cell>
          <cell r="G399">
            <v>1.236386349424937E-3</v>
          </cell>
        </row>
        <row r="400">
          <cell r="A400">
            <v>47423</v>
          </cell>
          <cell r="B400">
            <v>0</v>
          </cell>
          <cell r="C400">
            <v>394.13411402957212</v>
          </cell>
          <cell r="D400">
            <v>2.6571824051933981E-3</v>
          </cell>
          <cell r="E400">
            <v>0</v>
          </cell>
          <cell r="F400">
            <v>2.6571824051933981E-3</v>
          </cell>
          <cell r="G400">
            <v>1.236386349424937E-3</v>
          </cell>
        </row>
        <row r="401">
          <cell r="A401">
            <v>47453</v>
          </cell>
          <cell r="B401">
            <v>0</v>
          </cell>
          <cell r="C401">
            <v>395.18279291116772</v>
          </cell>
          <cell r="D401">
            <v>2.6571824051933981E-3</v>
          </cell>
          <cell r="E401">
            <v>0</v>
          </cell>
          <cell r="F401">
            <v>2.6571824051933981E-3</v>
          </cell>
          <cell r="G401">
            <v>1.236386349424937E-3</v>
          </cell>
        </row>
        <row r="402">
          <cell r="A402">
            <v>47484</v>
          </cell>
          <cell r="B402">
            <v>0</v>
          </cell>
          <cell r="C402">
            <v>396.23426202927817</v>
          </cell>
          <cell r="D402">
            <v>2.6571824051933981E-3</v>
          </cell>
          <cell r="E402">
            <v>0</v>
          </cell>
          <cell r="F402">
            <v>2.6571824051933981E-3</v>
          </cell>
          <cell r="G402">
            <v>1.236386349424937E-3</v>
          </cell>
        </row>
        <row r="403">
          <cell r="A403">
            <v>47515</v>
          </cell>
          <cell r="B403">
            <v>0</v>
          </cell>
          <cell r="C403">
            <v>397.28852880792994</v>
          </cell>
          <cell r="D403">
            <v>2.6571824051933981E-3</v>
          </cell>
          <cell r="E403">
            <v>0</v>
          </cell>
          <cell r="F403">
            <v>2.6571824051933981E-3</v>
          </cell>
          <cell r="G403">
            <v>1.236386349424937E-3</v>
          </cell>
        </row>
        <row r="404">
          <cell r="A404">
            <v>47543</v>
          </cell>
          <cell r="B404">
            <v>0</v>
          </cell>
          <cell r="C404">
            <v>398.34560069090276</v>
          </cell>
          <cell r="D404">
            <v>2.6571824051933981E-3</v>
          </cell>
          <cell r="E404">
            <v>0</v>
          </cell>
          <cell r="F404">
            <v>2.6571824051933981E-3</v>
          </cell>
          <cell r="G404">
            <v>1.236386349424937E-3</v>
          </cell>
        </row>
        <row r="405">
          <cell r="A405">
            <v>47574</v>
          </cell>
          <cell r="B405">
            <v>0</v>
          </cell>
          <cell r="C405">
            <v>399.40548514178215</v>
          </cell>
          <cell r="D405">
            <v>2.6571824051933981E-3</v>
          </cell>
          <cell r="E405">
            <v>0</v>
          </cell>
          <cell r="F405">
            <v>2.6571824051933981E-3</v>
          </cell>
          <cell r="G405">
            <v>1.236386349424937E-3</v>
          </cell>
        </row>
        <row r="406">
          <cell r="A406">
            <v>47604</v>
          </cell>
          <cell r="B406">
            <v>0</v>
          </cell>
          <cell r="C406">
            <v>400.46818964401206</v>
          </cell>
          <cell r="D406">
            <v>2.6571824051933981E-3</v>
          </cell>
          <cell r="E406">
            <v>0</v>
          </cell>
          <cell r="F406">
            <v>2.6571824051933981E-3</v>
          </cell>
          <cell r="G406">
            <v>1.236386349424937E-3</v>
          </cell>
        </row>
        <row r="407">
          <cell r="A407">
            <v>47635</v>
          </cell>
          <cell r="B407">
            <v>0</v>
          </cell>
          <cell r="C407">
            <v>401.53372170094786</v>
          </cell>
          <cell r="D407">
            <v>2.6571824051933981E-3</v>
          </cell>
          <cell r="E407">
            <v>0</v>
          </cell>
          <cell r="F407">
            <v>2.6571824051933981E-3</v>
          </cell>
          <cell r="G407">
            <v>1.236386349424937E-3</v>
          </cell>
        </row>
        <row r="408">
          <cell r="A408">
            <v>47665</v>
          </cell>
          <cell r="B408">
            <v>0</v>
          </cell>
          <cell r="C408">
            <v>402.60208883590911</v>
          </cell>
          <cell r="D408">
            <v>2.6571824051933981E-3</v>
          </cell>
          <cell r="E408">
            <v>0</v>
          </cell>
          <cell r="F408">
            <v>2.6571824051933981E-3</v>
          </cell>
          <cell r="G408">
            <v>1.236386349424937E-3</v>
          </cell>
        </row>
        <row r="409">
          <cell r="A409">
            <v>47696</v>
          </cell>
          <cell r="B409">
            <v>0</v>
          </cell>
          <cell r="C409">
            <v>403.67329859223287</v>
          </cell>
          <cell r="D409">
            <v>2.6571824051933981E-3</v>
          </cell>
          <cell r="E409">
            <v>0</v>
          </cell>
          <cell r="F409">
            <v>2.6571824051933981E-3</v>
          </cell>
          <cell r="G409">
            <v>1.236386349424937E-3</v>
          </cell>
        </row>
        <row r="410">
          <cell r="A410">
            <v>47727</v>
          </cell>
          <cell r="B410">
            <v>0</v>
          </cell>
          <cell r="C410">
            <v>404.7473585333268</v>
          </cell>
          <cell r="D410">
            <v>2.6571824051933981E-3</v>
          </cell>
          <cell r="E410">
            <v>0</v>
          </cell>
          <cell r="F410">
            <v>2.6571824051933981E-3</v>
          </cell>
          <cell r="G410">
            <v>1.236386349424937E-3</v>
          </cell>
        </row>
        <row r="411">
          <cell r="A411">
            <v>47757</v>
          </cell>
          <cell r="B411">
            <v>0</v>
          </cell>
          <cell r="C411">
            <v>405.8242762427227</v>
          </cell>
          <cell r="D411">
            <v>2.6571824051933981E-3</v>
          </cell>
          <cell r="E411">
            <v>0</v>
          </cell>
          <cell r="F411">
            <v>2.6571824051933981E-3</v>
          </cell>
          <cell r="G411">
            <v>1.236386349424937E-3</v>
          </cell>
        </row>
        <row r="412">
          <cell r="A412">
            <v>47788</v>
          </cell>
          <cell r="B412">
            <v>0</v>
          </cell>
          <cell r="C412">
            <v>406.90405932412995</v>
          </cell>
          <cell r="D412">
            <v>2.6571824051933981E-3</v>
          </cell>
          <cell r="E412">
            <v>0</v>
          </cell>
          <cell r="F412">
            <v>2.6571824051933981E-3</v>
          </cell>
          <cell r="G412">
            <v>1.236386349424937E-3</v>
          </cell>
        </row>
        <row r="413">
          <cell r="A413">
            <v>47818</v>
          </cell>
          <cell r="B413">
            <v>0</v>
          </cell>
          <cell r="C413">
            <v>407.98671540148922</v>
          </cell>
          <cell r="D413">
            <v>2.6571824051933981E-3</v>
          </cell>
          <cell r="E413">
            <v>0</v>
          </cell>
          <cell r="F413">
            <v>2.6571824051933981E-3</v>
          </cell>
          <cell r="G413">
            <v>1.236386349424937E-3</v>
          </cell>
        </row>
        <row r="414">
          <cell r="A414">
            <v>47849</v>
          </cell>
          <cell r="B414">
            <v>0</v>
          </cell>
          <cell r="C414">
            <v>409.07225211902642</v>
          </cell>
          <cell r="D414">
            <v>2.6571824051933981E-3</v>
          </cell>
          <cell r="E414">
            <v>0</v>
          </cell>
          <cell r="F414">
            <v>2.6571824051933981E-3</v>
          </cell>
          <cell r="G414">
            <v>1.236386349424937E-3</v>
          </cell>
        </row>
        <row r="415">
          <cell r="A415">
            <v>47880</v>
          </cell>
          <cell r="B415">
            <v>0</v>
          </cell>
          <cell r="C415">
            <v>410.16067714130651</v>
          </cell>
          <cell r="D415">
            <v>2.6571824051933981E-3</v>
          </cell>
          <cell r="E415">
            <v>0</v>
          </cell>
          <cell r="F415">
            <v>2.6571824051933981E-3</v>
          </cell>
          <cell r="G415">
            <v>1.236386349424937E-3</v>
          </cell>
        </row>
        <row r="416">
          <cell r="A416">
            <v>47908</v>
          </cell>
          <cell r="B416">
            <v>0</v>
          </cell>
          <cell r="C416">
            <v>411.25199815328762</v>
          </cell>
          <cell r="D416">
            <v>2.6571824051933981E-3</v>
          </cell>
          <cell r="E416">
            <v>0</v>
          </cell>
          <cell r="F416">
            <v>2.6571824051933981E-3</v>
          </cell>
          <cell r="G416">
            <v>1.236386349424937E-3</v>
          </cell>
        </row>
        <row r="417">
          <cell r="A417">
            <v>47939</v>
          </cell>
          <cell r="B417">
            <v>0</v>
          </cell>
          <cell r="C417">
            <v>412.34622286037546</v>
          </cell>
          <cell r="D417">
            <v>2.6571824051933981E-3</v>
          </cell>
          <cell r="E417">
            <v>0</v>
          </cell>
          <cell r="F417">
            <v>2.6571824051933981E-3</v>
          </cell>
          <cell r="G417">
            <v>1.236386349424937E-3</v>
          </cell>
        </row>
        <row r="418">
          <cell r="A418">
            <v>47969</v>
          </cell>
          <cell r="B418">
            <v>0</v>
          </cell>
          <cell r="C418">
            <v>413.44335898847766</v>
          </cell>
          <cell r="D418">
            <v>2.6571824051933981E-3</v>
          </cell>
          <cell r="E418">
            <v>0</v>
          </cell>
          <cell r="F418">
            <v>2.6571824051933981E-3</v>
          </cell>
          <cell r="G418">
            <v>1.236386349424937E-3</v>
          </cell>
        </row>
        <row r="419">
          <cell r="A419">
            <v>48000</v>
          </cell>
          <cell r="B419">
            <v>0</v>
          </cell>
          <cell r="C419">
            <v>414.54341428405814</v>
          </cell>
          <cell r="D419">
            <v>2.6571824051933981E-3</v>
          </cell>
          <cell r="E419">
            <v>0</v>
          </cell>
          <cell r="F419">
            <v>2.6571824051933981E-3</v>
          </cell>
          <cell r="G419">
            <v>1.236386349424937E-3</v>
          </cell>
        </row>
        <row r="420">
          <cell r="A420">
            <v>48030</v>
          </cell>
          <cell r="B420">
            <v>0</v>
          </cell>
          <cell r="C420">
            <v>415.64639651419213</v>
          </cell>
          <cell r="D420">
            <v>2.6571824051933981E-3</v>
          </cell>
          <cell r="E420">
            <v>0</v>
          </cell>
          <cell r="F420">
            <v>2.6571824051933981E-3</v>
          </cell>
          <cell r="G420">
            <v>1.236386349424937E-3</v>
          </cell>
        </row>
        <row r="421">
          <cell r="A421">
            <v>48061</v>
          </cell>
          <cell r="B421">
            <v>0</v>
          </cell>
          <cell r="C421">
            <v>416.75231346662076</v>
          </cell>
          <cell r="D421">
            <v>2.6571824051933981E-3</v>
          </cell>
          <cell r="E421">
            <v>0</v>
          </cell>
          <cell r="F421">
            <v>2.6571824051933981E-3</v>
          </cell>
          <cell r="G421">
            <v>1.236386349424937E-3</v>
          </cell>
        </row>
        <row r="422">
          <cell r="A422">
            <v>48092</v>
          </cell>
          <cell r="B422">
            <v>0</v>
          </cell>
          <cell r="C422">
            <v>417.86117294980613</v>
          </cell>
          <cell r="D422">
            <v>2.6571824051933981E-3</v>
          </cell>
          <cell r="E422">
            <v>0</v>
          </cell>
          <cell r="F422">
            <v>2.6571824051933981E-3</v>
          </cell>
          <cell r="G422">
            <v>1.236386349424937E-3</v>
          </cell>
        </row>
        <row r="423">
          <cell r="A423">
            <v>48122</v>
          </cell>
          <cell r="B423">
            <v>0</v>
          </cell>
          <cell r="C423">
            <v>418.97298279298644</v>
          </cell>
          <cell r="D423">
            <v>2.6571824051933981E-3</v>
          </cell>
          <cell r="E423">
            <v>0</v>
          </cell>
          <cell r="F423">
            <v>2.6571824051933981E-3</v>
          </cell>
          <cell r="G423">
            <v>1.236386349424937E-3</v>
          </cell>
        </row>
        <row r="424">
          <cell r="A424">
            <v>48153</v>
          </cell>
          <cell r="B424">
            <v>0</v>
          </cell>
          <cell r="C424">
            <v>420.08775084623124</v>
          </cell>
          <cell r="D424">
            <v>2.6571824051933981E-3</v>
          </cell>
          <cell r="E424">
            <v>0</v>
          </cell>
          <cell r="F424">
            <v>2.6571824051933981E-3</v>
          </cell>
          <cell r="G424">
            <v>1.236386349424937E-3</v>
          </cell>
        </row>
        <row r="425">
          <cell r="A425">
            <v>48183</v>
          </cell>
          <cell r="B425">
            <v>0</v>
          </cell>
          <cell r="C425">
            <v>421.20548498049698</v>
          </cell>
          <cell r="D425">
            <v>2.6571824051933981E-3</v>
          </cell>
          <cell r="E425">
            <v>0</v>
          </cell>
          <cell r="F425">
            <v>2.6571824051933981E-3</v>
          </cell>
          <cell r="G425">
            <v>1.236386349424937E-3</v>
          </cell>
        </row>
        <row r="426">
          <cell r="A426">
            <v>48214</v>
          </cell>
          <cell r="B426">
            <v>0</v>
          </cell>
          <cell r="C426">
            <v>422.32619308768238</v>
          </cell>
          <cell r="D426">
            <v>2.6571824051933981E-3</v>
          </cell>
          <cell r="E426">
            <v>0</v>
          </cell>
          <cell r="F426">
            <v>2.6571824051933981E-3</v>
          </cell>
          <cell r="G426">
            <v>1.236386349424937E-3</v>
          </cell>
        </row>
        <row r="427">
          <cell r="A427">
            <v>48245</v>
          </cell>
          <cell r="B427">
            <v>0</v>
          </cell>
          <cell r="C427">
            <v>423.44988308068434</v>
          </cell>
          <cell r="D427">
            <v>2.6571824051933981E-3</v>
          </cell>
          <cell r="E427">
            <v>0</v>
          </cell>
          <cell r="F427">
            <v>2.6571824051933981E-3</v>
          </cell>
          <cell r="G427">
            <v>1.236386349424937E-3</v>
          </cell>
        </row>
        <row r="428">
          <cell r="A428">
            <v>48274</v>
          </cell>
          <cell r="B428">
            <v>0</v>
          </cell>
          <cell r="C428">
            <v>424.57656289345368</v>
          </cell>
          <cell r="D428">
            <v>2.6571824051933981E-3</v>
          </cell>
          <cell r="E428">
            <v>0</v>
          </cell>
          <cell r="F428">
            <v>2.6571824051933981E-3</v>
          </cell>
          <cell r="G428">
            <v>1.236386349424937E-3</v>
          </cell>
        </row>
        <row r="429">
          <cell r="A429">
            <v>48305</v>
          </cell>
          <cell r="B429">
            <v>0</v>
          </cell>
          <cell r="C429">
            <v>425.70624048105122</v>
          </cell>
          <cell r="D429">
            <v>2.6571824051933981E-3</v>
          </cell>
          <cell r="E429">
            <v>0</v>
          </cell>
          <cell r="F429">
            <v>2.6571824051933981E-3</v>
          </cell>
          <cell r="G429">
            <v>1.236386349424937E-3</v>
          </cell>
        </row>
        <row r="430">
          <cell r="A430">
            <v>48335</v>
          </cell>
          <cell r="B430">
            <v>0</v>
          </cell>
          <cell r="C430">
            <v>426.83892381970389</v>
          </cell>
          <cell r="D430">
            <v>2.6571824051933981E-3</v>
          </cell>
          <cell r="E430">
            <v>0</v>
          </cell>
          <cell r="F430">
            <v>2.6571824051933981E-3</v>
          </cell>
          <cell r="G430">
            <v>1.236386349424937E-3</v>
          </cell>
        </row>
        <row r="431">
          <cell r="A431">
            <v>48366</v>
          </cell>
          <cell r="B431">
            <v>0</v>
          </cell>
          <cell r="C431">
            <v>427.97462090686122</v>
          </cell>
          <cell r="D431">
            <v>2.6571824051933981E-3</v>
          </cell>
          <cell r="E431">
            <v>0</v>
          </cell>
          <cell r="F431">
            <v>2.6571824051933981E-3</v>
          </cell>
          <cell r="G431">
            <v>1.236386349424937E-3</v>
          </cell>
        </row>
        <row r="432">
          <cell r="A432">
            <v>48396</v>
          </cell>
          <cell r="B432">
            <v>0</v>
          </cell>
          <cell r="C432">
            <v>429.11333976125155</v>
          </cell>
          <cell r="D432">
            <v>2.6571824051933981E-3</v>
          </cell>
          <cell r="E432">
            <v>0</v>
          </cell>
          <cell r="F432">
            <v>2.6571824051933981E-3</v>
          </cell>
          <cell r="G432">
            <v>1.236386349424937E-3</v>
          </cell>
        </row>
        <row r="433">
          <cell r="A433">
            <v>48427</v>
          </cell>
          <cell r="B433">
            <v>0</v>
          </cell>
          <cell r="C433">
            <v>430.25508842293885</v>
          </cell>
          <cell r="D433">
            <v>2.6571824051933981E-3</v>
          </cell>
          <cell r="E433">
            <v>0</v>
          </cell>
          <cell r="F433">
            <v>2.6571824051933981E-3</v>
          </cell>
          <cell r="G433">
            <v>1.236386349424937E-3</v>
          </cell>
        </row>
        <row r="434">
          <cell r="A434">
            <v>48458</v>
          </cell>
          <cell r="B434">
            <v>0</v>
          </cell>
          <cell r="C434">
            <v>431.39987495337942</v>
          </cell>
          <cell r="D434">
            <v>2.6571824051933981E-3</v>
          </cell>
          <cell r="E434">
            <v>0</v>
          </cell>
          <cell r="F434">
            <v>2.6571824051933981E-3</v>
          </cell>
          <cell r="G434">
            <v>1.236386349424937E-3</v>
          </cell>
        </row>
        <row r="435">
          <cell r="A435">
            <v>48488</v>
          </cell>
          <cell r="B435">
            <v>0</v>
          </cell>
          <cell r="C435">
            <v>432.5477074354788</v>
          </cell>
          <cell r="D435">
            <v>2.6571824051933981E-3</v>
          </cell>
          <cell r="E435">
            <v>0</v>
          </cell>
          <cell r="F435">
            <v>2.6571824051933981E-3</v>
          </cell>
          <cell r="G435">
            <v>1.236386349424937E-3</v>
          </cell>
        </row>
        <row r="436">
          <cell r="A436">
            <v>48519</v>
          </cell>
          <cell r="B436">
            <v>0</v>
          </cell>
          <cell r="C436">
            <v>433.69859397364877</v>
          </cell>
          <cell r="D436">
            <v>2.6571824051933981E-3</v>
          </cell>
          <cell r="E436">
            <v>0</v>
          </cell>
          <cell r="F436">
            <v>2.6571824051933981E-3</v>
          </cell>
          <cell r="G436">
            <v>1.236386349424937E-3</v>
          </cell>
        </row>
        <row r="437">
          <cell r="A437">
            <v>48549</v>
          </cell>
          <cell r="B437">
            <v>0</v>
          </cell>
          <cell r="C437">
            <v>434.85254269386473</v>
          </cell>
          <cell r="D437">
            <v>2.6571824051933981E-3</v>
          </cell>
          <cell r="E437">
            <v>0</v>
          </cell>
          <cell r="F437">
            <v>2.6571824051933981E-3</v>
          </cell>
          <cell r="G437">
            <v>1.236386349424937E-3</v>
          </cell>
        </row>
        <row r="438">
          <cell r="A438">
            <v>48580</v>
          </cell>
          <cell r="B438">
            <v>0</v>
          </cell>
          <cell r="C438">
            <v>436.00956174372294</v>
          </cell>
          <cell r="D438">
            <v>2.6571824051933981E-3</v>
          </cell>
          <cell r="E438">
            <v>0</v>
          </cell>
          <cell r="F438">
            <v>2.6571824051933981E-3</v>
          </cell>
          <cell r="G438">
            <v>1.236386349424937E-3</v>
          </cell>
        </row>
        <row r="439">
          <cell r="A439">
            <v>48611</v>
          </cell>
          <cell r="B439">
            <v>0</v>
          </cell>
          <cell r="C439">
            <v>437.16965929249812</v>
          </cell>
          <cell r="D439">
            <v>2.6571824051933981E-3</v>
          </cell>
          <cell r="E439">
            <v>0</v>
          </cell>
          <cell r="F439">
            <v>2.6571824051933981E-3</v>
          </cell>
          <cell r="G439">
            <v>1.236386349424937E-3</v>
          </cell>
        </row>
        <row r="440">
          <cell r="A440">
            <v>48639</v>
          </cell>
          <cell r="B440">
            <v>0</v>
          </cell>
          <cell r="C440">
            <v>438.33284353120115</v>
          </cell>
          <cell r="D440">
            <v>2.6571824051933981E-3</v>
          </cell>
          <cell r="E440">
            <v>0</v>
          </cell>
          <cell r="F440">
            <v>2.6571824051933981E-3</v>
          </cell>
          <cell r="G440">
            <v>1.236386349424937E-3</v>
          </cell>
        </row>
        <row r="441">
          <cell r="A441">
            <v>48670</v>
          </cell>
          <cell r="B441">
            <v>0</v>
          </cell>
          <cell r="C441">
            <v>439.49912267263682</v>
          </cell>
          <cell r="D441">
            <v>2.6571824051933981E-3</v>
          </cell>
          <cell r="E441">
            <v>0</v>
          </cell>
          <cell r="F441">
            <v>2.6571824051933981E-3</v>
          </cell>
          <cell r="G441">
            <v>1.236386349424937E-3</v>
          </cell>
        </row>
        <row r="442">
          <cell r="A442">
            <v>48700</v>
          </cell>
          <cell r="B442">
            <v>0</v>
          </cell>
          <cell r="C442">
            <v>440.66850495146184</v>
          </cell>
          <cell r="D442">
            <v>2.6571824051933981E-3</v>
          </cell>
          <cell r="E442">
            <v>0</v>
          </cell>
          <cell r="F442">
            <v>2.6571824051933981E-3</v>
          </cell>
          <cell r="G442">
            <v>1.236386349424937E-3</v>
          </cell>
        </row>
        <row r="443">
          <cell r="A443">
            <v>48731</v>
          </cell>
          <cell r="B443">
            <v>0</v>
          </cell>
          <cell r="C443">
            <v>441.84099862424307</v>
          </cell>
          <cell r="D443">
            <v>2.6571824051933981E-3</v>
          </cell>
          <cell r="E443">
            <v>0</v>
          </cell>
          <cell r="F443">
            <v>2.6571824051933981E-3</v>
          </cell>
          <cell r="G443">
            <v>1.236386349424937E-3</v>
          </cell>
        </row>
        <row r="444">
          <cell r="A444">
            <v>48761</v>
          </cell>
          <cell r="B444">
            <v>0</v>
          </cell>
          <cell r="C444">
            <v>443.01661196951568</v>
          </cell>
          <cell r="D444">
            <v>2.6571824051933981E-3</v>
          </cell>
          <cell r="E444">
            <v>0</v>
          </cell>
          <cell r="F444">
            <v>2.6571824051933981E-3</v>
          </cell>
          <cell r="G444">
            <v>1.236386349424937E-3</v>
          </cell>
        </row>
        <row r="445">
          <cell r="A445">
            <v>48792</v>
          </cell>
          <cell r="B445">
            <v>0</v>
          </cell>
          <cell r="C445">
            <v>444.19535328784167</v>
          </cell>
          <cell r="D445">
            <v>2.6571824051933981E-3</v>
          </cell>
          <cell r="E445">
            <v>0</v>
          </cell>
          <cell r="F445">
            <v>2.6571824051933981E-3</v>
          </cell>
          <cell r="G445">
            <v>1.236386349424937E-3</v>
          </cell>
        </row>
        <row r="446">
          <cell r="A446">
            <v>48823</v>
          </cell>
          <cell r="B446">
            <v>0</v>
          </cell>
          <cell r="C446">
            <v>445.37723090186853</v>
          </cell>
          <cell r="D446">
            <v>2.6571824051933981E-3</v>
          </cell>
          <cell r="E446">
            <v>0</v>
          </cell>
          <cell r="F446">
            <v>2.6571824051933981E-3</v>
          </cell>
          <cell r="G446">
            <v>1.236386349424937E-3</v>
          </cell>
        </row>
        <row r="447">
          <cell r="A447">
            <v>48853</v>
          </cell>
          <cell r="B447">
            <v>0</v>
          </cell>
          <cell r="C447">
            <v>446.5622531563879</v>
          </cell>
          <cell r="D447">
            <v>2.6571824051933981E-3</v>
          </cell>
          <cell r="E447">
            <v>0</v>
          </cell>
          <cell r="F447">
            <v>2.6571824051933981E-3</v>
          </cell>
          <cell r="G447">
            <v>1.236386349424937E-3</v>
          </cell>
        </row>
        <row r="448">
          <cell r="A448">
            <v>48884</v>
          </cell>
          <cell r="B448">
            <v>0</v>
          </cell>
          <cell r="C448">
            <v>447.75042841839456</v>
          </cell>
          <cell r="D448">
            <v>2.6571824051933981E-3</v>
          </cell>
          <cell r="E448">
            <v>0</v>
          </cell>
          <cell r="F448">
            <v>2.6571824051933981E-3</v>
          </cell>
          <cell r="G448">
            <v>1.236386349424937E-3</v>
          </cell>
        </row>
        <row r="449">
          <cell r="A449">
            <v>48914</v>
          </cell>
          <cell r="B449">
            <v>0</v>
          </cell>
          <cell r="C449">
            <v>448.94176507714548</v>
          </cell>
          <cell r="D449">
            <v>2.6571824051933981E-3</v>
          </cell>
          <cell r="E449">
            <v>0</v>
          </cell>
          <cell r="F449">
            <v>2.6571824051933981E-3</v>
          </cell>
          <cell r="G449">
            <v>1.236386349424937E-3</v>
          </cell>
        </row>
        <row r="450">
          <cell r="A450">
            <v>48945</v>
          </cell>
          <cell r="B450">
            <v>0</v>
          </cell>
          <cell r="C450">
            <v>450.13627154421908</v>
          </cell>
          <cell r="D450">
            <v>2.6571824051933981E-3</v>
          </cell>
          <cell r="E450">
            <v>0</v>
          </cell>
          <cell r="F450">
            <v>2.6571824051933981E-3</v>
          </cell>
          <cell r="G450">
            <v>1.236386349424937E-3</v>
          </cell>
        </row>
        <row r="451">
          <cell r="A451">
            <v>48976</v>
          </cell>
          <cell r="B451">
            <v>0</v>
          </cell>
          <cell r="C451">
            <v>451.33395625357463</v>
          </cell>
          <cell r="D451">
            <v>2.6571824051933981E-3</v>
          </cell>
          <cell r="E451">
            <v>0</v>
          </cell>
          <cell r="F451">
            <v>2.6571824051933981E-3</v>
          </cell>
          <cell r="G451">
            <v>1.236386349424937E-3</v>
          </cell>
        </row>
        <row r="452">
          <cell r="A452">
            <v>49004</v>
          </cell>
          <cell r="B452">
            <v>0</v>
          </cell>
          <cell r="C452">
            <v>452.53482766161164</v>
          </cell>
          <cell r="D452">
            <v>2.6571824051933981E-3</v>
          </cell>
          <cell r="E452">
            <v>0</v>
          </cell>
          <cell r="F452">
            <v>2.6571824051933981E-3</v>
          </cell>
          <cell r="G452">
            <v>1.236386349424937E-3</v>
          </cell>
        </row>
        <row r="453">
          <cell r="A453">
            <v>49035</v>
          </cell>
          <cell r="B453">
            <v>0</v>
          </cell>
          <cell r="C453">
            <v>453.73889424722984</v>
          </cell>
          <cell r="D453">
            <v>2.6571824051933981E-3</v>
          </cell>
          <cell r="E453">
            <v>0</v>
          </cell>
          <cell r="F453">
            <v>2.6571824051933981E-3</v>
          </cell>
          <cell r="G453">
            <v>1.236386349424937E-3</v>
          </cell>
        </row>
        <row r="454">
          <cell r="A454">
            <v>49065</v>
          </cell>
          <cell r="B454">
            <v>0</v>
          </cell>
          <cell r="C454">
            <v>454.94616451188881</v>
          </cell>
          <cell r="D454">
            <v>2.6571824051933981E-3</v>
          </cell>
          <cell r="E454">
            <v>0</v>
          </cell>
          <cell r="F454">
            <v>2.6571824051933981E-3</v>
          </cell>
          <cell r="G454">
            <v>1.236386349424937E-3</v>
          </cell>
        </row>
        <row r="455">
          <cell r="A455">
            <v>49096</v>
          </cell>
          <cell r="B455">
            <v>0</v>
          </cell>
          <cell r="C455">
            <v>456.15664697966815</v>
          </cell>
          <cell r="D455">
            <v>2.6571824051933981E-3</v>
          </cell>
          <cell r="E455">
            <v>0</v>
          </cell>
          <cell r="F455">
            <v>2.6571824051933981E-3</v>
          </cell>
          <cell r="G455">
            <v>1.236386349424937E-3</v>
          </cell>
        </row>
        <row r="456">
          <cell r="A456">
            <v>49126</v>
          </cell>
          <cell r="B456">
            <v>0</v>
          </cell>
          <cell r="C456">
            <v>457.37035019732758</v>
          </cell>
          <cell r="D456">
            <v>2.6571824051933981E-3</v>
          </cell>
          <cell r="E456">
            <v>0</v>
          </cell>
          <cell r="F456">
            <v>2.6571824051933981E-3</v>
          </cell>
          <cell r="G456">
            <v>1.236386349424937E-3</v>
          </cell>
        </row>
        <row r="457">
          <cell r="A457">
            <v>49157</v>
          </cell>
          <cell r="B457">
            <v>0</v>
          </cell>
          <cell r="C457">
            <v>458.58728273436731</v>
          </cell>
          <cell r="D457">
            <v>2.6571824051933981E-3</v>
          </cell>
          <cell r="E457">
            <v>0</v>
          </cell>
          <cell r="F457">
            <v>2.6571824051933981E-3</v>
          </cell>
          <cell r="G457">
            <v>1.236386349424937E-3</v>
          </cell>
        </row>
        <row r="458">
          <cell r="A458">
            <v>49188</v>
          </cell>
          <cell r="B458">
            <v>0</v>
          </cell>
          <cell r="C458">
            <v>459.80745318308863</v>
          </cell>
          <cell r="D458">
            <v>2.6571824051933981E-3</v>
          </cell>
          <cell r="E458">
            <v>0</v>
          </cell>
          <cell r="F458">
            <v>2.6571824051933981E-3</v>
          </cell>
          <cell r="G458">
            <v>1.236386349424937E-3</v>
          </cell>
        </row>
        <row r="459">
          <cell r="A459">
            <v>49218</v>
          </cell>
          <cell r="B459">
            <v>0</v>
          </cell>
          <cell r="C459">
            <v>461.03087015865441</v>
          </cell>
          <cell r="D459">
            <v>2.6571824051933981E-3</v>
          </cell>
          <cell r="E459">
            <v>0</v>
          </cell>
          <cell r="F459">
            <v>2.6571824051933981E-3</v>
          </cell>
          <cell r="G459">
            <v>1.236386349424937E-3</v>
          </cell>
        </row>
        <row r="460">
          <cell r="A460">
            <v>49249</v>
          </cell>
          <cell r="B460">
            <v>0</v>
          </cell>
          <cell r="C460">
            <v>462.25754229915009</v>
          </cell>
          <cell r="D460">
            <v>2.6571824051933981E-3</v>
          </cell>
          <cell r="E460">
            <v>0</v>
          </cell>
          <cell r="F460">
            <v>2.6571824051933981E-3</v>
          </cell>
          <cell r="G460">
            <v>1.236386349424937E-3</v>
          </cell>
        </row>
        <row r="461">
          <cell r="A461">
            <v>49279</v>
          </cell>
          <cell r="B461">
            <v>0</v>
          </cell>
          <cell r="C461">
            <v>463.48747826564454</v>
          </cell>
          <cell r="D461">
            <v>2.6571824051933981E-3</v>
          </cell>
          <cell r="E461">
            <v>0</v>
          </cell>
          <cell r="F461">
            <v>2.6571824051933981E-3</v>
          </cell>
          <cell r="G461">
            <v>1.236386349424937E-3</v>
          </cell>
        </row>
        <row r="462">
          <cell r="A462">
            <v>49310</v>
          </cell>
          <cell r="B462">
            <v>0</v>
          </cell>
          <cell r="C462">
            <v>464.72068674225136</v>
          </cell>
          <cell r="D462">
            <v>2.6571824051933981E-3</v>
          </cell>
          <cell r="E462">
            <v>0</v>
          </cell>
          <cell r="F462">
            <v>2.6571824051933981E-3</v>
          </cell>
          <cell r="G462">
            <v>1.236386349424937E-3</v>
          </cell>
        </row>
        <row r="463">
          <cell r="A463">
            <v>49341</v>
          </cell>
          <cell r="B463">
            <v>0</v>
          </cell>
          <cell r="C463">
            <v>465.95717643619003</v>
          </cell>
          <cell r="D463">
            <v>2.6571824051933981E-3</v>
          </cell>
          <cell r="E463">
            <v>0</v>
          </cell>
          <cell r="F463">
            <v>2.6571824051933981E-3</v>
          </cell>
          <cell r="G463">
            <v>1.236386349424937E-3</v>
          </cell>
        </row>
        <row r="464">
          <cell r="A464">
            <v>49369</v>
          </cell>
          <cell r="B464">
            <v>0</v>
          </cell>
          <cell r="C464">
            <v>467.19695607784746</v>
          </cell>
          <cell r="D464">
            <v>2.6571824051933981E-3</v>
          </cell>
          <cell r="E464">
            <v>0</v>
          </cell>
          <cell r="F464">
            <v>2.6571824051933981E-3</v>
          </cell>
          <cell r="G464">
            <v>1.236386349424937E-3</v>
          </cell>
        </row>
        <row r="465">
          <cell r="A465">
            <v>49400</v>
          </cell>
          <cell r="B465">
            <v>0</v>
          </cell>
          <cell r="C465">
            <v>468.44003442083965</v>
          </cell>
          <cell r="D465">
            <v>2.6571824051933981E-3</v>
          </cell>
          <cell r="E465">
            <v>0</v>
          </cell>
          <cell r="F465">
            <v>2.6571824051933981E-3</v>
          </cell>
          <cell r="G465">
            <v>1.236386349424937E-3</v>
          </cell>
        </row>
        <row r="466">
          <cell r="A466">
            <v>49430</v>
          </cell>
          <cell r="B466">
            <v>0</v>
          </cell>
          <cell r="C466">
            <v>469.68642024207355</v>
          </cell>
          <cell r="D466">
            <v>2.6571824051933981E-3</v>
          </cell>
          <cell r="E466">
            <v>0</v>
          </cell>
          <cell r="F466">
            <v>2.6571824051933981E-3</v>
          </cell>
          <cell r="G466">
            <v>1.236386349424937E-3</v>
          </cell>
        </row>
        <row r="467">
          <cell r="A467">
            <v>49461</v>
          </cell>
          <cell r="B467">
            <v>0</v>
          </cell>
          <cell r="C467">
            <v>470.93612234180893</v>
          </cell>
          <cell r="D467">
            <v>2.6571824051933981E-3</v>
          </cell>
          <cell r="E467">
            <v>0</v>
          </cell>
          <cell r="F467">
            <v>2.6571824051933981E-3</v>
          </cell>
          <cell r="G467">
            <v>1.236386349424937E-3</v>
          </cell>
        </row>
        <row r="468">
          <cell r="A468">
            <v>49491</v>
          </cell>
          <cell r="B468">
            <v>0</v>
          </cell>
          <cell r="C468">
            <v>472.18914954372053</v>
          </cell>
          <cell r="D468">
            <v>2.6571824051933981E-3</v>
          </cell>
          <cell r="E468">
            <v>0</v>
          </cell>
          <cell r="F468">
            <v>2.6571824051933981E-3</v>
          </cell>
          <cell r="G468">
            <v>1.236386349424937E-3</v>
          </cell>
        </row>
        <row r="469">
          <cell r="A469">
            <v>49522</v>
          </cell>
          <cell r="B469">
            <v>0</v>
          </cell>
          <cell r="C469">
            <v>473.44551069496038</v>
          </cell>
          <cell r="D469">
            <v>2.6571824051933981E-3</v>
          </cell>
          <cell r="E469">
            <v>0</v>
          </cell>
          <cell r="F469">
            <v>2.6571824051933981E-3</v>
          </cell>
          <cell r="G469">
            <v>1.236386349424937E-3</v>
          </cell>
        </row>
        <row r="470">
          <cell r="A470">
            <v>49553</v>
          </cell>
          <cell r="B470">
            <v>0</v>
          </cell>
          <cell r="C470">
            <v>474.70521466622029</v>
          </cell>
          <cell r="D470">
            <v>2.6571824051933981E-3</v>
          </cell>
          <cell r="E470">
            <v>0</v>
          </cell>
          <cell r="F470">
            <v>2.6571824051933981E-3</v>
          </cell>
          <cell r="G470">
            <v>1.236386349424937E-3</v>
          </cell>
        </row>
        <row r="471">
          <cell r="A471">
            <v>49583</v>
          </cell>
          <cell r="B471">
            <v>0</v>
          </cell>
          <cell r="C471">
            <v>475.96827035179439</v>
          </cell>
          <cell r="D471">
            <v>2.6571824051933981E-3</v>
          </cell>
          <cell r="E471">
            <v>0</v>
          </cell>
          <cell r="F471">
            <v>2.6571824051933981E-3</v>
          </cell>
          <cell r="G471">
            <v>1.236386349424937E-3</v>
          </cell>
        </row>
        <row r="472">
          <cell r="A472">
            <v>49614</v>
          </cell>
          <cell r="B472">
            <v>0</v>
          </cell>
          <cell r="C472">
            <v>477.23468666964214</v>
          </cell>
          <cell r="D472">
            <v>2.6571824051933981E-3</v>
          </cell>
          <cell r="E472">
            <v>0</v>
          </cell>
          <cell r="F472">
            <v>2.6571824051933981E-3</v>
          </cell>
          <cell r="G472">
            <v>1.236386349424937E-3</v>
          </cell>
        </row>
        <row r="473">
          <cell r="A473">
            <v>49644</v>
          </cell>
          <cell r="B473">
            <v>0</v>
          </cell>
          <cell r="C473">
            <v>478.50447256145105</v>
          </cell>
          <cell r="D473">
            <v>2.6571824051933981E-3</v>
          </cell>
          <cell r="E473">
            <v>0</v>
          </cell>
          <cell r="F473">
            <v>2.6571824051933981E-3</v>
          </cell>
          <cell r="G473">
            <v>1.236386349424937E-3</v>
          </cell>
        </row>
      </sheetData>
      <sheetData sheetId="4" refreshError="1">
        <row r="5">
          <cell r="I5" t="str">
            <v>B&amp;S</v>
          </cell>
        </row>
        <row r="6">
          <cell r="I6" t="str">
            <v>VAS</v>
          </cell>
        </row>
        <row r="21">
          <cell r="I21" t="str">
            <v>3M</v>
          </cell>
        </row>
        <row r="22">
          <cell r="I22">
            <v>5.7578368186950684</v>
          </cell>
        </row>
        <row r="23">
          <cell r="I23">
            <v>0.12281153351068497</v>
          </cell>
        </row>
        <row r="24">
          <cell r="I24">
            <v>3.542187437415123E-2</v>
          </cell>
        </row>
        <row r="25">
          <cell r="I25">
            <v>1</v>
          </cell>
        </row>
      </sheetData>
      <sheetData sheetId="5" refreshError="1">
        <row r="5">
          <cell r="I5" t="str">
            <v>B&amp;S</v>
          </cell>
        </row>
        <row r="6">
          <cell r="I6" t="str">
            <v>VAS</v>
          </cell>
        </row>
      </sheetData>
      <sheetData sheetId="6" refreshError="1">
        <row r="5">
          <cell r="I5" t="str">
            <v>B&amp;S</v>
          </cell>
        </row>
        <row r="6">
          <cell r="I6" t="str">
            <v>VAS</v>
          </cell>
        </row>
      </sheetData>
      <sheetData sheetId="7" refreshError="1">
        <row r="3">
          <cell r="I3">
            <v>36403</v>
          </cell>
        </row>
        <row r="5">
          <cell r="I5">
            <v>36464</v>
          </cell>
        </row>
        <row r="6">
          <cell r="I6">
            <v>36494</v>
          </cell>
        </row>
        <row r="7">
          <cell r="H7">
            <v>0.41666666666666669</v>
          </cell>
          <cell r="I7">
            <v>36525</v>
          </cell>
        </row>
        <row r="8">
          <cell r="H8">
            <v>0.5</v>
          </cell>
          <cell r="I8">
            <v>36556</v>
          </cell>
          <cell r="J8">
            <v>5.8221550628697272E-2</v>
          </cell>
        </row>
        <row r="9">
          <cell r="I9">
            <v>36585</v>
          </cell>
        </row>
        <row r="10">
          <cell r="I10">
            <v>36616</v>
          </cell>
        </row>
        <row r="11">
          <cell r="I11">
            <v>36646</v>
          </cell>
        </row>
        <row r="12">
          <cell r="I12">
            <v>36677</v>
          </cell>
        </row>
        <row r="13">
          <cell r="H13">
            <v>0.91666666666666663</v>
          </cell>
          <cell r="I13">
            <v>36707</v>
          </cell>
        </row>
        <row r="14">
          <cell r="I14">
            <v>36738</v>
          </cell>
        </row>
        <row r="15">
          <cell r="I15">
            <v>36769</v>
          </cell>
        </row>
        <row r="16">
          <cell r="I16">
            <v>36799</v>
          </cell>
        </row>
        <row r="17">
          <cell r="I17">
            <v>36830</v>
          </cell>
        </row>
        <row r="18">
          <cell r="I18">
            <v>36860</v>
          </cell>
        </row>
        <row r="19">
          <cell r="I19">
            <v>36891</v>
          </cell>
        </row>
        <row r="20">
          <cell r="I20">
            <v>36922</v>
          </cell>
        </row>
        <row r="21">
          <cell r="I21">
            <v>36950</v>
          </cell>
        </row>
        <row r="22">
          <cell r="I22">
            <v>36981</v>
          </cell>
        </row>
        <row r="23">
          <cell r="I23">
            <v>37011</v>
          </cell>
        </row>
        <row r="24">
          <cell r="I24">
            <v>37042</v>
          </cell>
        </row>
        <row r="25">
          <cell r="I25">
            <v>37072</v>
          </cell>
        </row>
        <row r="26">
          <cell r="I26">
            <v>37103</v>
          </cell>
        </row>
        <row r="27">
          <cell r="I27">
            <v>37134</v>
          </cell>
        </row>
        <row r="28">
          <cell r="I28">
            <v>37164</v>
          </cell>
        </row>
        <row r="29">
          <cell r="I29">
            <v>37195</v>
          </cell>
        </row>
        <row r="30">
          <cell r="I30">
            <v>37225</v>
          </cell>
        </row>
        <row r="31">
          <cell r="I31">
            <v>37256</v>
          </cell>
        </row>
        <row r="32">
          <cell r="I32">
            <v>37287</v>
          </cell>
        </row>
        <row r="33">
          <cell r="I33">
            <v>37315</v>
          </cell>
        </row>
        <row r="34">
          <cell r="I34">
            <v>37346</v>
          </cell>
        </row>
        <row r="35">
          <cell r="I35">
            <v>37376</v>
          </cell>
        </row>
        <row r="36">
          <cell r="I36">
            <v>37407</v>
          </cell>
        </row>
        <row r="37">
          <cell r="I37">
            <v>37437</v>
          </cell>
        </row>
        <row r="38">
          <cell r="I38">
            <v>37468</v>
          </cell>
        </row>
        <row r="39">
          <cell r="I39">
            <v>37499</v>
          </cell>
        </row>
        <row r="40">
          <cell r="I40">
            <v>37529</v>
          </cell>
        </row>
        <row r="41">
          <cell r="I41">
            <v>37560</v>
          </cell>
        </row>
        <row r="42">
          <cell r="I42">
            <v>37590</v>
          </cell>
        </row>
        <row r="43">
          <cell r="I43">
            <v>37621</v>
          </cell>
        </row>
        <row r="44">
          <cell r="I44">
            <v>37652</v>
          </cell>
        </row>
        <row r="45">
          <cell r="I45">
            <v>37680</v>
          </cell>
        </row>
        <row r="46">
          <cell r="I46">
            <v>37711</v>
          </cell>
        </row>
        <row r="47">
          <cell r="I47">
            <v>37741</v>
          </cell>
        </row>
        <row r="48">
          <cell r="I48">
            <v>37772</v>
          </cell>
        </row>
        <row r="49">
          <cell r="I49">
            <v>37802</v>
          </cell>
        </row>
        <row r="50">
          <cell r="I50">
            <v>37833</v>
          </cell>
        </row>
        <row r="51">
          <cell r="I51">
            <v>37864</v>
          </cell>
        </row>
        <row r="52">
          <cell r="I52">
            <v>37894</v>
          </cell>
        </row>
        <row r="53">
          <cell r="I53">
            <v>37925</v>
          </cell>
        </row>
        <row r="54">
          <cell r="I54">
            <v>37955</v>
          </cell>
        </row>
        <row r="55">
          <cell r="I55">
            <v>37986</v>
          </cell>
        </row>
        <row r="56">
          <cell r="I56">
            <v>38017</v>
          </cell>
        </row>
        <row r="57">
          <cell r="I57">
            <v>38046</v>
          </cell>
        </row>
        <row r="58">
          <cell r="I58">
            <v>38077</v>
          </cell>
        </row>
        <row r="59">
          <cell r="I59">
            <v>38107</v>
          </cell>
        </row>
        <row r="60">
          <cell r="I60">
            <v>38138</v>
          </cell>
        </row>
        <row r="61">
          <cell r="I61">
            <v>38168</v>
          </cell>
        </row>
        <row r="62">
          <cell r="I62">
            <v>38199</v>
          </cell>
        </row>
        <row r="63">
          <cell r="I63">
            <v>38230</v>
          </cell>
        </row>
        <row r="64">
          <cell r="I64">
            <v>38260</v>
          </cell>
        </row>
        <row r="65">
          <cell r="I65">
            <v>38291</v>
          </cell>
        </row>
        <row r="66">
          <cell r="I66">
            <v>38321</v>
          </cell>
        </row>
        <row r="67">
          <cell r="I67">
            <v>38352</v>
          </cell>
        </row>
        <row r="68">
          <cell r="I68">
            <v>38383</v>
          </cell>
        </row>
        <row r="69">
          <cell r="I69">
            <v>38411</v>
          </cell>
        </row>
        <row r="70">
          <cell r="I70">
            <v>38442</v>
          </cell>
        </row>
        <row r="71">
          <cell r="I71">
            <v>38472</v>
          </cell>
        </row>
        <row r="72">
          <cell r="I72">
            <v>38503</v>
          </cell>
        </row>
        <row r="73">
          <cell r="I73">
            <v>38533</v>
          </cell>
        </row>
        <row r="74">
          <cell r="I74">
            <v>38564</v>
          </cell>
        </row>
        <row r="75">
          <cell r="I75">
            <v>38595</v>
          </cell>
        </row>
        <row r="76">
          <cell r="I76">
            <v>38625</v>
          </cell>
        </row>
        <row r="77">
          <cell r="I77">
            <v>38656</v>
          </cell>
        </row>
        <row r="78">
          <cell r="I78">
            <v>38686</v>
          </cell>
        </row>
        <row r="79">
          <cell r="I79">
            <v>38717</v>
          </cell>
        </row>
        <row r="80">
          <cell r="I80">
            <v>38748</v>
          </cell>
        </row>
        <row r="81">
          <cell r="I81">
            <v>38776</v>
          </cell>
        </row>
        <row r="82">
          <cell r="I82">
            <v>38807</v>
          </cell>
        </row>
        <row r="83">
          <cell r="I83">
            <v>38837</v>
          </cell>
        </row>
        <row r="84">
          <cell r="I84">
            <v>38868</v>
          </cell>
        </row>
        <row r="85">
          <cell r="I85">
            <v>38898</v>
          </cell>
        </row>
        <row r="86">
          <cell r="I86">
            <v>38929</v>
          </cell>
        </row>
        <row r="87">
          <cell r="I87">
            <v>38960</v>
          </cell>
        </row>
        <row r="88">
          <cell r="I88">
            <v>38990</v>
          </cell>
        </row>
        <row r="89">
          <cell r="I89">
            <v>39021</v>
          </cell>
        </row>
        <row r="90">
          <cell r="I90">
            <v>39051</v>
          </cell>
        </row>
        <row r="91">
          <cell r="I91">
            <v>39082</v>
          </cell>
        </row>
        <row r="92">
          <cell r="I92">
            <v>39113</v>
          </cell>
        </row>
        <row r="93">
          <cell r="I93">
            <v>39141</v>
          </cell>
        </row>
        <row r="94">
          <cell r="I94">
            <v>39172</v>
          </cell>
        </row>
        <row r="95">
          <cell r="I95">
            <v>39202</v>
          </cell>
        </row>
        <row r="96">
          <cell r="I96">
            <v>39233</v>
          </cell>
        </row>
        <row r="97">
          <cell r="I97">
            <v>39263</v>
          </cell>
        </row>
        <row r="98">
          <cell r="I98">
            <v>39294</v>
          </cell>
        </row>
        <row r="99">
          <cell r="I99">
            <v>39325</v>
          </cell>
        </row>
        <row r="100">
          <cell r="I100">
            <v>39355</v>
          </cell>
        </row>
        <row r="101">
          <cell r="I101">
            <v>39386</v>
          </cell>
        </row>
        <row r="102">
          <cell r="I102">
            <v>39416</v>
          </cell>
        </row>
        <row r="103">
          <cell r="I103">
            <v>39447</v>
          </cell>
        </row>
        <row r="104">
          <cell r="I104">
            <v>39478</v>
          </cell>
        </row>
        <row r="105">
          <cell r="I105">
            <v>39507</v>
          </cell>
        </row>
        <row r="106">
          <cell r="I106">
            <v>39538</v>
          </cell>
        </row>
        <row r="107">
          <cell r="I107">
            <v>39568</v>
          </cell>
        </row>
        <row r="108">
          <cell r="I108">
            <v>39599</v>
          </cell>
        </row>
        <row r="109">
          <cell r="I109">
            <v>39629</v>
          </cell>
        </row>
        <row r="110">
          <cell r="I110">
            <v>39660</v>
          </cell>
        </row>
        <row r="111">
          <cell r="I111">
            <v>39691</v>
          </cell>
        </row>
        <row r="112">
          <cell r="I112">
            <v>39721</v>
          </cell>
        </row>
        <row r="113">
          <cell r="I113">
            <v>39752</v>
          </cell>
        </row>
        <row r="114">
          <cell r="I114">
            <v>39782</v>
          </cell>
        </row>
        <row r="115">
          <cell r="I115">
            <v>39813</v>
          </cell>
        </row>
        <row r="116">
          <cell r="I116">
            <v>39844</v>
          </cell>
        </row>
        <row r="117">
          <cell r="I117">
            <v>39872</v>
          </cell>
        </row>
        <row r="118">
          <cell r="I118">
            <v>39903</v>
          </cell>
        </row>
        <row r="119">
          <cell r="I119">
            <v>39933</v>
          </cell>
        </row>
        <row r="120">
          <cell r="I120">
            <v>39964</v>
          </cell>
        </row>
        <row r="121">
          <cell r="I121">
            <v>39994</v>
          </cell>
        </row>
        <row r="122">
          <cell r="I122">
            <v>40025</v>
          </cell>
        </row>
        <row r="123">
          <cell r="I123">
            <v>40056</v>
          </cell>
        </row>
        <row r="124">
          <cell r="I124">
            <v>40086</v>
          </cell>
        </row>
        <row r="125">
          <cell r="I125">
            <v>40117</v>
          </cell>
        </row>
        <row r="126">
          <cell r="I126">
            <v>40147</v>
          </cell>
        </row>
        <row r="127">
          <cell r="I127">
            <v>40178</v>
          </cell>
        </row>
        <row r="128">
          <cell r="I128">
            <v>40209</v>
          </cell>
        </row>
        <row r="129">
          <cell r="I129">
            <v>40237</v>
          </cell>
        </row>
        <row r="130">
          <cell r="I130">
            <v>40268</v>
          </cell>
        </row>
        <row r="131">
          <cell r="I131">
            <v>40298</v>
          </cell>
        </row>
        <row r="132">
          <cell r="I132">
            <v>40329</v>
          </cell>
        </row>
        <row r="133">
          <cell r="I133">
            <v>40359</v>
          </cell>
        </row>
        <row r="134">
          <cell r="I134">
            <v>40390</v>
          </cell>
        </row>
        <row r="135">
          <cell r="I135">
            <v>40421</v>
          </cell>
        </row>
        <row r="136">
          <cell r="I136">
            <v>40451</v>
          </cell>
        </row>
        <row r="137">
          <cell r="I137">
            <v>40482</v>
          </cell>
        </row>
        <row r="138">
          <cell r="I138">
            <v>40512</v>
          </cell>
        </row>
        <row r="139">
          <cell r="I139">
            <v>40543</v>
          </cell>
        </row>
        <row r="140">
          <cell r="I140">
            <v>40574</v>
          </cell>
        </row>
        <row r="141">
          <cell r="I141">
            <v>40602</v>
          </cell>
        </row>
        <row r="142">
          <cell r="I142">
            <v>40633</v>
          </cell>
        </row>
        <row r="143">
          <cell r="I143">
            <v>40663</v>
          </cell>
        </row>
        <row r="144">
          <cell r="I144">
            <v>40694</v>
          </cell>
        </row>
        <row r="145">
          <cell r="I145">
            <v>40724</v>
          </cell>
        </row>
        <row r="146">
          <cell r="I146">
            <v>40755</v>
          </cell>
        </row>
        <row r="147">
          <cell r="I147">
            <v>40786</v>
          </cell>
        </row>
        <row r="148">
          <cell r="I148">
            <v>40816</v>
          </cell>
        </row>
        <row r="149">
          <cell r="I149">
            <v>40847</v>
          </cell>
        </row>
        <row r="150">
          <cell r="I150">
            <v>40877</v>
          </cell>
        </row>
        <row r="151">
          <cell r="I151">
            <v>40908</v>
          </cell>
        </row>
        <row r="152">
          <cell r="I152">
            <v>40939</v>
          </cell>
        </row>
        <row r="153">
          <cell r="I153">
            <v>40968</v>
          </cell>
        </row>
        <row r="154">
          <cell r="I154">
            <v>40999</v>
          </cell>
        </row>
        <row r="155">
          <cell r="I155">
            <v>41029</v>
          </cell>
        </row>
        <row r="156">
          <cell r="I156">
            <v>41060</v>
          </cell>
        </row>
        <row r="157">
          <cell r="I157">
            <v>41090</v>
          </cell>
        </row>
        <row r="158">
          <cell r="I158">
            <v>41121</v>
          </cell>
        </row>
        <row r="159">
          <cell r="I159">
            <v>41152</v>
          </cell>
        </row>
        <row r="160">
          <cell r="I160">
            <v>41182</v>
          </cell>
        </row>
        <row r="161">
          <cell r="I161">
            <v>41213</v>
          </cell>
        </row>
        <row r="162">
          <cell r="I162">
            <v>41243</v>
          </cell>
        </row>
        <row r="163">
          <cell r="I163">
            <v>41274</v>
          </cell>
        </row>
        <row r="164">
          <cell r="I164">
            <v>41305</v>
          </cell>
        </row>
        <row r="165">
          <cell r="I165">
            <v>41333</v>
          </cell>
        </row>
        <row r="166">
          <cell r="I166">
            <v>41364</v>
          </cell>
        </row>
        <row r="167">
          <cell r="I167">
            <v>41394</v>
          </cell>
        </row>
        <row r="168">
          <cell r="I168">
            <v>41425</v>
          </cell>
        </row>
        <row r="169">
          <cell r="I169">
            <v>41455</v>
          </cell>
        </row>
        <row r="170">
          <cell r="I170">
            <v>41486</v>
          </cell>
        </row>
        <row r="171">
          <cell r="I171">
            <v>41517</v>
          </cell>
        </row>
        <row r="172">
          <cell r="I172">
            <v>41547</v>
          </cell>
        </row>
        <row r="173">
          <cell r="I173">
            <v>41578</v>
          </cell>
        </row>
        <row r="174">
          <cell r="I174">
            <v>41608</v>
          </cell>
        </row>
        <row r="175">
          <cell r="I175">
            <v>41639</v>
          </cell>
        </row>
        <row r="176">
          <cell r="I176">
            <v>41670</v>
          </cell>
        </row>
        <row r="177">
          <cell r="I177">
            <v>41698</v>
          </cell>
        </row>
        <row r="178">
          <cell r="I178">
            <v>41729</v>
          </cell>
        </row>
        <row r="179">
          <cell r="I179">
            <v>41759</v>
          </cell>
        </row>
        <row r="180">
          <cell r="I180">
            <v>41790</v>
          </cell>
        </row>
        <row r="181">
          <cell r="I181">
            <v>41820</v>
          </cell>
        </row>
        <row r="182">
          <cell r="I182">
            <v>41851</v>
          </cell>
        </row>
        <row r="183">
          <cell r="I183">
            <v>41882</v>
          </cell>
        </row>
        <row r="184">
          <cell r="I184">
            <v>41912</v>
          </cell>
        </row>
        <row r="185">
          <cell r="I185">
            <v>41943</v>
          </cell>
        </row>
        <row r="186">
          <cell r="I186">
            <v>41973</v>
          </cell>
        </row>
        <row r="187">
          <cell r="I187">
            <v>42004</v>
          </cell>
        </row>
        <row r="188">
          <cell r="I188">
            <v>42035</v>
          </cell>
        </row>
        <row r="189">
          <cell r="I189">
            <v>42063</v>
          </cell>
        </row>
        <row r="190">
          <cell r="I190">
            <v>42094</v>
          </cell>
        </row>
        <row r="191">
          <cell r="I191">
            <v>42124</v>
          </cell>
        </row>
        <row r="192">
          <cell r="I192">
            <v>42155</v>
          </cell>
        </row>
        <row r="193">
          <cell r="I193">
            <v>42185</v>
          </cell>
        </row>
        <row r="194">
          <cell r="I194">
            <v>42216</v>
          </cell>
        </row>
        <row r="195">
          <cell r="I195">
            <v>42247</v>
          </cell>
        </row>
        <row r="196">
          <cell r="I196">
            <v>42277</v>
          </cell>
        </row>
        <row r="197">
          <cell r="I197">
            <v>42308</v>
          </cell>
        </row>
        <row r="198">
          <cell r="I198">
            <v>42338</v>
          </cell>
        </row>
        <row r="199">
          <cell r="I199">
            <v>42369</v>
          </cell>
        </row>
        <row r="200">
          <cell r="I200">
            <v>42400</v>
          </cell>
        </row>
        <row r="201">
          <cell r="I201">
            <v>42429</v>
          </cell>
        </row>
        <row r="202">
          <cell r="I202">
            <v>42460</v>
          </cell>
        </row>
        <row r="203">
          <cell r="I203">
            <v>42490</v>
          </cell>
        </row>
        <row r="204">
          <cell r="I204">
            <v>42521</v>
          </cell>
        </row>
        <row r="205">
          <cell r="I205">
            <v>42551</v>
          </cell>
        </row>
        <row r="206">
          <cell r="I206">
            <v>42582</v>
          </cell>
        </row>
        <row r="207">
          <cell r="I207">
            <v>42613</v>
          </cell>
        </row>
        <row r="208">
          <cell r="I208">
            <v>42643</v>
          </cell>
        </row>
        <row r="209">
          <cell r="I209">
            <v>42674</v>
          </cell>
        </row>
        <row r="210">
          <cell r="I210">
            <v>42704</v>
          </cell>
        </row>
        <row r="211">
          <cell r="I211">
            <v>42735</v>
          </cell>
        </row>
        <row r="212">
          <cell r="I212">
            <v>42766</v>
          </cell>
        </row>
        <row r="213">
          <cell r="I213">
            <v>42794</v>
          </cell>
        </row>
        <row r="214">
          <cell r="I214">
            <v>42825</v>
          </cell>
        </row>
        <row r="215">
          <cell r="I215">
            <v>42855</v>
          </cell>
        </row>
        <row r="216">
          <cell r="I216">
            <v>42886</v>
          </cell>
        </row>
        <row r="217">
          <cell r="I217">
            <v>42916</v>
          </cell>
        </row>
        <row r="218">
          <cell r="I218">
            <v>42947</v>
          </cell>
        </row>
        <row r="219">
          <cell r="I219">
            <v>42978</v>
          </cell>
        </row>
        <row r="220">
          <cell r="I220">
            <v>43008</v>
          </cell>
        </row>
        <row r="221">
          <cell r="I221">
            <v>43039</v>
          </cell>
        </row>
        <row r="222">
          <cell r="I222">
            <v>43069</v>
          </cell>
        </row>
        <row r="223">
          <cell r="I223">
            <v>43100</v>
          </cell>
        </row>
        <row r="224">
          <cell r="I224">
            <v>43131</v>
          </cell>
        </row>
        <row r="225">
          <cell r="I225">
            <v>43159</v>
          </cell>
        </row>
        <row r="226">
          <cell r="I226">
            <v>43190</v>
          </cell>
        </row>
        <row r="227">
          <cell r="I227">
            <v>43220</v>
          </cell>
        </row>
        <row r="228">
          <cell r="I228">
            <v>43251</v>
          </cell>
        </row>
        <row r="229">
          <cell r="I229">
            <v>43281</v>
          </cell>
        </row>
        <row r="230">
          <cell r="I230">
            <v>43312</v>
          </cell>
        </row>
        <row r="231">
          <cell r="I231">
            <v>43343</v>
          </cell>
        </row>
        <row r="232">
          <cell r="I232">
            <v>43373</v>
          </cell>
        </row>
        <row r="233">
          <cell r="I233">
            <v>43404</v>
          </cell>
        </row>
        <row r="234">
          <cell r="I234">
            <v>43434</v>
          </cell>
        </row>
        <row r="235">
          <cell r="I235">
            <v>43465</v>
          </cell>
        </row>
        <row r="236">
          <cell r="I236">
            <v>43496</v>
          </cell>
        </row>
        <row r="237">
          <cell r="I237">
            <v>43524</v>
          </cell>
        </row>
        <row r="238">
          <cell r="I238">
            <v>43555</v>
          </cell>
        </row>
        <row r="239">
          <cell r="I239">
            <v>43585</v>
          </cell>
        </row>
        <row r="240">
          <cell r="I240">
            <v>43616</v>
          </cell>
        </row>
        <row r="241">
          <cell r="I241">
            <v>43646</v>
          </cell>
        </row>
        <row r="242">
          <cell r="I242">
            <v>43677</v>
          </cell>
        </row>
        <row r="243">
          <cell r="I243">
            <v>43708</v>
          </cell>
        </row>
        <row r="244">
          <cell r="I244">
            <v>43738</v>
          </cell>
        </row>
        <row r="245">
          <cell r="I245">
            <v>43769</v>
          </cell>
        </row>
        <row r="246">
          <cell r="I246">
            <v>43799</v>
          </cell>
        </row>
      </sheetData>
      <sheetData sheetId="8" refreshError="1">
        <row r="3">
          <cell r="I3">
            <v>36646</v>
          </cell>
        </row>
        <row r="5">
          <cell r="I5">
            <v>36707</v>
          </cell>
        </row>
        <row r="6">
          <cell r="I6">
            <v>36738</v>
          </cell>
        </row>
        <row r="7">
          <cell r="H7">
            <v>0.41666666666666669</v>
          </cell>
          <cell r="I7">
            <v>36769</v>
          </cell>
        </row>
        <row r="8">
          <cell r="H8">
            <v>0.5</v>
          </cell>
          <cell r="I8">
            <v>36799</v>
          </cell>
          <cell r="J8">
            <v>6.13</v>
          </cell>
        </row>
        <row r="9">
          <cell r="I9">
            <v>36830</v>
          </cell>
        </row>
        <row r="10">
          <cell r="I10">
            <v>36860</v>
          </cell>
        </row>
        <row r="11">
          <cell r="I11">
            <v>36891</v>
          </cell>
        </row>
        <row r="12">
          <cell r="I12">
            <v>36922</v>
          </cell>
        </row>
        <row r="13">
          <cell r="H13">
            <v>0.91666666666666663</v>
          </cell>
          <cell r="I13">
            <v>36950</v>
          </cell>
        </row>
        <row r="14">
          <cell r="I14">
            <v>36981</v>
          </cell>
        </row>
        <row r="15">
          <cell r="I15">
            <v>37011</v>
          </cell>
        </row>
        <row r="16">
          <cell r="I16">
            <v>37042</v>
          </cell>
        </row>
        <row r="17">
          <cell r="I17">
            <v>37072</v>
          </cell>
        </row>
        <row r="18">
          <cell r="I18">
            <v>37103</v>
          </cell>
        </row>
        <row r="19">
          <cell r="I19">
            <v>37134</v>
          </cell>
        </row>
        <row r="20">
          <cell r="I20">
            <v>37164</v>
          </cell>
        </row>
        <row r="21">
          <cell r="I21">
            <v>37195</v>
          </cell>
        </row>
        <row r="22">
          <cell r="I22">
            <v>37225</v>
          </cell>
        </row>
        <row r="23">
          <cell r="I23">
            <v>37256</v>
          </cell>
        </row>
        <row r="24">
          <cell r="I24">
            <v>37287</v>
          </cell>
        </row>
        <row r="25">
          <cell r="I25">
            <v>37315</v>
          </cell>
        </row>
        <row r="26">
          <cell r="I26">
            <v>37346</v>
          </cell>
        </row>
        <row r="27">
          <cell r="I27">
            <v>37376</v>
          </cell>
        </row>
        <row r="28">
          <cell r="I28">
            <v>37407</v>
          </cell>
        </row>
        <row r="29">
          <cell r="I29">
            <v>37437</v>
          </cell>
        </row>
        <row r="30">
          <cell r="I30">
            <v>37468</v>
          </cell>
        </row>
        <row r="31">
          <cell r="I31">
            <v>37499</v>
          </cell>
        </row>
        <row r="32">
          <cell r="I32">
            <v>37529</v>
          </cell>
        </row>
        <row r="33">
          <cell r="I33">
            <v>37560</v>
          </cell>
        </row>
        <row r="34">
          <cell r="I34">
            <v>37590</v>
          </cell>
        </row>
        <row r="35">
          <cell r="I35">
            <v>37621</v>
          </cell>
        </row>
        <row r="36">
          <cell r="I36">
            <v>37652</v>
          </cell>
        </row>
        <row r="37">
          <cell r="I37">
            <v>37680</v>
          </cell>
        </row>
        <row r="38">
          <cell r="I38">
            <v>37711</v>
          </cell>
        </row>
        <row r="39">
          <cell r="I39">
            <v>37741</v>
          </cell>
        </row>
        <row r="40">
          <cell r="I40">
            <v>37772</v>
          </cell>
        </row>
        <row r="41">
          <cell r="I41">
            <v>37802</v>
          </cell>
        </row>
        <row r="42">
          <cell r="I42">
            <v>37833</v>
          </cell>
        </row>
        <row r="43">
          <cell r="I43">
            <v>37864</v>
          </cell>
        </row>
        <row r="44">
          <cell r="I44">
            <v>37894</v>
          </cell>
        </row>
        <row r="45">
          <cell r="I45">
            <v>37925</v>
          </cell>
        </row>
        <row r="46">
          <cell r="I46">
            <v>37955</v>
          </cell>
        </row>
        <row r="47">
          <cell r="I47">
            <v>37986</v>
          </cell>
        </row>
        <row r="48">
          <cell r="I48">
            <v>38017</v>
          </cell>
        </row>
        <row r="49">
          <cell r="I49">
            <v>38046</v>
          </cell>
        </row>
        <row r="50">
          <cell r="I50">
            <v>38077</v>
          </cell>
        </row>
        <row r="51">
          <cell r="I51">
            <v>38107</v>
          </cell>
        </row>
        <row r="52">
          <cell r="I52">
            <v>38138</v>
          </cell>
        </row>
        <row r="53">
          <cell r="I53">
            <v>38168</v>
          </cell>
        </row>
        <row r="54">
          <cell r="I54">
            <v>38199</v>
          </cell>
        </row>
        <row r="55">
          <cell r="I55">
            <v>38230</v>
          </cell>
        </row>
        <row r="56">
          <cell r="I56">
            <v>38260</v>
          </cell>
        </row>
        <row r="57">
          <cell r="I57">
            <v>38291</v>
          </cell>
        </row>
        <row r="58">
          <cell r="I58">
            <v>38321</v>
          </cell>
        </row>
        <row r="59">
          <cell r="I59">
            <v>38352</v>
          </cell>
        </row>
        <row r="60">
          <cell r="I60">
            <v>38383</v>
          </cell>
        </row>
        <row r="61">
          <cell r="I61">
            <v>38411</v>
          </cell>
        </row>
        <row r="62">
          <cell r="I62">
            <v>38442</v>
          </cell>
        </row>
        <row r="63">
          <cell r="I63">
            <v>38472</v>
          </cell>
        </row>
        <row r="64">
          <cell r="I64">
            <v>38503</v>
          </cell>
        </row>
        <row r="65">
          <cell r="I65">
            <v>38533</v>
          </cell>
        </row>
        <row r="66">
          <cell r="I66">
            <v>38564</v>
          </cell>
        </row>
        <row r="67">
          <cell r="I67">
            <v>38595</v>
          </cell>
        </row>
        <row r="68">
          <cell r="I68">
            <v>38625</v>
          </cell>
        </row>
        <row r="69">
          <cell r="I69">
            <v>38656</v>
          </cell>
        </row>
        <row r="70">
          <cell r="I70">
            <v>38686</v>
          </cell>
        </row>
        <row r="71">
          <cell r="I71">
            <v>38717</v>
          </cell>
        </row>
        <row r="72">
          <cell r="I72">
            <v>38748</v>
          </cell>
        </row>
        <row r="73">
          <cell r="I73">
            <v>38776</v>
          </cell>
        </row>
        <row r="74">
          <cell r="I74">
            <v>38807</v>
          </cell>
        </row>
        <row r="75">
          <cell r="I75">
            <v>38837</v>
          </cell>
        </row>
        <row r="76">
          <cell r="I76">
            <v>38868</v>
          </cell>
        </row>
        <row r="77">
          <cell r="I77">
            <v>38898</v>
          </cell>
        </row>
        <row r="78">
          <cell r="I78">
            <v>38929</v>
          </cell>
        </row>
        <row r="79">
          <cell r="I79">
            <v>38960</v>
          </cell>
        </row>
        <row r="80">
          <cell r="I80">
            <v>38990</v>
          </cell>
        </row>
        <row r="81">
          <cell r="I81">
            <v>39021</v>
          </cell>
        </row>
        <row r="82">
          <cell r="I82">
            <v>39051</v>
          </cell>
        </row>
        <row r="83">
          <cell r="I83">
            <v>39082</v>
          </cell>
        </row>
        <row r="84">
          <cell r="I84">
            <v>39113</v>
          </cell>
        </row>
        <row r="85">
          <cell r="I85">
            <v>39141</v>
          </cell>
        </row>
        <row r="86">
          <cell r="I86">
            <v>39172</v>
          </cell>
        </row>
        <row r="87">
          <cell r="I87">
            <v>39202</v>
          </cell>
        </row>
        <row r="88">
          <cell r="I88">
            <v>39233</v>
          </cell>
        </row>
        <row r="89">
          <cell r="I89">
            <v>39263</v>
          </cell>
        </row>
        <row r="90">
          <cell r="I90">
            <v>39294</v>
          </cell>
        </row>
        <row r="91">
          <cell r="I91">
            <v>39325</v>
          </cell>
        </row>
        <row r="92">
          <cell r="I92">
            <v>39355</v>
          </cell>
        </row>
        <row r="93">
          <cell r="I93">
            <v>39386</v>
          </cell>
        </row>
        <row r="94">
          <cell r="I94">
            <v>39416</v>
          </cell>
        </row>
        <row r="95">
          <cell r="I95">
            <v>39447</v>
          </cell>
        </row>
        <row r="96">
          <cell r="I96">
            <v>39478</v>
          </cell>
        </row>
        <row r="97">
          <cell r="I97">
            <v>39507</v>
          </cell>
        </row>
        <row r="98">
          <cell r="I98">
            <v>39538</v>
          </cell>
        </row>
        <row r="99">
          <cell r="I99">
            <v>39568</v>
          </cell>
        </row>
        <row r="100">
          <cell r="I100">
            <v>39599</v>
          </cell>
        </row>
        <row r="101">
          <cell r="I101">
            <v>39629</v>
          </cell>
        </row>
        <row r="102">
          <cell r="I102">
            <v>39660</v>
          </cell>
        </row>
        <row r="103">
          <cell r="I103">
            <v>39691</v>
          </cell>
        </row>
        <row r="104">
          <cell r="I104">
            <v>39721</v>
          </cell>
        </row>
        <row r="105">
          <cell r="I105">
            <v>39752</v>
          </cell>
        </row>
        <row r="106">
          <cell r="I106">
            <v>39782</v>
          </cell>
        </row>
        <row r="107">
          <cell r="I107">
            <v>39813</v>
          </cell>
        </row>
        <row r="108">
          <cell r="I108">
            <v>39844</v>
          </cell>
        </row>
        <row r="109">
          <cell r="I109">
            <v>39872</v>
          </cell>
        </row>
        <row r="110">
          <cell r="I110">
            <v>39903</v>
          </cell>
        </row>
        <row r="111">
          <cell r="I111">
            <v>39933</v>
          </cell>
        </row>
        <row r="112">
          <cell r="I112">
            <v>39964</v>
          </cell>
        </row>
        <row r="113">
          <cell r="I113">
            <v>39994</v>
          </cell>
        </row>
        <row r="114">
          <cell r="I114">
            <v>40025</v>
          </cell>
        </row>
        <row r="115">
          <cell r="I115">
            <v>40056</v>
          </cell>
        </row>
        <row r="116">
          <cell r="I116">
            <v>40086</v>
          </cell>
        </row>
        <row r="117">
          <cell r="I117">
            <v>40117</v>
          </cell>
        </row>
        <row r="118">
          <cell r="I118">
            <v>40147</v>
          </cell>
        </row>
        <row r="119">
          <cell r="I119">
            <v>40178</v>
          </cell>
        </row>
        <row r="120">
          <cell r="I120">
            <v>40209</v>
          </cell>
        </row>
        <row r="121">
          <cell r="I121">
            <v>40237</v>
          </cell>
        </row>
        <row r="122">
          <cell r="I122">
            <v>40268</v>
          </cell>
        </row>
        <row r="123">
          <cell r="I123">
            <v>40298</v>
          </cell>
        </row>
        <row r="124">
          <cell r="I124">
            <v>40329</v>
          </cell>
        </row>
        <row r="125">
          <cell r="I125">
            <v>40359</v>
          </cell>
        </row>
        <row r="126">
          <cell r="I126">
            <v>40390</v>
          </cell>
        </row>
        <row r="127">
          <cell r="I127">
            <v>40421</v>
          </cell>
        </row>
        <row r="128">
          <cell r="I128">
            <v>40451</v>
          </cell>
        </row>
        <row r="129">
          <cell r="I129">
            <v>40482</v>
          </cell>
        </row>
        <row r="130">
          <cell r="I130">
            <v>40512</v>
          </cell>
        </row>
        <row r="131">
          <cell r="I131">
            <v>40543</v>
          </cell>
        </row>
        <row r="132">
          <cell r="I132">
            <v>40574</v>
          </cell>
        </row>
        <row r="133">
          <cell r="I133">
            <v>40602</v>
          </cell>
        </row>
        <row r="134">
          <cell r="I134">
            <v>40633</v>
          </cell>
        </row>
        <row r="135">
          <cell r="I135">
            <v>40663</v>
          </cell>
        </row>
        <row r="136">
          <cell r="I136">
            <v>40694</v>
          </cell>
        </row>
        <row r="137">
          <cell r="I137">
            <v>40724</v>
          </cell>
        </row>
        <row r="138">
          <cell r="I138">
            <v>40755</v>
          </cell>
        </row>
        <row r="139">
          <cell r="I139">
            <v>40786</v>
          </cell>
        </row>
        <row r="140">
          <cell r="I140">
            <v>40816</v>
          </cell>
        </row>
        <row r="141">
          <cell r="I141">
            <v>40847</v>
          </cell>
        </row>
        <row r="142">
          <cell r="I142">
            <v>40877</v>
          </cell>
        </row>
        <row r="143">
          <cell r="I143">
            <v>40908</v>
          </cell>
        </row>
        <row r="144">
          <cell r="I144">
            <v>40939</v>
          </cell>
        </row>
        <row r="145">
          <cell r="I145">
            <v>40968</v>
          </cell>
        </row>
        <row r="146">
          <cell r="I146">
            <v>40999</v>
          </cell>
        </row>
        <row r="147">
          <cell r="I147">
            <v>41029</v>
          </cell>
        </row>
        <row r="148">
          <cell r="I148">
            <v>41060</v>
          </cell>
        </row>
        <row r="149">
          <cell r="I149">
            <v>41090</v>
          </cell>
        </row>
        <row r="150">
          <cell r="I150">
            <v>41121</v>
          </cell>
        </row>
        <row r="151">
          <cell r="I151">
            <v>41152</v>
          </cell>
        </row>
        <row r="152">
          <cell r="I152">
            <v>41182</v>
          </cell>
        </row>
        <row r="153">
          <cell r="I153">
            <v>41213</v>
          </cell>
        </row>
        <row r="154">
          <cell r="I154">
            <v>41243</v>
          </cell>
        </row>
        <row r="155">
          <cell r="I155">
            <v>41274</v>
          </cell>
        </row>
        <row r="156">
          <cell r="I156">
            <v>41305</v>
          </cell>
        </row>
        <row r="157">
          <cell r="I157">
            <v>41333</v>
          </cell>
        </row>
        <row r="158">
          <cell r="I158">
            <v>41364</v>
          </cell>
        </row>
        <row r="159">
          <cell r="I159">
            <v>41394</v>
          </cell>
        </row>
        <row r="160">
          <cell r="I160">
            <v>41425</v>
          </cell>
        </row>
        <row r="161">
          <cell r="I161">
            <v>41455</v>
          </cell>
        </row>
        <row r="162">
          <cell r="I162">
            <v>41486</v>
          </cell>
        </row>
        <row r="163">
          <cell r="I163">
            <v>41517</v>
          </cell>
        </row>
        <row r="164">
          <cell r="I164">
            <v>41547</v>
          </cell>
        </row>
        <row r="165">
          <cell r="I165">
            <v>41578</v>
          </cell>
        </row>
        <row r="166">
          <cell r="I166">
            <v>41608</v>
          </cell>
        </row>
        <row r="167">
          <cell r="I167">
            <v>41639</v>
          </cell>
        </row>
        <row r="168">
          <cell r="I168">
            <v>41670</v>
          </cell>
        </row>
        <row r="169">
          <cell r="I169">
            <v>41698</v>
          </cell>
        </row>
        <row r="170">
          <cell r="I170">
            <v>41729</v>
          </cell>
        </row>
        <row r="171">
          <cell r="I171">
            <v>41759</v>
          </cell>
        </row>
        <row r="172">
          <cell r="I172">
            <v>41790</v>
          </cell>
        </row>
        <row r="173">
          <cell r="I173">
            <v>41820</v>
          </cell>
        </row>
        <row r="174">
          <cell r="I174">
            <v>41851</v>
          </cell>
        </row>
        <row r="175">
          <cell r="I175">
            <v>41882</v>
          </cell>
        </row>
        <row r="176">
          <cell r="I176">
            <v>41912</v>
          </cell>
        </row>
        <row r="177">
          <cell r="I177">
            <v>41943</v>
          </cell>
        </row>
        <row r="178">
          <cell r="I178">
            <v>41973</v>
          </cell>
        </row>
        <row r="179">
          <cell r="I179">
            <v>42004</v>
          </cell>
        </row>
        <row r="180">
          <cell r="I180">
            <v>42035</v>
          </cell>
        </row>
        <row r="181">
          <cell r="I181">
            <v>42063</v>
          </cell>
        </row>
        <row r="182">
          <cell r="I182">
            <v>42094</v>
          </cell>
        </row>
        <row r="183">
          <cell r="I183">
            <v>42124</v>
          </cell>
        </row>
        <row r="184">
          <cell r="I184">
            <v>42155</v>
          </cell>
        </row>
        <row r="185">
          <cell r="I185">
            <v>42185</v>
          </cell>
        </row>
        <row r="186">
          <cell r="I186">
            <v>42216</v>
          </cell>
        </row>
        <row r="187">
          <cell r="I187">
            <v>42247</v>
          </cell>
        </row>
        <row r="188">
          <cell r="I188">
            <v>42277</v>
          </cell>
        </row>
        <row r="189">
          <cell r="I189">
            <v>42308</v>
          </cell>
        </row>
        <row r="190">
          <cell r="I190">
            <v>42338</v>
          </cell>
        </row>
        <row r="191">
          <cell r="I191">
            <v>42369</v>
          </cell>
        </row>
        <row r="192">
          <cell r="I192">
            <v>42400</v>
          </cell>
        </row>
        <row r="193">
          <cell r="I193">
            <v>42429</v>
          </cell>
        </row>
        <row r="194">
          <cell r="I194">
            <v>42460</v>
          </cell>
        </row>
        <row r="195">
          <cell r="I195">
            <v>42490</v>
          </cell>
        </row>
        <row r="196">
          <cell r="I196">
            <v>42521</v>
          </cell>
        </row>
        <row r="197">
          <cell r="I197">
            <v>42551</v>
          </cell>
        </row>
        <row r="198">
          <cell r="I198">
            <v>42582</v>
          </cell>
        </row>
        <row r="199">
          <cell r="I199">
            <v>42613</v>
          </cell>
        </row>
        <row r="200">
          <cell r="I200">
            <v>42643</v>
          </cell>
        </row>
        <row r="201">
          <cell r="I201">
            <v>42674</v>
          </cell>
        </row>
        <row r="202">
          <cell r="I202">
            <v>42704</v>
          </cell>
        </row>
        <row r="203">
          <cell r="I203">
            <v>42735</v>
          </cell>
        </row>
        <row r="204">
          <cell r="I204">
            <v>42766</v>
          </cell>
        </row>
        <row r="205">
          <cell r="I205">
            <v>42794</v>
          </cell>
        </row>
        <row r="206">
          <cell r="I206">
            <v>42825</v>
          </cell>
        </row>
        <row r="207">
          <cell r="I207">
            <v>42855</v>
          </cell>
        </row>
        <row r="208">
          <cell r="I208">
            <v>42886</v>
          </cell>
        </row>
        <row r="209">
          <cell r="I209">
            <v>42916</v>
          </cell>
        </row>
        <row r="210">
          <cell r="I210">
            <v>42947</v>
          </cell>
        </row>
        <row r="211">
          <cell r="I211">
            <v>42978</v>
          </cell>
        </row>
        <row r="212">
          <cell r="I212">
            <v>43008</v>
          </cell>
        </row>
        <row r="213">
          <cell r="I213">
            <v>43039</v>
          </cell>
        </row>
        <row r="214">
          <cell r="I214">
            <v>43069</v>
          </cell>
        </row>
        <row r="215">
          <cell r="I215">
            <v>43100</v>
          </cell>
        </row>
        <row r="216">
          <cell r="I216">
            <v>43131</v>
          </cell>
        </row>
        <row r="217">
          <cell r="I217">
            <v>43159</v>
          </cell>
        </row>
        <row r="218">
          <cell r="I218">
            <v>43190</v>
          </cell>
        </row>
        <row r="219">
          <cell r="I219">
            <v>43220</v>
          </cell>
        </row>
        <row r="220">
          <cell r="I220">
            <v>43251</v>
          </cell>
        </row>
        <row r="221">
          <cell r="I221">
            <v>43281</v>
          </cell>
        </row>
        <row r="222">
          <cell r="I222">
            <v>43312</v>
          </cell>
        </row>
        <row r="223">
          <cell r="I223">
            <v>43343</v>
          </cell>
        </row>
        <row r="224">
          <cell r="I224">
            <v>43373</v>
          </cell>
        </row>
        <row r="225">
          <cell r="I225">
            <v>43404</v>
          </cell>
        </row>
        <row r="226">
          <cell r="I226">
            <v>43434</v>
          </cell>
        </row>
        <row r="227">
          <cell r="I227">
            <v>43465</v>
          </cell>
        </row>
        <row r="228">
          <cell r="I228">
            <v>43496</v>
          </cell>
        </row>
        <row r="229">
          <cell r="I229">
            <v>43524</v>
          </cell>
        </row>
        <row r="230">
          <cell r="I230">
            <v>43555</v>
          </cell>
        </row>
        <row r="231">
          <cell r="I231">
            <v>43585</v>
          </cell>
        </row>
        <row r="232">
          <cell r="I232">
            <v>43616</v>
          </cell>
        </row>
        <row r="233">
          <cell r="I233">
            <v>43646</v>
          </cell>
        </row>
        <row r="234">
          <cell r="I234">
            <v>43677</v>
          </cell>
        </row>
        <row r="235">
          <cell r="I235">
            <v>43708</v>
          </cell>
        </row>
        <row r="236">
          <cell r="I236">
            <v>43738</v>
          </cell>
        </row>
        <row r="237">
          <cell r="I237">
            <v>43769</v>
          </cell>
        </row>
        <row r="238">
          <cell r="I238">
            <v>43799</v>
          </cell>
        </row>
        <row r="239">
          <cell r="I239">
            <v>43830</v>
          </cell>
        </row>
        <row r="240">
          <cell r="I240">
            <v>43861</v>
          </cell>
        </row>
        <row r="241">
          <cell r="I241">
            <v>43890</v>
          </cell>
        </row>
        <row r="242">
          <cell r="I242">
            <v>43921</v>
          </cell>
        </row>
        <row r="243">
          <cell r="I243">
            <v>43951</v>
          </cell>
        </row>
        <row r="244">
          <cell r="I244">
            <v>43982</v>
          </cell>
        </row>
        <row r="245">
          <cell r="I245">
            <v>44012</v>
          </cell>
        </row>
        <row r="246">
          <cell r="I246">
            <v>44043</v>
          </cell>
        </row>
      </sheetData>
      <sheetData sheetId="9">
        <row r="3">
          <cell r="D3">
            <v>36616</v>
          </cell>
          <cell r="I3">
            <v>36616</v>
          </cell>
          <cell r="T3">
            <v>36616</v>
          </cell>
          <cell r="AA3">
            <v>36616</v>
          </cell>
        </row>
        <row r="5">
          <cell r="A5">
            <v>35065</v>
          </cell>
          <cell r="B5">
            <v>3.6</v>
          </cell>
          <cell r="C5">
            <v>0</v>
          </cell>
          <cell r="D5">
            <v>3.6</v>
          </cell>
          <cell r="F5">
            <v>35065</v>
          </cell>
          <cell r="G5">
            <v>17.739999999999998</v>
          </cell>
          <cell r="H5">
            <v>0</v>
          </cell>
          <cell r="I5">
            <v>17.739999999999998</v>
          </cell>
          <cell r="P5">
            <v>35065</v>
          </cell>
          <cell r="R5">
            <v>1.46</v>
          </cell>
          <cell r="T5">
            <v>1.46</v>
          </cell>
          <cell r="U5">
            <v>0</v>
          </cell>
          <cell r="V5">
            <v>0</v>
          </cell>
          <cell r="X5">
            <v>35065</v>
          </cell>
          <cell r="Y5">
            <v>16.64</v>
          </cell>
          <cell r="Z5">
            <v>0</v>
          </cell>
          <cell r="AA5">
            <v>16.64</v>
          </cell>
        </row>
        <row r="6">
          <cell r="A6">
            <v>35096</v>
          </cell>
          <cell r="B6">
            <v>3.75</v>
          </cell>
          <cell r="C6">
            <v>0</v>
          </cell>
          <cell r="D6">
            <v>3.75</v>
          </cell>
          <cell r="F6">
            <v>35096</v>
          </cell>
          <cell r="G6">
            <v>19.54</v>
          </cell>
          <cell r="H6">
            <v>0</v>
          </cell>
          <cell r="I6">
            <v>19.54</v>
          </cell>
          <cell r="P6">
            <v>35096</v>
          </cell>
          <cell r="R6">
            <v>1.08</v>
          </cell>
          <cell r="T6">
            <v>1.08</v>
          </cell>
          <cell r="U6">
            <v>0</v>
          </cell>
          <cell r="V6">
            <v>0</v>
          </cell>
          <cell r="X6">
            <v>35096</v>
          </cell>
          <cell r="Y6">
            <v>18.739999999999998</v>
          </cell>
          <cell r="Z6">
            <v>0</v>
          </cell>
          <cell r="AA6">
            <v>18.739999999999998</v>
          </cell>
        </row>
        <row r="7">
          <cell r="A7">
            <v>35125</v>
          </cell>
          <cell r="B7">
            <v>2.6</v>
          </cell>
          <cell r="C7">
            <v>0</v>
          </cell>
          <cell r="D7">
            <v>2.6</v>
          </cell>
          <cell r="F7">
            <v>35125</v>
          </cell>
          <cell r="G7">
            <v>21.47</v>
          </cell>
          <cell r="H7">
            <v>0</v>
          </cell>
          <cell r="I7">
            <v>21.47</v>
          </cell>
          <cell r="P7">
            <v>35125</v>
          </cell>
          <cell r="R7">
            <v>1.02</v>
          </cell>
          <cell r="T7">
            <v>1.02</v>
          </cell>
          <cell r="U7">
            <v>0</v>
          </cell>
          <cell r="V7">
            <v>0</v>
          </cell>
          <cell r="X7">
            <v>35125</v>
          </cell>
          <cell r="Y7">
            <v>20.41</v>
          </cell>
          <cell r="Z7">
            <v>0</v>
          </cell>
          <cell r="AA7">
            <v>20.41</v>
          </cell>
        </row>
        <row r="8">
          <cell r="A8">
            <v>35156</v>
          </cell>
          <cell r="B8">
            <v>2.25</v>
          </cell>
          <cell r="C8">
            <v>0</v>
          </cell>
          <cell r="D8">
            <v>2.25</v>
          </cell>
          <cell r="F8">
            <v>35156</v>
          </cell>
          <cell r="G8">
            <v>21.2</v>
          </cell>
          <cell r="H8">
            <v>0</v>
          </cell>
          <cell r="I8">
            <v>21.2</v>
          </cell>
          <cell r="P8">
            <v>35156</v>
          </cell>
          <cell r="R8">
            <v>0.9</v>
          </cell>
          <cell r="T8">
            <v>0.9</v>
          </cell>
          <cell r="U8">
            <v>0</v>
          </cell>
          <cell r="V8">
            <v>0</v>
          </cell>
          <cell r="X8">
            <v>35156</v>
          </cell>
          <cell r="Y8">
            <v>19.22</v>
          </cell>
          <cell r="Z8">
            <v>0</v>
          </cell>
          <cell r="AA8">
            <v>19.22</v>
          </cell>
        </row>
        <row r="9">
          <cell r="A9">
            <v>35186</v>
          </cell>
          <cell r="B9">
            <v>2.33</v>
          </cell>
          <cell r="C9">
            <v>0</v>
          </cell>
          <cell r="D9">
            <v>2.33</v>
          </cell>
          <cell r="F9">
            <v>35186</v>
          </cell>
          <cell r="G9">
            <v>19.760000000000002</v>
          </cell>
          <cell r="H9">
            <v>0</v>
          </cell>
          <cell r="I9">
            <v>19.760000000000002</v>
          </cell>
          <cell r="P9">
            <v>35186</v>
          </cell>
          <cell r="R9">
            <v>0.82</v>
          </cell>
          <cell r="T9">
            <v>0.82</v>
          </cell>
          <cell r="U9">
            <v>0</v>
          </cell>
          <cell r="V9">
            <v>0</v>
          </cell>
          <cell r="X9">
            <v>35186</v>
          </cell>
          <cell r="Y9">
            <v>17.899999999999999</v>
          </cell>
          <cell r="Z9">
            <v>0</v>
          </cell>
          <cell r="AA9">
            <v>17.899999999999999</v>
          </cell>
        </row>
        <row r="10">
          <cell r="A10">
            <v>35217</v>
          </cell>
          <cell r="B10">
            <v>2.65</v>
          </cell>
          <cell r="C10">
            <v>0</v>
          </cell>
          <cell r="D10">
            <v>2.65</v>
          </cell>
          <cell r="F10">
            <v>35217</v>
          </cell>
          <cell r="G10">
            <v>20.92</v>
          </cell>
          <cell r="H10">
            <v>0</v>
          </cell>
          <cell r="I10">
            <v>20.92</v>
          </cell>
          <cell r="P10">
            <v>35217</v>
          </cell>
          <cell r="R10">
            <v>0.85</v>
          </cell>
          <cell r="T10">
            <v>0.85</v>
          </cell>
          <cell r="U10">
            <v>0</v>
          </cell>
          <cell r="V10">
            <v>0</v>
          </cell>
          <cell r="X10">
            <v>35217</v>
          </cell>
          <cell r="Y10">
            <v>18.71</v>
          </cell>
          <cell r="Z10">
            <v>0</v>
          </cell>
          <cell r="AA10">
            <v>18.71</v>
          </cell>
        </row>
        <row r="11">
          <cell r="A11">
            <v>35247</v>
          </cell>
          <cell r="B11">
            <v>2.08</v>
          </cell>
          <cell r="C11">
            <v>0</v>
          </cell>
          <cell r="D11">
            <v>2.08</v>
          </cell>
          <cell r="F11">
            <v>35247</v>
          </cell>
          <cell r="G11">
            <v>20.420000000000002</v>
          </cell>
          <cell r="H11">
            <v>0</v>
          </cell>
          <cell r="I11">
            <v>20.420000000000002</v>
          </cell>
          <cell r="P11">
            <v>35247</v>
          </cell>
          <cell r="R11">
            <v>0.92</v>
          </cell>
          <cell r="T11">
            <v>0.92</v>
          </cell>
          <cell r="U11">
            <v>0</v>
          </cell>
          <cell r="V11">
            <v>0</v>
          </cell>
          <cell r="X11">
            <v>35247</v>
          </cell>
          <cell r="Y11">
            <v>19.059999999999999</v>
          </cell>
          <cell r="Z11">
            <v>0</v>
          </cell>
          <cell r="AA11">
            <v>19.059999999999999</v>
          </cell>
        </row>
        <row r="12">
          <cell r="A12">
            <v>35278</v>
          </cell>
          <cell r="B12">
            <v>1.86</v>
          </cell>
          <cell r="C12">
            <v>0</v>
          </cell>
          <cell r="D12">
            <v>1.86</v>
          </cell>
          <cell r="F12">
            <v>35278</v>
          </cell>
          <cell r="G12">
            <v>22.25</v>
          </cell>
          <cell r="H12">
            <v>0</v>
          </cell>
          <cell r="I12">
            <v>22.25</v>
          </cell>
          <cell r="P12">
            <v>35278</v>
          </cell>
          <cell r="R12">
            <v>0.91</v>
          </cell>
          <cell r="T12">
            <v>0.91</v>
          </cell>
          <cell r="U12">
            <v>0</v>
          </cell>
          <cell r="V12">
            <v>0</v>
          </cell>
          <cell r="X12">
            <v>35278</v>
          </cell>
          <cell r="Y12">
            <v>20.399999999999999</v>
          </cell>
          <cell r="Z12">
            <v>0</v>
          </cell>
          <cell r="AA12">
            <v>20.399999999999999</v>
          </cell>
        </row>
        <row r="13">
          <cell r="A13">
            <v>35309</v>
          </cell>
          <cell r="B13">
            <v>1.86</v>
          </cell>
          <cell r="C13">
            <v>0</v>
          </cell>
          <cell r="D13">
            <v>1.86</v>
          </cell>
          <cell r="F13">
            <v>35309</v>
          </cell>
          <cell r="G13">
            <v>24.38</v>
          </cell>
          <cell r="H13">
            <v>0</v>
          </cell>
          <cell r="I13">
            <v>24.38</v>
          </cell>
          <cell r="P13">
            <v>35309</v>
          </cell>
          <cell r="R13">
            <v>0.95</v>
          </cell>
          <cell r="T13">
            <v>0.95</v>
          </cell>
          <cell r="U13">
            <v>0</v>
          </cell>
          <cell r="V13">
            <v>0</v>
          </cell>
          <cell r="X13">
            <v>35309</v>
          </cell>
          <cell r="Y13">
            <v>22.67</v>
          </cell>
          <cell r="Z13">
            <v>0</v>
          </cell>
          <cell r="AA13">
            <v>22.67</v>
          </cell>
        </row>
        <row r="14">
          <cell r="A14">
            <v>35339</v>
          </cell>
          <cell r="B14">
            <v>2.7</v>
          </cell>
          <cell r="C14">
            <v>0</v>
          </cell>
          <cell r="D14">
            <v>2.7</v>
          </cell>
          <cell r="F14">
            <v>35339</v>
          </cell>
          <cell r="G14">
            <v>23.35</v>
          </cell>
          <cell r="H14">
            <v>0</v>
          </cell>
          <cell r="I14">
            <v>23.35</v>
          </cell>
          <cell r="P14">
            <v>35339</v>
          </cell>
          <cell r="R14">
            <v>1.24</v>
          </cell>
          <cell r="T14">
            <v>1.24</v>
          </cell>
          <cell r="U14">
            <v>0</v>
          </cell>
          <cell r="V14">
            <v>0</v>
          </cell>
          <cell r="X14">
            <v>35339</v>
          </cell>
          <cell r="Y14">
            <v>21.82</v>
          </cell>
          <cell r="Z14">
            <v>0</v>
          </cell>
          <cell r="AA14">
            <v>21.82</v>
          </cell>
        </row>
        <row r="15">
          <cell r="A15">
            <v>35370</v>
          </cell>
          <cell r="B15">
            <v>3.8</v>
          </cell>
          <cell r="C15">
            <v>0</v>
          </cell>
          <cell r="D15">
            <v>3.8</v>
          </cell>
          <cell r="F15">
            <v>35370</v>
          </cell>
          <cell r="G15">
            <v>23.75</v>
          </cell>
          <cell r="H15">
            <v>0</v>
          </cell>
          <cell r="I15">
            <v>23.75</v>
          </cell>
          <cell r="P15">
            <v>35370</v>
          </cell>
          <cell r="R15">
            <v>1.51</v>
          </cell>
          <cell r="T15">
            <v>1.51</v>
          </cell>
          <cell r="U15">
            <v>0</v>
          </cell>
          <cell r="V15">
            <v>0</v>
          </cell>
          <cell r="X15">
            <v>35370</v>
          </cell>
          <cell r="Y15">
            <v>23.12</v>
          </cell>
          <cell r="Z15">
            <v>0</v>
          </cell>
          <cell r="AA15">
            <v>23.12</v>
          </cell>
        </row>
        <row r="16">
          <cell r="A16">
            <v>35400</v>
          </cell>
          <cell r="B16">
            <v>2.46</v>
          </cell>
          <cell r="C16">
            <v>0</v>
          </cell>
          <cell r="D16">
            <v>2.46</v>
          </cell>
          <cell r="F16">
            <v>35400</v>
          </cell>
          <cell r="G16">
            <v>25.92</v>
          </cell>
          <cell r="H16">
            <v>0</v>
          </cell>
          <cell r="I16">
            <v>25.92</v>
          </cell>
          <cell r="P16">
            <v>35400</v>
          </cell>
          <cell r="R16">
            <v>1.82</v>
          </cell>
          <cell r="T16">
            <v>1.82</v>
          </cell>
          <cell r="U16">
            <v>0</v>
          </cell>
          <cell r="V16">
            <v>0</v>
          </cell>
          <cell r="X16">
            <v>35400</v>
          </cell>
          <cell r="Y16">
            <v>23.56</v>
          </cell>
          <cell r="Z16">
            <v>0</v>
          </cell>
          <cell r="AA16">
            <v>23.56</v>
          </cell>
        </row>
        <row r="17">
          <cell r="A17">
            <v>35431</v>
          </cell>
          <cell r="B17">
            <v>2.88</v>
          </cell>
          <cell r="C17">
            <v>0</v>
          </cell>
          <cell r="D17">
            <v>2.88</v>
          </cell>
          <cell r="F17">
            <v>35431</v>
          </cell>
          <cell r="G17">
            <v>24.15</v>
          </cell>
          <cell r="H17">
            <v>0</v>
          </cell>
          <cell r="I17">
            <v>24.15</v>
          </cell>
          <cell r="P17">
            <v>35431</v>
          </cell>
          <cell r="R17">
            <v>2.11</v>
          </cell>
          <cell r="T17">
            <v>2.11</v>
          </cell>
          <cell r="U17">
            <v>0</v>
          </cell>
          <cell r="V17">
            <v>0</v>
          </cell>
          <cell r="X17">
            <v>35431</v>
          </cell>
          <cell r="Y17">
            <v>22.82</v>
          </cell>
          <cell r="Z17">
            <v>0</v>
          </cell>
          <cell r="AA17">
            <v>22.82</v>
          </cell>
        </row>
        <row r="18">
          <cell r="A18">
            <v>35462</v>
          </cell>
          <cell r="B18">
            <v>1.79</v>
          </cell>
          <cell r="C18">
            <v>0</v>
          </cell>
          <cell r="D18">
            <v>1.79</v>
          </cell>
          <cell r="F18">
            <v>35462</v>
          </cell>
          <cell r="G18">
            <v>20.3</v>
          </cell>
          <cell r="H18">
            <v>0</v>
          </cell>
          <cell r="I18">
            <v>20.3</v>
          </cell>
          <cell r="P18">
            <v>35462</v>
          </cell>
          <cell r="R18">
            <v>1.21</v>
          </cell>
          <cell r="T18">
            <v>1.21</v>
          </cell>
          <cell r="U18">
            <v>0</v>
          </cell>
          <cell r="V18">
            <v>0</v>
          </cell>
          <cell r="X18">
            <v>35462</v>
          </cell>
          <cell r="Y18">
            <v>19.399999999999999</v>
          </cell>
          <cell r="Z18">
            <v>0</v>
          </cell>
          <cell r="AA18">
            <v>19.399999999999999</v>
          </cell>
        </row>
        <row r="19">
          <cell r="A19">
            <v>35490</v>
          </cell>
          <cell r="B19">
            <v>1.85</v>
          </cell>
          <cell r="C19">
            <v>0</v>
          </cell>
          <cell r="D19">
            <v>1.85</v>
          </cell>
          <cell r="F19">
            <v>35490</v>
          </cell>
          <cell r="G19">
            <v>20.41</v>
          </cell>
          <cell r="H19">
            <v>0</v>
          </cell>
          <cell r="I19">
            <v>20.41</v>
          </cell>
          <cell r="P19">
            <v>35490</v>
          </cell>
          <cell r="R19">
            <v>1.19</v>
          </cell>
          <cell r="T19">
            <v>1.19</v>
          </cell>
          <cell r="U19">
            <v>0</v>
          </cell>
          <cell r="V19">
            <v>0</v>
          </cell>
          <cell r="X19">
            <v>35490</v>
          </cell>
          <cell r="Y19">
            <v>18.579999999999998</v>
          </cell>
          <cell r="Z19">
            <v>0</v>
          </cell>
          <cell r="AA19">
            <v>18.579999999999998</v>
          </cell>
        </row>
        <row r="20">
          <cell r="A20">
            <v>35521</v>
          </cell>
          <cell r="B20">
            <v>2.1</v>
          </cell>
          <cell r="C20">
            <v>0</v>
          </cell>
          <cell r="D20">
            <v>2.1</v>
          </cell>
          <cell r="F20">
            <v>35521</v>
          </cell>
          <cell r="G20">
            <v>20.21</v>
          </cell>
          <cell r="H20">
            <v>0</v>
          </cell>
          <cell r="I20">
            <v>20.21</v>
          </cell>
          <cell r="P20">
            <v>35521</v>
          </cell>
          <cell r="R20">
            <v>1.5</v>
          </cell>
          <cell r="T20">
            <v>1.5</v>
          </cell>
          <cell r="U20">
            <v>0</v>
          </cell>
          <cell r="V20">
            <v>0</v>
          </cell>
          <cell r="X20">
            <v>35521</v>
          </cell>
          <cell r="Y20">
            <v>18.21</v>
          </cell>
          <cell r="Z20">
            <v>0</v>
          </cell>
          <cell r="AA20">
            <v>18.21</v>
          </cell>
        </row>
        <row r="21">
          <cell r="A21">
            <v>35551</v>
          </cell>
          <cell r="B21">
            <v>2.2000000000000002</v>
          </cell>
          <cell r="C21">
            <v>0</v>
          </cell>
          <cell r="D21">
            <v>2.2000000000000002</v>
          </cell>
          <cell r="F21">
            <v>35551</v>
          </cell>
          <cell r="G21">
            <v>20.88</v>
          </cell>
          <cell r="H21">
            <v>0</v>
          </cell>
          <cell r="I21">
            <v>20.88</v>
          </cell>
          <cell r="P21">
            <v>35551</v>
          </cell>
          <cell r="R21">
            <v>1.2</v>
          </cell>
          <cell r="T21">
            <v>1.2</v>
          </cell>
          <cell r="U21">
            <v>0</v>
          </cell>
          <cell r="V21">
            <v>0</v>
          </cell>
          <cell r="X21">
            <v>35551</v>
          </cell>
          <cell r="Y21">
            <v>19.2</v>
          </cell>
          <cell r="Z21">
            <v>0</v>
          </cell>
          <cell r="AA21">
            <v>19.2</v>
          </cell>
        </row>
        <row r="22">
          <cell r="A22">
            <v>35582</v>
          </cell>
          <cell r="B22">
            <v>2.17</v>
          </cell>
          <cell r="C22">
            <v>0</v>
          </cell>
          <cell r="D22">
            <v>2.17</v>
          </cell>
          <cell r="F22">
            <v>35582</v>
          </cell>
          <cell r="G22">
            <v>19.8</v>
          </cell>
          <cell r="H22">
            <v>0</v>
          </cell>
          <cell r="I22">
            <v>19.8</v>
          </cell>
          <cell r="P22">
            <v>35582</v>
          </cell>
          <cell r="R22">
            <v>1.1399999999999999</v>
          </cell>
          <cell r="T22">
            <v>1.1399999999999999</v>
          </cell>
          <cell r="U22">
            <v>0</v>
          </cell>
          <cell r="V22">
            <v>0</v>
          </cell>
          <cell r="X22">
            <v>35582</v>
          </cell>
          <cell r="Y22">
            <v>18.260000000000002</v>
          </cell>
          <cell r="Z22">
            <v>0</v>
          </cell>
          <cell r="AA22">
            <v>18.260000000000002</v>
          </cell>
        </row>
        <row r="23">
          <cell r="A23">
            <v>35612</v>
          </cell>
          <cell r="B23">
            <v>2.23</v>
          </cell>
          <cell r="C23">
            <v>0</v>
          </cell>
          <cell r="D23">
            <v>2.23</v>
          </cell>
          <cell r="F23">
            <v>35612</v>
          </cell>
          <cell r="G23">
            <v>20.14</v>
          </cell>
          <cell r="H23">
            <v>0</v>
          </cell>
          <cell r="I23">
            <v>20.14</v>
          </cell>
          <cell r="P23">
            <v>35612</v>
          </cell>
          <cell r="R23">
            <v>1.1499999999999999</v>
          </cell>
          <cell r="T23">
            <v>1.1499999999999999</v>
          </cell>
          <cell r="U23">
            <v>0</v>
          </cell>
          <cell r="V23">
            <v>0</v>
          </cell>
          <cell r="X23">
            <v>35612</v>
          </cell>
          <cell r="Y23">
            <v>19.12</v>
          </cell>
          <cell r="Z23">
            <v>0</v>
          </cell>
          <cell r="AA23">
            <v>19.12</v>
          </cell>
        </row>
        <row r="24">
          <cell r="A24">
            <v>35643</v>
          </cell>
          <cell r="B24">
            <v>2.7</v>
          </cell>
          <cell r="C24">
            <v>0</v>
          </cell>
          <cell r="D24">
            <v>2.7</v>
          </cell>
          <cell r="F24">
            <v>35643</v>
          </cell>
          <cell r="G24">
            <v>19.61</v>
          </cell>
          <cell r="H24">
            <v>0</v>
          </cell>
          <cell r="I24">
            <v>19.61</v>
          </cell>
          <cell r="P24">
            <v>35643</v>
          </cell>
          <cell r="R24">
            <v>1.2</v>
          </cell>
          <cell r="T24">
            <v>1.2</v>
          </cell>
          <cell r="U24">
            <v>0</v>
          </cell>
          <cell r="V24">
            <v>0</v>
          </cell>
          <cell r="X24">
            <v>35643</v>
          </cell>
          <cell r="Y24">
            <v>18.25</v>
          </cell>
          <cell r="Z24">
            <v>0</v>
          </cell>
          <cell r="AA24">
            <v>18.25</v>
          </cell>
        </row>
        <row r="25">
          <cell r="A25">
            <v>35674</v>
          </cell>
          <cell r="B25">
            <v>2.97</v>
          </cell>
          <cell r="C25">
            <v>0</v>
          </cell>
          <cell r="D25">
            <v>2.97</v>
          </cell>
          <cell r="F25">
            <v>35674</v>
          </cell>
          <cell r="G25">
            <v>21.18</v>
          </cell>
          <cell r="H25">
            <v>0</v>
          </cell>
          <cell r="I25">
            <v>21.18</v>
          </cell>
          <cell r="P25">
            <v>35674</v>
          </cell>
          <cell r="R25">
            <v>1.21</v>
          </cell>
          <cell r="T25">
            <v>1.21</v>
          </cell>
          <cell r="U25">
            <v>0</v>
          </cell>
          <cell r="V25">
            <v>0</v>
          </cell>
          <cell r="X25">
            <v>35674</v>
          </cell>
          <cell r="Y25">
            <v>19.86</v>
          </cell>
          <cell r="Z25">
            <v>0</v>
          </cell>
          <cell r="AA25">
            <v>19.86</v>
          </cell>
        </row>
        <row r="26">
          <cell r="A26">
            <v>35704</v>
          </cell>
          <cell r="B26">
            <v>3.27</v>
          </cell>
          <cell r="C26">
            <v>0</v>
          </cell>
          <cell r="D26">
            <v>3.27</v>
          </cell>
          <cell r="F26">
            <v>35704</v>
          </cell>
          <cell r="G26">
            <v>21.08</v>
          </cell>
          <cell r="H26">
            <v>0</v>
          </cell>
          <cell r="I26">
            <v>21.08</v>
          </cell>
          <cell r="P26">
            <v>35704</v>
          </cell>
          <cell r="R26">
            <v>1.54</v>
          </cell>
          <cell r="T26">
            <v>1.54</v>
          </cell>
          <cell r="U26">
            <v>0</v>
          </cell>
          <cell r="V26">
            <v>0</v>
          </cell>
          <cell r="X26">
            <v>35704</v>
          </cell>
          <cell r="Y26">
            <v>19.52</v>
          </cell>
          <cell r="Z26">
            <v>0</v>
          </cell>
          <cell r="AA26">
            <v>19.52</v>
          </cell>
        </row>
        <row r="27">
          <cell r="A27">
            <v>35735</v>
          </cell>
          <cell r="B27">
            <v>2.4</v>
          </cell>
          <cell r="C27">
            <v>0</v>
          </cell>
          <cell r="D27">
            <v>2.4</v>
          </cell>
          <cell r="F27">
            <v>35735</v>
          </cell>
          <cell r="G27">
            <v>19.149999999999999</v>
          </cell>
          <cell r="H27">
            <v>0</v>
          </cell>
          <cell r="I27">
            <v>19.149999999999999</v>
          </cell>
          <cell r="P27">
            <v>35735</v>
          </cell>
          <cell r="R27">
            <v>1.0900000000000001</v>
          </cell>
          <cell r="T27">
            <v>1.0900000000000001</v>
          </cell>
          <cell r="U27">
            <v>0</v>
          </cell>
          <cell r="V27">
            <v>0</v>
          </cell>
          <cell r="X27">
            <v>35735</v>
          </cell>
          <cell r="Y27">
            <v>18.97</v>
          </cell>
          <cell r="Z27">
            <v>0</v>
          </cell>
          <cell r="AA27">
            <v>18.97</v>
          </cell>
        </row>
        <row r="28">
          <cell r="A28">
            <v>35765</v>
          </cell>
          <cell r="B28">
            <v>2.23</v>
          </cell>
          <cell r="C28">
            <v>0</v>
          </cell>
          <cell r="D28">
            <v>2.23</v>
          </cell>
          <cell r="F28">
            <v>35765</v>
          </cell>
          <cell r="G28">
            <v>17.64</v>
          </cell>
          <cell r="H28">
            <v>0</v>
          </cell>
          <cell r="I28">
            <v>17.64</v>
          </cell>
          <cell r="P28">
            <v>35765</v>
          </cell>
          <cell r="R28">
            <v>0.95</v>
          </cell>
          <cell r="T28">
            <v>0.95</v>
          </cell>
          <cell r="U28">
            <v>0</v>
          </cell>
          <cell r="V28">
            <v>0</v>
          </cell>
          <cell r="X28">
            <v>35765</v>
          </cell>
          <cell r="Y28">
            <v>15.94</v>
          </cell>
          <cell r="Z28">
            <v>0</v>
          </cell>
          <cell r="AA28">
            <v>15.94</v>
          </cell>
        </row>
        <row r="29">
          <cell r="A29">
            <v>35796</v>
          </cell>
          <cell r="B29">
            <v>2.0699999999999998</v>
          </cell>
          <cell r="C29">
            <v>0</v>
          </cell>
          <cell r="D29">
            <v>2.0699999999999998</v>
          </cell>
          <cell r="F29">
            <v>35796</v>
          </cell>
          <cell r="G29">
            <v>17.21</v>
          </cell>
          <cell r="H29">
            <v>0</v>
          </cell>
          <cell r="I29">
            <v>17.21</v>
          </cell>
          <cell r="P29">
            <v>35796</v>
          </cell>
          <cell r="R29">
            <v>1.17</v>
          </cell>
          <cell r="S29">
            <v>1.4530444589639997</v>
          </cell>
          <cell r="T29">
            <v>1.17</v>
          </cell>
          <cell r="U29">
            <v>1.4530444589639997</v>
          </cell>
          <cell r="V29">
            <v>0</v>
          </cell>
          <cell r="X29">
            <v>35796</v>
          </cell>
          <cell r="Y29">
            <v>15.57</v>
          </cell>
          <cell r="Z29">
            <v>0</v>
          </cell>
          <cell r="AA29">
            <v>15.57</v>
          </cell>
        </row>
        <row r="30">
          <cell r="A30">
            <v>35827</v>
          </cell>
          <cell r="B30">
            <v>2.2000000000000002</v>
          </cell>
          <cell r="C30">
            <v>0</v>
          </cell>
          <cell r="D30">
            <v>2.2000000000000002</v>
          </cell>
          <cell r="F30">
            <v>35827</v>
          </cell>
          <cell r="G30">
            <v>15.5</v>
          </cell>
          <cell r="H30">
            <v>0</v>
          </cell>
          <cell r="I30">
            <v>15.5</v>
          </cell>
          <cell r="P30">
            <v>35827</v>
          </cell>
          <cell r="R30">
            <v>1.23</v>
          </cell>
          <cell r="S30">
            <v>1.5861271728399997</v>
          </cell>
          <cell r="T30">
            <v>1.23</v>
          </cell>
          <cell r="U30">
            <v>1.5861271728399997</v>
          </cell>
          <cell r="V30">
            <v>0</v>
          </cell>
          <cell r="X30">
            <v>35827</v>
          </cell>
          <cell r="Y30">
            <v>13.42</v>
          </cell>
          <cell r="Z30">
            <v>0</v>
          </cell>
          <cell r="AA30">
            <v>13.42</v>
          </cell>
        </row>
        <row r="31">
          <cell r="A31">
            <v>35855</v>
          </cell>
          <cell r="B31">
            <v>2.34</v>
          </cell>
          <cell r="C31">
            <v>0</v>
          </cell>
          <cell r="D31">
            <v>2.34</v>
          </cell>
          <cell r="F31">
            <v>35855</v>
          </cell>
          <cell r="G31">
            <v>15.7</v>
          </cell>
          <cell r="H31">
            <v>0</v>
          </cell>
          <cell r="I31">
            <v>15.7</v>
          </cell>
          <cell r="P31">
            <v>35855</v>
          </cell>
          <cell r="R31">
            <v>1.42</v>
          </cell>
          <cell r="S31">
            <v>1.7367455945579999</v>
          </cell>
          <cell r="T31">
            <v>1.42</v>
          </cell>
          <cell r="U31">
            <v>1.7367455945579999</v>
          </cell>
          <cell r="V31">
            <v>0</v>
          </cell>
          <cell r="X31">
            <v>35855</v>
          </cell>
          <cell r="Y31">
            <v>13.77</v>
          </cell>
          <cell r="Z31">
            <v>0</v>
          </cell>
          <cell r="AA31">
            <v>13.77</v>
          </cell>
        </row>
        <row r="32">
          <cell r="A32">
            <v>35886</v>
          </cell>
          <cell r="B32">
            <v>2.14</v>
          </cell>
          <cell r="C32">
            <v>0</v>
          </cell>
          <cell r="D32">
            <v>2.14</v>
          </cell>
          <cell r="F32">
            <v>35886</v>
          </cell>
          <cell r="G32">
            <v>15.48</v>
          </cell>
          <cell r="H32">
            <v>0</v>
          </cell>
          <cell r="I32">
            <v>15.48</v>
          </cell>
          <cell r="P32">
            <v>35886</v>
          </cell>
          <cell r="R32">
            <v>1.53</v>
          </cell>
          <cell r="S32">
            <v>1.7360838281599997</v>
          </cell>
          <cell r="T32">
            <v>1.53</v>
          </cell>
          <cell r="U32">
            <v>1.7360838281599997</v>
          </cell>
          <cell r="V32">
            <v>0</v>
          </cell>
          <cell r="X32">
            <v>35886</v>
          </cell>
          <cell r="Y32">
            <v>13.99</v>
          </cell>
          <cell r="Z32">
            <v>0</v>
          </cell>
          <cell r="AA32">
            <v>13.99</v>
          </cell>
        </row>
        <row r="33">
          <cell r="A33">
            <v>35916</v>
          </cell>
          <cell r="B33">
            <v>2.11</v>
          </cell>
          <cell r="C33">
            <v>0</v>
          </cell>
          <cell r="D33">
            <v>2.11</v>
          </cell>
          <cell r="F33">
            <v>35916</v>
          </cell>
          <cell r="G33">
            <v>15.23</v>
          </cell>
          <cell r="H33">
            <v>0</v>
          </cell>
          <cell r="I33">
            <v>15.23</v>
          </cell>
          <cell r="P33">
            <v>35916</v>
          </cell>
          <cell r="R33">
            <v>1.25</v>
          </cell>
          <cell r="S33">
            <v>2.2314354463169996</v>
          </cell>
          <cell r="T33">
            <v>1.25</v>
          </cell>
          <cell r="U33">
            <v>2.2314354463169996</v>
          </cell>
          <cell r="V33">
            <v>0</v>
          </cell>
          <cell r="X33">
            <v>35916</v>
          </cell>
          <cell r="Y33">
            <v>14.12</v>
          </cell>
          <cell r="Z33">
            <v>0</v>
          </cell>
          <cell r="AA33">
            <v>14.12</v>
          </cell>
        </row>
        <row r="34">
          <cell r="A34">
            <v>35947</v>
          </cell>
          <cell r="B34">
            <v>2.41</v>
          </cell>
          <cell r="C34">
            <v>0</v>
          </cell>
          <cell r="D34">
            <v>2.41</v>
          </cell>
          <cell r="F34">
            <v>35947</v>
          </cell>
          <cell r="G34">
            <v>14.26</v>
          </cell>
          <cell r="H34">
            <v>0</v>
          </cell>
          <cell r="I34">
            <v>14.26</v>
          </cell>
          <cell r="P34">
            <v>35947</v>
          </cell>
          <cell r="R34">
            <v>1.43</v>
          </cell>
          <cell r="S34">
            <v>1.9231539525795003</v>
          </cell>
          <cell r="T34">
            <v>1.43</v>
          </cell>
          <cell r="U34">
            <v>1.9231539525795003</v>
          </cell>
          <cell r="V34">
            <v>0</v>
          </cell>
          <cell r="X34">
            <v>35947</v>
          </cell>
          <cell r="Y34">
            <v>11.88</v>
          </cell>
          <cell r="Z34">
            <v>0</v>
          </cell>
          <cell r="AA34">
            <v>11.88</v>
          </cell>
        </row>
        <row r="35">
          <cell r="A35">
            <v>35977</v>
          </cell>
          <cell r="B35">
            <v>1.85</v>
          </cell>
          <cell r="C35">
            <v>0</v>
          </cell>
          <cell r="D35">
            <v>1.85</v>
          </cell>
          <cell r="F35">
            <v>35977</v>
          </cell>
          <cell r="G35">
            <v>14.26</v>
          </cell>
          <cell r="H35">
            <v>0</v>
          </cell>
          <cell r="I35">
            <v>14.26</v>
          </cell>
          <cell r="P35">
            <v>35977</v>
          </cell>
          <cell r="R35">
            <v>1.42</v>
          </cell>
          <cell r="S35">
            <v>1.8420287821135548</v>
          </cell>
          <cell r="T35">
            <v>1.42</v>
          </cell>
          <cell r="U35">
            <v>1.8420287821135548</v>
          </cell>
          <cell r="V35">
            <v>0</v>
          </cell>
          <cell r="X35">
            <v>35977</v>
          </cell>
          <cell r="Y35">
            <v>12.55</v>
          </cell>
          <cell r="Z35">
            <v>0</v>
          </cell>
          <cell r="AA35">
            <v>12.55</v>
          </cell>
        </row>
        <row r="36">
          <cell r="A36">
            <v>36008</v>
          </cell>
          <cell r="B36">
            <v>1.68</v>
          </cell>
          <cell r="C36">
            <v>0</v>
          </cell>
          <cell r="D36">
            <v>1.68</v>
          </cell>
          <cell r="F36">
            <v>36008</v>
          </cell>
          <cell r="G36">
            <v>13.38</v>
          </cell>
          <cell r="H36">
            <v>0</v>
          </cell>
          <cell r="I36">
            <v>13.38</v>
          </cell>
          <cell r="P36">
            <v>36008</v>
          </cell>
          <cell r="R36">
            <v>0.94</v>
          </cell>
          <cell r="S36">
            <v>2.0450039476800006</v>
          </cell>
          <cell r="T36">
            <v>0.94</v>
          </cell>
          <cell r="U36">
            <v>2.0450039476800006</v>
          </cell>
          <cell r="V36">
            <v>0</v>
          </cell>
          <cell r="X36">
            <v>36008</v>
          </cell>
          <cell r="Y36">
            <v>11.95</v>
          </cell>
          <cell r="Z36">
            <v>0</v>
          </cell>
          <cell r="AA36">
            <v>11.95</v>
          </cell>
        </row>
        <row r="37">
          <cell r="A37">
            <v>36039</v>
          </cell>
          <cell r="B37">
            <v>2.2000000000000002</v>
          </cell>
          <cell r="C37">
            <v>0</v>
          </cell>
          <cell r="D37">
            <v>2.2000000000000002</v>
          </cell>
          <cell r="F37">
            <v>36039</v>
          </cell>
          <cell r="G37">
            <v>16.170000000000002</v>
          </cell>
          <cell r="H37">
            <v>0</v>
          </cell>
          <cell r="I37">
            <v>16.170000000000002</v>
          </cell>
          <cell r="P37">
            <v>36039</v>
          </cell>
          <cell r="R37">
            <v>1.6</v>
          </cell>
          <cell r="S37">
            <v>1.7295686054846835</v>
          </cell>
          <cell r="T37">
            <v>1.6</v>
          </cell>
          <cell r="U37">
            <v>1.7295686054846835</v>
          </cell>
          <cell r="V37">
            <v>0</v>
          </cell>
          <cell r="X37">
            <v>36039</v>
          </cell>
          <cell r="Y37">
            <v>14.78</v>
          </cell>
          <cell r="Z37">
            <v>0</v>
          </cell>
          <cell r="AA37">
            <v>14.78</v>
          </cell>
        </row>
        <row r="38">
          <cell r="A38">
            <v>36069</v>
          </cell>
          <cell r="B38">
            <v>1.83</v>
          </cell>
          <cell r="C38">
            <v>0</v>
          </cell>
          <cell r="D38">
            <v>1.83</v>
          </cell>
          <cell r="F38">
            <v>36069</v>
          </cell>
          <cell r="G38">
            <v>14.45</v>
          </cell>
          <cell r="H38">
            <v>0</v>
          </cell>
          <cell r="I38">
            <v>14.45</v>
          </cell>
          <cell r="P38">
            <v>36069</v>
          </cell>
          <cell r="R38">
            <v>1.53</v>
          </cell>
          <cell r="S38">
            <v>2.0037684953745711</v>
          </cell>
          <cell r="T38">
            <v>1.53</v>
          </cell>
          <cell r="U38">
            <v>2.0037684953745711</v>
          </cell>
          <cell r="V38">
            <v>0</v>
          </cell>
          <cell r="X38">
            <v>36069</v>
          </cell>
          <cell r="Y38">
            <v>12.31</v>
          </cell>
          <cell r="Z38">
            <v>0</v>
          </cell>
          <cell r="AA38">
            <v>12.31</v>
          </cell>
        </row>
        <row r="39">
          <cell r="A39">
            <v>36100</v>
          </cell>
          <cell r="B39">
            <v>1.66</v>
          </cell>
          <cell r="C39">
            <v>0</v>
          </cell>
          <cell r="D39">
            <v>1.66</v>
          </cell>
          <cell r="F39">
            <v>36100</v>
          </cell>
          <cell r="G39">
            <v>11.26</v>
          </cell>
          <cell r="H39">
            <v>0</v>
          </cell>
          <cell r="I39">
            <v>11.26</v>
          </cell>
          <cell r="P39">
            <v>36100</v>
          </cell>
          <cell r="R39">
            <v>1.61</v>
          </cell>
          <cell r="S39">
            <v>2.7802355000000003</v>
          </cell>
          <cell r="T39">
            <v>1.61</v>
          </cell>
          <cell r="U39">
            <v>2.7802355000000003</v>
          </cell>
          <cell r="V39">
            <v>0</v>
          </cell>
          <cell r="X39">
            <v>36100</v>
          </cell>
          <cell r="Y39">
            <v>10.06</v>
          </cell>
          <cell r="Z39">
            <v>0</v>
          </cell>
          <cell r="AA39">
            <v>10.06</v>
          </cell>
        </row>
        <row r="40">
          <cell r="A40">
            <v>36130</v>
          </cell>
          <cell r="B40">
            <v>1.94</v>
          </cell>
          <cell r="C40">
            <v>0</v>
          </cell>
          <cell r="D40">
            <v>1.94</v>
          </cell>
          <cell r="F40">
            <v>36130</v>
          </cell>
          <cell r="G40">
            <v>12.09</v>
          </cell>
          <cell r="H40">
            <v>0</v>
          </cell>
          <cell r="I40">
            <v>12.09</v>
          </cell>
          <cell r="P40">
            <v>36130</v>
          </cell>
          <cell r="R40">
            <v>1.72</v>
          </cell>
          <cell r="S40">
            <v>2.932032720034432</v>
          </cell>
          <cell r="T40">
            <v>1.72</v>
          </cell>
          <cell r="U40">
            <v>2.932032720034432</v>
          </cell>
          <cell r="V40">
            <v>0</v>
          </cell>
          <cell r="X40">
            <v>36130</v>
          </cell>
          <cell r="Y40">
            <v>10.57</v>
          </cell>
          <cell r="Z40">
            <v>0</v>
          </cell>
          <cell r="AA40">
            <v>10.57</v>
          </cell>
        </row>
        <row r="41">
          <cell r="A41">
            <v>36161</v>
          </cell>
          <cell r="B41">
            <v>1.82</v>
          </cell>
          <cell r="C41">
            <v>0</v>
          </cell>
          <cell r="D41">
            <v>1.82</v>
          </cell>
          <cell r="F41">
            <v>36161</v>
          </cell>
          <cell r="G41">
            <v>12.76</v>
          </cell>
          <cell r="H41">
            <v>0</v>
          </cell>
          <cell r="I41">
            <v>12.76</v>
          </cell>
          <cell r="P41">
            <v>36161</v>
          </cell>
          <cell r="R41">
            <v>1.58</v>
          </cell>
          <cell r="S41">
            <v>2.38659</v>
          </cell>
          <cell r="T41">
            <v>1.58</v>
          </cell>
          <cell r="U41">
            <v>2.38659</v>
          </cell>
          <cell r="V41">
            <v>0</v>
          </cell>
          <cell r="X41">
            <v>36161</v>
          </cell>
          <cell r="Y41">
            <v>11.47</v>
          </cell>
          <cell r="Z41">
            <v>0</v>
          </cell>
          <cell r="AA41">
            <v>11.47</v>
          </cell>
        </row>
        <row r="42">
          <cell r="A42">
            <v>36192</v>
          </cell>
          <cell r="B42">
            <v>1.66</v>
          </cell>
          <cell r="C42">
            <v>0</v>
          </cell>
          <cell r="D42">
            <v>1.66</v>
          </cell>
          <cell r="F42">
            <v>36192</v>
          </cell>
          <cell r="G42">
            <v>12.28</v>
          </cell>
          <cell r="H42">
            <v>0</v>
          </cell>
          <cell r="I42">
            <v>12.28</v>
          </cell>
          <cell r="P42">
            <v>36192</v>
          </cell>
          <cell r="R42">
            <v>1.51</v>
          </cell>
          <cell r="S42">
            <v>2.2793450000000002</v>
          </cell>
          <cell r="T42">
            <v>1.51</v>
          </cell>
          <cell r="U42">
            <v>2.2793450000000002</v>
          </cell>
          <cell r="V42">
            <v>0</v>
          </cell>
          <cell r="X42">
            <v>36192</v>
          </cell>
          <cell r="Y42">
            <v>10.48</v>
          </cell>
          <cell r="Z42">
            <v>0</v>
          </cell>
          <cell r="AA42">
            <v>10.48</v>
          </cell>
        </row>
        <row r="43">
          <cell r="A43">
            <v>36220</v>
          </cell>
          <cell r="B43">
            <v>2</v>
          </cell>
          <cell r="C43">
            <v>0</v>
          </cell>
          <cell r="D43">
            <v>2</v>
          </cell>
          <cell r="F43">
            <v>36220</v>
          </cell>
          <cell r="G43">
            <v>16.760000000000002</v>
          </cell>
          <cell r="H43">
            <v>0</v>
          </cell>
          <cell r="I43">
            <v>16.760000000000002</v>
          </cell>
          <cell r="P43">
            <v>36220</v>
          </cell>
          <cell r="R43">
            <v>1.57</v>
          </cell>
          <cell r="S43">
            <v>2.3648910000000001</v>
          </cell>
          <cell r="T43">
            <v>1.57</v>
          </cell>
          <cell r="U43">
            <v>2.3648910000000001</v>
          </cell>
          <cell r="V43">
            <v>0</v>
          </cell>
          <cell r="X43">
            <v>36220</v>
          </cell>
          <cell r="Y43">
            <v>15.09</v>
          </cell>
          <cell r="Z43">
            <v>0</v>
          </cell>
          <cell r="AA43">
            <v>15.09</v>
          </cell>
        </row>
        <row r="44">
          <cell r="A44">
            <v>36251</v>
          </cell>
          <cell r="B44">
            <v>2.25</v>
          </cell>
          <cell r="C44">
            <v>0</v>
          </cell>
          <cell r="D44">
            <v>2.25</v>
          </cell>
          <cell r="F44">
            <v>36251</v>
          </cell>
          <cell r="G44">
            <v>18.66</v>
          </cell>
          <cell r="H44">
            <v>0</v>
          </cell>
          <cell r="I44">
            <v>18.66</v>
          </cell>
          <cell r="P44">
            <v>36251</v>
          </cell>
          <cell r="R44">
            <v>2</v>
          </cell>
          <cell r="S44">
            <v>2.9129999999999998</v>
          </cell>
          <cell r="T44">
            <v>2</v>
          </cell>
          <cell r="U44">
            <v>2.9129999999999998</v>
          </cell>
          <cell r="V44">
            <v>0</v>
          </cell>
          <cell r="X44">
            <v>36251</v>
          </cell>
          <cell r="Y44">
            <v>16.71</v>
          </cell>
          <cell r="Z44">
            <v>0</v>
          </cell>
          <cell r="AA44">
            <v>16.71</v>
          </cell>
        </row>
        <row r="45">
          <cell r="A45">
            <v>36281</v>
          </cell>
          <cell r="B45">
            <v>2.29</v>
          </cell>
          <cell r="C45">
            <v>0</v>
          </cell>
          <cell r="D45">
            <v>2.29</v>
          </cell>
          <cell r="F45">
            <v>36281</v>
          </cell>
          <cell r="G45">
            <v>16.84</v>
          </cell>
          <cell r="H45">
            <v>0</v>
          </cell>
          <cell r="I45">
            <v>16.84</v>
          </cell>
          <cell r="P45">
            <v>36281</v>
          </cell>
          <cell r="R45">
            <v>1.99</v>
          </cell>
          <cell r="S45">
            <v>2.9320660000000003</v>
          </cell>
          <cell r="T45">
            <v>1.99</v>
          </cell>
          <cell r="U45">
            <v>2.9320660000000003</v>
          </cell>
          <cell r="V45">
            <v>0</v>
          </cell>
          <cell r="X45">
            <v>36281</v>
          </cell>
          <cell r="Y45">
            <v>14.75</v>
          </cell>
          <cell r="Z45">
            <v>0</v>
          </cell>
          <cell r="AA45">
            <v>14.75</v>
          </cell>
        </row>
        <row r="46">
          <cell r="A46">
            <v>36312</v>
          </cell>
          <cell r="B46">
            <v>2.33</v>
          </cell>
          <cell r="C46">
            <v>0</v>
          </cell>
          <cell r="D46">
            <v>2.33</v>
          </cell>
          <cell r="F46">
            <v>36312</v>
          </cell>
          <cell r="G46">
            <v>19.29</v>
          </cell>
          <cell r="H46">
            <v>0</v>
          </cell>
          <cell r="I46">
            <v>19.29</v>
          </cell>
          <cell r="P46">
            <v>36312</v>
          </cell>
          <cell r="R46">
            <v>1.96</v>
          </cell>
          <cell r="S46">
            <v>2.8676759999999999</v>
          </cell>
          <cell r="T46">
            <v>1.96</v>
          </cell>
          <cell r="U46">
            <v>2.8676759999999999</v>
          </cell>
          <cell r="V46">
            <v>0</v>
          </cell>
          <cell r="X46">
            <v>36312</v>
          </cell>
          <cell r="Y46">
            <v>17.07</v>
          </cell>
          <cell r="Z46">
            <v>0</v>
          </cell>
          <cell r="AA46">
            <v>17.07</v>
          </cell>
        </row>
        <row r="47">
          <cell r="A47">
            <v>36342</v>
          </cell>
          <cell r="B47">
            <v>2.5499999999999998</v>
          </cell>
          <cell r="C47">
            <v>0</v>
          </cell>
          <cell r="D47">
            <v>2.5499999999999998</v>
          </cell>
          <cell r="F47">
            <v>36342</v>
          </cell>
          <cell r="G47">
            <v>20.53</v>
          </cell>
          <cell r="H47">
            <v>0</v>
          </cell>
          <cell r="I47">
            <v>20.53</v>
          </cell>
          <cell r="P47">
            <v>36342</v>
          </cell>
          <cell r="R47">
            <v>2.19</v>
          </cell>
          <cell r="S47">
            <v>3.2994539999999999</v>
          </cell>
          <cell r="T47">
            <v>2.19</v>
          </cell>
          <cell r="U47">
            <v>3.2994539999999999</v>
          </cell>
          <cell r="V47">
            <v>0</v>
          </cell>
          <cell r="X47">
            <v>36342</v>
          </cell>
          <cell r="Y47">
            <v>19.2</v>
          </cell>
          <cell r="Z47">
            <v>0</v>
          </cell>
          <cell r="AA47">
            <v>19.2</v>
          </cell>
        </row>
        <row r="48">
          <cell r="A48">
            <v>36373</v>
          </cell>
          <cell r="B48">
            <v>2.87</v>
          </cell>
          <cell r="C48">
            <v>0</v>
          </cell>
          <cell r="D48">
            <v>2.87</v>
          </cell>
          <cell r="F48">
            <v>36373</v>
          </cell>
          <cell r="G48">
            <v>22.11</v>
          </cell>
          <cell r="H48">
            <v>0</v>
          </cell>
          <cell r="I48">
            <v>22.11</v>
          </cell>
          <cell r="P48">
            <v>36373</v>
          </cell>
          <cell r="R48">
            <v>2.38</v>
          </cell>
          <cell r="S48">
            <v>3.5526259999999996</v>
          </cell>
          <cell r="T48">
            <v>2.38</v>
          </cell>
          <cell r="U48">
            <v>3.5526259999999996</v>
          </cell>
          <cell r="V48">
            <v>0</v>
          </cell>
          <cell r="X48">
            <v>36373</v>
          </cell>
          <cell r="Y48">
            <v>21.03</v>
          </cell>
          <cell r="Z48">
            <v>0</v>
          </cell>
          <cell r="AA48">
            <v>21.03</v>
          </cell>
        </row>
        <row r="49">
          <cell r="A49">
            <v>36404</v>
          </cell>
          <cell r="B49">
            <v>2.3199999999999998</v>
          </cell>
          <cell r="C49">
            <v>0</v>
          </cell>
          <cell r="D49">
            <v>2.3199999999999998</v>
          </cell>
          <cell r="F49">
            <v>36404</v>
          </cell>
          <cell r="G49">
            <v>24.51</v>
          </cell>
          <cell r="H49">
            <v>0</v>
          </cell>
          <cell r="I49">
            <v>24.51</v>
          </cell>
          <cell r="P49">
            <v>36404</v>
          </cell>
          <cell r="R49">
            <v>2.35</v>
          </cell>
          <cell r="S49">
            <v>3.4479200000000003</v>
          </cell>
          <cell r="T49">
            <v>2.35</v>
          </cell>
          <cell r="U49">
            <v>3.4479200000000003</v>
          </cell>
          <cell r="V49">
            <v>0</v>
          </cell>
          <cell r="X49">
            <v>36404</v>
          </cell>
          <cell r="Y49">
            <v>22.81</v>
          </cell>
          <cell r="Z49">
            <v>0</v>
          </cell>
          <cell r="AA49">
            <v>22.81</v>
          </cell>
        </row>
        <row r="50">
          <cell r="A50">
            <v>36434</v>
          </cell>
          <cell r="B50">
            <v>2.75</v>
          </cell>
          <cell r="C50">
            <v>0</v>
          </cell>
          <cell r="D50">
            <v>2.75</v>
          </cell>
          <cell r="F50">
            <v>36434</v>
          </cell>
          <cell r="G50">
            <v>21.75</v>
          </cell>
          <cell r="H50">
            <v>0</v>
          </cell>
          <cell r="I50">
            <v>21.75</v>
          </cell>
          <cell r="P50">
            <v>36434</v>
          </cell>
          <cell r="R50">
            <v>2.77</v>
          </cell>
          <cell r="S50">
            <v>4.0735619999999999</v>
          </cell>
          <cell r="T50">
            <v>2.77</v>
          </cell>
          <cell r="U50">
            <v>4.0735619999999999</v>
          </cell>
          <cell r="V50">
            <v>0</v>
          </cell>
          <cell r="X50">
            <v>36434</v>
          </cell>
          <cell r="Y50">
            <v>21.15</v>
          </cell>
          <cell r="Z50">
            <v>0</v>
          </cell>
          <cell r="AA50">
            <v>21.15</v>
          </cell>
        </row>
        <row r="51">
          <cell r="A51">
            <v>36465</v>
          </cell>
          <cell r="B51">
            <v>2.17</v>
          </cell>
          <cell r="C51">
            <v>0</v>
          </cell>
          <cell r="D51">
            <v>2.17</v>
          </cell>
          <cell r="F51">
            <v>36465</v>
          </cell>
          <cell r="G51">
            <v>24.59</v>
          </cell>
          <cell r="H51">
            <v>0</v>
          </cell>
          <cell r="I51">
            <v>24.59</v>
          </cell>
          <cell r="P51">
            <v>36465</v>
          </cell>
          <cell r="R51">
            <v>1.92</v>
          </cell>
          <cell r="S51">
            <v>2.8296959999999998</v>
          </cell>
          <cell r="T51">
            <v>1.92</v>
          </cell>
          <cell r="U51">
            <v>2.8296959999999998</v>
          </cell>
          <cell r="V51">
            <v>0</v>
          </cell>
          <cell r="X51">
            <v>36465</v>
          </cell>
          <cell r="Y51">
            <v>24.39</v>
          </cell>
          <cell r="Z51">
            <v>0</v>
          </cell>
          <cell r="AA51">
            <v>24.39</v>
          </cell>
        </row>
        <row r="52">
          <cell r="A52">
            <v>36495</v>
          </cell>
          <cell r="B52">
            <v>2.2999999999999998</v>
          </cell>
          <cell r="C52">
            <v>0</v>
          </cell>
          <cell r="D52">
            <v>2.2999999999999998</v>
          </cell>
          <cell r="F52">
            <v>36495</v>
          </cell>
          <cell r="G52">
            <v>25.6</v>
          </cell>
          <cell r="H52">
            <v>0</v>
          </cell>
          <cell r="I52">
            <v>25.6</v>
          </cell>
          <cell r="P52">
            <v>36495</v>
          </cell>
          <cell r="R52">
            <v>1.94</v>
          </cell>
          <cell r="S52">
            <v>2.805434</v>
          </cell>
          <cell r="T52">
            <v>1.94</v>
          </cell>
          <cell r="U52">
            <v>2.805434</v>
          </cell>
          <cell r="V52">
            <v>0</v>
          </cell>
          <cell r="X52">
            <v>36495</v>
          </cell>
          <cell r="Y52">
            <v>24.89</v>
          </cell>
          <cell r="Z52">
            <v>0</v>
          </cell>
          <cell r="AA52">
            <v>24.89</v>
          </cell>
        </row>
        <row r="53">
          <cell r="A53">
            <v>36526</v>
          </cell>
          <cell r="B53">
            <v>2.71</v>
          </cell>
          <cell r="C53">
            <v>0</v>
          </cell>
          <cell r="D53">
            <v>2.71</v>
          </cell>
          <cell r="F53">
            <v>36526</v>
          </cell>
          <cell r="G53">
            <v>27.64</v>
          </cell>
          <cell r="H53">
            <v>0</v>
          </cell>
          <cell r="I53">
            <v>27.64</v>
          </cell>
          <cell r="P53">
            <v>36526</v>
          </cell>
          <cell r="R53">
            <v>2.1800000000000002</v>
          </cell>
          <cell r="S53">
            <v>3.1544600000000007</v>
          </cell>
          <cell r="T53">
            <v>2.1800000000000002</v>
          </cell>
          <cell r="U53">
            <v>3.1544600000000007</v>
          </cell>
          <cell r="V53">
            <v>0</v>
          </cell>
          <cell r="X53">
            <v>36526</v>
          </cell>
          <cell r="Y53">
            <v>26.92</v>
          </cell>
          <cell r="Z53">
            <v>0</v>
          </cell>
          <cell r="AA53">
            <v>26.92</v>
          </cell>
        </row>
        <row r="54">
          <cell r="A54">
            <v>36557</v>
          </cell>
          <cell r="B54">
            <v>2.68</v>
          </cell>
          <cell r="C54">
            <v>0</v>
          </cell>
          <cell r="D54">
            <v>2.68</v>
          </cell>
          <cell r="F54">
            <v>36557</v>
          </cell>
          <cell r="G54">
            <v>30.43</v>
          </cell>
          <cell r="H54">
            <v>0</v>
          </cell>
          <cell r="I54">
            <v>30.43</v>
          </cell>
          <cell r="P54">
            <v>36557</v>
          </cell>
          <cell r="R54">
            <v>2.2999999999999998</v>
          </cell>
          <cell r="S54">
            <v>3.3279235338271005</v>
          </cell>
          <cell r="T54">
            <v>2.2999999999999998</v>
          </cell>
          <cell r="U54">
            <v>3.3279235338271005</v>
          </cell>
          <cell r="V54">
            <v>0</v>
          </cell>
          <cell r="X54">
            <v>36557</v>
          </cell>
          <cell r="Y54">
            <v>29.04</v>
          </cell>
          <cell r="Z54">
            <v>0</v>
          </cell>
          <cell r="AA54">
            <v>29.04</v>
          </cell>
        </row>
        <row r="55">
          <cell r="A55">
            <v>36586</v>
          </cell>
          <cell r="B55">
            <v>2.6030000000000002</v>
          </cell>
          <cell r="C55">
            <v>0</v>
          </cell>
          <cell r="D55">
            <v>2.6030000000000002</v>
          </cell>
          <cell r="F55">
            <v>36586</v>
          </cell>
          <cell r="G55">
            <v>29.62</v>
          </cell>
          <cell r="H55">
            <v>0</v>
          </cell>
          <cell r="I55">
            <v>29.62</v>
          </cell>
          <cell r="P55">
            <v>36586</v>
          </cell>
          <cell r="Q55">
            <v>-0.32500000000000001</v>
          </cell>
          <cell r="R55">
            <v>2.278</v>
          </cell>
          <cell r="S55">
            <v>3.3003664000000001</v>
          </cell>
          <cell r="T55">
            <v>2.278</v>
          </cell>
          <cell r="U55">
            <v>3.3003664000000001</v>
          </cell>
          <cell r="V55">
            <v>0</v>
          </cell>
          <cell r="X55">
            <v>36586</v>
          </cell>
          <cell r="Y55">
            <v>28.76</v>
          </cell>
          <cell r="Z55">
            <v>0</v>
          </cell>
          <cell r="AA55">
            <v>28.76</v>
          </cell>
        </row>
        <row r="56">
          <cell r="A56">
            <v>36617</v>
          </cell>
          <cell r="B56">
            <v>2.9</v>
          </cell>
          <cell r="C56">
            <v>0</v>
          </cell>
          <cell r="D56">
            <v>2.9</v>
          </cell>
          <cell r="F56">
            <v>36617</v>
          </cell>
          <cell r="G56">
            <v>28</v>
          </cell>
          <cell r="H56">
            <v>0</v>
          </cell>
          <cell r="I56">
            <v>28</v>
          </cell>
          <cell r="P56">
            <v>36617</v>
          </cell>
          <cell r="Q56">
            <v>-0.28300000000000003</v>
          </cell>
          <cell r="R56">
            <v>2.617</v>
          </cell>
          <cell r="S56">
            <v>3.7914192869348331</v>
          </cell>
          <cell r="T56">
            <v>2.617</v>
          </cell>
          <cell r="U56">
            <v>3.7914192869348331</v>
          </cell>
          <cell r="V56">
            <v>0</v>
          </cell>
          <cell r="X56">
            <v>36617</v>
          </cell>
          <cell r="Y56">
            <v>27.36</v>
          </cell>
          <cell r="Z56">
            <v>0</v>
          </cell>
          <cell r="AA56">
            <v>27.36</v>
          </cell>
        </row>
        <row r="57">
          <cell r="A57">
            <v>36647</v>
          </cell>
          <cell r="B57">
            <v>2.9449999999999998</v>
          </cell>
          <cell r="C57">
            <v>0</v>
          </cell>
          <cell r="D57">
            <v>2.9449999999999998</v>
          </cell>
          <cell r="F57">
            <v>36647</v>
          </cell>
          <cell r="G57">
            <v>26.9</v>
          </cell>
          <cell r="H57">
            <v>0</v>
          </cell>
          <cell r="I57">
            <v>26.9</v>
          </cell>
          <cell r="P57">
            <v>36647</v>
          </cell>
          <cell r="Q57">
            <v>-0.25700000000000001</v>
          </cell>
          <cell r="R57">
            <v>2.6879999999999997</v>
          </cell>
          <cell r="S57">
            <v>3.8914772223694074</v>
          </cell>
          <cell r="T57">
            <v>2.6879999999999997</v>
          </cell>
          <cell r="U57">
            <v>3.8914772223694074</v>
          </cell>
          <cell r="V57">
            <v>0</v>
          </cell>
          <cell r="X57">
            <v>36647</v>
          </cell>
          <cell r="Y57">
            <v>24.77</v>
          </cell>
          <cell r="Z57">
            <v>0</v>
          </cell>
          <cell r="AA57">
            <v>24.77</v>
          </cell>
        </row>
        <row r="58">
          <cell r="A58">
            <v>36678</v>
          </cell>
          <cell r="B58">
            <v>2.9550000000000001</v>
          </cell>
          <cell r="C58">
            <v>0</v>
          </cell>
          <cell r="D58">
            <v>2.9550000000000001</v>
          </cell>
          <cell r="F58">
            <v>36678</v>
          </cell>
          <cell r="G58">
            <v>26.38</v>
          </cell>
          <cell r="H58">
            <v>0</v>
          </cell>
          <cell r="I58">
            <v>26.38</v>
          </cell>
          <cell r="P58">
            <v>36678</v>
          </cell>
          <cell r="Q58">
            <v>-0.26100000000000001</v>
          </cell>
          <cell r="R58">
            <v>2.694</v>
          </cell>
          <cell r="S58">
            <v>3.896377629770611</v>
          </cell>
          <cell r="T58">
            <v>2.694</v>
          </cell>
          <cell r="U58">
            <v>3.896377629770611</v>
          </cell>
          <cell r="V58">
            <v>0</v>
          </cell>
          <cell r="X58">
            <v>36678</v>
          </cell>
          <cell r="Y58">
            <v>24.79</v>
          </cell>
          <cell r="Z58">
            <v>0</v>
          </cell>
          <cell r="AA58">
            <v>24.79</v>
          </cell>
        </row>
        <row r="59">
          <cell r="A59">
            <v>36708</v>
          </cell>
          <cell r="B59">
            <v>2.9660000000000002</v>
          </cell>
          <cell r="C59">
            <v>0</v>
          </cell>
          <cell r="D59">
            <v>2.9660000000000002</v>
          </cell>
          <cell r="F59">
            <v>36708</v>
          </cell>
          <cell r="G59">
            <v>26.04</v>
          </cell>
          <cell r="H59">
            <v>0</v>
          </cell>
          <cell r="I59">
            <v>26.04</v>
          </cell>
          <cell r="P59">
            <v>36708</v>
          </cell>
          <cell r="Q59">
            <v>-0.26700000000000002</v>
          </cell>
          <cell r="R59">
            <v>2.6990000000000003</v>
          </cell>
          <cell r="S59">
            <v>3.9015936592530602</v>
          </cell>
          <cell r="T59">
            <v>2.6990000000000003</v>
          </cell>
          <cell r="U59">
            <v>3.9015936592530602</v>
          </cell>
          <cell r="V59">
            <v>0</v>
          </cell>
          <cell r="X59">
            <v>36708</v>
          </cell>
          <cell r="Y59">
            <v>24.54</v>
          </cell>
          <cell r="Z59">
            <v>0</v>
          </cell>
          <cell r="AA59">
            <v>24.54</v>
          </cell>
        </row>
        <row r="60">
          <cell r="A60">
            <v>36739</v>
          </cell>
          <cell r="B60">
            <v>2.9780000000000002</v>
          </cell>
          <cell r="C60">
            <v>0</v>
          </cell>
          <cell r="D60">
            <v>2.9780000000000002</v>
          </cell>
          <cell r="F60">
            <v>36739</v>
          </cell>
          <cell r="G60">
            <v>25.76</v>
          </cell>
          <cell r="H60">
            <v>0</v>
          </cell>
          <cell r="I60">
            <v>25.76</v>
          </cell>
          <cell r="P60">
            <v>36739</v>
          </cell>
          <cell r="Q60">
            <v>-0.27300000000000002</v>
          </cell>
          <cell r="R60">
            <v>2.7050000000000001</v>
          </cell>
          <cell r="S60">
            <v>3.9071726954563211</v>
          </cell>
          <cell r="T60">
            <v>2.7050000000000001</v>
          </cell>
          <cell r="U60">
            <v>3.9071726954563211</v>
          </cell>
          <cell r="V60">
            <v>0</v>
          </cell>
          <cell r="X60">
            <v>36739</v>
          </cell>
          <cell r="Y60">
            <v>24.34</v>
          </cell>
          <cell r="Z60">
            <v>0</v>
          </cell>
          <cell r="AA60">
            <v>24.34</v>
          </cell>
        </row>
        <row r="61">
          <cell r="A61">
            <v>36770</v>
          </cell>
          <cell r="B61">
            <v>2.9769999999999999</v>
          </cell>
          <cell r="C61">
            <v>0</v>
          </cell>
          <cell r="D61">
            <v>2.9769999999999999</v>
          </cell>
          <cell r="F61">
            <v>36770</v>
          </cell>
          <cell r="G61">
            <v>25.48</v>
          </cell>
          <cell r="H61">
            <v>0</v>
          </cell>
          <cell r="I61">
            <v>25.48</v>
          </cell>
          <cell r="P61">
            <v>36770</v>
          </cell>
          <cell r="Q61">
            <v>-0.26600000000000001</v>
          </cell>
          <cell r="R61">
            <v>2.7109999999999999</v>
          </cell>
          <cell r="S61">
            <v>3.9127416749013282</v>
          </cell>
          <cell r="T61">
            <v>2.7109999999999999</v>
          </cell>
          <cell r="U61">
            <v>3.9127416749013282</v>
          </cell>
          <cell r="V61">
            <v>0</v>
          </cell>
          <cell r="X61">
            <v>36770</v>
          </cell>
          <cell r="Y61">
            <v>24.1</v>
          </cell>
          <cell r="Z61">
            <v>0</v>
          </cell>
          <cell r="AA61">
            <v>24.1</v>
          </cell>
        </row>
        <row r="62">
          <cell r="A62">
            <v>36800</v>
          </cell>
          <cell r="B62">
            <v>2.9870000000000001</v>
          </cell>
          <cell r="C62">
            <v>0</v>
          </cell>
          <cell r="D62">
            <v>2.9870000000000001</v>
          </cell>
          <cell r="F62">
            <v>36800</v>
          </cell>
          <cell r="G62">
            <v>25.19</v>
          </cell>
          <cell r="H62">
            <v>0</v>
          </cell>
          <cell r="I62">
            <v>25.19</v>
          </cell>
          <cell r="P62">
            <v>36800</v>
          </cell>
          <cell r="Q62">
            <v>-0.23</v>
          </cell>
          <cell r="R62">
            <v>2.7570000000000001</v>
          </cell>
          <cell r="S62">
            <v>3.9760834384348547</v>
          </cell>
          <cell r="T62">
            <v>2.7570000000000001</v>
          </cell>
          <cell r="U62">
            <v>3.9760834384348547</v>
          </cell>
          <cell r="V62">
            <v>0</v>
          </cell>
          <cell r="X62">
            <v>36800</v>
          </cell>
          <cell r="Y62">
            <v>23.9</v>
          </cell>
          <cell r="Z62">
            <v>0</v>
          </cell>
          <cell r="AA62">
            <v>23.9</v>
          </cell>
        </row>
        <row r="63">
          <cell r="A63">
            <v>36831</v>
          </cell>
          <cell r="B63">
            <v>3.08</v>
          </cell>
          <cell r="C63">
            <v>0</v>
          </cell>
          <cell r="D63">
            <v>3.08</v>
          </cell>
          <cell r="F63">
            <v>36831</v>
          </cell>
          <cell r="G63">
            <v>24.9</v>
          </cell>
          <cell r="H63">
            <v>0</v>
          </cell>
          <cell r="I63">
            <v>24.9</v>
          </cell>
          <cell r="P63">
            <v>36831</v>
          </cell>
          <cell r="Q63">
            <v>-0.19500000000000001</v>
          </cell>
          <cell r="R63">
            <v>2.8850000000000002</v>
          </cell>
          <cell r="S63">
            <v>4.1574715775515756</v>
          </cell>
          <cell r="T63">
            <v>2.8850000000000002</v>
          </cell>
          <cell r="U63">
            <v>4.1574715775515756</v>
          </cell>
          <cell r="V63">
            <v>0</v>
          </cell>
          <cell r="X63">
            <v>36831</v>
          </cell>
          <cell r="Y63">
            <v>23.65</v>
          </cell>
          <cell r="Z63">
            <v>0</v>
          </cell>
          <cell r="AA63">
            <v>23.65</v>
          </cell>
        </row>
        <row r="64">
          <cell r="A64">
            <v>36861</v>
          </cell>
          <cell r="B64">
            <v>3.177</v>
          </cell>
          <cell r="C64">
            <v>0</v>
          </cell>
          <cell r="D64">
            <v>3.177</v>
          </cell>
          <cell r="F64">
            <v>36861</v>
          </cell>
          <cell r="G64">
            <v>24.6</v>
          </cell>
          <cell r="H64">
            <v>0</v>
          </cell>
          <cell r="I64">
            <v>24.6</v>
          </cell>
          <cell r="P64">
            <v>36861</v>
          </cell>
          <cell r="Q64">
            <v>-0.19500000000000001</v>
          </cell>
          <cell r="R64">
            <v>2.9820000000000002</v>
          </cell>
          <cell r="S64">
            <v>4.2940457299942025</v>
          </cell>
          <cell r="T64">
            <v>2.9820000000000002</v>
          </cell>
          <cell r="U64">
            <v>4.2940457299942025</v>
          </cell>
          <cell r="V64">
            <v>0</v>
          </cell>
          <cell r="X64">
            <v>36861</v>
          </cell>
          <cell r="Y64">
            <v>23.39</v>
          </cell>
          <cell r="Z64">
            <v>0</v>
          </cell>
          <cell r="AA64">
            <v>23.39</v>
          </cell>
        </row>
        <row r="65">
          <cell r="A65">
            <v>36892</v>
          </cell>
          <cell r="B65">
            <v>3.1920000000000002</v>
          </cell>
          <cell r="C65">
            <v>0</v>
          </cell>
          <cell r="D65">
            <v>3.1920000000000002</v>
          </cell>
          <cell r="F65">
            <v>36892</v>
          </cell>
          <cell r="G65">
            <v>24.28</v>
          </cell>
          <cell r="H65">
            <v>0</v>
          </cell>
          <cell r="I65">
            <v>24.28</v>
          </cell>
          <cell r="P65">
            <v>36892</v>
          </cell>
          <cell r="Q65">
            <v>-0.19500000000000001</v>
          </cell>
          <cell r="R65">
            <v>2.9970000000000003</v>
          </cell>
          <cell r="S65">
            <v>4.3122290701482378</v>
          </cell>
          <cell r="T65">
            <v>2.9970000000000003</v>
          </cell>
          <cell r="U65">
            <v>4.3122290701482378</v>
          </cell>
          <cell r="V65">
            <v>0</v>
          </cell>
          <cell r="X65">
            <v>36892</v>
          </cell>
          <cell r="Y65">
            <v>23.04</v>
          </cell>
          <cell r="Z65">
            <v>0</v>
          </cell>
          <cell r="AA65">
            <v>23.04</v>
          </cell>
        </row>
        <row r="66">
          <cell r="A66">
            <v>36923</v>
          </cell>
          <cell r="B66">
            <v>3.0369999999999999</v>
          </cell>
          <cell r="C66">
            <v>0</v>
          </cell>
          <cell r="D66">
            <v>3.0369999999999999</v>
          </cell>
          <cell r="F66">
            <v>36923</v>
          </cell>
          <cell r="G66">
            <v>23.97</v>
          </cell>
          <cell r="H66">
            <v>0</v>
          </cell>
          <cell r="I66">
            <v>23.97</v>
          </cell>
          <cell r="P66">
            <v>36923</v>
          </cell>
          <cell r="Q66">
            <v>-0.19500000000000001</v>
          </cell>
          <cell r="R66">
            <v>2.8420000000000001</v>
          </cell>
          <cell r="S66">
            <v>4.0858897475758331</v>
          </cell>
          <cell r="T66">
            <v>2.8420000000000001</v>
          </cell>
          <cell r="U66">
            <v>4.0858897475758331</v>
          </cell>
          <cell r="V66">
            <v>0</v>
          </cell>
          <cell r="X66">
            <v>36923</v>
          </cell>
          <cell r="Y66">
            <v>22.72</v>
          </cell>
          <cell r="Z66">
            <v>0</v>
          </cell>
          <cell r="AA66">
            <v>22.72</v>
          </cell>
        </row>
        <row r="67">
          <cell r="A67">
            <v>36951</v>
          </cell>
          <cell r="B67">
            <v>2.8719999999999999</v>
          </cell>
          <cell r="C67">
            <v>0</v>
          </cell>
          <cell r="D67">
            <v>2.8719999999999999</v>
          </cell>
          <cell r="F67">
            <v>36951</v>
          </cell>
          <cell r="G67">
            <v>23.68</v>
          </cell>
          <cell r="H67">
            <v>0</v>
          </cell>
          <cell r="I67">
            <v>23.68</v>
          </cell>
          <cell r="P67">
            <v>36951</v>
          </cell>
          <cell r="Q67">
            <v>-0.19500000000000001</v>
          </cell>
          <cell r="R67">
            <v>2.677</v>
          </cell>
          <cell r="S67">
            <v>3.8458268078550453</v>
          </cell>
          <cell r="T67">
            <v>2.677</v>
          </cell>
          <cell r="U67">
            <v>3.8458268078550453</v>
          </cell>
          <cell r="V67">
            <v>0</v>
          </cell>
          <cell r="X67">
            <v>36951</v>
          </cell>
          <cell r="Y67">
            <v>22.4</v>
          </cell>
          <cell r="Z67">
            <v>0</v>
          </cell>
          <cell r="AA67">
            <v>22.4</v>
          </cell>
        </row>
        <row r="68">
          <cell r="A68">
            <v>36982</v>
          </cell>
          <cell r="B68">
            <v>2.7349999999999999</v>
          </cell>
          <cell r="C68">
            <v>0</v>
          </cell>
          <cell r="D68">
            <v>2.7349999999999999</v>
          </cell>
          <cell r="F68">
            <v>36982</v>
          </cell>
          <cell r="G68">
            <v>23.39</v>
          </cell>
          <cell r="H68">
            <v>0</v>
          </cell>
          <cell r="I68">
            <v>23.39</v>
          </cell>
          <cell r="P68">
            <v>36982</v>
          </cell>
          <cell r="Q68">
            <v>-0.24</v>
          </cell>
          <cell r="R68">
            <v>2.4950000000000001</v>
          </cell>
          <cell r="S68">
            <v>3.5814478822574558</v>
          </cell>
          <cell r="T68">
            <v>2.4950000000000001</v>
          </cell>
          <cell r="U68">
            <v>3.5814478822574558</v>
          </cell>
          <cell r="V68">
            <v>0</v>
          </cell>
          <cell r="X68">
            <v>36982</v>
          </cell>
          <cell r="Y68">
            <v>22.08</v>
          </cell>
          <cell r="Z68">
            <v>0</v>
          </cell>
          <cell r="AA68">
            <v>22.08</v>
          </cell>
        </row>
        <row r="69">
          <cell r="A69">
            <v>37012</v>
          </cell>
          <cell r="B69">
            <v>2.694</v>
          </cell>
          <cell r="C69">
            <v>0</v>
          </cell>
          <cell r="D69">
            <v>2.694</v>
          </cell>
          <cell r="F69">
            <v>37012</v>
          </cell>
          <cell r="G69">
            <v>23.11</v>
          </cell>
          <cell r="H69">
            <v>0</v>
          </cell>
          <cell r="I69">
            <v>23.11</v>
          </cell>
          <cell r="P69">
            <v>37012</v>
          </cell>
          <cell r="Q69">
            <v>-0.24</v>
          </cell>
          <cell r="R69">
            <v>2.4539999999999997</v>
          </cell>
          <cell r="S69">
            <v>3.5199523549719363</v>
          </cell>
          <cell r="T69">
            <v>2.4539999999999997</v>
          </cell>
          <cell r="U69">
            <v>3.5199523549719363</v>
          </cell>
          <cell r="V69">
            <v>0</v>
          </cell>
          <cell r="X69">
            <v>37012</v>
          </cell>
          <cell r="Y69">
            <v>21.795000000000002</v>
          </cell>
          <cell r="Z69">
            <v>0</v>
          </cell>
          <cell r="AA69">
            <v>21.795000000000002</v>
          </cell>
        </row>
        <row r="70">
          <cell r="A70">
            <v>37043</v>
          </cell>
          <cell r="B70">
            <v>2.7</v>
          </cell>
          <cell r="C70">
            <v>0</v>
          </cell>
          <cell r="D70">
            <v>2.7</v>
          </cell>
          <cell r="F70">
            <v>37043</v>
          </cell>
          <cell r="G70">
            <v>22.87</v>
          </cell>
          <cell r="H70">
            <v>0</v>
          </cell>
          <cell r="I70">
            <v>22.87</v>
          </cell>
          <cell r="P70">
            <v>37043</v>
          </cell>
          <cell r="Q70">
            <v>-0.24</v>
          </cell>
          <cell r="R70">
            <v>2.46</v>
          </cell>
          <cell r="S70">
            <v>3.5258286056737806</v>
          </cell>
          <cell r="T70">
            <v>2.46</v>
          </cell>
          <cell r="U70">
            <v>3.5258286056737806</v>
          </cell>
          <cell r="V70">
            <v>0</v>
          </cell>
          <cell r="X70">
            <v>37043</v>
          </cell>
          <cell r="Y70">
            <v>21.51</v>
          </cell>
          <cell r="Z70">
            <v>0</v>
          </cell>
          <cell r="AA70">
            <v>21.51</v>
          </cell>
        </row>
        <row r="71">
          <cell r="A71">
            <v>37073</v>
          </cell>
          <cell r="B71">
            <v>2.7069999999999999</v>
          </cell>
          <cell r="C71">
            <v>0</v>
          </cell>
          <cell r="D71">
            <v>2.7069999999999999</v>
          </cell>
          <cell r="F71">
            <v>37073</v>
          </cell>
          <cell r="G71">
            <v>22.66</v>
          </cell>
          <cell r="H71">
            <v>0</v>
          </cell>
          <cell r="I71">
            <v>22.66</v>
          </cell>
          <cell r="P71">
            <v>37073</v>
          </cell>
          <cell r="Q71">
            <v>-0.24</v>
          </cell>
          <cell r="R71">
            <v>2.4669999999999996</v>
          </cell>
          <cell r="S71">
            <v>3.5330119307775032</v>
          </cell>
          <cell r="T71">
            <v>2.4669999999999996</v>
          </cell>
          <cell r="U71">
            <v>3.5330119307775032</v>
          </cell>
          <cell r="V71">
            <v>0</v>
          </cell>
          <cell r="X71">
            <v>37073</v>
          </cell>
          <cell r="Y71">
            <v>21.305</v>
          </cell>
          <cell r="Z71">
            <v>0</v>
          </cell>
          <cell r="AA71">
            <v>21.305</v>
          </cell>
        </row>
        <row r="72">
          <cell r="A72">
            <v>37104</v>
          </cell>
          <cell r="B72">
            <v>2.7149999999999999</v>
          </cell>
          <cell r="C72">
            <v>0</v>
          </cell>
          <cell r="D72">
            <v>2.7149999999999999</v>
          </cell>
          <cell r="F72">
            <v>37104</v>
          </cell>
          <cell r="G72">
            <v>22.46</v>
          </cell>
          <cell r="H72">
            <v>0</v>
          </cell>
          <cell r="I72">
            <v>22.46</v>
          </cell>
          <cell r="P72">
            <v>37104</v>
          </cell>
          <cell r="Q72">
            <v>-0.24</v>
          </cell>
          <cell r="R72">
            <v>2.4749999999999996</v>
          </cell>
          <cell r="S72">
            <v>3.5411891599334253</v>
          </cell>
          <cell r="T72">
            <v>2.4749999999999996</v>
          </cell>
          <cell r="U72">
            <v>3.5411891599334253</v>
          </cell>
          <cell r="V72">
            <v>0</v>
          </cell>
          <cell r="X72">
            <v>37104</v>
          </cell>
          <cell r="Y72">
            <v>21.1</v>
          </cell>
          <cell r="Z72">
            <v>0</v>
          </cell>
          <cell r="AA72">
            <v>21.1</v>
          </cell>
        </row>
        <row r="73">
          <cell r="A73">
            <v>37135</v>
          </cell>
          <cell r="B73">
            <v>2.72</v>
          </cell>
          <cell r="C73">
            <v>0</v>
          </cell>
          <cell r="D73">
            <v>2.72</v>
          </cell>
          <cell r="F73">
            <v>37135</v>
          </cell>
          <cell r="G73">
            <v>22.27</v>
          </cell>
          <cell r="H73">
            <v>0</v>
          </cell>
          <cell r="I73">
            <v>22.27</v>
          </cell>
          <cell r="P73">
            <v>37135</v>
          </cell>
          <cell r="Q73">
            <v>-0.24</v>
          </cell>
          <cell r="R73">
            <v>2.4800000000000004</v>
          </cell>
          <cell r="S73">
            <v>3.5449970418238412</v>
          </cell>
          <cell r="T73">
            <v>2.4800000000000004</v>
          </cell>
          <cell r="U73">
            <v>3.5449970418238412</v>
          </cell>
          <cell r="V73">
            <v>0</v>
          </cell>
          <cell r="X73">
            <v>37135</v>
          </cell>
          <cell r="Y73">
            <v>20.895</v>
          </cell>
          <cell r="Z73">
            <v>0</v>
          </cell>
          <cell r="AA73">
            <v>20.895</v>
          </cell>
        </row>
        <row r="74">
          <cell r="A74">
            <v>37165</v>
          </cell>
          <cell r="B74">
            <v>2.7450000000000001</v>
          </cell>
          <cell r="C74">
            <v>0</v>
          </cell>
          <cell r="D74">
            <v>2.7450000000000001</v>
          </cell>
          <cell r="F74">
            <v>37165</v>
          </cell>
          <cell r="G74">
            <v>22.09</v>
          </cell>
          <cell r="H74">
            <v>0</v>
          </cell>
          <cell r="I74">
            <v>22.09</v>
          </cell>
          <cell r="P74">
            <v>37165</v>
          </cell>
          <cell r="Q74">
            <v>-0.24</v>
          </cell>
          <cell r="R74">
            <v>2.5049999999999999</v>
          </cell>
          <cell r="S74">
            <v>3.5775342267522454</v>
          </cell>
          <cell r="T74">
            <v>2.5049999999999999</v>
          </cell>
          <cell r="U74">
            <v>3.5775342267522454</v>
          </cell>
          <cell r="V74">
            <v>0</v>
          </cell>
          <cell r="X74">
            <v>37165</v>
          </cell>
          <cell r="Y74">
            <v>20.743333333333304</v>
          </cell>
          <cell r="Z74">
            <v>0</v>
          </cell>
          <cell r="AA74">
            <v>20.743333333333304</v>
          </cell>
        </row>
        <row r="75">
          <cell r="A75">
            <v>37196</v>
          </cell>
          <cell r="B75">
            <v>2.855</v>
          </cell>
          <cell r="C75">
            <v>0</v>
          </cell>
          <cell r="D75">
            <v>2.855</v>
          </cell>
          <cell r="F75">
            <v>37196</v>
          </cell>
          <cell r="G75">
            <v>21.92</v>
          </cell>
          <cell r="H75">
            <v>0</v>
          </cell>
          <cell r="I75">
            <v>21.92</v>
          </cell>
          <cell r="P75">
            <v>37196</v>
          </cell>
          <cell r="Q75">
            <v>-0.20499999999999999</v>
          </cell>
          <cell r="R75">
            <v>2.65</v>
          </cell>
          <cell r="S75">
            <v>3.7813106758182009</v>
          </cell>
          <cell r="T75">
            <v>2.65</v>
          </cell>
          <cell r="U75">
            <v>3.7813106758182009</v>
          </cell>
          <cell r="V75">
            <v>0</v>
          </cell>
          <cell r="X75">
            <v>37196</v>
          </cell>
          <cell r="Y75">
            <v>20.591666666666697</v>
          </cell>
          <cell r="Z75">
            <v>0</v>
          </cell>
          <cell r="AA75">
            <v>20.591666666666697</v>
          </cell>
        </row>
        <row r="76">
          <cell r="A76">
            <v>37226</v>
          </cell>
          <cell r="B76">
            <v>2.9630000000000001</v>
          </cell>
          <cell r="C76">
            <v>0</v>
          </cell>
          <cell r="D76">
            <v>2.9630000000000001</v>
          </cell>
          <cell r="F76">
            <v>37226</v>
          </cell>
          <cell r="G76">
            <v>21.75</v>
          </cell>
          <cell r="H76">
            <v>0</v>
          </cell>
          <cell r="I76">
            <v>21.75</v>
          </cell>
          <cell r="P76">
            <v>37226</v>
          </cell>
          <cell r="Q76">
            <v>-0.20499999999999999</v>
          </cell>
          <cell r="R76">
            <v>2.758</v>
          </cell>
          <cell r="S76">
            <v>3.9320642159051826</v>
          </cell>
          <cell r="T76">
            <v>2.758</v>
          </cell>
          <cell r="U76">
            <v>3.9320642159051826</v>
          </cell>
          <cell r="V76">
            <v>0</v>
          </cell>
          <cell r="X76">
            <v>37226</v>
          </cell>
          <cell r="Y76">
            <v>20.440000000000001</v>
          </cell>
          <cell r="Z76">
            <v>0</v>
          </cell>
          <cell r="AA76">
            <v>20.440000000000001</v>
          </cell>
        </row>
        <row r="77">
          <cell r="A77">
            <v>37257</v>
          </cell>
          <cell r="B77">
            <v>2.98</v>
          </cell>
          <cell r="C77">
            <v>0</v>
          </cell>
          <cell r="D77">
            <v>2.98</v>
          </cell>
          <cell r="F77">
            <v>37257</v>
          </cell>
          <cell r="G77">
            <v>21.59</v>
          </cell>
          <cell r="H77">
            <v>0</v>
          </cell>
          <cell r="I77">
            <v>21.59</v>
          </cell>
          <cell r="P77">
            <v>37257</v>
          </cell>
          <cell r="Q77">
            <v>-0.20499999999999999</v>
          </cell>
          <cell r="R77">
            <v>2.7749999999999999</v>
          </cell>
          <cell r="S77">
            <v>3.9528953946087002</v>
          </cell>
          <cell r="T77">
            <v>2.7749999999999999</v>
          </cell>
          <cell r="U77">
            <v>3.9528953946087002</v>
          </cell>
          <cell r="V77">
            <v>0</v>
          </cell>
          <cell r="X77">
            <v>37257</v>
          </cell>
          <cell r="Y77">
            <v>20.315000000000001</v>
          </cell>
          <cell r="Z77">
            <v>0</v>
          </cell>
          <cell r="AA77">
            <v>20.315000000000001</v>
          </cell>
        </row>
        <row r="78">
          <cell r="A78">
            <v>37288</v>
          </cell>
          <cell r="B78">
            <v>2.86</v>
          </cell>
          <cell r="C78">
            <v>0</v>
          </cell>
          <cell r="D78">
            <v>2.86</v>
          </cell>
          <cell r="F78">
            <v>37288</v>
          </cell>
          <cell r="G78">
            <v>21.45</v>
          </cell>
          <cell r="H78">
            <v>0</v>
          </cell>
          <cell r="I78">
            <v>21.45</v>
          </cell>
          <cell r="P78">
            <v>37288</v>
          </cell>
          <cell r="Q78">
            <v>-0.20499999999999999</v>
          </cell>
          <cell r="R78">
            <v>2.6549999999999998</v>
          </cell>
          <cell r="S78">
            <v>3.7788314842638906</v>
          </cell>
          <cell r="T78">
            <v>2.6549999999999998</v>
          </cell>
          <cell r="U78">
            <v>3.7788314842638906</v>
          </cell>
          <cell r="V78">
            <v>0</v>
          </cell>
          <cell r="X78">
            <v>37288</v>
          </cell>
          <cell r="Y78">
            <v>20.190000000000001</v>
          </cell>
          <cell r="Z78">
            <v>0</v>
          </cell>
          <cell r="AA78">
            <v>20.190000000000001</v>
          </cell>
        </row>
        <row r="79">
          <cell r="A79">
            <v>37316</v>
          </cell>
          <cell r="B79">
            <v>2.7230000000000003</v>
          </cell>
          <cell r="C79">
            <v>0</v>
          </cell>
          <cell r="D79">
            <v>2.7230000000000003</v>
          </cell>
          <cell r="F79">
            <v>37316</v>
          </cell>
          <cell r="G79">
            <v>21.32</v>
          </cell>
          <cell r="H79">
            <v>0</v>
          </cell>
          <cell r="I79">
            <v>21.32</v>
          </cell>
          <cell r="P79">
            <v>37316</v>
          </cell>
          <cell r="Q79">
            <v>-0.20499999999999999</v>
          </cell>
          <cell r="R79">
            <v>2.5180000000000002</v>
          </cell>
          <cell r="S79">
            <v>3.5811612932158412</v>
          </cell>
          <cell r="T79">
            <v>2.5180000000000002</v>
          </cell>
          <cell r="U79">
            <v>3.5811612932158412</v>
          </cell>
          <cell r="V79">
            <v>0</v>
          </cell>
          <cell r="X79">
            <v>37316</v>
          </cell>
          <cell r="Y79">
            <v>20.065000000000001</v>
          </cell>
          <cell r="Z79">
            <v>0</v>
          </cell>
          <cell r="AA79">
            <v>20.065000000000001</v>
          </cell>
        </row>
        <row r="80">
          <cell r="A80">
            <v>37347</v>
          </cell>
          <cell r="B80">
            <v>2.6260000000000003</v>
          </cell>
          <cell r="C80">
            <v>0</v>
          </cell>
          <cell r="D80">
            <v>2.6260000000000003</v>
          </cell>
          <cell r="F80">
            <v>37347</v>
          </cell>
          <cell r="G80">
            <v>21.21</v>
          </cell>
          <cell r="H80">
            <v>0</v>
          </cell>
          <cell r="I80">
            <v>21.21</v>
          </cell>
          <cell r="P80">
            <v>37347</v>
          </cell>
          <cell r="Q80">
            <v>-0.25</v>
          </cell>
          <cell r="R80">
            <v>2.3760000000000003</v>
          </cell>
          <cell r="S80">
            <v>3.3765125563620009</v>
          </cell>
          <cell r="T80">
            <v>2.3760000000000003</v>
          </cell>
          <cell r="U80">
            <v>3.3765125563620009</v>
          </cell>
          <cell r="V80">
            <v>0</v>
          </cell>
          <cell r="X80">
            <v>37347</v>
          </cell>
          <cell r="Y80">
            <v>19.943333333333303</v>
          </cell>
          <cell r="Z80">
            <v>0</v>
          </cell>
          <cell r="AA80">
            <v>19.943333333333303</v>
          </cell>
        </row>
        <row r="81">
          <cell r="A81">
            <v>37377</v>
          </cell>
          <cell r="B81">
            <v>2.6019999999999999</v>
          </cell>
          <cell r="C81">
            <v>0</v>
          </cell>
          <cell r="D81">
            <v>2.6019999999999999</v>
          </cell>
          <cell r="F81">
            <v>37377</v>
          </cell>
          <cell r="G81">
            <v>21.1</v>
          </cell>
          <cell r="H81">
            <v>0</v>
          </cell>
          <cell r="I81">
            <v>21.1</v>
          </cell>
          <cell r="P81">
            <v>37377</v>
          </cell>
          <cell r="Q81">
            <v>-0.25</v>
          </cell>
          <cell r="R81">
            <v>2.3519999999999999</v>
          </cell>
          <cell r="S81">
            <v>3.3396852282628804</v>
          </cell>
          <cell r="T81">
            <v>2.3519999999999999</v>
          </cell>
          <cell r="U81">
            <v>3.3396852282628804</v>
          </cell>
          <cell r="V81">
            <v>0</v>
          </cell>
          <cell r="X81">
            <v>37377</v>
          </cell>
          <cell r="Y81">
            <v>19.821666666666701</v>
          </cell>
          <cell r="Z81">
            <v>0</v>
          </cell>
          <cell r="AA81">
            <v>19.821666666666701</v>
          </cell>
        </row>
        <row r="82">
          <cell r="A82">
            <v>37408</v>
          </cell>
          <cell r="B82">
            <v>2.6110000000000002</v>
          </cell>
          <cell r="C82">
            <v>0</v>
          </cell>
          <cell r="D82">
            <v>2.6110000000000002</v>
          </cell>
          <cell r="F82">
            <v>37408</v>
          </cell>
          <cell r="G82">
            <v>20.99</v>
          </cell>
          <cell r="H82">
            <v>0</v>
          </cell>
          <cell r="I82">
            <v>20.99</v>
          </cell>
          <cell r="P82">
            <v>37408</v>
          </cell>
          <cell r="Q82">
            <v>-0.25</v>
          </cell>
          <cell r="R82">
            <v>2.3610000000000002</v>
          </cell>
          <cell r="S82">
            <v>3.3496382812052832</v>
          </cell>
          <cell r="T82">
            <v>2.3610000000000002</v>
          </cell>
          <cell r="U82">
            <v>3.3496382812052832</v>
          </cell>
          <cell r="V82">
            <v>0</v>
          </cell>
          <cell r="X82">
            <v>37408</v>
          </cell>
          <cell r="Y82">
            <v>19.7</v>
          </cell>
          <cell r="Z82">
            <v>0</v>
          </cell>
          <cell r="AA82">
            <v>19.7</v>
          </cell>
        </row>
        <row r="83">
          <cell r="A83">
            <v>37438</v>
          </cell>
          <cell r="B83">
            <v>2.6219999999999999</v>
          </cell>
          <cell r="C83">
            <v>0</v>
          </cell>
          <cell r="D83">
            <v>2.6219999999999999</v>
          </cell>
          <cell r="F83">
            <v>37438</v>
          </cell>
          <cell r="G83">
            <v>20.89</v>
          </cell>
          <cell r="H83">
            <v>0</v>
          </cell>
          <cell r="I83">
            <v>20.89</v>
          </cell>
          <cell r="P83">
            <v>37438</v>
          </cell>
          <cell r="Q83">
            <v>-0.25</v>
          </cell>
          <cell r="R83">
            <v>2.3719999999999999</v>
          </cell>
          <cell r="S83">
            <v>3.3625690667516559</v>
          </cell>
          <cell r="T83">
            <v>2.3719999999999999</v>
          </cell>
          <cell r="U83">
            <v>3.3625690667516559</v>
          </cell>
          <cell r="V83">
            <v>0</v>
          </cell>
          <cell r="X83">
            <v>37438</v>
          </cell>
          <cell r="Y83">
            <v>19.623333333333303</v>
          </cell>
          <cell r="Z83">
            <v>0</v>
          </cell>
          <cell r="AA83">
            <v>19.623333333333303</v>
          </cell>
        </row>
        <row r="84">
          <cell r="A84">
            <v>37469</v>
          </cell>
          <cell r="B84">
            <v>2.6310000000000002</v>
          </cell>
          <cell r="C84">
            <v>0</v>
          </cell>
          <cell r="D84">
            <v>2.6310000000000002</v>
          </cell>
          <cell r="F84">
            <v>37469</v>
          </cell>
          <cell r="G84">
            <v>20.79</v>
          </cell>
          <cell r="H84">
            <v>0</v>
          </cell>
          <cell r="I84">
            <v>20.79</v>
          </cell>
          <cell r="P84">
            <v>37469</v>
          </cell>
          <cell r="Q84">
            <v>-0.25</v>
          </cell>
          <cell r="R84">
            <v>2.3810000000000002</v>
          </cell>
          <cell r="S84">
            <v>3.3726853470507514</v>
          </cell>
          <cell r="T84">
            <v>2.3810000000000002</v>
          </cell>
          <cell r="U84">
            <v>3.3726853470507514</v>
          </cell>
          <cell r="V84">
            <v>0</v>
          </cell>
          <cell r="X84">
            <v>37469</v>
          </cell>
          <cell r="Y84">
            <v>19.546666666666699</v>
          </cell>
          <cell r="Z84">
            <v>0</v>
          </cell>
          <cell r="AA84">
            <v>19.546666666666699</v>
          </cell>
        </row>
        <row r="85">
          <cell r="A85">
            <v>37500</v>
          </cell>
          <cell r="B85">
            <v>2.6380000000000003</v>
          </cell>
          <cell r="C85">
            <v>0</v>
          </cell>
          <cell r="D85">
            <v>2.6380000000000003</v>
          </cell>
          <cell r="F85">
            <v>37500</v>
          </cell>
          <cell r="G85">
            <v>20.69</v>
          </cell>
          <cell r="H85">
            <v>0</v>
          </cell>
          <cell r="I85">
            <v>20.69</v>
          </cell>
          <cell r="P85">
            <v>37500</v>
          </cell>
          <cell r="Q85">
            <v>-0.25</v>
          </cell>
          <cell r="R85">
            <v>2.3880000000000003</v>
          </cell>
          <cell r="S85">
            <v>3.3799621947848415</v>
          </cell>
          <cell r="T85">
            <v>2.3880000000000003</v>
          </cell>
          <cell r="U85">
            <v>3.3799621947848415</v>
          </cell>
          <cell r="V85">
            <v>0</v>
          </cell>
          <cell r="X85">
            <v>37500</v>
          </cell>
          <cell r="Y85">
            <v>19.47</v>
          </cell>
          <cell r="Z85">
            <v>0</v>
          </cell>
          <cell r="AA85">
            <v>19.47</v>
          </cell>
        </row>
        <row r="86">
          <cell r="A86">
            <v>37530</v>
          </cell>
          <cell r="B86">
            <v>2.665</v>
          </cell>
          <cell r="C86">
            <v>0</v>
          </cell>
          <cell r="D86">
            <v>2.665</v>
          </cell>
          <cell r="F86">
            <v>37530</v>
          </cell>
          <cell r="G86">
            <v>20.606666666666698</v>
          </cell>
          <cell r="H86">
            <v>0</v>
          </cell>
          <cell r="I86">
            <v>20.606666666666698</v>
          </cell>
          <cell r="P86">
            <v>37530</v>
          </cell>
          <cell r="Q86">
            <v>-0.25</v>
          </cell>
          <cell r="R86">
            <v>2.415</v>
          </cell>
          <cell r="S86">
            <v>3.4156687025546408</v>
          </cell>
          <cell r="T86">
            <v>2.415</v>
          </cell>
          <cell r="U86">
            <v>3.4156687025546408</v>
          </cell>
          <cell r="V86">
            <v>0</v>
          </cell>
          <cell r="X86">
            <v>37530</v>
          </cell>
          <cell r="Y86">
            <v>19.393333333333302</v>
          </cell>
          <cell r="Z86">
            <v>0</v>
          </cell>
          <cell r="AA86">
            <v>19.393333333333302</v>
          </cell>
        </row>
        <row r="87">
          <cell r="A87">
            <v>37561</v>
          </cell>
          <cell r="B87">
            <v>2.8010000000000002</v>
          </cell>
          <cell r="C87">
            <v>0</v>
          </cell>
          <cell r="D87">
            <v>2.8010000000000002</v>
          </cell>
          <cell r="F87">
            <v>37561</v>
          </cell>
          <cell r="G87">
            <v>20.523333333333305</v>
          </cell>
          <cell r="H87">
            <v>0</v>
          </cell>
          <cell r="I87">
            <v>20.523333333333305</v>
          </cell>
          <cell r="P87">
            <v>37561</v>
          </cell>
          <cell r="Q87">
            <v>-0.24</v>
          </cell>
          <cell r="R87">
            <v>2.5609999999999999</v>
          </cell>
          <cell r="S87">
            <v>3.6195296241558221</v>
          </cell>
          <cell r="T87">
            <v>2.5609999999999999</v>
          </cell>
          <cell r="U87">
            <v>3.6195296241558221</v>
          </cell>
          <cell r="V87">
            <v>0</v>
          </cell>
          <cell r="X87">
            <v>37561</v>
          </cell>
          <cell r="Y87">
            <v>19.316666666666698</v>
          </cell>
          <cell r="Z87">
            <v>0</v>
          </cell>
          <cell r="AA87">
            <v>19.316666666666698</v>
          </cell>
        </row>
        <row r="88">
          <cell r="A88">
            <v>37591</v>
          </cell>
          <cell r="B88">
            <v>2.927</v>
          </cell>
          <cell r="C88">
            <v>0</v>
          </cell>
          <cell r="D88">
            <v>2.927</v>
          </cell>
          <cell r="F88">
            <v>37591</v>
          </cell>
          <cell r="G88">
            <v>20.440000000000001</v>
          </cell>
          <cell r="H88">
            <v>0</v>
          </cell>
          <cell r="I88">
            <v>20.440000000000001</v>
          </cell>
          <cell r="P88">
            <v>37591</v>
          </cell>
          <cell r="Q88">
            <v>-0.24</v>
          </cell>
          <cell r="R88">
            <v>2.6870000000000003</v>
          </cell>
          <cell r="S88">
            <v>3.7949561830367622</v>
          </cell>
          <cell r="T88">
            <v>2.6870000000000003</v>
          </cell>
          <cell r="U88">
            <v>3.7949561830367622</v>
          </cell>
          <cell r="V88">
            <v>0</v>
          </cell>
          <cell r="X88">
            <v>37591</v>
          </cell>
          <cell r="Y88">
            <v>19.239999999999998</v>
          </cell>
          <cell r="Z88">
            <v>0</v>
          </cell>
          <cell r="AA88">
            <v>19.239999999999998</v>
          </cell>
        </row>
        <row r="89">
          <cell r="A89">
            <v>37622</v>
          </cell>
          <cell r="B89">
            <v>2.96</v>
          </cell>
          <cell r="C89">
            <v>0</v>
          </cell>
          <cell r="D89">
            <v>2.96</v>
          </cell>
          <cell r="F89">
            <v>37622</v>
          </cell>
          <cell r="G89">
            <v>20.388333333333303</v>
          </cell>
          <cell r="H89">
            <v>0</v>
          </cell>
          <cell r="I89">
            <v>20.388333333333303</v>
          </cell>
          <cell r="P89">
            <v>37622</v>
          </cell>
          <cell r="Q89">
            <v>-0.24</v>
          </cell>
          <cell r="R89">
            <v>2.7199999999999998</v>
          </cell>
          <cell r="S89">
            <v>3.83880274021024</v>
          </cell>
          <cell r="T89">
            <v>2.7199999999999998</v>
          </cell>
          <cell r="U89">
            <v>3.83880274021024</v>
          </cell>
          <cell r="V89">
            <v>0</v>
          </cell>
          <cell r="X89">
            <v>37622</v>
          </cell>
          <cell r="Y89">
            <v>19.322143939393904</v>
          </cell>
          <cell r="Z89">
            <v>0</v>
          </cell>
          <cell r="AA89">
            <v>19.322143939393904</v>
          </cell>
        </row>
        <row r="90">
          <cell r="A90">
            <v>37653</v>
          </cell>
          <cell r="B90">
            <v>2.847</v>
          </cell>
          <cell r="C90">
            <v>0</v>
          </cell>
          <cell r="D90">
            <v>2.847</v>
          </cell>
          <cell r="F90">
            <v>37653</v>
          </cell>
          <cell r="G90">
            <v>20.336666666666698</v>
          </cell>
          <cell r="H90">
            <v>0</v>
          </cell>
          <cell r="I90">
            <v>20.336666666666698</v>
          </cell>
          <cell r="P90">
            <v>37653</v>
          </cell>
          <cell r="Q90">
            <v>-0.24</v>
          </cell>
          <cell r="R90">
            <v>2.6070000000000002</v>
          </cell>
          <cell r="S90">
            <v>3.6766879711937768</v>
          </cell>
          <cell r="T90">
            <v>2.6070000000000002</v>
          </cell>
          <cell r="U90">
            <v>3.6766879711937768</v>
          </cell>
          <cell r="V90">
            <v>0</v>
          </cell>
          <cell r="X90">
            <v>37653</v>
          </cell>
          <cell r="Y90">
            <v>19.153528236914607</v>
          </cell>
          <cell r="Z90">
            <v>0</v>
          </cell>
          <cell r="AA90">
            <v>19.153528236914607</v>
          </cell>
        </row>
        <row r="91">
          <cell r="A91">
            <v>37681</v>
          </cell>
          <cell r="B91">
            <v>2.7319999999999998</v>
          </cell>
          <cell r="C91">
            <v>0</v>
          </cell>
          <cell r="D91">
            <v>2.7319999999999998</v>
          </cell>
          <cell r="F91">
            <v>37681</v>
          </cell>
          <cell r="G91">
            <v>20.285</v>
          </cell>
          <cell r="H91">
            <v>0</v>
          </cell>
          <cell r="I91">
            <v>20.285</v>
          </cell>
          <cell r="P91">
            <v>37681</v>
          </cell>
          <cell r="Q91">
            <v>-0.24</v>
          </cell>
          <cell r="R91">
            <v>2.492</v>
          </cell>
          <cell r="S91">
            <v>3.5122447760763444</v>
          </cell>
          <cell r="T91">
            <v>2.492</v>
          </cell>
          <cell r="U91">
            <v>3.5122447760763444</v>
          </cell>
          <cell r="V91">
            <v>0</v>
          </cell>
          <cell r="X91">
            <v>37681</v>
          </cell>
          <cell r="Y91">
            <v>19.255070194956602</v>
          </cell>
          <cell r="Z91">
            <v>0</v>
          </cell>
          <cell r="AA91">
            <v>19.255070194956602</v>
          </cell>
        </row>
        <row r="92">
          <cell r="A92">
            <v>37712</v>
          </cell>
          <cell r="B92">
            <v>2.6320000000000001</v>
          </cell>
          <cell r="C92">
            <v>0</v>
          </cell>
          <cell r="D92">
            <v>2.6320000000000001</v>
          </cell>
          <cell r="F92">
            <v>37712</v>
          </cell>
          <cell r="G92">
            <v>20.233333333333302</v>
          </cell>
          <cell r="H92">
            <v>0</v>
          </cell>
          <cell r="I92">
            <v>20.233333333333302</v>
          </cell>
          <cell r="P92">
            <v>37712</v>
          </cell>
          <cell r="Q92">
            <v>-0.28499999999999998</v>
          </cell>
          <cell r="R92">
            <v>2.347</v>
          </cell>
          <cell r="S92">
            <v>3.3056447771299058</v>
          </cell>
          <cell r="T92">
            <v>2.347</v>
          </cell>
          <cell r="U92">
            <v>3.3056447771299058</v>
          </cell>
          <cell r="V92">
            <v>0</v>
          </cell>
          <cell r="X92">
            <v>37712</v>
          </cell>
          <cell r="Y92">
            <v>19.079929805043406</v>
          </cell>
          <cell r="Z92">
            <v>0</v>
          </cell>
          <cell r="AA92">
            <v>19.079929805043406</v>
          </cell>
        </row>
        <row r="93">
          <cell r="A93">
            <v>37742</v>
          </cell>
          <cell r="B93">
            <v>2.6320000000000001</v>
          </cell>
          <cell r="C93">
            <v>0</v>
          </cell>
          <cell r="D93">
            <v>2.6320000000000001</v>
          </cell>
          <cell r="F93">
            <v>37742</v>
          </cell>
          <cell r="G93">
            <v>20.1816666666667</v>
          </cell>
          <cell r="H93">
            <v>0</v>
          </cell>
          <cell r="I93">
            <v>20.1816666666667</v>
          </cell>
          <cell r="P93">
            <v>37742</v>
          </cell>
          <cell r="Q93">
            <v>-0.28499999999999998</v>
          </cell>
          <cell r="R93">
            <v>2.347</v>
          </cell>
          <cell r="S93">
            <v>3.3034197444463742</v>
          </cell>
          <cell r="T93">
            <v>2.347</v>
          </cell>
          <cell r="U93">
            <v>3.3034197444463742</v>
          </cell>
          <cell r="V93">
            <v>0</v>
          </cell>
          <cell r="X93">
            <v>37742</v>
          </cell>
          <cell r="Y93">
            <v>19.145185025718103</v>
          </cell>
          <cell r="Z93">
            <v>0</v>
          </cell>
          <cell r="AA93">
            <v>19.145185025718103</v>
          </cell>
        </row>
        <row r="94">
          <cell r="A94">
            <v>37773</v>
          </cell>
          <cell r="B94">
            <v>2.6410000000000005</v>
          </cell>
          <cell r="C94">
            <v>0</v>
          </cell>
          <cell r="D94">
            <v>2.6410000000000005</v>
          </cell>
          <cell r="F94">
            <v>37773</v>
          </cell>
          <cell r="G94">
            <v>20.13</v>
          </cell>
          <cell r="H94">
            <v>0</v>
          </cell>
          <cell r="I94">
            <v>20.13</v>
          </cell>
          <cell r="P94">
            <v>37773</v>
          </cell>
          <cell r="Q94">
            <v>-0.28499999999999998</v>
          </cell>
          <cell r="R94">
            <v>2.3560000000000003</v>
          </cell>
          <cell r="S94">
            <v>3.3137993631433051</v>
          </cell>
          <cell r="T94">
            <v>2.3560000000000003</v>
          </cell>
          <cell r="U94">
            <v>3.3137993631433051</v>
          </cell>
          <cell r="V94">
            <v>0</v>
          </cell>
          <cell r="X94">
            <v>37773</v>
          </cell>
          <cell r="Y94">
            <v>18.777956923012702</v>
          </cell>
          <cell r="Z94">
            <v>0</v>
          </cell>
          <cell r="AA94">
            <v>18.777956923012702</v>
          </cell>
        </row>
        <row r="95">
          <cell r="A95">
            <v>37803</v>
          </cell>
          <cell r="B95">
            <v>2.6520000000000001</v>
          </cell>
          <cell r="C95">
            <v>0</v>
          </cell>
          <cell r="D95">
            <v>2.6520000000000001</v>
          </cell>
          <cell r="F95">
            <v>37803</v>
          </cell>
          <cell r="G95">
            <v>20.078333333333305</v>
          </cell>
          <cell r="H95">
            <v>0</v>
          </cell>
          <cell r="I95">
            <v>20.078333333333305</v>
          </cell>
          <cell r="P95">
            <v>37803</v>
          </cell>
          <cell r="Q95">
            <v>-0.28499999999999998</v>
          </cell>
          <cell r="R95">
            <v>2.367</v>
          </cell>
          <cell r="S95">
            <v>3.3270848474845152</v>
          </cell>
          <cell r="T95">
            <v>2.367</v>
          </cell>
          <cell r="U95">
            <v>3.3270848474845152</v>
          </cell>
          <cell r="V95">
            <v>0</v>
          </cell>
          <cell r="X95">
            <v>37803</v>
          </cell>
          <cell r="Y95">
            <v>18.989258119711604</v>
          </cell>
          <cell r="Z95">
            <v>0</v>
          </cell>
          <cell r="AA95">
            <v>18.989258119711604</v>
          </cell>
        </row>
        <row r="96">
          <cell r="A96">
            <v>37834</v>
          </cell>
          <cell r="B96">
            <v>2.6610000000000005</v>
          </cell>
          <cell r="C96">
            <v>0</v>
          </cell>
          <cell r="D96">
            <v>2.6610000000000005</v>
          </cell>
          <cell r="F96">
            <v>37834</v>
          </cell>
          <cell r="G96">
            <v>20.026666666666699</v>
          </cell>
          <cell r="H96">
            <v>0</v>
          </cell>
          <cell r="I96">
            <v>20.026666666666699</v>
          </cell>
          <cell r="P96">
            <v>37834</v>
          </cell>
          <cell r="Q96">
            <v>-0.28499999999999998</v>
          </cell>
          <cell r="R96">
            <v>2.3760000000000003</v>
          </cell>
          <cell r="S96">
            <v>3.3375161321948164</v>
          </cell>
          <cell r="T96">
            <v>2.3760000000000003</v>
          </cell>
          <cell r="U96">
            <v>3.3375161321948164</v>
          </cell>
          <cell r="V96">
            <v>0</v>
          </cell>
          <cell r="X96">
            <v>37834</v>
          </cell>
          <cell r="Y96">
            <v>18.714947163898501</v>
          </cell>
          <cell r="Z96">
            <v>0</v>
          </cell>
          <cell r="AA96">
            <v>18.714947163898501</v>
          </cell>
        </row>
        <row r="97">
          <cell r="A97">
            <v>37865</v>
          </cell>
          <cell r="B97">
            <v>2.6680000000000001</v>
          </cell>
          <cell r="C97">
            <v>0</v>
          </cell>
          <cell r="D97">
            <v>2.6680000000000001</v>
          </cell>
          <cell r="F97">
            <v>37865</v>
          </cell>
          <cell r="G97">
            <v>19.975000000000001</v>
          </cell>
          <cell r="H97">
            <v>0</v>
          </cell>
          <cell r="I97">
            <v>19.975000000000001</v>
          </cell>
          <cell r="P97">
            <v>37865</v>
          </cell>
          <cell r="Q97">
            <v>-0.28499999999999998</v>
          </cell>
          <cell r="R97">
            <v>2.383</v>
          </cell>
          <cell r="S97">
            <v>3.3451459770509335</v>
          </cell>
          <cell r="T97">
            <v>2.383</v>
          </cell>
          <cell r="U97">
            <v>3.3451459770509335</v>
          </cell>
          <cell r="V97">
            <v>0</v>
          </cell>
          <cell r="X97">
            <v>37865</v>
          </cell>
          <cell r="Y97">
            <v>18.884409640823996</v>
          </cell>
          <cell r="Z97">
            <v>0</v>
          </cell>
          <cell r="AA97">
            <v>18.884409640823996</v>
          </cell>
        </row>
        <row r="98">
          <cell r="A98">
            <v>37895</v>
          </cell>
          <cell r="B98">
            <v>2.6949999999999998</v>
          </cell>
          <cell r="C98">
            <v>0</v>
          </cell>
          <cell r="D98">
            <v>2.6949999999999998</v>
          </cell>
          <cell r="F98">
            <v>37895</v>
          </cell>
          <cell r="G98">
            <v>19.923333333333304</v>
          </cell>
          <cell r="H98">
            <v>0</v>
          </cell>
          <cell r="I98">
            <v>19.923333333333304</v>
          </cell>
          <cell r="P98">
            <v>37895</v>
          </cell>
          <cell r="Q98">
            <v>-0.28499999999999998</v>
          </cell>
          <cell r="R98">
            <v>2.4099999999999997</v>
          </cell>
          <cell r="S98">
            <v>3.3809228287480892</v>
          </cell>
          <cell r="T98">
            <v>2.4099999999999997</v>
          </cell>
          <cell r="U98">
            <v>3.3809228287480892</v>
          </cell>
          <cell r="V98">
            <v>0</v>
          </cell>
          <cell r="X98">
            <v>37895</v>
          </cell>
          <cell r="Y98">
            <v>18.6525851750085</v>
          </cell>
          <cell r="Z98">
            <v>0</v>
          </cell>
          <cell r="AA98">
            <v>18.6525851750085</v>
          </cell>
        </row>
        <row r="99">
          <cell r="A99">
            <v>37926</v>
          </cell>
          <cell r="B99">
            <v>2.8310000000000004</v>
          </cell>
          <cell r="C99">
            <v>0</v>
          </cell>
          <cell r="D99">
            <v>2.8310000000000004</v>
          </cell>
          <cell r="F99">
            <v>37926</v>
          </cell>
          <cell r="G99">
            <v>19.871666666666698</v>
          </cell>
          <cell r="H99">
            <v>0</v>
          </cell>
          <cell r="I99">
            <v>19.871666666666698</v>
          </cell>
          <cell r="P99">
            <v>37926</v>
          </cell>
          <cell r="Q99">
            <v>-0.3</v>
          </cell>
          <cell r="R99">
            <v>2.5310000000000006</v>
          </cell>
          <cell r="S99">
            <v>3.5484019966541238</v>
          </cell>
          <cell r="T99">
            <v>2.5310000000000006</v>
          </cell>
          <cell r="U99">
            <v>3.5484019966541238</v>
          </cell>
          <cell r="V99">
            <v>0</v>
          </cell>
          <cell r="X99">
            <v>37926</v>
          </cell>
          <cell r="Y99">
            <v>18.761684576381803</v>
          </cell>
          <cell r="Z99">
            <v>0</v>
          </cell>
          <cell r="AA99">
            <v>18.761684576381803</v>
          </cell>
        </row>
        <row r="100">
          <cell r="A100">
            <v>37956</v>
          </cell>
          <cell r="B100">
            <v>2.9569999999999999</v>
          </cell>
          <cell r="C100">
            <v>0</v>
          </cell>
          <cell r="D100">
            <v>2.9569999999999999</v>
          </cell>
          <cell r="F100">
            <v>37956</v>
          </cell>
          <cell r="G100">
            <v>19.82</v>
          </cell>
          <cell r="H100">
            <v>0</v>
          </cell>
          <cell r="I100">
            <v>19.82</v>
          </cell>
          <cell r="P100">
            <v>37956</v>
          </cell>
          <cell r="Q100">
            <v>-0.3</v>
          </cell>
          <cell r="R100">
            <v>2.657</v>
          </cell>
          <cell r="S100">
            <v>3.7227717007526953</v>
          </cell>
          <cell r="T100">
            <v>2.657</v>
          </cell>
          <cell r="U100">
            <v>3.7227717007526953</v>
          </cell>
          <cell r="V100">
            <v>0</v>
          </cell>
          <cell r="X100">
            <v>37956</v>
          </cell>
          <cell r="Y100">
            <v>18.698991351501203</v>
          </cell>
          <cell r="Z100">
            <v>0</v>
          </cell>
          <cell r="AA100">
            <v>18.698991351501203</v>
          </cell>
        </row>
        <row r="101">
          <cell r="A101">
            <v>37987</v>
          </cell>
          <cell r="B101">
            <v>2.9895</v>
          </cell>
          <cell r="C101">
            <v>0</v>
          </cell>
          <cell r="D101">
            <v>2.9895</v>
          </cell>
          <cell r="F101">
            <v>37987</v>
          </cell>
          <cell r="G101">
            <v>19.805833333333304</v>
          </cell>
          <cell r="H101">
            <v>0</v>
          </cell>
          <cell r="I101">
            <v>19.805833333333304</v>
          </cell>
          <cell r="P101">
            <v>37987</v>
          </cell>
          <cell r="Q101">
            <v>-0.3</v>
          </cell>
          <cell r="R101">
            <v>2.6895000000000002</v>
          </cell>
          <cell r="S101">
            <v>3.7658898883308458</v>
          </cell>
          <cell r="T101">
            <v>2.6895000000000002</v>
          </cell>
          <cell r="U101">
            <v>3.7658898883308458</v>
          </cell>
          <cell r="V101">
            <v>0</v>
          </cell>
          <cell r="X101">
            <v>37987</v>
          </cell>
          <cell r="Y101">
            <v>18.682108648498804</v>
          </cell>
          <cell r="Z101">
            <v>0</v>
          </cell>
          <cell r="AA101">
            <v>18.682108648498804</v>
          </cell>
        </row>
        <row r="102">
          <cell r="A102">
            <v>38018</v>
          </cell>
          <cell r="B102">
            <v>2.8805000000000001</v>
          </cell>
          <cell r="C102">
            <v>0</v>
          </cell>
          <cell r="D102">
            <v>2.8805000000000001</v>
          </cell>
          <cell r="F102">
            <v>38018</v>
          </cell>
          <cell r="G102">
            <v>19.7916666666667</v>
          </cell>
          <cell r="H102">
            <v>0</v>
          </cell>
          <cell r="I102">
            <v>19.7916666666667</v>
          </cell>
          <cell r="P102">
            <v>38018</v>
          </cell>
          <cell r="Q102">
            <v>-0.3</v>
          </cell>
          <cell r="R102">
            <v>2.5805000000000002</v>
          </cell>
          <cell r="S102">
            <v>3.6109057398799065</v>
          </cell>
          <cell r="T102">
            <v>2.5805000000000002</v>
          </cell>
          <cell r="U102">
            <v>3.6109057398799065</v>
          </cell>
          <cell r="V102">
            <v>0</v>
          </cell>
          <cell r="X102">
            <v>38018</v>
          </cell>
          <cell r="Y102">
            <v>18.671140015139901</v>
          </cell>
          <cell r="Z102">
            <v>0</v>
          </cell>
          <cell r="AA102">
            <v>18.671140015139901</v>
          </cell>
        </row>
        <row r="103">
          <cell r="A103">
            <v>38047</v>
          </cell>
          <cell r="B103">
            <v>2.7685000000000004</v>
          </cell>
          <cell r="C103">
            <v>0</v>
          </cell>
          <cell r="D103">
            <v>2.7685000000000004</v>
          </cell>
          <cell r="F103">
            <v>38047</v>
          </cell>
          <cell r="G103">
            <v>19.7775</v>
          </cell>
          <cell r="H103">
            <v>0</v>
          </cell>
          <cell r="I103">
            <v>19.7775</v>
          </cell>
          <cell r="P103">
            <v>38047</v>
          </cell>
          <cell r="Q103">
            <v>-0.3</v>
          </cell>
          <cell r="R103">
            <v>2.4685000000000006</v>
          </cell>
          <cell r="S103">
            <v>3.4520890799868797</v>
          </cell>
          <cell r="T103">
            <v>2.4685000000000006</v>
          </cell>
          <cell r="U103">
            <v>3.4520890799868797</v>
          </cell>
          <cell r="V103">
            <v>0</v>
          </cell>
          <cell r="X103">
            <v>38047</v>
          </cell>
          <cell r="Y103">
            <v>18.694117210867301</v>
          </cell>
          <cell r="Z103">
            <v>0</v>
          </cell>
          <cell r="AA103">
            <v>18.694117210867301</v>
          </cell>
        </row>
        <row r="104">
          <cell r="A104">
            <v>38078</v>
          </cell>
          <cell r="B104">
            <v>2.6715</v>
          </cell>
          <cell r="C104">
            <v>0</v>
          </cell>
          <cell r="D104">
            <v>2.6715</v>
          </cell>
          <cell r="F104">
            <v>38078</v>
          </cell>
          <cell r="G104">
            <v>19.763333333333303</v>
          </cell>
          <cell r="H104">
            <v>0</v>
          </cell>
          <cell r="I104">
            <v>19.763333333333303</v>
          </cell>
          <cell r="P104">
            <v>38078</v>
          </cell>
          <cell r="Q104">
            <v>-0.34</v>
          </cell>
          <cell r="R104">
            <v>2.3315000000000001</v>
          </cell>
          <cell r="S104">
            <v>3.2583974819704147</v>
          </cell>
          <cell r="T104">
            <v>2.3315000000000001</v>
          </cell>
          <cell r="U104">
            <v>3.2583974819704147</v>
          </cell>
          <cell r="V104">
            <v>0</v>
          </cell>
          <cell r="X104">
            <v>38078</v>
          </cell>
          <cell r="Y104">
            <v>18.6497994557994</v>
          </cell>
          <cell r="Z104">
            <v>0</v>
          </cell>
          <cell r="AA104">
            <v>18.6497994557994</v>
          </cell>
        </row>
        <row r="105">
          <cell r="A105">
            <v>38108</v>
          </cell>
          <cell r="B105">
            <v>2.6724999999999999</v>
          </cell>
          <cell r="C105">
            <v>0</v>
          </cell>
          <cell r="D105">
            <v>2.6724999999999999</v>
          </cell>
          <cell r="F105">
            <v>38108</v>
          </cell>
          <cell r="G105">
            <v>19.749166666666699</v>
          </cell>
          <cell r="H105">
            <v>0</v>
          </cell>
          <cell r="I105">
            <v>19.749166666666699</v>
          </cell>
          <cell r="P105">
            <v>38108</v>
          </cell>
          <cell r="Q105">
            <v>-0.34</v>
          </cell>
          <cell r="R105">
            <v>2.3325</v>
          </cell>
          <cell r="S105">
            <v>3.2577696509829681</v>
          </cell>
          <cell r="T105">
            <v>2.3325</v>
          </cell>
          <cell r="U105">
            <v>3.2577696509829681</v>
          </cell>
          <cell r="V105">
            <v>0</v>
          </cell>
          <cell r="X105">
            <v>38108</v>
          </cell>
          <cell r="Y105">
            <v>18.661487598103101</v>
          </cell>
          <cell r="Z105">
            <v>0</v>
          </cell>
          <cell r="AA105">
            <v>18.661487598103101</v>
          </cell>
        </row>
        <row r="106">
          <cell r="A106">
            <v>38139</v>
          </cell>
          <cell r="B106">
            <v>2.6825000000000001</v>
          </cell>
          <cell r="C106">
            <v>0</v>
          </cell>
          <cell r="D106">
            <v>2.6825000000000001</v>
          </cell>
          <cell r="F106">
            <v>38139</v>
          </cell>
          <cell r="G106">
            <v>19.734999999999999</v>
          </cell>
          <cell r="H106">
            <v>0</v>
          </cell>
          <cell r="I106">
            <v>19.734999999999999</v>
          </cell>
          <cell r="P106">
            <v>38139</v>
          </cell>
          <cell r="Q106">
            <v>-0.34</v>
          </cell>
          <cell r="R106">
            <v>2.3425000000000002</v>
          </cell>
          <cell r="S106">
            <v>3.2696521787544528</v>
          </cell>
          <cell r="T106">
            <v>2.3425000000000002</v>
          </cell>
          <cell r="U106">
            <v>3.2696521787544528</v>
          </cell>
          <cell r="V106">
            <v>0</v>
          </cell>
          <cell r="X106">
            <v>38139</v>
          </cell>
          <cell r="Y106">
            <v>18.413121446025201</v>
          </cell>
          <cell r="Z106">
            <v>0</v>
          </cell>
          <cell r="AA106">
            <v>18.413121446025201</v>
          </cell>
        </row>
        <row r="107">
          <cell r="A107">
            <v>38169</v>
          </cell>
          <cell r="B107">
            <v>2.6935000000000002</v>
          </cell>
          <cell r="C107">
            <v>0</v>
          </cell>
          <cell r="D107">
            <v>2.6935000000000002</v>
          </cell>
          <cell r="F107">
            <v>38169</v>
          </cell>
          <cell r="G107">
            <v>19.720833333333303</v>
          </cell>
          <cell r="H107">
            <v>0</v>
          </cell>
          <cell r="I107">
            <v>19.720833333333303</v>
          </cell>
          <cell r="P107">
            <v>38169</v>
          </cell>
          <cell r="Q107">
            <v>-0.34</v>
          </cell>
          <cell r="R107">
            <v>2.3535000000000004</v>
          </cell>
          <cell r="S107">
            <v>3.2829963925904018</v>
          </cell>
          <cell r="T107">
            <v>2.3535000000000004</v>
          </cell>
          <cell r="U107">
            <v>3.2829963925904018</v>
          </cell>
          <cell r="V107">
            <v>0</v>
          </cell>
          <cell r="X107">
            <v>38169</v>
          </cell>
          <cell r="Y107">
            <v>18.602419897552803</v>
          </cell>
          <cell r="Z107">
            <v>0</v>
          </cell>
          <cell r="AA107">
            <v>18.602419897552803</v>
          </cell>
        </row>
        <row r="108">
          <cell r="A108">
            <v>38200</v>
          </cell>
          <cell r="B108">
            <v>2.7025000000000001</v>
          </cell>
          <cell r="C108">
            <v>0</v>
          </cell>
          <cell r="D108">
            <v>2.7025000000000001</v>
          </cell>
          <cell r="F108">
            <v>38200</v>
          </cell>
          <cell r="G108">
            <v>19.706666666666699</v>
          </cell>
          <cell r="H108">
            <v>0</v>
          </cell>
          <cell r="I108">
            <v>19.706666666666699</v>
          </cell>
          <cell r="P108">
            <v>38200</v>
          </cell>
          <cell r="Q108">
            <v>-0.34</v>
          </cell>
          <cell r="R108">
            <v>2.3625000000000003</v>
          </cell>
          <cell r="S108">
            <v>3.2934840301542381</v>
          </cell>
          <cell r="T108">
            <v>2.3625000000000003</v>
          </cell>
          <cell r="U108">
            <v>3.2934840301542381</v>
          </cell>
          <cell r="V108">
            <v>0</v>
          </cell>
          <cell r="X108">
            <v>38200</v>
          </cell>
          <cell r="Y108">
            <v>18.4104000853727</v>
          </cell>
          <cell r="Z108">
            <v>0</v>
          </cell>
          <cell r="AA108">
            <v>18.4104000853727</v>
          </cell>
        </row>
        <row r="109">
          <cell r="A109">
            <v>38231</v>
          </cell>
          <cell r="B109">
            <v>2.7085000000000004</v>
          </cell>
          <cell r="C109">
            <v>0</v>
          </cell>
          <cell r="D109">
            <v>2.7085000000000004</v>
          </cell>
          <cell r="F109">
            <v>38231</v>
          </cell>
          <cell r="G109">
            <v>19.692499999999999</v>
          </cell>
          <cell r="H109">
            <v>0</v>
          </cell>
          <cell r="I109">
            <v>19.692499999999999</v>
          </cell>
          <cell r="P109">
            <v>38231</v>
          </cell>
          <cell r="Q109">
            <v>-0.34</v>
          </cell>
          <cell r="R109">
            <v>2.3685000000000005</v>
          </cell>
          <cell r="S109">
            <v>3.2997942710099988</v>
          </cell>
          <cell r="T109">
            <v>2.3685000000000005</v>
          </cell>
          <cell r="U109">
            <v>3.2997942710099988</v>
          </cell>
          <cell r="V109">
            <v>0</v>
          </cell>
          <cell r="X109">
            <v>38231</v>
          </cell>
          <cell r="Y109">
            <v>18.586977706633903</v>
          </cell>
          <cell r="Z109">
            <v>0</v>
          </cell>
          <cell r="AA109">
            <v>18.586977706633903</v>
          </cell>
        </row>
        <row r="110">
          <cell r="A110">
            <v>38261</v>
          </cell>
          <cell r="B110">
            <v>2.7345000000000002</v>
          </cell>
          <cell r="C110">
            <v>0</v>
          </cell>
          <cell r="D110">
            <v>2.7345000000000002</v>
          </cell>
          <cell r="F110">
            <v>38261</v>
          </cell>
          <cell r="G110">
            <v>19.678333333333303</v>
          </cell>
          <cell r="H110">
            <v>0</v>
          </cell>
          <cell r="I110">
            <v>19.678333333333303</v>
          </cell>
          <cell r="P110">
            <v>38261</v>
          </cell>
          <cell r="Q110">
            <v>-0.34</v>
          </cell>
          <cell r="R110">
            <v>2.3945000000000003</v>
          </cell>
          <cell r="S110">
            <v>3.3340249764064529</v>
          </cell>
          <cell r="T110">
            <v>2.3945000000000003</v>
          </cell>
          <cell r="U110">
            <v>3.3340249764064529</v>
          </cell>
          <cell r="V110">
            <v>0</v>
          </cell>
          <cell r="X110">
            <v>38261</v>
          </cell>
          <cell r="Y110">
            <v>18.415038022249501</v>
          </cell>
          <cell r="Z110">
            <v>0</v>
          </cell>
          <cell r="AA110">
            <v>18.415038022249501</v>
          </cell>
        </row>
        <row r="111">
          <cell r="A111">
            <v>38292</v>
          </cell>
          <cell r="B111">
            <v>2.8655000000000004</v>
          </cell>
          <cell r="C111">
            <v>0</v>
          </cell>
          <cell r="D111">
            <v>2.8655000000000004</v>
          </cell>
          <cell r="F111">
            <v>38292</v>
          </cell>
          <cell r="G111">
            <v>19.664166666666699</v>
          </cell>
          <cell r="H111">
            <v>0</v>
          </cell>
          <cell r="I111">
            <v>19.664166666666699</v>
          </cell>
          <cell r="P111">
            <v>38292</v>
          </cell>
          <cell r="Q111">
            <v>-0.33</v>
          </cell>
          <cell r="R111">
            <v>2.5355000000000003</v>
          </cell>
          <cell r="S111">
            <v>3.5281875170045245</v>
          </cell>
          <cell r="T111">
            <v>2.5355000000000003</v>
          </cell>
          <cell r="U111">
            <v>3.5281875170045245</v>
          </cell>
          <cell r="V111">
            <v>0</v>
          </cell>
          <cell r="X111">
            <v>38292</v>
          </cell>
          <cell r="Y111">
            <v>18.531168314792101</v>
          </cell>
          <cell r="Z111">
            <v>0</v>
          </cell>
          <cell r="AA111">
            <v>18.531168314792101</v>
          </cell>
        </row>
        <row r="112">
          <cell r="A112">
            <v>38322</v>
          </cell>
          <cell r="B112">
            <v>2.9885000000000002</v>
          </cell>
          <cell r="C112">
            <v>0</v>
          </cell>
          <cell r="D112">
            <v>2.9885000000000002</v>
          </cell>
          <cell r="F112">
            <v>38322</v>
          </cell>
          <cell r="G112">
            <v>19.649999999999999</v>
          </cell>
          <cell r="H112">
            <v>0</v>
          </cell>
          <cell r="I112">
            <v>19.649999999999999</v>
          </cell>
          <cell r="P112">
            <v>38322</v>
          </cell>
          <cell r="Q112">
            <v>-0.33</v>
          </cell>
          <cell r="R112">
            <v>2.6585000000000001</v>
          </cell>
          <cell r="S112">
            <v>3.6971698982490881</v>
          </cell>
          <cell r="T112">
            <v>2.6585000000000001</v>
          </cell>
          <cell r="U112">
            <v>3.6971698982490881</v>
          </cell>
          <cell r="V112">
            <v>0</v>
          </cell>
          <cell r="X112">
            <v>38322</v>
          </cell>
          <cell r="Y112">
            <v>18.537040925946606</v>
          </cell>
          <cell r="Z112">
            <v>0</v>
          </cell>
          <cell r="AA112">
            <v>18.537040925946606</v>
          </cell>
        </row>
        <row r="113">
          <cell r="A113">
            <v>38353</v>
          </cell>
          <cell r="B113">
            <v>3.0290000000000004</v>
          </cell>
          <cell r="C113">
            <v>0</v>
          </cell>
          <cell r="D113">
            <v>3.0290000000000004</v>
          </cell>
          <cell r="F113">
            <v>38353</v>
          </cell>
          <cell r="G113">
            <v>19.644166666666699</v>
          </cell>
          <cell r="H113">
            <v>0</v>
          </cell>
          <cell r="I113">
            <v>19.644166666666699</v>
          </cell>
          <cell r="P113">
            <v>38353</v>
          </cell>
          <cell r="Q113">
            <v>-0.33</v>
          </cell>
          <cell r="R113">
            <v>2.6990000000000003</v>
          </cell>
          <cell r="S113">
            <v>3.7512323999029054</v>
          </cell>
          <cell r="T113">
            <v>2.6990000000000003</v>
          </cell>
          <cell r="U113">
            <v>3.7512323999029054</v>
          </cell>
          <cell r="V113">
            <v>0</v>
          </cell>
          <cell r="X113">
            <v>38353</v>
          </cell>
          <cell r="Y113">
            <v>18.511196450600107</v>
          </cell>
          <cell r="Z113">
            <v>0</v>
          </cell>
          <cell r="AA113">
            <v>18.511196450600107</v>
          </cell>
        </row>
        <row r="114">
          <cell r="A114">
            <v>38384</v>
          </cell>
          <cell r="B114">
            <v>2.9240000000000004</v>
          </cell>
          <cell r="C114">
            <v>0</v>
          </cell>
          <cell r="D114">
            <v>2.9240000000000004</v>
          </cell>
          <cell r="F114">
            <v>38384</v>
          </cell>
          <cell r="G114">
            <v>19.638333333333303</v>
          </cell>
          <cell r="H114">
            <v>0</v>
          </cell>
          <cell r="I114">
            <v>19.638333333333303</v>
          </cell>
          <cell r="P114">
            <v>38384</v>
          </cell>
          <cell r="Q114">
            <v>-0.33</v>
          </cell>
          <cell r="R114">
            <v>2.5940000000000003</v>
          </cell>
          <cell r="S114">
            <v>3.6031437468932981</v>
          </cell>
          <cell r="T114">
            <v>2.5940000000000003</v>
          </cell>
          <cell r="U114">
            <v>3.6031437468932981</v>
          </cell>
          <cell r="V114">
            <v>0</v>
          </cell>
          <cell r="X114">
            <v>38384</v>
          </cell>
          <cell r="Y114">
            <v>18.520905294410202</v>
          </cell>
          <cell r="Z114">
            <v>0</v>
          </cell>
          <cell r="AA114">
            <v>18.520905294410202</v>
          </cell>
        </row>
        <row r="115">
          <cell r="A115">
            <v>38412</v>
          </cell>
          <cell r="B115">
            <v>2.8149999999999999</v>
          </cell>
          <cell r="C115">
            <v>0</v>
          </cell>
          <cell r="D115">
            <v>2.8149999999999999</v>
          </cell>
          <cell r="F115">
            <v>38412</v>
          </cell>
          <cell r="G115">
            <v>19.6325</v>
          </cell>
          <cell r="H115">
            <v>0</v>
          </cell>
          <cell r="I115">
            <v>19.6325</v>
          </cell>
          <cell r="P115">
            <v>38412</v>
          </cell>
          <cell r="Q115">
            <v>-0.33</v>
          </cell>
          <cell r="R115">
            <v>2.4849999999999999</v>
          </cell>
          <cell r="S115">
            <v>3.4498922504838054</v>
          </cell>
          <cell r="T115">
            <v>2.4849999999999999</v>
          </cell>
          <cell r="U115">
            <v>3.4498922504838054</v>
          </cell>
          <cell r="V115">
            <v>0</v>
          </cell>
          <cell r="X115">
            <v>38412</v>
          </cell>
          <cell r="Y115">
            <v>18.492237611142201</v>
          </cell>
          <cell r="Z115">
            <v>0</v>
          </cell>
          <cell r="AA115">
            <v>18.492237611142201</v>
          </cell>
        </row>
        <row r="116">
          <cell r="A116">
            <v>38443</v>
          </cell>
          <cell r="B116">
            <v>2.7210000000000001</v>
          </cell>
          <cell r="C116">
            <v>0</v>
          </cell>
          <cell r="D116">
            <v>2.7210000000000001</v>
          </cell>
          <cell r="F116">
            <v>38443</v>
          </cell>
          <cell r="G116">
            <v>19.626666666666697</v>
          </cell>
          <cell r="H116">
            <v>0</v>
          </cell>
          <cell r="I116">
            <v>19.626666666666697</v>
          </cell>
          <cell r="P116">
            <v>38443</v>
          </cell>
          <cell r="Q116">
            <v>-0.37</v>
          </cell>
          <cell r="R116">
            <v>2.351</v>
          </cell>
          <cell r="S116">
            <v>3.2619273526386929</v>
          </cell>
          <cell r="T116">
            <v>2.351</v>
          </cell>
          <cell r="U116">
            <v>3.2619273526386929</v>
          </cell>
          <cell r="V116">
            <v>0</v>
          </cell>
          <cell r="X116">
            <v>38443</v>
          </cell>
          <cell r="Y116">
            <v>18.508262388857801</v>
          </cell>
          <cell r="Z116">
            <v>0</v>
          </cell>
          <cell r="AA116">
            <v>18.508262388857801</v>
          </cell>
        </row>
        <row r="117">
          <cell r="A117">
            <v>38473</v>
          </cell>
          <cell r="B117">
            <v>2.7230000000000003</v>
          </cell>
          <cell r="C117">
            <v>0</v>
          </cell>
          <cell r="D117">
            <v>2.7230000000000003</v>
          </cell>
          <cell r="F117">
            <v>38473</v>
          </cell>
          <cell r="G117">
            <v>19.620833333333305</v>
          </cell>
          <cell r="H117">
            <v>0</v>
          </cell>
          <cell r="I117">
            <v>19.620833333333305</v>
          </cell>
          <cell r="P117">
            <v>38473</v>
          </cell>
          <cell r="Q117">
            <v>-0.37</v>
          </cell>
          <cell r="R117">
            <v>2.3530000000000002</v>
          </cell>
          <cell r="S117">
            <v>3.2624340944604513</v>
          </cell>
          <cell r="T117">
            <v>2.3530000000000002</v>
          </cell>
          <cell r="U117">
            <v>3.2624340944604513</v>
          </cell>
          <cell r="V117">
            <v>0</v>
          </cell>
          <cell r="X117">
            <v>38473</v>
          </cell>
          <cell r="Y117">
            <v>18.482823803442702</v>
          </cell>
          <cell r="Z117">
            <v>0</v>
          </cell>
          <cell r="AA117">
            <v>18.482823803442702</v>
          </cell>
        </row>
        <row r="118">
          <cell r="A118">
            <v>38504</v>
          </cell>
          <cell r="B118">
            <v>2.7340000000000004</v>
          </cell>
          <cell r="C118">
            <v>0</v>
          </cell>
          <cell r="D118">
            <v>2.7340000000000004</v>
          </cell>
          <cell r="F118">
            <v>38504</v>
          </cell>
          <cell r="G118">
            <v>19.614999999999998</v>
          </cell>
          <cell r="H118">
            <v>0</v>
          </cell>
          <cell r="I118">
            <v>19.614999999999998</v>
          </cell>
          <cell r="P118">
            <v>38504</v>
          </cell>
          <cell r="Q118">
            <v>-0.37</v>
          </cell>
          <cell r="R118">
            <v>2.3640000000000003</v>
          </cell>
          <cell r="S118">
            <v>3.2753426444455802</v>
          </cell>
          <cell r="T118">
            <v>2.3640000000000003</v>
          </cell>
          <cell r="U118">
            <v>3.2753426444455802</v>
          </cell>
          <cell r="V118">
            <v>0</v>
          </cell>
          <cell r="X118">
            <v>38504</v>
          </cell>
          <cell r="Y118">
            <v>18.266266239294502</v>
          </cell>
          <cell r="Z118">
            <v>0</v>
          </cell>
          <cell r="AA118">
            <v>18.266266239294502</v>
          </cell>
        </row>
        <row r="119">
          <cell r="A119">
            <v>38534</v>
          </cell>
          <cell r="B119">
            <v>2.7450000000000001</v>
          </cell>
          <cell r="C119">
            <v>0</v>
          </cell>
          <cell r="D119">
            <v>2.7450000000000001</v>
          </cell>
          <cell r="F119">
            <v>38534</v>
          </cell>
          <cell r="G119">
            <v>19.609166666666699</v>
          </cell>
          <cell r="H119">
            <v>0</v>
          </cell>
          <cell r="I119">
            <v>19.609166666666699</v>
          </cell>
          <cell r="P119">
            <v>38534</v>
          </cell>
          <cell r="Q119">
            <v>-0.37</v>
          </cell>
          <cell r="R119">
            <v>2.375</v>
          </cell>
          <cell r="S119">
            <v>3.2883088414100006</v>
          </cell>
          <cell r="T119">
            <v>2.375</v>
          </cell>
          <cell r="U119">
            <v>3.2883088414100006</v>
          </cell>
          <cell r="V119">
            <v>0</v>
          </cell>
          <cell r="X119">
            <v>38534</v>
          </cell>
          <cell r="Y119">
            <v>18.444792022810102</v>
          </cell>
          <cell r="Z119">
            <v>0</v>
          </cell>
          <cell r="AA119">
            <v>18.444792022810102</v>
          </cell>
        </row>
        <row r="120">
          <cell r="A120">
            <v>38565</v>
          </cell>
          <cell r="B120">
            <v>2.7540000000000004</v>
          </cell>
          <cell r="C120">
            <v>0</v>
          </cell>
          <cell r="D120">
            <v>2.7540000000000004</v>
          </cell>
          <cell r="F120">
            <v>38565</v>
          </cell>
          <cell r="G120">
            <v>19.603333333333303</v>
          </cell>
          <cell r="H120">
            <v>0</v>
          </cell>
          <cell r="I120">
            <v>19.603333333333303</v>
          </cell>
          <cell r="P120">
            <v>38565</v>
          </cell>
          <cell r="Q120">
            <v>-0.37</v>
          </cell>
          <cell r="R120">
            <v>2.3840000000000003</v>
          </cell>
          <cell r="S120">
            <v>3.2984143288892809</v>
          </cell>
          <cell r="T120">
            <v>2.3840000000000003</v>
          </cell>
          <cell r="U120">
            <v>3.2984143288892809</v>
          </cell>
          <cell r="V120">
            <v>0</v>
          </cell>
          <cell r="X120">
            <v>38565</v>
          </cell>
          <cell r="Y120">
            <v>18.284839980991503</v>
          </cell>
          <cell r="Z120">
            <v>0</v>
          </cell>
          <cell r="AA120">
            <v>18.284839980991503</v>
          </cell>
        </row>
        <row r="121">
          <cell r="A121">
            <v>38596</v>
          </cell>
          <cell r="B121">
            <v>2.7590000000000003</v>
          </cell>
          <cell r="C121">
            <v>0</v>
          </cell>
          <cell r="D121">
            <v>2.7590000000000003</v>
          </cell>
          <cell r="F121">
            <v>38596</v>
          </cell>
          <cell r="G121">
            <v>19.5975</v>
          </cell>
          <cell r="H121">
            <v>0</v>
          </cell>
          <cell r="I121">
            <v>19.5975</v>
          </cell>
          <cell r="P121">
            <v>38596</v>
          </cell>
          <cell r="Q121">
            <v>-0.37</v>
          </cell>
          <cell r="R121">
            <v>2.3890000000000002</v>
          </cell>
          <cell r="S121">
            <v>3.3029754398370463</v>
          </cell>
          <cell r="T121">
            <v>2.3890000000000002</v>
          </cell>
          <cell r="U121">
            <v>3.3029754398370463</v>
          </cell>
          <cell r="V121">
            <v>0</v>
          </cell>
          <cell r="X121">
            <v>38596</v>
          </cell>
          <cell r="Y121">
            <v>18.458093199098606</v>
          </cell>
          <cell r="Z121">
            <v>0</v>
          </cell>
          <cell r="AA121">
            <v>18.458093199098606</v>
          </cell>
        </row>
        <row r="122">
          <cell r="A122">
            <v>38626</v>
          </cell>
          <cell r="B122">
            <v>2.7840000000000003</v>
          </cell>
          <cell r="C122">
            <v>0</v>
          </cell>
          <cell r="D122">
            <v>2.7840000000000003</v>
          </cell>
          <cell r="F122">
            <v>38626</v>
          </cell>
          <cell r="G122">
            <v>19.591666666666697</v>
          </cell>
          <cell r="H122">
            <v>0</v>
          </cell>
          <cell r="I122">
            <v>19.591666666666697</v>
          </cell>
          <cell r="P122">
            <v>38626</v>
          </cell>
          <cell r="Q122">
            <v>-0.37</v>
          </cell>
          <cell r="R122">
            <v>2.4140000000000001</v>
          </cell>
          <cell r="S122">
            <v>3.3352388684593945</v>
          </cell>
          <cell r="T122">
            <v>2.4140000000000001</v>
          </cell>
          <cell r="U122">
            <v>3.3352388684593945</v>
          </cell>
          <cell r="V122">
            <v>0</v>
          </cell>
          <cell r="X122">
            <v>38626</v>
          </cell>
          <cell r="Y122">
            <v>18.301830872488303</v>
          </cell>
          <cell r="Z122">
            <v>0</v>
          </cell>
          <cell r="AA122">
            <v>18.301830872488303</v>
          </cell>
        </row>
        <row r="123">
          <cell r="A123">
            <v>38657</v>
          </cell>
          <cell r="B123">
            <v>2.91</v>
          </cell>
          <cell r="C123">
            <v>0</v>
          </cell>
          <cell r="D123">
            <v>2.91</v>
          </cell>
          <cell r="F123">
            <v>38657</v>
          </cell>
          <cell r="G123">
            <v>19.585833333333305</v>
          </cell>
          <cell r="H123">
            <v>0</v>
          </cell>
          <cell r="I123">
            <v>19.585833333333305</v>
          </cell>
          <cell r="P123">
            <v>38657</v>
          </cell>
          <cell r="Q123">
            <v>-0.36</v>
          </cell>
          <cell r="R123">
            <v>2.5500000000000003</v>
          </cell>
          <cell r="S123">
            <v>3.5206318930759504</v>
          </cell>
          <cell r="T123">
            <v>2.5500000000000003</v>
          </cell>
          <cell r="U123">
            <v>3.5206318930759504</v>
          </cell>
          <cell r="V123">
            <v>0</v>
          </cell>
          <cell r="X123">
            <v>38657</v>
          </cell>
          <cell r="Y123">
            <v>18.415524272926401</v>
          </cell>
          <cell r="Z123">
            <v>0</v>
          </cell>
          <cell r="AA123">
            <v>18.415524272926401</v>
          </cell>
        </row>
        <row r="124">
          <cell r="A124">
            <v>38687</v>
          </cell>
          <cell r="B124">
            <v>3.03</v>
          </cell>
          <cell r="C124">
            <v>0</v>
          </cell>
          <cell r="D124">
            <v>3.03</v>
          </cell>
          <cell r="F124">
            <v>38687</v>
          </cell>
          <cell r="G124">
            <v>19.579999999999998</v>
          </cell>
          <cell r="H124">
            <v>0</v>
          </cell>
          <cell r="I124">
            <v>19.579999999999998</v>
          </cell>
          <cell r="P124">
            <v>38687</v>
          </cell>
          <cell r="Q124">
            <v>-0.36</v>
          </cell>
          <cell r="R124">
            <v>2.67</v>
          </cell>
          <cell r="S124">
            <v>3.6837715499916599</v>
          </cell>
          <cell r="T124">
            <v>2.67</v>
          </cell>
          <cell r="U124">
            <v>3.6837715499916599</v>
          </cell>
          <cell r="V124">
            <v>0</v>
          </cell>
          <cell r="X124">
            <v>38687</v>
          </cell>
          <cell r="Y124">
            <v>18.442374903400204</v>
          </cell>
          <cell r="Z124">
            <v>0</v>
          </cell>
          <cell r="AA124">
            <v>18.442374903400204</v>
          </cell>
        </row>
        <row r="125">
          <cell r="A125">
            <v>38718</v>
          </cell>
          <cell r="B125">
            <v>3.0760000000000005</v>
          </cell>
          <cell r="C125">
            <v>0</v>
          </cell>
          <cell r="D125">
            <v>3.0760000000000005</v>
          </cell>
          <cell r="F125">
            <v>38718</v>
          </cell>
          <cell r="G125">
            <v>19.579999999999998</v>
          </cell>
          <cell r="H125">
            <v>0</v>
          </cell>
          <cell r="I125">
            <v>19.579999999999998</v>
          </cell>
          <cell r="P125">
            <v>38718</v>
          </cell>
          <cell r="Q125">
            <v>-0.36</v>
          </cell>
          <cell r="R125">
            <v>2.7160000000000006</v>
          </cell>
          <cell r="S125">
            <v>3.7445745230143892</v>
          </cell>
          <cell r="T125">
            <v>2.7160000000000006</v>
          </cell>
          <cell r="U125">
            <v>3.7445745230143892</v>
          </cell>
          <cell r="V125">
            <v>0</v>
          </cell>
          <cell r="X125">
            <v>38718</v>
          </cell>
          <cell r="Y125">
            <v>18.411804247166501</v>
          </cell>
          <cell r="Z125">
            <v>0</v>
          </cell>
          <cell r="AA125">
            <v>18.411804247166501</v>
          </cell>
        </row>
        <row r="126">
          <cell r="A126">
            <v>38749</v>
          </cell>
          <cell r="B126">
            <v>2.9750000000000001</v>
          </cell>
          <cell r="C126">
            <v>0</v>
          </cell>
          <cell r="D126">
            <v>2.9750000000000001</v>
          </cell>
          <cell r="F126">
            <v>38749</v>
          </cell>
          <cell r="G126">
            <v>19.579999999999998</v>
          </cell>
          <cell r="H126">
            <v>0</v>
          </cell>
          <cell r="I126">
            <v>19.579999999999998</v>
          </cell>
          <cell r="P126">
            <v>38749</v>
          </cell>
          <cell r="Q126">
            <v>-0.36</v>
          </cell>
          <cell r="R126">
            <v>2.6150000000000002</v>
          </cell>
          <cell r="S126">
            <v>3.6027651762807156</v>
          </cell>
          <cell r="T126">
            <v>2.6150000000000002</v>
          </cell>
          <cell r="U126">
            <v>3.6027651762807156</v>
          </cell>
          <cell r="V126">
            <v>0</v>
          </cell>
          <cell r="X126">
            <v>38749</v>
          </cell>
          <cell r="Y126">
            <v>18.437279794027905</v>
          </cell>
          <cell r="Z126">
            <v>0</v>
          </cell>
          <cell r="AA126">
            <v>18.437279794027905</v>
          </cell>
        </row>
        <row r="127">
          <cell r="A127">
            <v>38777</v>
          </cell>
          <cell r="B127">
            <v>2.8690000000000002</v>
          </cell>
          <cell r="C127">
            <v>0</v>
          </cell>
          <cell r="D127">
            <v>2.8690000000000002</v>
          </cell>
          <cell r="F127">
            <v>38777</v>
          </cell>
          <cell r="G127">
            <v>19.579999999999998</v>
          </cell>
          <cell r="H127">
            <v>0</v>
          </cell>
          <cell r="I127">
            <v>19.579999999999998</v>
          </cell>
          <cell r="P127">
            <v>38777</v>
          </cell>
          <cell r="Q127">
            <v>-0.36</v>
          </cell>
          <cell r="R127">
            <v>2.5090000000000003</v>
          </cell>
          <cell r="S127">
            <v>3.4545107902505729</v>
          </cell>
          <cell r="T127">
            <v>2.5090000000000003</v>
          </cell>
          <cell r="U127">
            <v>3.4545107902505729</v>
          </cell>
          <cell r="V127">
            <v>0</v>
          </cell>
          <cell r="X127">
            <v>38777</v>
          </cell>
          <cell r="Y127">
            <v>18.424850171643403</v>
          </cell>
          <cell r="Z127">
            <v>0</v>
          </cell>
          <cell r="AA127">
            <v>18.424850171643403</v>
          </cell>
        </row>
        <row r="128">
          <cell r="A128">
            <v>38808</v>
          </cell>
          <cell r="B128">
            <v>2.778</v>
          </cell>
          <cell r="C128">
            <v>0</v>
          </cell>
          <cell r="D128">
            <v>2.778</v>
          </cell>
          <cell r="F128">
            <v>38808</v>
          </cell>
          <cell r="G128">
            <v>19.579999999999998</v>
          </cell>
          <cell r="H128">
            <v>0</v>
          </cell>
          <cell r="I128">
            <v>19.579999999999998</v>
          </cell>
          <cell r="P128">
            <v>38808</v>
          </cell>
          <cell r="Q128">
            <v>-0.4</v>
          </cell>
          <cell r="R128">
            <v>2.3780000000000001</v>
          </cell>
          <cell r="S128">
            <v>3.271822987848922</v>
          </cell>
          <cell r="T128">
            <v>2.3780000000000001</v>
          </cell>
          <cell r="U128">
            <v>3.271822987848922</v>
          </cell>
          <cell r="V128">
            <v>0</v>
          </cell>
          <cell r="X128">
            <v>38808</v>
          </cell>
          <cell r="Y128">
            <v>18.436149828356601</v>
          </cell>
          <cell r="Z128">
            <v>0</v>
          </cell>
          <cell r="AA128">
            <v>18.436149828356601</v>
          </cell>
        </row>
        <row r="129">
          <cell r="A129">
            <v>38838</v>
          </cell>
          <cell r="B129">
            <v>2.7810000000000001</v>
          </cell>
          <cell r="C129">
            <v>0</v>
          </cell>
          <cell r="D129">
            <v>2.7810000000000001</v>
          </cell>
          <cell r="F129">
            <v>38838</v>
          </cell>
          <cell r="G129">
            <v>19.579999999999998</v>
          </cell>
          <cell r="H129">
            <v>0</v>
          </cell>
          <cell r="I129">
            <v>19.579999999999998</v>
          </cell>
          <cell r="P129">
            <v>38838</v>
          </cell>
          <cell r="Q129">
            <v>-0.4</v>
          </cell>
          <cell r="R129">
            <v>2.3810000000000002</v>
          </cell>
          <cell r="S129">
            <v>3.2737053523975916</v>
          </cell>
          <cell r="T129">
            <v>2.3810000000000002</v>
          </cell>
          <cell r="U129">
            <v>3.2737053523975916</v>
          </cell>
          <cell r="V129">
            <v>0</v>
          </cell>
          <cell r="X129">
            <v>38838</v>
          </cell>
          <cell r="Y129">
            <v>18.426153978187202</v>
          </cell>
          <cell r="Z129">
            <v>0</v>
          </cell>
          <cell r="AA129">
            <v>18.426153978187202</v>
          </cell>
        </row>
        <row r="130">
          <cell r="A130">
            <v>38869</v>
          </cell>
          <cell r="B130">
            <v>2.7930000000000001</v>
          </cell>
          <cell r="C130">
            <v>0</v>
          </cell>
          <cell r="D130">
            <v>2.7930000000000001</v>
          </cell>
          <cell r="F130">
            <v>38869</v>
          </cell>
          <cell r="G130">
            <v>19.579999999999998</v>
          </cell>
          <cell r="H130">
            <v>0</v>
          </cell>
          <cell r="I130">
            <v>19.579999999999998</v>
          </cell>
          <cell r="P130">
            <v>38869</v>
          </cell>
          <cell r="Q130">
            <v>-0.4</v>
          </cell>
          <cell r="R130">
            <v>2.3930000000000002</v>
          </cell>
          <cell r="S130">
            <v>3.287876318579932</v>
          </cell>
          <cell r="T130">
            <v>2.3930000000000002</v>
          </cell>
          <cell r="U130">
            <v>3.287876318579932</v>
          </cell>
          <cell r="V130">
            <v>0</v>
          </cell>
          <cell r="X130">
            <v>38869</v>
          </cell>
          <cell r="Y130">
            <v>18.192846021812802</v>
          </cell>
          <cell r="Z130">
            <v>0</v>
          </cell>
          <cell r="AA130">
            <v>18.192846021812802</v>
          </cell>
        </row>
        <row r="131">
          <cell r="A131">
            <v>38899</v>
          </cell>
          <cell r="B131">
            <v>2.8040000000000003</v>
          </cell>
          <cell r="C131">
            <v>0</v>
          </cell>
          <cell r="D131">
            <v>2.8040000000000003</v>
          </cell>
          <cell r="F131">
            <v>38899</v>
          </cell>
          <cell r="G131">
            <v>19.579999999999998</v>
          </cell>
          <cell r="H131">
            <v>0</v>
          </cell>
          <cell r="I131">
            <v>19.579999999999998</v>
          </cell>
          <cell r="P131">
            <v>38899</v>
          </cell>
          <cell r="Q131">
            <v>-0.4</v>
          </cell>
          <cell r="R131">
            <v>2.4040000000000004</v>
          </cell>
          <cell r="S131">
            <v>3.3007299008654045</v>
          </cell>
          <cell r="T131">
            <v>2.4040000000000004</v>
          </cell>
          <cell r="U131">
            <v>3.3007299008654045</v>
          </cell>
          <cell r="V131">
            <v>0</v>
          </cell>
          <cell r="X131">
            <v>38899</v>
          </cell>
          <cell r="Y131">
            <v>18.399233829374801</v>
          </cell>
          <cell r="Z131">
            <v>0</v>
          </cell>
          <cell r="AA131">
            <v>18.399233829374801</v>
          </cell>
        </row>
        <row r="132">
          <cell r="A132">
            <v>38930</v>
          </cell>
          <cell r="B132">
            <v>2.8130000000000002</v>
          </cell>
          <cell r="C132">
            <v>0</v>
          </cell>
          <cell r="D132">
            <v>2.8130000000000002</v>
          </cell>
          <cell r="F132">
            <v>38930</v>
          </cell>
          <cell r="G132">
            <v>19.579999999999998</v>
          </cell>
          <cell r="H132">
            <v>0</v>
          </cell>
          <cell r="I132">
            <v>19.579999999999998</v>
          </cell>
          <cell r="P132">
            <v>38930</v>
          </cell>
          <cell r="Q132">
            <v>-0.4</v>
          </cell>
          <cell r="R132">
            <v>2.4130000000000003</v>
          </cell>
          <cell r="S132">
            <v>3.3107466631479912</v>
          </cell>
          <cell r="T132">
            <v>2.4130000000000003</v>
          </cell>
          <cell r="U132">
            <v>3.3107466631479912</v>
          </cell>
          <cell r="V132">
            <v>0</v>
          </cell>
          <cell r="X132">
            <v>38930</v>
          </cell>
          <cell r="Y132">
            <v>18.234721808854303</v>
          </cell>
          <cell r="Z132">
            <v>0</v>
          </cell>
          <cell r="AA132">
            <v>18.234721808854303</v>
          </cell>
        </row>
        <row r="133">
          <cell r="A133">
            <v>38961</v>
          </cell>
          <cell r="B133">
            <v>2.8169999999999997</v>
          </cell>
          <cell r="C133">
            <v>0</v>
          </cell>
          <cell r="D133">
            <v>2.8169999999999997</v>
          </cell>
          <cell r="F133">
            <v>38961</v>
          </cell>
          <cell r="G133">
            <v>19.579999999999998</v>
          </cell>
          <cell r="H133">
            <v>0</v>
          </cell>
          <cell r="I133">
            <v>19.579999999999998</v>
          </cell>
          <cell r="P133">
            <v>38961</v>
          </cell>
          <cell r="Q133">
            <v>-0.4</v>
          </cell>
          <cell r="R133">
            <v>2.4169999999999998</v>
          </cell>
          <cell r="S133">
            <v>3.3138942735202686</v>
          </cell>
          <cell r="T133">
            <v>2.4169999999999998</v>
          </cell>
          <cell r="U133">
            <v>3.3138942735202686</v>
          </cell>
          <cell r="V133">
            <v>0</v>
          </cell>
          <cell r="X133">
            <v>38961</v>
          </cell>
          <cell r="Y133">
            <v>18.423680173768805</v>
          </cell>
          <cell r="Z133">
            <v>0</v>
          </cell>
          <cell r="AA133">
            <v>18.423680173768805</v>
          </cell>
        </row>
        <row r="134">
          <cell r="A134">
            <v>38991</v>
          </cell>
          <cell r="B134">
            <v>2.8410000000000002</v>
          </cell>
          <cell r="C134">
            <v>0</v>
          </cell>
          <cell r="D134">
            <v>2.8410000000000002</v>
          </cell>
          <cell r="F134">
            <v>38991</v>
          </cell>
          <cell r="G134">
            <v>19.579999999999998</v>
          </cell>
          <cell r="H134">
            <v>0</v>
          </cell>
          <cell r="I134">
            <v>19.579999999999998</v>
          </cell>
          <cell r="P134">
            <v>38991</v>
          </cell>
          <cell r="Q134">
            <v>-0.4</v>
          </cell>
          <cell r="R134">
            <v>2.4410000000000003</v>
          </cell>
          <cell r="S134">
            <v>3.3445161103102579</v>
          </cell>
          <cell r="T134">
            <v>2.4410000000000003</v>
          </cell>
          <cell r="U134">
            <v>3.3445161103102579</v>
          </cell>
          <cell r="V134">
            <v>0</v>
          </cell>
          <cell r="X134">
            <v>38991</v>
          </cell>
          <cell r="Y134">
            <v>18.264484481716305</v>
          </cell>
          <cell r="Z134">
            <v>0</v>
          </cell>
          <cell r="AA134">
            <v>18.264484481716305</v>
          </cell>
        </row>
        <row r="135">
          <cell r="A135">
            <v>39022</v>
          </cell>
          <cell r="B135">
            <v>2.9619999999999997</v>
          </cell>
          <cell r="C135">
            <v>0</v>
          </cell>
          <cell r="D135">
            <v>2.9619999999999997</v>
          </cell>
          <cell r="F135">
            <v>39022</v>
          </cell>
          <cell r="G135">
            <v>19.579999999999998</v>
          </cell>
          <cell r="H135">
            <v>0</v>
          </cell>
          <cell r="I135">
            <v>19.579999999999998</v>
          </cell>
          <cell r="P135">
            <v>39022</v>
          </cell>
          <cell r="Q135">
            <v>-0.39</v>
          </cell>
          <cell r="R135">
            <v>2.5719999999999996</v>
          </cell>
          <cell r="S135">
            <v>3.5215217144624638</v>
          </cell>
          <cell r="T135">
            <v>2.5719999999999996</v>
          </cell>
          <cell r="U135">
            <v>3.5215217144624638</v>
          </cell>
          <cell r="V135">
            <v>0</v>
          </cell>
          <cell r="X135">
            <v>39022</v>
          </cell>
          <cell r="Y135">
            <v>18.396623198439702</v>
          </cell>
          <cell r="Z135">
            <v>0</v>
          </cell>
          <cell r="AA135">
            <v>18.396623198439702</v>
          </cell>
        </row>
        <row r="136">
          <cell r="A136">
            <v>39052</v>
          </cell>
          <cell r="B136">
            <v>3.0790000000000006</v>
          </cell>
          <cell r="C136">
            <v>0</v>
          </cell>
          <cell r="D136">
            <v>3.0790000000000006</v>
          </cell>
          <cell r="F136">
            <v>39052</v>
          </cell>
          <cell r="G136">
            <v>19.579999999999998</v>
          </cell>
          <cell r="H136">
            <v>0</v>
          </cell>
          <cell r="I136">
            <v>19.579999999999998</v>
          </cell>
          <cell r="P136">
            <v>39052</v>
          </cell>
          <cell r="Q136">
            <v>-0.39</v>
          </cell>
          <cell r="R136">
            <v>2.6890000000000005</v>
          </cell>
          <cell r="S136">
            <v>3.6792070603254907</v>
          </cell>
          <cell r="T136">
            <v>2.6890000000000005</v>
          </cell>
          <cell r="U136">
            <v>3.6792070603254907</v>
          </cell>
          <cell r="V136">
            <v>0</v>
          </cell>
          <cell r="X136">
            <v>39052</v>
          </cell>
          <cell r="Y136">
            <v>18.4143640013002</v>
          </cell>
          <cell r="Z136">
            <v>0</v>
          </cell>
          <cell r="AA136">
            <v>18.4143640013002</v>
          </cell>
        </row>
        <row r="137">
          <cell r="A137">
            <v>39083</v>
          </cell>
          <cell r="B137">
            <v>3.1280000000000001</v>
          </cell>
          <cell r="C137">
            <v>0</v>
          </cell>
          <cell r="D137">
            <v>3.1280000000000001</v>
          </cell>
          <cell r="F137">
            <v>39083</v>
          </cell>
          <cell r="G137">
            <v>19.63</v>
          </cell>
          <cell r="H137">
            <v>0</v>
          </cell>
          <cell r="I137">
            <v>19.63</v>
          </cell>
          <cell r="P137">
            <v>39083</v>
          </cell>
          <cell r="Q137">
            <v>-0.39</v>
          </cell>
          <cell r="R137">
            <v>2.738</v>
          </cell>
          <cell r="S137">
            <v>3.7436159473451971</v>
          </cell>
          <cell r="T137">
            <v>2.738</v>
          </cell>
          <cell r="U137">
            <v>3.7436159473451971</v>
          </cell>
          <cell r="V137">
            <v>0</v>
          </cell>
          <cell r="X137">
            <v>39083</v>
          </cell>
          <cell r="Y137">
            <v>18.432913332249804</v>
          </cell>
          <cell r="Z137">
            <v>0</v>
          </cell>
          <cell r="AA137">
            <v>18.432913332249804</v>
          </cell>
        </row>
        <row r="138">
          <cell r="A138">
            <v>39114</v>
          </cell>
          <cell r="B138">
            <v>3.0310000000000001</v>
          </cell>
          <cell r="C138">
            <v>0</v>
          </cell>
          <cell r="D138">
            <v>3.0310000000000001</v>
          </cell>
          <cell r="F138">
            <v>39114</v>
          </cell>
          <cell r="G138">
            <v>19.68</v>
          </cell>
          <cell r="H138">
            <v>0</v>
          </cell>
          <cell r="I138">
            <v>19.68</v>
          </cell>
          <cell r="P138">
            <v>39114</v>
          </cell>
          <cell r="Q138">
            <v>-0.39</v>
          </cell>
          <cell r="R138">
            <v>2.641</v>
          </cell>
          <cell r="S138">
            <v>3.6084519714531189</v>
          </cell>
          <cell r="T138">
            <v>2.641</v>
          </cell>
          <cell r="U138">
            <v>3.6084519714531189</v>
          </cell>
          <cell r="V138">
            <v>0</v>
          </cell>
          <cell r="X138">
            <v>39114</v>
          </cell>
          <cell r="Y138">
            <v>18.509686667750199</v>
          </cell>
          <cell r="Z138">
            <v>0</v>
          </cell>
          <cell r="AA138">
            <v>18.509686667750199</v>
          </cell>
        </row>
        <row r="139">
          <cell r="A139">
            <v>39142</v>
          </cell>
          <cell r="B139">
            <v>2.9280000000000004</v>
          </cell>
          <cell r="C139">
            <v>0</v>
          </cell>
          <cell r="D139">
            <v>2.9280000000000004</v>
          </cell>
          <cell r="F139">
            <v>39142</v>
          </cell>
          <cell r="G139">
            <v>19.73</v>
          </cell>
          <cell r="H139">
            <v>0</v>
          </cell>
          <cell r="I139">
            <v>19.73</v>
          </cell>
          <cell r="P139">
            <v>39142</v>
          </cell>
          <cell r="Q139">
            <v>-0.39</v>
          </cell>
          <cell r="R139">
            <v>2.5380000000000003</v>
          </cell>
          <cell r="S139">
            <v>3.4655215544383147</v>
          </cell>
          <cell r="T139">
            <v>2.5380000000000003</v>
          </cell>
          <cell r="U139">
            <v>3.4655215544383147</v>
          </cell>
          <cell r="V139">
            <v>0</v>
          </cell>
          <cell r="X139">
            <v>39142</v>
          </cell>
          <cell r="Y139">
            <v>18.543524614634499</v>
          </cell>
          <cell r="Z139">
            <v>0</v>
          </cell>
          <cell r="AA139">
            <v>18.543524614634499</v>
          </cell>
        </row>
        <row r="140">
          <cell r="A140">
            <v>39173</v>
          </cell>
          <cell r="B140">
            <v>2.84</v>
          </cell>
          <cell r="C140">
            <v>0</v>
          </cell>
          <cell r="D140">
            <v>2.84</v>
          </cell>
          <cell r="F140">
            <v>39173</v>
          </cell>
          <cell r="G140">
            <v>19.78</v>
          </cell>
          <cell r="H140">
            <v>0</v>
          </cell>
          <cell r="I140">
            <v>19.78</v>
          </cell>
          <cell r="P140">
            <v>39173</v>
          </cell>
          <cell r="Q140">
            <v>-0.43</v>
          </cell>
          <cell r="R140">
            <v>2.4099999999999997</v>
          </cell>
          <cell r="S140">
            <v>3.2884346725017104</v>
          </cell>
          <cell r="T140">
            <v>2.4099999999999997</v>
          </cell>
          <cell r="U140">
            <v>3.2884346725017104</v>
          </cell>
          <cell r="V140">
            <v>0</v>
          </cell>
          <cell r="X140">
            <v>39173</v>
          </cell>
          <cell r="Y140">
            <v>18.609475385365503</v>
          </cell>
          <cell r="Z140">
            <v>0</v>
          </cell>
          <cell r="AA140">
            <v>18.609475385365503</v>
          </cell>
        </row>
        <row r="141">
          <cell r="A141">
            <v>39203</v>
          </cell>
          <cell r="B141">
            <v>2.8440000000000003</v>
          </cell>
          <cell r="C141">
            <v>0</v>
          </cell>
          <cell r="D141">
            <v>2.8440000000000003</v>
          </cell>
          <cell r="F141">
            <v>39203</v>
          </cell>
          <cell r="G141">
            <v>19.829999999999998</v>
          </cell>
          <cell r="H141">
            <v>0</v>
          </cell>
          <cell r="I141">
            <v>19.829999999999998</v>
          </cell>
          <cell r="P141">
            <v>39203</v>
          </cell>
          <cell r="Q141">
            <v>-0.43</v>
          </cell>
          <cell r="R141">
            <v>2.4140000000000001</v>
          </cell>
          <cell r="S141">
            <v>3.2916401601223693</v>
          </cell>
          <cell r="T141">
            <v>2.4140000000000001</v>
          </cell>
          <cell r="U141">
            <v>3.2916401601223693</v>
          </cell>
          <cell r="V141">
            <v>0</v>
          </cell>
          <cell r="X141">
            <v>39203</v>
          </cell>
          <cell r="Y141">
            <v>18.646520512195401</v>
          </cell>
          <cell r="Z141">
            <v>0</v>
          </cell>
          <cell r="AA141">
            <v>18.646520512195401</v>
          </cell>
        </row>
        <row r="142">
          <cell r="A142">
            <v>39234</v>
          </cell>
          <cell r="B142">
            <v>2.8569999999999998</v>
          </cell>
          <cell r="C142">
            <v>0</v>
          </cell>
          <cell r="D142">
            <v>2.8569999999999998</v>
          </cell>
          <cell r="F142">
            <v>39234</v>
          </cell>
          <cell r="G142">
            <v>19.88</v>
          </cell>
          <cell r="H142">
            <v>0</v>
          </cell>
          <cell r="I142">
            <v>19.88</v>
          </cell>
          <cell r="P142">
            <v>39234</v>
          </cell>
          <cell r="Q142">
            <v>-0.43</v>
          </cell>
          <cell r="R142">
            <v>2.4269999999999996</v>
          </cell>
          <cell r="S142">
            <v>3.3070274501628862</v>
          </cell>
          <cell r="T142">
            <v>2.4269999999999996</v>
          </cell>
          <cell r="U142">
            <v>3.3070274501628862</v>
          </cell>
          <cell r="V142">
            <v>0</v>
          </cell>
          <cell r="X142">
            <v>39234</v>
          </cell>
          <cell r="Y142">
            <v>18.467572261640601</v>
          </cell>
          <cell r="Z142">
            <v>0</v>
          </cell>
          <cell r="AA142">
            <v>18.467572261640601</v>
          </cell>
        </row>
        <row r="143">
          <cell r="A143">
            <v>39264</v>
          </cell>
          <cell r="B143">
            <v>2.8680000000000003</v>
          </cell>
          <cell r="C143">
            <v>0</v>
          </cell>
          <cell r="D143">
            <v>2.8680000000000003</v>
          </cell>
          <cell r="F143">
            <v>39264</v>
          </cell>
          <cell r="G143">
            <v>19.93</v>
          </cell>
          <cell r="H143">
            <v>0</v>
          </cell>
          <cell r="I143">
            <v>19.93</v>
          </cell>
          <cell r="P143">
            <v>39264</v>
          </cell>
          <cell r="Q143">
            <v>-0.43</v>
          </cell>
          <cell r="R143">
            <v>2.4380000000000002</v>
          </cell>
          <cell r="S143">
            <v>3.3197452507163128</v>
          </cell>
          <cell r="T143">
            <v>2.4380000000000002</v>
          </cell>
          <cell r="U143">
            <v>3.3197452507163128</v>
          </cell>
          <cell r="V143">
            <v>0</v>
          </cell>
          <cell r="X143">
            <v>39264</v>
          </cell>
          <cell r="Y143">
            <v>18.716136721815005</v>
          </cell>
          <cell r="Z143">
            <v>0</v>
          </cell>
          <cell r="AA143">
            <v>18.716136721815005</v>
          </cell>
        </row>
        <row r="144">
          <cell r="A144">
            <v>39295</v>
          </cell>
          <cell r="B144">
            <v>2.8769999999999998</v>
          </cell>
          <cell r="C144">
            <v>0</v>
          </cell>
          <cell r="D144">
            <v>2.8769999999999998</v>
          </cell>
          <cell r="F144">
            <v>39295</v>
          </cell>
          <cell r="G144">
            <v>19.98</v>
          </cell>
          <cell r="H144">
            <v>0</v>
          </cell>
          <cell r="I144">
            <v>19.98</v>
          </cell>
          <cell r="P144">
            <v>39295</v>
          </cell>
          <cell r="Q144">
            <v>-0.43</v>
          </cell>
          <cell r="R144">
            <v>2.4469999999999996</v>
          </cell>
          <cell r="S144">
            <v>3.3296482683981812</v>
          </cell>
          <cell r="T144">
            <v>2.4469999999999996</v>
          </cell>
          <cell r="U144">
            <v>3.3296482683981812</v>
          </cell>
          <cell r="V144">
            <v>0</v>
          </cell>
          <cell r="X144">
            <v>39295</v>
          </cell>
          <cell r="Y144">
            <v>18.5997393438046</v>
          </cell>
          <cell r="Z144">
            <v>0</v>
          </cell>
          <cell r="AA144">
            <v>18.5997393438046</v>
          </cell>
        </row>
        <row r="145">
          <cell r="A145">
            <v>39326</v>
          </cell>
          <cell r="B145">
            <v>2.88</v>
          </cell>
          <cell r="C145">
            <v>0</v>
          </cell>
          <cell r="D145">
            <v>2.88</v>
          </cell>
          <cell r="F145">
            <v>39326</v>
          </cell>
          <cell r="G145">
            <v>20.03</v>
          </cell>
          <cell r="H145">
            <v>0</v>
          </cell>
          <cell r="I145">
            <v>20.03</v>
          </cell>
          <cell r="P145">
            <v>39326</v>
          </cell>
          <cell r="Q145">
            <v>-0.43</v>
          </cell>
          <cell r="R145">
            <v>2.4499999999999997</v>
          </cell>
          <cell r="S145">
            <v>3.3313787181612002</v>
          </cell>
          <cell r="T145">
            <v>2.4499999999999997</v>
          </cell>
          <cell r="U145">
            <v>3.3313787181612002</v>
          </cell>
          <cell r="V145">
            <v>0</v>
          </cell>
          <cell r="X145">
            <v>39326</v>
          </cell>
          <cell r="Y145">
            <v>18.838122769051701</v>
          </cell>
          <cell r="Z145">
            <v>0</v>
          </cell>
          <cell r="AA145">
            <v>18.838122769051701</v>
          </cell>
        </row>
        <row r="146">
          <cell r="A146">
            <v>39356</v>
          </cell>
          <cell r="B146">
            <v>2.903</v>
          </cell>
          <cell r="C146">
            <v>0</v>
          </cell>
          <cell r="D146">
            <v>2.903</v>
          </cell>
          <cell r="F146">
            <v>39356</v>
          </cell>
          <cell r="G146">
            <v>20.079999999999998</v>
          </cell>
          <cell r="H146">
            <v>0</v>
          </cell>
          <cell r="I146">
            <v>20.079999999999998</v>
          </cell>
          <cell r="P146">
            <v>39356</v>
          </cell>
          <cell r="Q146">
            <v>-0.43</v>
          </cell>
          <cell r="R146">
            <v>2.4729999999999999</v>
          </cell>
          <cell r="S146">
            <v>3.3603587870798766</v>
          </cell>
          <cell r="T146">
            <v>2.4729999999999999</v>
          </cell>
          <cell r="U146">
            <v>3.3603587870798766</v>
          </cell>
          <cell r="V146">
            <v>0</v>
          </cell>
          <cell r="X146">
            <v>39356</v>
          </cell>
          <cell r="Y146">
            <v>18.740005562267903</v>
          </cell>
          <cell r="Z146">
            <v>0</v>
          </cell>
          <cell r="AA146">
            <v>18.740005562267903</v>
          </cell>
        </row>
        <row r="147">
          <cell r="A147">
            <v>39387</v>
          </cell>
          <cell r="B147">
            <v>3.0190000000000006</v>
          </cell>
          <cell r="C147">
            <v>0</v>
          </cell>
          <cell r="D147">
            <v>3.0190000000000006</v>
          </cell>
          <cell r="F147">
            <v>39387</v>
          </cell>
          <cell r="G147">
            <v>20.13</v>
          </cell>
          <cell r="H147">
            <v>0</v>
          </cell>
          <cell r="I147">
            <v>20.13</v>
          </cell>
          <cell r="P147">
            <v>39387</v>
          </cell>
          <cell r="Q147">
            <v>-0.42</v>
          </cell>
          <cell r="R147">
            <v>2.5990000000000006</v>
          </cell>
          <cell r="S147">
            <v>3.5290819354964333</v>
          </cell>
          <cell r="T147">
            <v>2.5990000000000006</v>
          </cell>
          <cell r="U147">
            <v>3.5290819354964333</v>
          </cell>
          <cell r="V147">
            <v>0</v>
          </cell>
          <cell r="X147">
            <v>39387</v>
          </cell>
          <cell r="Y147">
            <v>18.916194437732106</v>
          </cell>
          <cell r="Z147">
            <v>0</v>
          </cell>
          <cell r="AA147">
            <v>18.916194437732106</v>
          </cell>
        </row>
        <row r="148">
          <cell r="A148">
            <v>39417</v>
          </cell>
          <cell r="B148">
            <v>3.133</v>
          </cell>
          <cell r="C148">
            <v>0</v>
          </cell>
          <cell r="D148">
            <v>3.133</v>
          </cell>
          <cell r="F148">
            <v>39417</v>
          </cell>
          <cell r="G148">
            <v>20.18</v>
          </cell>
          <cell r="H148">
            <v>0</v>
          </cell>
          <cell r="I148">
            <v>20.18</v>
          </cell>
          <cell r="P148">
            <v>39417</v>
          </cell>
          <cell r="Q148">
            <v>-0.42</v>
          </cell>
          <cell r="R148">
            <v>2.7130000000000001</v>
          </cell>
          <cell r="S148">
            <v>3.6813681381013281</v>
          </cell>
          <cell r="T148">
            <v>2.7130000000000001</v>
          </cell>
          <cell r="U148">
            <v>3.6813681381013281</v>
          </cell>
          <cell r="V148">
            <v>0</v>
          </cell>
          <cell r="X148">
            <v>39417</v>
          </cell>
          <cell r="Y148">
            <v>18.983596586359905</v>
          </cell>
          <cell r="Z148">
            <v>0</v>
          </cell>
          <cell r="AA148">
            <v>18.983596586359905</v>
          </cell>
        </row>
        <row r="149">
          <cell r="A149">
            <v>39448</v>
          </cell>
          <cell r="B149">
            <v>3.1825000000000001</v>
          </cell>
          <cell r="C149">
            <v>0</v>
          </cell>
          <cell r="D149">
            <v>3.1825000000000001</v>
          </cell>
          <cell r="F149">
            <v>39448</v>
          </cell>
          <cell r="G149">
            <v>20.23</v>
          </cell>
          <cell r="H149">
            <v>0</v>
          </cell>
          <cell r="I149">
            <v>20.23</v>
          </cell>
          <cell r="P149">
            <v>39448</v>
          </cell>
          <cell r="Q149">
            <v>-0.42</v>
          </cell>
          <cell r="R149">
            <v>2.7625000000000002</v>
          </cell>
          <cell r="S149">
            <v>3.7458990254715259</v>
          </cell>
          <cell r="T149">
            <v>2.7625000000000002</v>
          </cell>
          <cell r="U149">
            <v>3.7458990254715259</v>
          </cell>
          <cell r="V149">
            <v>0</v>
          </cell>
          <cell r="X149">
            <v>39448</v>
          </cell>
          <cell r="Y149">
            <v>19.022986178033406</v>
          </cell>
          <cell r="Z149">
            <v>0</v>
          </cell>
          <cell r="AA149">
            <v>19.022986178033406</v>
          </cell>
        </row>
        <row r="150">
          <cell r="A150">
            <v>39479</v>
          </cell>
          <cell r="B150">
            <v>3.0895000000000001</v>
          </cell>
          <cell r="C150">
            <v>0</v>
          </cell>
          <cell r="D150">
            <v>3.0895000000000001</v>
          </cell>
          <cell r="F150">
            <v>39479</v>
          </cell>
          <cell r="G150">
            <v>20.28</v>
          </cell>
          <cell r="H150">
            <v>0</v>
          </cell>
          <cell r="I150">
            <v>20.28</v>
          </cell>
          <cell r="P150">
            <v>39479</v>
          </cell>
          <cell r="Q150">
            <v>-0.42</v>
          </cell>
          <cell r="R150">
            <v>2.6695000000000002</v>
          </cell>
          <cell r="S150">
            <v>3.6172475403150455</v>
          </cell>
          <cell r="T150">
            <v>2.6695000000000002</v>
          </cell>
          <cell r="U150">
            <v>3.6172475403150455</v>
          </cell>
          <cell r="V150">
            <v>0</v>
          </cell>
          <cell r="X150">
            <v>39479</v>
          </cell>
          <cell r="Y150">
            <v>19.080813821966604</v>
          </cell>
          <cell r="Z150">
            <v>0</v>
          </cell>
          <cell r="AA150">
            <v>19.080813821966604</v>
          </cell>
        </row>
        <row r="151">
          <cell r="A151">
            <v>39508</v>
          </cell>
          <cell r="B151">
            <v>2.9895</v>
          </cell>
          <cell r="C151">
            <v>0</v>
          </cell>
          <cell r="D151">
            <v>2.9895</v>
          </cell>
          <cell r="F151">
            <v>39508</v>
          </cell>
          <cell r="G151">
            <v>20.329999999999998</v>
          </cell>
          <cell r="H151">
            <v>0</v>
          </cell>
          <cell r="I151">
            <v>20.329999999999998</v>
          </cell>
          <cell r="P151">
            <v>39508</v>
          </cell>
          <cell r="Q151">
            <v>-0.42</v>
          </cell>
          <cell r="R151">
            <v>2.5695000000000001</v>
          </cell>
          <cell r="S151">
            <v>3.4794559441509221</v>
          </cell>
          <cell r="T151">
            <v>2.5695000000000001</v>
          </cell>
          <cell r="U151">
            <v>3.4794559441509221</v>
          </cell>
          <cell r="V151">
            <v>0</v>
          </cell>
          <cell r="X151">
            <v>39508</v>
          </cell>
          <cell r="Y151">
            <v>19.167359661715405</v>
          </cell>
          <cell r="Z151">
            <v>0</v>
          </cell>
          <cell r="AA151">
            <v>19.167359661715405</v>
          </cell>
        </row>
        <row r="152">
          <cell r="A152">
            <v>39539</v>
          </cell>
          <cell r="B152">
            <v>2.9045000000000001</v>
          </cell>
          <cell r="C152">
            <v>0</v>
          </cell>
          <cell r="D152">
            <v>2.9045000000000001</v>
          </cell>
          <cell r="F152">
            <v>39539</v>
          </cell>
          <cell r="G152">
            <v>20.38</v>
          </cell>
          <cell r="H152">
            <v>0</v>
          </cell>
          <cell r="I152">
            <v>20.38</v>
          </cell>
          <cell r="P152">
            <v>39539</v>
          </cell>
          <cell r="Q152">
            <v>-0.46</v>
          </cell>
          <cell r="R152">
            <v>2.4445000000000001</v>
          </cell>
          <cell r="S152">
            <v>3.3078642286874573</v>
          </cell>
          <cell r="T152">
            <v>2.4445000000000001</v>
          </cell>
          <cell r="U152">
            <v>3.3078642286874573</v>
          </cell>
          <cell r="V152">
            <v>0</v>
          </cell>
          <cell r="X152">
            <v>39539</v>
          </cell>
          <cell r="Y152">
            <v>19.187991216622304</v>
          </cell>
          <cell r="Z152">
            <v>0</v>
          </cell>
          <cell r="AA152">
            <v>19.187991216622304</v>
          </cell>
        </row>
        <row r="153">
          <cell r="A153">
            <v>39569</v>
          </cell>
          <cell r="B153">
            <v>2.9095</v>
          </cell>
          <cell r="C153">
            <v>0</v>
          </cell>
          <cell r="D153">
            <v>2.9095</v>
          </cell>
          <cell r="F153">
            <v>39569</v>
          </cell>
          <cell r="G153">
            <v>20.43</v>
          </cell>
          <cell r="H153">
            <v>0</v>
          </cell>
          <cell r="I153">
            <v>20.43</v>
          </cell>
          <cell r="P153">
            <v>39569</v>
          </cell>
          <cell r="Q153">
            <v>-0.46</v>
          </cell>
          <cell r="R153">
            <v>2.4495</v>
          </cell>
          <cell r="S153">
            <v>3.3123790160503184</v>
          </cell>
          <cell r="T153">
            <v>2.4495</v>
          </cell>
          <cell r="U153">
            <v>3.3123790160503184</v>
          </cell>
          <cell r="V153">
            <v>0</v>
          </cell>
          <cell r="X153">
            <v>39569</v>
          </cell>
          <cell r="Y153">
            <v>19.264689803070603</v>
          </cell>
          <cell r="Z153">
            <v>0</v>
          </cell>
          <cell r="AA153">
            <v>19.264689803070603</v>
          </cell>
        </row>
        <row r="154">
          <cell r="A154">
            <v>39600</v>
          </cell>
          <cell r="B154">
            <v>2.9235000000000002</v>
          </cell>
          <cell r="C154">
            <v>0</v>
          </cell>
          <cell r="D154">
            <v>2.9235000000000002</v>
          </cell>
          <cell r="F154">
            <v>39600</v>
          </cell>
          <cell r="G154">
            <v>20.48</v>
          </cell>
          <cell r="H154">
            <v>0</v>
          </cell>
          <cell r="I154">
            <v>20.48</v>
          </cell>
          <cell r="P154">
            <v>39600</v>
          </cell>
          <cell r="Q154">
            <v>-0.46</v>
          </cell>
          <cell r="R154">
            <v>2.4635000000000002</v>
          </cell>
          <cell r="S154">
            <v>3.3289744124214504</v>
          </cell>
          <cell r="T154">
            <v>2.4635000000000002</v>
          </cell>
          <cell r="U154">
            <v>3.3289744124214504</v>
          </cell>
          <cell r="V154">
            <v>0</v>
          </cell>
          <cell r="X154">
            <v>39600</v>
          </cell>
          <cell r="Y154">
            <v>19.066675164107803</v>
          </cell>
          <cell r="Z154">
            <v>0</v>
          </cell>
          <cell r="AA154">
            <v>19.066675164107803</v>
          </cell>
        </row>
        <row r="155">
          <cell r="A155">
            <v>39630</v>
          </cell>
          <cell r="B155">
            <v>2.9344999999999999</v>
          </cell>
          <cell r="C155">
            <v>0</v>
          </cell>
          <cell r="D155">
            <v>2.9344999999999999</v>
          </cell>
          <cell r="F155">
            <v>39630</v>
          </cell>
          <cell r="G155">
            <v>20.53</v>
          </cell>
          <cell r="H155">
            <v>0</v>
          </cell>
          <cell r="I155">
            <v>20.53</v>
          </cell>
          <cell r="P155">
            <v>39630</v>
          </cell>
          <cell r="Q155">
            <v>-0.46</v>
          </cell>
          <cell r="R155">
            <v>2.4744999999999999</v>
          </cell>
          <cell r="S155">
            <v>3.3415708838502414</v>
          </cell>
          <cell r="T155">
            <v>2.4744999999999999</v>
          </cell>
          <cell r="U155">
            <v>3.3415708838502414</v>
          </cell>
          <cell r="V155">
            <v>0</v>
          </cell>
          <cell r="X155">
            <v>39630</v>
          </cell>
          <cell r="Y155">
            <v>19.323354029910199</v>
          </cell>
          <cell r="Z155">
            <v>0</v>
          </cell>
          <cell r="AA155">
            <v>19.323354029910199</v>
          </cell>
        </row>
        <row r="156">
          <cell r="A156">
            <v>39661</v>
          </cell>
          <cell r="B156">
            <v>2.9435000000000002</v>
          </cell>
          <cell r="C156">
            <v>0</v>
          </cell>
          <cell r="D156">
            <v>2.9435000000000002</v>
          </cell>
          <cell r="F156">
            <v>39661</v>
          </cell>
          <cell r="G156">
            <v>20.58</v>
          </cell>
          <cell r="H156">
            <v>0</v>
          </cell>
          <cell r="I156">
            <v>20.58</v>
          </cell>
          <cell r="P156">
            <v>39661</v>
          </cell>
          <cell r="Q156">
            <v>-0.46</v>
          </cell>
          <cell r="R156">
            <v>2.4835000000000003</v>
          </cell>
          <cell r="S156">
            <v>3.3513754904556845</v>
          </cell>
          <cell r="T156">
            <v>2.4835000000000003</v>
          </cell>
          <cell r="U156">
            <v>3.3513754904556845</v>
          </cell>
          <cell r="V156">
            <v>0</v>
          </cell>
          <cell r="X156">
            <v>39661</v>
          </cell>
          <cell r="Y156">
            <v>19.188632700081701</v>
          </cell>
          <cell r="Z156">
            <v>0</v>
          </cell>
          <cell r="AA156">
            <v>19.188632700081701</v>
          </cell>
        </row>
        <row r="157">
          <cell r="A157">
            <v>39692</v>
          </cell>
          <cell r="B157">
            <v>2.9455</v>
          </cell>
          <cell r="C157">
            <v>0</v>
          </cell>
          <cell r="D157">
            <v>2.9455</v>
          </cell>
          <cell r="F157">
            <v>39692</v>
          </cell>
          <cell r="G157">
            <v>20.63</v>
          </cell>
          <cell r="H157">
            <v>0</v>
          </cell>
          <cell r="I157">
            <v>20.63</v>
          </cell>
          <cell r="P157">
            <v>39692</v>
          </cell>
          <cell r="Q157">
            <v>-0.46</v>
          </cell>
          <cell r="R157">
            <v>2.4855</v>
          </cell>
          <cell r="S157">
            <v>3.3517266938474974</v>
          </cell>
          <cell r="T157">
            <v>2.4855</v>
          </cell>
          <cell r="U157">
            <v>3.3517266938474974</v>
          </cell>
          <cell r="V157">
            <v>0</v>
          </cell>
          <cell r="X157">
            <v>39692</v>
          </cell>
          <cell r="Y157">
            <v>19.445032888049102</v>
          </cell>
          <cell r="Z157">
            <v>0</v>
          </cell>
          <cell r="AA157">
            <v>19.445032888049102</v>
          </cell>
        </row>
        <row r="158">
          <cell r="A158">
            <v>39722</v>
          </cell>
          <cell r="B158">
            <v>2.9674999999999998</v>
          </cell>
          <cell r="C158">
            <v>0</v>
          </cell>
          <cell r="D158">
            <v>2.9674999999999998</v>
          </cell>
          <cell r="F158">
            <v>39722</v>
          </cell>
          <cell r="G158">
            <v>20.68</v>
          </cell>
          <cell r="H158">
            <v>0</v>
          </cell>
          <cell r="I158">
            <v>20.68</v>
          </cell>
          <cell r="P158">
            <v>39722</v>
          </cell>
          <cell r="Q158">
            <v>-0.46</v>
          </cell>
          <cell r="R158">
            <v>2.5074999999999998</v>
          </cell>
          <cell r="S158">
            <v>3.3791049386795362</v>
          </cell>
          <cell r="T158">
            <v>2.5074999999999998</v>
          </cell>
          <cell r="U158">
            <v>3.3791049386795362</v>
          </cell>
          <cell r="V158">
            <v>0</v>
          </cell>
          <cell r="X158">
            <v>39722</v>
          </cell>
          <cell r="Y158">
            <v>19.320433738137208</v>
          </cell>
          <cell r="Z158">
            <v>0</v>
          </cell>
          <cell r="AA158">
            <v>19.320433738137208</v>
          </cell>
        </row>
        <row r="159">
          <cell r="A159">
            <v>39753</v>
          </cell>
          <cell r="B159">
            <v>3.0785000000000005</v>
          </cell>
          <cell r="C159">
            <v>0</v>
          </cell>
          <cell r="D159">
            <v>3.0785000000000005</v>
          </cell>
          <cell r="F159">
            <v>39753</v>
          </cell>
          <cell r="G159">
            <v>20.73</v>
          </cell>
          <cell r="H159">
            <v>0</v>
          </cell>
          <cell r="I159">
            <v>20.73</v>
          </cell>
          <cell r="P159">
            <v>39753</v>
          </cell>
          <cell r="Q159">
            <v>-0.45</v>
          </cell>
          <cell r="R159">
            <v>2.6285000000000003</v>
          </cell>
          <cell r="S159">
            <v>3.5396882969163945</v>
          </cell>
          <cell r="T159">
            <v>2.6285000000000003</v>
          </cell>
          <cell r="U159">
            <v>3.5396882969163945</v>
          </cell>
          <cell r="V159">
            <v>0</v>
          </cell>
          <cell r="X159">
            <v>39753</v>
          </cell>
          <cell r="Y159">
            <v>19.5194885515523</v>
          </cell>
          <cell r="Z159">
            <v>0</v>
          </cell>
          <cell r="AA159">
            <v>19.5194885515523</v>
          </cell>
        </row>
        <row r="160">
          <cell r="A160">
            <v>39783</v>
          </cell>
          <cell r="B160">
            <v>3.1894999999999998</v>
          </cell>
          <cell r="C160">
            <v>0</v>
          </cell>
          <cell r="D160">
            <v>3.1894999999999998</v>
          </cell>
          <cell r="F160">
            <v>39783</v>
          </cell>
          <cell r="G160">
            <v>20.78</v>
          </cell>
          <cell r="H160">
            <v>0</v>
          </cell>
          <cell r="I160">
            <v>20.78</v>
          </cell>
          <cell r="P160">
            <v>39783</v>
          </cell>
          <cell r="Q160">
            <v>-0.45</v>
          </cell>
          <cell r="R160">
            <v>2.7394999999999996</v>
          </cell>
          <cell r="S160">
            <v>3.6866731217099558</v>
          </cell>
          <cell r="T160">
            <v>2.7394999999999996</v>
          </cell>
          <cell r="U160">
            <v>3.6866731217099558</v>
          </cell>
          <cell r="V160">
            <v>0</v>
          </cell>
          <cell r="X160">
            <v>39783</v>
          </cell>
          <cell r="Y160">
            <v>19.584908806498202</v>
          </cell>
          <cell r="Z160">
            <v>0</v>
          </cell>
          <cell r="AA160">
            <v>19.584908806498202</v>
          </cell>
        </row>
        <row r="161">
          <cell r="A161">
            <v>39814</v>
          </cell>
          <cell r="B161">
            <v>3.2395</v>
          </cell>
          <cell r="C161">
            <v>0</v>
          </cell>
          <cell r="D161">
            <v>3.2395</v>
          </cell>
          <cell r="F161">
            <v>39814</v>
          </cell>
          <cell r="G161">
            <v>20.83</v>
          </cell>
          <cell r="H161">
            <v>0</v>
          </cell>
          <cell r="I161">
            <v>20.83</v>
          </cell>
          <cell r="P161">
            <v>39814</v>
          </cell>
          <cell r="Q161">
            <v>-0.45</v>
          </cell>
          <cell r="R161">
            <v>2.7894999999999999</v>
          </cell>
          <cell r="S161">
            <v>3.7513396747343841</v>
          </cell>
          <cell r="T161">
            <v>2.7894999999999999</v>
          </cell>
          <cell r="U161">
            <v>3.7513396747343841</v>
          </cell>
          <cell r="V161">
            <v>0</v>
          </cell>
          <cell r="X161">
            <v>39814</v>
          </cell>
          <cell r="Y161">
            <v>19.618891193501799</v>
          </cell>
          <cell r="Z161">
            <v>0</v>
          </cell>
          <cell r="AA161">
            <v>19.618891193501799</v>
          </cell>
        </row>
        <row r="162">
          <cell r="A162">
            <v>39845</v>
          </cell>
          <cell r="B162">
            <v>3.1505000000000001</v>
          </cell>
          <cell r="C162">
            <v>0</v>
          </cell>
          <cell r="D162">
            <v>3.1505000000000001</v>
          </cell>
          <cell r="F162">
            <v>39845</v>
          </cell>
          <cell r="G162">
            <v>20.88</v>
          </cell>
          <cell r="H162">
            <v>0</v>
          </cell>
          <cell r="I162">
            <v>20.88</v>
          </cell>
          <cell r="P162">
            <v>39845</v>
          </cell>
          <cell r="Q162">
            <v>-0.45</v>
          </cell>
          <cell r="R162">
            <v>2.7004999999999999</v>
          </cell>
          <cell r="S162">
            <v>3.6291181189077988</v>
          </cell>
          <cell r="T162">
            <v>2.7004999999999999</v>
          </cell>
          <cell r="U162">
            <v>3.6291181189077988</v>
          </cell>
          <cell r="V162">
            <v>0</v>
          </cell>
          <cell r="X162">
            <v>39845</v>
          </cell>
          <cell r="Y162">
            <v>19.681074005415201</v>
          </cell>
          <cell r="Z162">
            <v>0</v>
          </cell>
          <cell r="AA162">
            <v>19.681074005415201</v>
          </cell>
        </row>
        <row r="163">
          <cell r="A163">
            <v>39873</v>
          </cell>
          <cell r="B163">
            <v>3.0535000000000001</v>
          </cell>
          <cell r="C163">
            <v>0</v>
          </cell>
          <cell r="D163">
            <v>3.0535000000000001</v>
          </cell>
          <cell r="F163">
            <v>39873</v>
          </cell>
          <cell r="G163">
            <v>20.93</v>
          </cell>
          <cell r="H163">
            <v>0</v>
          </cell>
          <cell r="I163">
            <v>20.93</v>
          </cell>
          <cell r="P163">
            <v>39873</v>
          </cell>
          <cell r="Q163">
            <v>-0.45</v>
          </cell>
          <cell r="R163">
            <v>2.6034999999999999</v>
          </cell>
          <cell r="S163">
            <v>3.4965593701128932</v>
          </cell>
          <cell r="T163">
            <v>2.6034999999999999</v>
          </cell>
          <cell r="U163">
            <v>3.4965593701128932</v>
          </cell>
          <cell r="V163">
            <v>0</v>
          </cell>
          <cell r="X163">
            <v>39873</v>
          </cell>
          <cell r="Y163">
            <v>19.767652829272006</v>
          </cell>
          <cell r="Z163">
            <v>0</v>
          </cell>
          <cell r="AA163">
            <v>19.767652829272006</v>
          </cell>
        </row>
        <row r="164">
          <cell r="A164">
            <v>39904</v>
          </cell>
          <cell r="B164">
            <v>2.9715000000000003</v>
          </cell>
          <cell r="C164">
            <v>0</v>
          </cell>
          <cell r="D164">
            <v>2.9715000000000003</v>
          </cell>
          <cell r="F164">
            <v>39904</v>
          </cell>
          <cell r="G164">
            <v>20.98</v>
          </cell>
          <cell r="H164">
            <v>0</v>
          </cell>
          <cell r="I164">
            <v>20.98</v>
          </cell>
          <cell r="P164">
            <v>39904</v>
          </cell>
          <cell r="Q164">
            <v>-0.49</v>
          </cell>
          <cell r="R164">
            <v>2.4815000000000005</v>
          </cell>
          <cell r="S164">
            <v>3.3303883925994335</v>
          </cell>
          <cell r="T164">
            <v>2.4815000000000005</v>
          </cell>
          <cell r="U164">
            <v>3.3303883925994335</v>
          </cell>
          <cell r="V164">
            <v>0</v>
          </cell>
          <cell r="X164">
            <v>39904</v>
          </cell>
          <cell r="Y164">
            <v>19.780347170728103</v>
          </cell>
          <cell r="Z164">
            <v>0</v>
          </cell>
          <cell r="AA164">
            <v>19.780347170728103</v>
          </cell>
        </row>
        <row r="165">
          <cell r="A165">
            <v>39934</v>
          </cell>
          <cell r="B165">
            <v>2.9775</v>
          </cell>
          <cell r="C165">
            <v>0</v>
          </cell>
          <cell r="D165">
            <v>2.9775</v>
          </cell>
          <cell r="F165">
            <v>39934</v>
          </cell>
          <cell r="G165">
            <v>21.03</v>
          </cell>
          <cell r="H165">
            <v>0</v>
          </cell>
          <cell r="I165">
            <v>21.03</v>
          </cell>
          <cell r="P165">
            <v>39934</v>
          </cell>
          <cell r="Q165">
            <v>-0.49</v>
          </cell>
          <cell r="R165">
            <v>2.4874999999999998</v>
          </cell>
          <cell r="S165">
            <v>3.3361911850207751</v>
          </cell>
          <cell r="T165">
            <v>2.4874999999999998</v>
          </cell>
          <cell r="U165">
            <v>3.3361911850207751</v>
          </cell>
          <cell r="V165">
            <v>0</v>
          </cell>
          <cell r="X165">
            <v>39934</v>
          </cell>
          <cell r="Y165">
            <v>19.866627357726607</v>
          </cell>
          <cell r="Z165">
            <v>0</v>
          </cell>
          <cell r="AA165">
            <v>19.866627357726607</v>
          </cell>
        </row>
        <row r="166">
          <cell r="A166">
            <v>39965</v>
          </cell>
          <cell r="B166">
            <v>2.9925000000000002</v>
          </cell>
          <cell r="C166">
            <v>0</v>
          </cell>
          <cell r="D166">
            <v>2.9925000000000002</v>
          </cell>
          <cell r="F166">
            <v>39965</v>
          </cell>
          <cell r="G166">
            <v>21.08</v>
          </cell>
          <cell r="H166">
            <v>0</v>
          </cell>
          <cell r="I166">
            <v>21.08</v>
          </cell>
          <cell r="P166">
            <v>39965</v>
          </cell>
          <cell r="Q166">
            <v>-0.49</v>
          </cell>
          <cell r="R166">
            <v>2.5025000000000004</v>
          </cell>
          <cell r="S166">
            <v>3.3539733119918038</v>
          </cell>
          <cell r="T166">
            <v>2.5025000000000004</v>
          </cell>
          <cell r="U166">
            <v>3.3539733119918038</v>
          </cell>
          <cell r="V166">
            <v>0</v>
          </cell>
          <cell r="X166">
            <v>39965</v>
          </cell>
          <cell r="Y166">
            <v>19.665060535227802</v>
          </cell>
          <cell r="Z166">
            <v>0</v>
          </cell>
          <cell r="AA166">
            <v>19.665060535227802</v>
          </cell>
        </row>
        <row r="167">
          <cell r="A167">
            <v>39995</v>
          </cell>
          <cell r="B167">
            <v>3.0035000000000003</v>
          </cell>
          <cell r="C167">
            <v>0</v>
          </cell>
          <cell r="D167">
            <v>3.0035000000000003</v>
          </cell>
          <cell r="F167">
            <v>39995</v>
          </cell>
          <cell r="G167">
            <v>21.13</v>
          </cell>
          <cell r="H167">
            <v>0</v>
          </cell>
          <cell r="I167">
            <v>21.13</v>
          </cell>
          <cell r="P167">
            <v>39995</v>
          </cell>
          <cell r="Q167">
            <v>-0.49</v>
          </cell>
          <cell r="R167">
            <v>2.5135000000000005</v>
          </cell>
          <cell r="S167">
            <v>3.366448887168533</v>
          </cell>
          <cell r="T167">
            <v>2.5135000000000005</v>
          </cell>
          <cell r="U167">
            <v>3.366448887168533</v>
          </cell>
          <cell r="V167">
            <v>0</v>
          </cell>
          <cell r="X167">
            <v>39995</v>
          </cell>
          <cell r="Y167">
            <v>19.932535877065703</v>
          </cell>
          <cell r="Z167">
            <v>0</v>
          </cell>
          <cell r="AA167">
            <v>19.932535877065703</v>
          </cell>
        </row>
        <row r="168">
          <cell r="A168">
            <v>40026</v>
          </cell>
          <cell r="B168">
            <v>3.0125000000000002</v>
          </cell>
          <cell r="C168">
            <v>0</v>
          </cell>
          <cell r="D168">
            <v>3.0125000000000002</v>
          </cell>
          <cell r="F168">
            <v>40026</v>
          </cell>
          <cell r="G168">
            <v>21.18</v>
          </cell>
          <cell r="H168">
            <v>0</v>
          </cell>
          <cell r="I168">
            <v>21.18</v>
          </cell>
          <cell r="P168">
            <v>40026</v>
          </cell>
          <cell r="Q168">
            <v>-0.49</v>
          </cell>
          <cell r="R168">
            <v>2.5225</v>
          </cell>
          <cell r="S168">
            <v>3.376155030879056</v>
          </cell>
          <cell r="T168">
            <v>2.5225</v>
          </cell>
          <cell r="U168">
            <v>3.376155030879056</v>
          </cell>
          <cell r="V168">
            <v>0</v>
          </cell>
          <cell r="X168">
            <v>40026</v>
          </cell>
          <cell r="Y168">
            <v>19.789303435778699</v>
          </cell>
          <cell r="Z168">
            <v>0</v>
          </cell>
          <cell r="AA168">
            <v>19.789303435778699</v>
          </cell>
        </row>
        <row r="169">
          <cell r="A169">
            <v>40057</v>
          </cell>
          <cell r="B169">
            <v>3.0135000000000005</v>
          </cell>
          <cell r="C169">
            <v>0</v>
          </cell>
          <cell r="D169">
            <v>3.0135000000000005</v>
          </cell>
          <cell r="F169">
            <v>40057</v>
          </cell>
          <cell r="G169">
            <v>21.23</v>
          </cell>
          <cell r="H169">
            <v>0</v>
          </cell>
          <cell r="I169">
            <v>21.23</v>
          </cell>
          <cell r="P169">
            <v>40057</v>
          </cell>
          <cell r="Q169">
            <v>-0.49</v>
          </cell>
          <cell r="R169">
            <v>2.5235000000000003</v>
          </cell>
          <cell r="S169">
            <v>3.3751477301350028</v>
          </cell>
          <cell r="T169">
            <v>2.5235000000000003</v>
          </cell>
          <cell r="U169">
            <v>3.3751477301350028</v>
          </cell>
          <cell r="V169">
            <v>0</v>
          </cell>
          <cell r="X169">
            <v>40057</v>
          </cell>
          <cell r="Y169">
            <v>20.042943510939502</v>
          </cell>
          <cell r="Z169">
            <v>0</v>
          </cell>
          <cell r="AA169">
            <v>20.042943510939502</v>
          </cell>
        </row>
        <row r="170">
          <cell r="A170">
            <v>40087</v>
          </cell>
          <cell r="B170">
            <v>3.0345</v>
          </cell>
          <cell r="C170">
            <v>0</v>
          </cell>
          <cell r="D170">
            <v>3.0345</v>
          </cell>
          <cell r="F170">
            <v>40087</v>
          </cell>
          <cell r="G170">
            <v>21.28</v>
          </cell>
          <cell r="H170">
            <v>0</v>
          </cell>
          <cell r="I170">
            <v>21.28</v>
          </cell>
          <cell r="P170">
            <v>40087</v>
          </cell>
          <cell r="Q170">
            <v>-0.49</v>
          </cell>
          <cell r="R170">
            <v>2.5445000000000002</v>
          </cell>
          <cell r="S170">
            <v>3.400949073691852</v>
          </cell>
          <cell r="T170">
            <v>2.5445000000000002</v>
          </cell>
          <cell r="U170">
            <v>3.400949073691852</v>
          </cell>
          <cell r="V170">
            <v>0</v>
          </cell>
          <cell r="X170">
            <v>40087</v>
          </cell>
          <cell r="Y170">
            <v>19.922333171873202</v>
          </cell>
          <cell r="Z170">
            <v>0</v>
          </cell>
          <cell r="AA170">
            <v>19.922333171873202</v>
          </cell>
        </row>
        <row r="171">
          <cell r="A171">
            <v>40118</v>
          </cell>
          <cell r="B171">
            <v>3.1405000000000003</v>
          </cell>
          <cell r="C171">
            <v>0</v>
          </cell>
          <cell r="D171">
            <v>3.1405000000000003</v>
          </cell>
          <cell r="F171">
            <v>40118</v>
          </cell>
          <cell r="G171">
            <v>21.33</v>
          </cell>
          <cell r="H171">
            <v>0</v>
          </cell>
          <cell r="I171">
            <v>21.33</v>
          </cell>
          <cell r="P171">
            <v>40118</v>
          </cell>
          <cell r="Q171">
            <v>-0.55000000000000004</v>
          </cell>
          <cell r="R171">
            <v>2.5905000000000005</v>
          </cell>
          <cell r="S171">
            <v>3.4600305795657205</v>
          </cell>
          <cell r="T171">
            <v>2.5905000000000005</v>
          </cell>
          <cell r="U171">
            <v>3.4600305795657205</v>
          </cell>
          <cell r="V171">
            <v>0</v>
          </cell>
          <cell r="X171">
            <v>40118</v>
          </cell>
          <cell r="Y171">
            <v>20.122072356772406</v>
          </cell>
          <cell r="Z171">
            <v>0</v>
          </cell>
          <cell r="AA171">
            <v>20.122072356772406</v>
          </cell>
        </row>
        <row r="172">
          <cell r="A172">
            <v>40148</v>
          </cell>
          <cell r="B172">
            <v>3.2485000000000004</v>
          </cell>
          <cell r="C172">
            <v>0</v>
          </cell>
          <cell r="D172">
            <v>3.2485000000000004</v>
          </cell>
          <cell r="F172">
            <v>40148</v>
          </cell>
          <cell r="G172">
            <v>21.38</v>
          </cell>
          <cell r="H172">
            <v>0</v>
          </cell>
          <cell r="I172">
            <v>21.38</v>
          </cell>
          <cell r="P172">
            <v>40148</v>
          </cell>
          <cell r="Q172">
            <v>-0.55000000000000004</v>
          </cell>
          <cell r="R172">
            <v>2.6985000000000001</v>
          </cell>
          <cell r="S172">
            <v>3.6018642557743017</v>
          </cell>
          <cell r="T172">
            <v>2.6985000000000001</v>
          </cell>
          <cell r="U172">
            <v>3.6018642557743017</v>
          </cell>
          <cell r="V172">
            <v>0</v>
          </cell>
          <cell r="X172">
            <v>40148</v>
          </cell>
          <cell r="Y172">
            <v>20.1825897026897</v>
          </cell>
          <cell r="Z172">
            <v>0</v>
          </cell>
          <cell r="AA172">
            <v>20.1825897026897</v>
          </cell>
        </row>
        <row r="173">
          <cell r="A173">
            <v>40179</v>
          </cell>
          <cell r="B173">
            <v>3.2990000000000004</v>
          </cell>
          <cell r="C173">
            <v>0</v>
          </cell>
          <cell r="D173">
            <v>3.2990000000000004</v>
          </cell>
          <cell r="F173">
            <v>40179</v>
          </cell>
          <cell r="G173">
            <v>21.43</v>
          </cell>
          <cell r="H173">
            <v>0</v>
          </cell>
          <cell r="I173">
            <v>21.43</v>
          </cell>
          <cell r="P173">
            <v>40179</v>
          </cell>
          <cell r="Q173">
            <v>-0.55000000000000004</v>
          </cell>
          <cell r="R173">
            <v>2.7490000000000006</v>
          </cell>
          <cell r="S173">
            <v>3.66672822070813</v>
          </cell>
          <cell r="T173">
            <v>2.7490000000000006</v>
          </cell>
          <cell r="U173">
            <v>3.66672822070813</v>
          </cell>
          <cell r="V173">
            <v>0</v>
          </cell>
          <cell r="X173">
            <v>40179</v>
          </cell>
          <cell r="Y173">
            <v>20.218091179373005</v>
          </cell>
          <cell r="Z173">
            <v>0</v>
          </cell>
          <cell r="AA173">
            <v>20.218091179373005</v>
          </cell>
        </row>
        <row r="174">
          <cell r="A174">
            <v>40210</v>
          </cell>
          <cell r="B174">
            <v>3.2140000000000004</v>
          </cell>
          <cell r="C174">
            <v>0</v>
          </cell>
          <cell r="D174">
            <v>3.2140000000000004</v>
          </cell>
          <cell r="F174">
            <v>40210</v>
          </cell>
          <cell r="G174">
            <v>21.48</v>
          </cell>
          <cell r="H174">
            <v>0</v>
          </cell>
          <cell r="I174">
            <v>21.48</v>
          </cell>
          <cell r="P174">
            <v>40210</v>
          </cell>
          <cell r="Q174">
            <v>-0.55000000000000004</v>
          </cell>
          <cell r="R174">
            <v>2.6640000000000006</v>
          </cell>
          <cell r="S174">
            <v>3.5508920110092013</v>
          </cell>
          <cell r="T174">
            <v>2.6640000000000006</v>
          </cell>
          <cell r="U174">
            <v>3.5508920110092013</v>
          </cell>
          <cell r="V174">
            <v>0</v>
          </cell>
          <cell r="X174">
            <v>40210</v>
          </cell>
          <cell r="Y174">
            <v>20.285907350522503</v>
          </cell>
          <cell r="Z174">
            <v>0</v>
          </cell>
          <cell r="AA174">
            <v>20.285907350522503</v>
          </cell>
        </row>
        <row r="175">
          <cell r="A175">
            <v>40238</v>
          </cell>
          <cell r="B175">
            <v>3.12</v>
          </cell>
          <cell r="C175">
            <v>0</v>
          </cell>
          <cell r="D175">
            <v>3.12</v>
          </cell>
          <cell r="F175">
            <v>40238</v>
          </cell>
          <cell r="G175">
            <v>21.53</v>
          </cell>
          <cell r="H175">
            <v>0</v>
          </cell>
          <cell r="I175">
            <v>21.53</v>
          </cell>
          <cell r="P175">
            <v>40238</v>
          </cell>
          <cell r="Q175">
            <v>-0.55000000000000004</v>
          </cell>
          <cell r="R175">
            <v>2.5700000000000003</v>
          </cell>
          <cell r="S175">
            <v>3.4234572339274005</v>
          </cell>
          <cell r="T175">
            <v>2.5700000000000003</v>
          </cell>
          <cell r="U175">
            <v>3.4234572339274005</v>
          </cell>
          <cell r="V175">
            <v>0</v>
          </cell>
          <cell r="X175">
            <v>40238</v>
          </cell>
          <cell r="Y175">
            <v>20.364257622299803</v>
          </cell>
          <cell r="Z175">
            <v>0</v>
          </cell>
          <cell r="AA175">
            <v>20.364257622299803</v>
          </cell>
        </row>
        <row r="176">
          <cell r="A176">
            <v>40269</v>
          </cell>
          <cell r="B176">
            <v>3.0410000000000004</v>
          </cell>
          <cell r="C176">
            <v>0</v>
          </cell>
          <cell r="D176">
            <v>3.0410000000000004</v>
          </cell>
          <cell r="F176">
            <v>40269</v>
          </cell>
          <cell r="G176">
            <v>21.58</v>
          </cell>
          <cell r="H176">
            <v>0</v>
          </cell>
          <cell r="I176">
            <v>21.58</v>
          </cell>
          <cell r="P176">
            <v>40269</v>
          </cell>
          <cell r="Q176">
            <v>-0.55000000000000004</v>
          </cell>
          <cell r="R176">
            <v>2.4910000000000005</v>
          </cell>
          <cell r="S176">
            <v>3.3159119311082392</v>
          </cell>
          <cell r="T176">
            <v>2.4910000000000005</v>
          </cell>
          <cell r="U176">
            <v>3.3159119311082392</v>
          </cell>
          <cell r="V176">
            <v>0</v>
          </cell>
          <cell r="X176">
            <v>40269</v>
          </cell>
          <cell r="Y176">
            <v>20.383742377700305</v>
          </cell>
          <cell r="Z176">
            <v>0</v>
          </cell>
          <cell r="AA176">
            <v>20.383742377700305</v>
          </cell>
        </row>
        <row r="177">
          <cell r="A177">
            <v>40299</v>
          </cell>
          <cell r="B177">
            <v>3.048</v>
          </cell>
          <cell r="C177">
            <v>0</v>
          </cell>
          <cell r="D177">
            <v>3.048</v>
          </cell>
          <cell r="F177">
            <v>40299</v>
          </cell>
          <cell r="G177">
            <v>21.63</v>
          </cell>
          <cell r="H177">
            <v>0</v>
          </cell>
          <cell r="I177">
            <v>21.63</v>
          </cell>
          <cell r="P177">
            <v>40299</v>
          </cell>
          <cell r="Q177">
            <v>-0.55000000000000004</v>
          </cell>
          <cell r="R177">
            <v>2.4980000000000002</v>
          </cell>
          <cell r="S177">
            <v>3.3228146437659727</v>
          </cell>
          <cell r="T177">
            <v>2.4980000000000002</v>
          </cell>
          <cell r="U177">
            <v>3.3228146437659727</v>
          </cell>
          <cell r="V177">
            <v>0</v>
          </cell>
          <cell r="X177">
            <v>40299</v>
          </cell>
          <cell r="Y177">
            <v>20.463621247922905</v>
          </cell>
          <cell r="Z177">
            <v>0</v>
          </cell>
          <cell r="AA177">
            <v>20.463621247922905</v>
          </cell>
        </row>
        <row r="178">
          <cell r="A178">
            <v>40330</v>
          </cell>
          <cell r="B178">
            <v>3.0640000000000005</v>
          </cell>
          <cell r="C178">
            <v>0</v>
          </cell>
          <cell r="D178">
            <v>3.0640000000000005</v>
          </cell>
          <cell r="F178">
            <v>40330</v>
          </cell>
          <cell r="G178">
            <v>21.68</v>
          </cell>
          <cell r="H178">
            <v>0</v>
          </cell>
          <cell r="I178">
            <v>21.68</v>
          </cell>
          <cell r="P178">
            <v>40330</v>
          </cell>
          <cell r="Q178">
            <v>-0.55000000000000004</v>
          </cell>
          <cell r="R178">
            <v>2.5140000000000002</v>
          </cell>
          <cell r="S178">
            <v>3.3416508568367278</v>
          </cell>
          <cell r="T178">
            <v>2.5140000000000002</v>
          </cell>
          <cell r="U178">
            <v>3.3416508568367278</v>
          </cell>
          <cell r="V178">
            <v>0</v>
          </cell>
          <cell r="X178">
            <v>40330</v>
          </cell>
          <cell r="Y178">
            <v>20.267565626731002</v>
          </cell>
          <cell r="Z178">
            <v>0</v>
          </cell>
          <cell r="AA178">
            <v>20.267565626731002</v>
          </cell>
        </row>
        <row r="179">
          <cell r="A179">
            <v>40360</v>
          </cell>
          <cell r="B179">
            <v>3.0750000000000002</v>
          </cell>
          <cell r="C179">
            <v>0</v>
          </cell>
          <cell r="D179">
            <v>3.0750000000000002</v>
          </cell>
          <cell r="F179">
            <v>40360</v>
          </cell>
          <cell r="G179">
            <v>21.73</v>
          </cell>
          <cell r="H179">
            <v>0</v>
          </cell>
          <cell r="I179">
            <v>21.73</v>
          </cell>
          <cell r="P179">
            <v>40360</v>
          </cell>
          <cell r="Q179">
            <v>-0.55000000000000004</v>
          </cell>
          <cell r="R179">
            <v>2.5250000000000004</v>
          </cell>
          <cell r="S179">
            <v>3.3538950007152009</v>
          </cell>
          <cell r="T179">
            <v>2.5250000000000004</v>
          </cell>
          <cell r="U179">
            <v>3.3538950007152009</v>
          </cell>
          <cell r="V179">
            <v>0</v>
          </cell>
          <cell r="X179">
            <v>40360</v>
          </cell>
          <cell r="Y179">
            <v>20.530258521153701</v>
          </cell>
          <cell r="Z179">
            <v>0</v>
          </cell>
          <cell r="AA179">
            <v>20.530258521153701</v>
          </cell>
        </row>
        <row r="180">
          <cell r="A180">
            <v>40391</v>
          </cell>
          <cell r="B180">
            <v>3.0840000000000005</v>
          </cell>
          <cell r="C180">
            <v>0</v>
          </cell>
          <cell r="D180">
            <v>3.0840000000000005</v>
          </cell>
          <cell r="F180">
            <v>40391</v>
          </cell>
          <cell r="G180">
            <v>21.78</v>
          </cell>
          <cell r="H180">
            <v>0</v>
          </cell>
          <cell r="I180">
            <v>21.78</v>
          </cell>
          <cell r="P180">
            <v>40391</v>
          </cell>
          <cell r="Q180">
            <v>-0.55000000000000004</v>
          </cell>
          <cell r="R180">
            <v>2.5340000000000007</v>
          </cell>
          <cell r="S180">
            <v>3.3633852963960496</v>
          </cell>
          <cell r="T180">
            <v>2.5340000000000007</v>
          </cell>
          <cell r="U180">
            <v>3.3633852963960496</v>
          </cell>
          <cell r="V180">
            <v>0</v>
          </cell>
          <cell r="X180">
            <v>40391</v>
          </cell>
          <cell r="Y180">
            <v>20.3953678990386</v>
          </cell>
          <cell r="Z180">
            <v>0</v>
          </cell>
          <cell r="AA180">
            <v>20.3953678990386</v>
          </cell>
        </row>
        <row r="181">
          <cell r="A181">
            <v>40422</v>
          </cell>
          <cell r="B181">
            <v>3.0840000000000005</v>
          </cell>
          <cell r="C181">
            <v>0</v>
          </cell>
          <cell r="D181">
            <v>3.0840000000000005</v>
          </cell>
          <cell r="F181">
            <v>40422</v>
          </cell>
          <cell r="G181">
            <v>21.83</v>
          </cell>
          <cell r="H181">
            <v>0</v>
          </cell>
          <cell r="I181">
            <v>21.83</v>
          </cell>
          <cell r="P181">
            <v>40422</v>
          </cell>
          <cell r="Q181">
            <v>-0.55000000000000004</v>
          </cell>
          <cell r="R181">
            <v>2.5340000000000007</v>
          </cell>
          <cell r="S181">
            <v>3.3609221881375286</v>
          </cell>
          <cell r="T181">
            <v>2.5340000000000007</v>
          </cell>
          <cell r="U181">
            <v>3.3609221881375286</v>
          </cell>
          <cell r="V181">
            <v>0</v>
          </cell>
          <cell r="X181">
            <v>40422</v>
          </cell>
          <cell r="Y181">
            <v>20.644543417467904</v>
          </cell>
          <cell r="Z181">
            <v>0</v>
          </cell>
          <cell r="AA181">
            <v>20.644543417467904</v>
          </cell>
        </row>
        <row r="182">
          <cell r="A182">
            <v>40452</v>
          </cell>
          <cell r="B182">
            <v>3.1040000000000005</v>
          </cell>
          <cell r="C182">
            <v>0</v>
          </cell>
          <cell r="D182">
            <v>3.1040000000000005</v>
          </cell>
          <cell r="F182">
            <v>40452</v>
          </cell>
          <cell r="G182">
            <v>21.88</v>
          </cell>
          <cell r="H182">
            <v>0</v>
          </cell>
          <cell r="I182">
            <v>21.88</v>
          </cell>
          <cell r="P182">
            <v>40452</v>
          </cell>
          <cell r="Q182">
            <v>-0.55000000000000004</v>
          </cell>
          <cell r="R182">
            <v>2.5540000000000003</v>
          </cell>
          <cell r="S182">
            <v>3.3850473673977088</v>
          </cell>
          <cell r="T182">
            <v>2.5540000000000003</v>
          </cell>
          <cell r="U182">
            <v>3.3850473673977088</v>
          </cell>
          <cell r="V182">
            <v>0</v>
          </cell>
          <cell r="X182">
            <v>40452</v>
          </cell>
          <cell r="Y182">
            <v>20.5243971521102</v>
          </cell>
          <cell r="Z182">
            <v>0</v>
          </cell>
          <cell r="AA182">
            <v>20.5243971521102</v>
          </cell>
        </row>
        <row r="183">
          <cell r="A183">
            <v>40483</v>
          </cell>
          <cell r="B183">
            <v>3.2050000000000001</v>
          </cell>
          <cell r="C183">
            <v>0</v>
          </cell>
          <cell r="D183">
            <v>3.2050000000000001</v>
          </cell>
          <cell r="F183">
            <v>40483</v>
          </cell>
          <cell r="G183">
            <v>21.93</v>
          </cell>
          <cell r="H183">
            <v>0</v>
          </cell>
          <cell r="I183">
            <v>21.93</v>
          </cell>
          <cell r="P183">
            <v>40483</v>
          </cell>
          <cell r="Q183">
            <v>-0.55000000000000004</v>
          </cell>
          <cell r="R183">
            <v>2.6550000000000002</v>
          </cell>
          <cell r="S183">
            <v>3.5163332996206056</v>
          </cell>
          <cell r="T183">
            <v>2.6550000000000002</v>
          </cell>
          <cell r="U183">
            <v>3.5163332996206056</v>
          </cell>
          <cell r="V183">
            <v>0</v>
          </cell>
          <cell r="X183">
            <v>40483</v>
          </cell>
          <cell r="Y183">
            <v>20.720352373241603</v>
          </cell>
          <cell r="Z183">
            <v>0</v>
          </cell>
          <cell r="AA183">
            <v>20.720352373241603</v>
          </cell>
        </row>
        <row r="184">
          <cell r="A184">
            <v>40513</v>
          </cell>
          <cell r="B184">
            <v>3.31</v>
          </cell>
          <cell r="C184">
            <v>0</v>
          </cell>
          <cell r="D184">
            <v>3.31</v>
          </cell>
          <cell r="F184">
            <v>40513</v>
          </cell>
          <cell r="G184">
            <v>21.98</v>
          </cell>
          <cell r="H184">
            <v>0</v>
          </cell>
          <cell r="I184">
            <v>21.98</v>
          </cell>
          <cell r="P184">
            <v>40513</v>
          </cell>
          <cell r="Q184">
            <v>-0.55000000000000004</v>
          </cell>
          <cell r="R184">
            <v>2.76</v>
          </cell>
          <cell r="S184">
            <v>3.6528044251368006</v>
          </cell>
          <cell r="T184">
            <v>2.76</v>
          </cell>
          <cell r="U184">
            <v>3.6528044251368006</v>
          </cell>
          <cell r="V184">
            <v>0</v>
          </cell>
          <cell r="X184">
            <v>40513</v>
          </cell>
          <cell r="Y184">
            <v>20.783761478871305</v>
          </cell>
          <cell r="Z184">
            <v>0</v>
          </cell>
          <cell r="AA184">
            <v>20.783761478871305</v>
          </cell>
        </row>
        <row r="185">
          <cell r="A185">
            <v>40544</v>
          </cell>
          <cell r="B185">
            <v>3.3585000000000003</v>
          </cell>
          <cell r="C185">
            <v>0</v>
          </cell>
          <cell r="D185">
            <v>3.3585000000000003</v>
          </cell>
          <cell r="F185">
            <v>40544</v>
          </cell>
          <cell r="G185">
            <v>22.03</v>
          </cell>
          <cell r="H185">
            <v>0</v>
          </cell>
          <cell r="I185">
            <v>22.03</v>
          </cell>
          <cell r="P185">
            <v>40544</v>
          </cell>
          <cell r="Q185">
            <v>-0.55000000000000004</v>
          </cell>
          <cell r="R185">
            <v>2.8085000000000004</v>
          </cell>
          <cell r="S185">
            <v>3.71426795423187</v>
          </cell>
          <cell r="T185">
            <v>2.8085000000000004</v>
          </cell>
          <cell r="U185">
            <v>3.71426795423187</v>
          </cell>
          <cell r="V185">
            <v>0</v>
          </cell>
          <cell r="X185">
            <v>40544</v>
          </cell>
          <cell r="Y185">
            <v>20.818682100940606</v>
          </cell>
          <cell r="Z185">
            <v>0</v>
          </cell>
          <cell r="AA185">
            <v>20.818682100940606</v>
          </cell>
        </row>
        <row r="186">
          <cell r="A186">
            <v>40575</v>
          </cell>
          <cell r="B186">
            <v>3.2774999999999999</v>
          </cell>
          <cell r="C186">
            <v>0</v>
          </cell>
          <cell r="D186">
            <v>3.2774999999999999</v>
          </cell>
          <cell r="F186">
            <v>40575</v>
          </cell>
          <cell r="G186">
            <v>22.08</v>
          </cell>
          <cell r="H186">
            <v>0</v>
          </cell>
          <cell r="I186">
            <v>22.08</v>
          </cell>
          <cell r="P186">
            <v>40575</v>
          </cell>
          <cell r="Q186">
            <v>-0.55000000000000004</v>
          </cell>
          <cell r="R186">
            <v>2.7275</v>
          </cell>
          <cell r="S186">
            <v>3.6044991952828735</v>
          </cell>
          <cell r="T186">
            <v>2.7275</v>
          </cell>
          <cell r="U186">
            <v>3.6044991952828735</v>
          </cell>
          <cell r="V186">
            <v>0</v>
          </cell>
          <cell r="X186">
            <v>40575</v>
          </cell>
          <cell r="Y186">
            <v>20.885529153122704</v>
          </cell>
          <cell r="Z186">
            <v>0</v>
          </cell>
          <cell r="AA186">
            <v>20.885529153122704</v>
          </cell>
        </row>
        <row r="187">
          <cell r="A187">
            <v>40603</v>
          </cell>
          <cell r="B187">
            <v>3.1865000000000006</v>
          </cell>
          <cell r="C187">
            <v>0</v>
          </cell>
          <cell r="D187">
            <v>3.1865000000000006</v>
          </cell>
          <cell r="F187">
            <v>40603</v>
          </cell>
          <cell r="G187">
            <v>22.13</v>
          </cell>
          <cell r="H187">
            <v>0</v>
          </cell>
          <cell r="I187">
            <v>22.13</v>
          </cell>
          <cell r="P187">
            <v>40603</v>
          </cell>
          <cell r="Q187">
            <v>-0.55000000000000004</v>
          </cell>
          <cell r="R187">
            <v>2.6365000000000007</v>
          </cell>
          <cell r="S187">
            <v>3.4819303034978035</v>
          </cell>
          <cell r="T187">
            <v>2.6365000000000007</v>
          </cell>
          <cell r="U187">
            <v>3.4819303034978035</v>
          </cell>
          <cell r="V187">
            <v>0</v>
          </cell>
          <cell r="X187">
            <v>40603</v>
          </cell>
          <cell r="Y187">
            <v>20.966928042615802</v>
          </cell>
          <cell r="Z187">
            <v>0</v>
          </cell>
          <cell r="AA187">
            <v>20.966928042615802</v>
          </cell>
        </row>
        <row r="188">
          <cell r="A188">
            <v>40634</v>
          </cell>
          <cell r="B188">
            <v>3.1105</v>
          </cell>
          <cell r="C188">
            <v>0</v>
          </cell>
          <cell r="D188">
            <v>3.1105</v>
          </cell>
          <cell r="F188">
            <v>40634</v>
          </cell>
          <cell r="G188">
            <v>22.18</v>
          </cell>
          <cell r="H188">
            <v>0</v>
          </cell>
          <cell r="I188">
            <v>22.18</v>
          </cell>
          <cell r="P188">
            <v>40634</v>
          </cell>
          <cell r="Q188">
            <v>-0.55000000000000004</v>
          </cell>
          <cell r="R188">
            <v>2.5605000000000002</v>
          </cell>
          <cell r="S188">
            <v>3.3790784063789667</v>
          </cell>
          <cell r="T188">
            <v>2.5605000000000002</v>
          </cell>
          <cell r="U188">
            <v>3.3790784063789667</v>
          </cell>
          <cell r="V188">
            <v>0</v>
          </cell>
          <cell r="X188">
            <v>40634</v>
          </cell>
          <cell r="Y188">
            <v>20.986071957384301</v>
          </cell>
          <cell r="Z188">
            <v>0</v>
          </cell>
          <cell r="AA188">
            <v>20.986071957384301</v>
          </cell>
        </row>
        <row r="189">
          <cell r="A189">
            <v>40664</v>
          </cell>
          <cell r="B189">
            <v>3.1185000000000005</v>
          </cell>
          <cell r="C189">
            <v>0</v>
          </cell>
          <cell r="D189">
            <v>3.1185000000000005</v>
          </cell>
          <cell r="F189">
            <v>40664</v>
          </cell>
          <cell r="G189">
            <v>22.23</v>
          </cell>
          <cell r="H189">
            <v>0</v>
          </cell>
          <cell r="I189">
            <v>22.23</v>
          </cell>
          <cell r="P189">
            <v>40664</v>
          </cell>
          <cell r="Q189">
            <v>-0.55000000000000004</v>
          </cell>
          <cell r="R189">
            <v>2.5685000000000002</v>
          </cell>
          <cell r="S189">
            <v>3.3872281032254561</v>
          </cell>
          <cell r="T189">
            <v>2.5685000000000002</v>
          </cell>
          <cell r="U189">
            <v>3.3872281032254561</v>
          </cell>
          <cell r="V189">
            <v>0</v>
          </cell>
          <cell r="X189">
            <v>40664</v>
          </cell>
          <cell r="Y189">
            <v>21.0656754173968</v>
          </cell>
          <cell r="Z189">
            <v>0</v>
          </cell>
          <cell r="AA189">
            <v>21.0656754173968</v>
          </cell>
        </row>
        <row r="190">
          <cell r="A190">
            <v>40695</v>
          </cell>
          <cell r="B190">
            <v>3.1355000000000004</v>
          </cell>
          <cell r="C190">
            <v>0</v>
          </cell>
          <cell r="D190">
            <v>3.1355000000000004</v>
          </cell>
          <cell r="F190">
            <v>40695</v>
          </cell>
          <cell r="G190">
            <v>22.28</v>
          </cell>
          <cell r="H190">
            <v>0</v>
          </cell>
          <cell r="I190">
            <v>22.28</v>
          </cell>
          <cell r="P190">
            <v>40695</v>
          </cell>
          <cell r="Q190">
            <v>-0.55000000000000004</v>
          </cell>
          <cell r="R190">
            <v>2.5855000000000006</v>
          </cell>
          <cell r="S190">
            <v>3.4071434658577457</v>
          </cell>
          <cell r="T190">
            <v>2.5855000000000006</v>
          </cell>
          <cell r="U190">
            <v>3.4071434658577457</v>
          </cell>
          <cell r="V190">
            <v>0</v>
          </cell>
          <cell r="X190">
            <v>40695</v>
          </cell>
          <cell r="Y190">
            <v>20.854704166003</v>
          </cell>
          <cell r="Z190">
            <v>0</v>
          </cell>
          <cell r="AA190">
            <v>20.854704166003</v>
          </cell>
        </row>
        <row r="191">
          <cell r="A191">
            <v>40725</v>
          </cell>
          <cell r="B191">
            <v>3.1465000000000005</v>
          </cell>
          <cell r="C191">
            <v>0</v>
          </cell>
          <cell r="D191">
            <v>3.1465000000000005</v>
          </cell>
          <cell r="F191">
            <v>40725</v>
          </cell>
          <cell r="G191">
            <v>22.33</v>
          </cell>
          <cell r="H191">
            <v>0</v>
          </cell>
          <cell r="I191">
            <v>22.33</v>
          </cell>
          <cell r="P191">
            <v>40725</v>
          </cell>
          <cell r="Q191">
            <v>-0.55000000000000004</v>
          </cell>
          <cell r="R191">
            <v>2.5965000000000007</v>
          </cell>
          <cell r="S191">
            <v>3.4192071341464643</v>
          </cell>
          <cell r="T191">
            <v>2.5965000000000007</v>
          </cell>
          <cell r="U191">
            <v>3.4192071341464643</v>
          </cell>
          <cell r="V191">
            <v>0</v>
          </cell>
          <cell r="X191">
            <v>40725</v>
          </cell>
          <cell r="Y191">
            <v>21.129163194997606</v>
          </cell>
          <cell r="Z191">
            <v>0</v>
          </cell>
          <cell r="AA191">
            <v>21.129163194997606</v>
          </cell>
        </row>
        <row r="192">
          <cell r="A192">
            <v>40756</v>
          </cell>
          <cell r="B192">
            <v>3.1555</v>
          </cell>
          <cell r="C192">
            <v>0</v>
          </cell>
          <cell r="D192">
            <v>3.1555</v>
          </cell>
          <cell r="F192">
            <v>40756</v>
          </cell>
          <cell r="G192">
            <v>22.38</v>
          </cell>
          <cell r="H192">
            <v>0</v>
          </cell>
          <cell r="I192">
            <v>22.38</v>
          </cell>
          <cell r="P192">
            <v>40756</v>
          </cell>
          <cell r="Q192">
            <v>-0.55000000000000004</v>
          </cell>
          <cell r="R192">
            <v>2.6055000000000001</v>
          </cell>
          <cell r="S192">
            <v>3.42853810548571</v>
          </cell>
          <cell r="T192">
            <v>2.6055000000000001</v>
          </cell>
          <cell r="U192">
            <v>3.42853810548571</v>
          </cell>
          <cell r="V192">
            <v>0</v>
          </cell>
          <cell r="X192">
            <v>40756</v>
          </cell>
          <cell r="Y192">
            <v>20.996280670835407</v>
          </cell>
          <cell r="Z192">
            <v>0</v>
          </cell>
          <cell r="AA192">
            <v>20.996280670835407</v>
          </cell>
        </row>
        <row r="193">
          <cell r="A193">
            <v>40787</v>
          </cell>
          <cell r="B193">
            <v>3.1545000000000001</v>
          </cell>
          <cell r="C193">
            <v>0</v>
          </cell>
          <cell r="D193">
            <v>3.1545000000000001</v>
          </cell>
          <cell r="F193">
            <v>40787</v>
          </cell>
          <cell r="G193">
            <v>22.43</v>
          </cell>
          <cell r="H193">
            <v>0</v>
          </cell>
          <cell r="I193">
            <v>22.43</v>
          </cell>
          <cell r="P193">
            <v>40787</v>
          </cell>
          <cell r="Q193">
            <v>-0.55000000000000004</v>
          </cell>
          <cell r="R193">
            <v>2.6044999999999998</v>
          </cell>
          <cell r="S193">
            <v>3.4247035946757065</v>
          </cell>
          <cell r="T193">
            <v>2.6044999999999998</v>
          </cell>
          <cell r="U193">
            <v>3.4247035946757065</v>
          </cell>
          <cell r="V193">
            <v>0</v>
          </cell>
          <cell r="X193">
            <v>40787</v>
          </cell>
          <cell r="Y193">
            <v>21.252708481058804</v>
          </cell>
          <cell r="Z193">
            <v>0</v>
          </cell>
          <cell r="AA193">
            <v>21.252708481058804</v>
          </cell>
        </row>
        <row r="194">
          <cell r="A194">
            <v>40817</v>
          </cell>
          <cell r="B194">
            <v>3.1735000000000002</v>
          </cell>
          <cell r="C194">
            <v>0</v>
          </cell>
          <cell r="D194">
            <v>3.1735000000000002</v>
          </cell>
          <cell r="F194">
            <v>40817</v>
          </cell>
          <cell r="G194">
            <v>22.48</v>
          </cell>
          <cell r="H194">
            <v>0</v>
          </cell>
          <cell r="I194">
            <v>22.48</v>
          </cell>
          <cell r="P194">
            <v>40817</v>
          </cell>
          <cell r="Q194">
            <v>-0.55000000000000004</v>
          </cell>
          <cell r="R194">
            <v>2.6234999999999999</v>
          </cell>
          <cell r="S194">
            <v>3.4472329349105837</v>
          </cell>
          <cell r="T194">
            <v>2.6234999999999999</v>
          </cell>
          <cell r="U194">
            <v>3.4472329349105837</v>
          </cell>
          <cell r="V194">
            <v>0</v>
          </cell>
          <cell r="X194">
            <v>40817</v>
          </cell>
          <cell r="Y194">
            <v>21.124939629954802</v>
          </cell>
          <cell r="Z194">
            <v>0</v>
          </cell>
          <cell r="AA194">
            <v>21.124939629954802</v>
          </cell>
        </row>
        <row r="195">
          <cell r="A195">
            <v>40848</v>
          </cell>
          <cell r="B195">
            <v>3.2694999999999999</v>
          </cell>
          <cell r="C195">
            <v>0</v>
          </cell>
          <cell r="D195">
            <v>3.2694999999999999</v>
          </cell>
          <cell r="F195">
            <v>40848</v>
          </cell>
          <cell r="G195">
            <v>22.53</v>
          </cell>
          <cell r="H195">
            <v>0</v>
          </cell>
          <cell r="I195">
            <v>22.53</v>
          </cell>
          <cell r="P195">
            <v>40848</v>
          </cell>
          <cell r="Q195">
            <v>-0.55000000000000004</v>
          </cell>
          <cell r="R195">
            <v>2.7195</v>
          </cell>
          <cell r="S195">
            <v>3.5707476893050729</v>
          </cell>
          <cell r="T195">
            <v>2.7195</v>
          </cell>
          <cell r="U195">
            <v>3.5707476893050729</v>
          </cell>
          <cell r="V195">
            <v>0</v>
          </cell>
          <cell r="X195">
            <v>40848</v>
          </cell>
          <cell r="Y195">
            <v>21.319900308371004</v>
          </cell>
          <cell r="Z195">
            <v>0</v>
          </cell>
          <cell r="AA195">
            <v>21.319900308371004</v>
          </cell>
        </row>
        <row r="196">
          <cell r="A196">
            <v>40878</v>
          </cell>
          <cell r="B196">
            <v>3.3715000000000006</v>
          </cell>
          <cell r="C196">
            <v>0</v>
          </cell>
          <cell r="D196">
            <v>3.3715000000000006</v>
          </cell>
          <cell r="F196">
            <v>40878</v>
          </cell>
          <cell r="G196">
            <v>22.58</v>
          </cell>
          <cell r="H196">
            <v>0</v>
          </cell>
          <cell r="I196">
            <v>22.58</v>
          </cell>
          <cell r="P196">
            <v>40878</v>
          </cell>
          <cell r="Q196">
            <v>-0.55000000000000004</v>
          </cell>
          <cell r="R196">
            <v>2.8215000000000003</v>
          </cell>
          <cell r="S196">
            <v>3.7020383163194324</v>
          </cell>
          <cell r="T196">
            <v>2.8215000000000003</v>
          </cell>
          <cell r="U196">
            <v>3.7020383163194324</v>
          </cell>
          <cell r="V196">
            <v>0</v>
          </cell>
          <cell r="X196">
            <v>40878</v>
          </cell>
          <cell r="Y196">
            <v>21.384172446935505</v>
          </cell>
          <cell r="Z196">
            <v>0</v>
          </cell>
          <cell r="AA196">
            <v>21.384172446935505</v>
          </cell>
        </row>
        <row r="197">
          <cell r="A197">
            <v>40909</v>
          </cell>
          <cell r="B197">
            <v>3.4180000000000001</v>
          </cell>
          <cell r="C197">
            <v>0</v>
          </cell>
          <cell r="D197">
            <v>3.4180000000000001</v>
          </cell>
          <cell r="F197">
            <v>40909</v>
          </cell>
          <cell r="G197">
            <v>22.63</v>
          </cell>
          <cell r="H197">
            <v>0</v>
          </cell>
          <cell r="I197">
            <v>22.63</v>
          </cell>
          <cell r="P197">
            <v>40909</v>
          </cell>
          <cell r="Q197">
            <v>-0.55000000000000004</v>
          </cell>
          <cell r="R197">
            <v>2.8680000000000003</v>
          </cell>
          <cell r="S197">
            <v>3.7602814721112008</v>
          </cell>
          <cell r="T197">
            <v>2.8680000000000003</v>
          </cell>
          <cell r="U197">
            <v>3.7602814721112008</v>
          </cell>
          <cell r="V197">
            <v>0</v>
          </cell>
          <cell r="X197">
            <v>40909</v>
          </cell>
          <cell r="Y197">
            <v>21.422506294220504</v>
          </cell>
          <cell r="Z197">
            <v>0</v>
          </cell>
          <cell r="AA197">
            <v>21.422506294220504</v>
          </cell>
        </row>
        <row r="198">
          <cell r="A198">
            <v>40940</v>
          </cell>
          <cell r="B198">
            <v>3.3410000000000002</v>
          </cell>
          <cell r="C198">
            <v>0</v>
          </cell>
          <cell r="D198">
            <v>3.3410000000000002</v>
          </cell>
          <cell r="F198">
            <v>40940</v>
          </cell>
          <cell r="G198">
            <v>22.68</v>
          </cell>
          <cell r="H198">
            <v>0</v>
          </cell>
          <cell r="I198">
            <v>22.68</v>
          </cell>
          <cell r="P198">
            <v>40940</v>
          </cell>
          <cell r="Q198">
            <v>-0.55000000000000004</v>
          </cell>
          <cell r="R198">
            <v>2.7910000000000004</v>
          </cell>
          <cell r="S198">
            <v>3.6566323986283842</v>
          </cell>
          <cell r="T198">
            <v>2.7910000000000004</v>
          </cell>
          <cell r="U198">
            <v>3.6566323986283842</v>
          </cell>
          <cell r="V198">
            <v>0</v>
          </cell>
          <cell r="X198">
            <v>40940</v>
          </cell>
          <cell r="Y198">
            <v>21.482228088149704</v>
          </cell>
          <cell r="Z198">
            <v>0</v>
          </cell>
          <cell r="AA198">
            <v>21.482228088149704</v>
          </cell>
        </row>
        <row r="199">
          <cell r="A199">
            <v>40969</v>
          </cell>
          <cell r="B199">
            <v>3.2530000000000001</v>
          </cell>
          <cell r="C199">
            <v>0</v>
          </cell>
          <cell r="D199">
            <v>3.2530000000000001</v>
          </cell>
          <cell r="F199">
            <v>40969</v>
          </cell>
          <cell r="G199">
            <v>22.73</v>
          </cell>
          <cell r="H199">
            <v>0</v>
          </cell>
          <cell r="I199">
            <v>22.73</v>
          </cell>
          <cell r="P199">
            <v>40969</v>
          </cell>
          <cell r="Q199">
            <v>-0.55000000000000004</v>
          </cell>
          <cell r="R199">
            <v>2.7030000000000003</v>
          </cell>
          <cell r="S199">
            <v>3.5389001863612748</v>
          </cell>
          <cell r="T199">
            <v>2.7030000000000003</v>
          </cell>
          <cell r="U199">
            <v>3.5389001863612748</v>
          </cell>
          <cell r="V199">
            <v>0</v>
          </cell>
          <cell r="X199">
            <v>40969</v>
          </cell>
          <cell r="Y199">
            <v>21.565059926542002</v>
          </cell>
          <cell r="Z199">
            <v>0</v>
          </cell>
          <cell r="AA199">
            <v>21.565059926542002</v>
          </cell>
        </row>
        <row r="200">
          <cell r="A200">
            <v>41000</v>
          </cell>
          <cell r="B200">
            <v>3.18</v>
          </cell>
          <cell r="C200">
            <v>0</v>
          </cell>
          <cell r="D200">
            <v>3.18</v>
          </cell>
          <cell r="F200">
            <v>41000</v>
          </cell>
          <cell r="G200">
            <v>22.78</v>
          </cell>
          <cell r="H200">
            <v>0</v>
          </cell>
          <cell r="I200">
            <v>22.78</v>
          </cell>
          <cell r="P200">
            <v>41000</v>
          </cell>
          <cell r="Q200">
            <v>-0.55000000000000004</v>
          </cell>
          <cell r="R200">
            <v>2.63</v>
          </cell>
          <cell r="S200">
            <v>3.4407894048871208</v>
          </cell>
          <cell r="T200">
            <v>2.63</v>
          </cell>
          <cell r="U200">
            <v>3.4407894048871208</v>
          </cell>
          <cell r="V200">
            <v>0</v>
          </cell>
          <cell r="X200">
            <v>41000</v>
          </cell>
          <cell r="Y200">
            <v>21.590081884961901</v>
          </cell>
          <cell r="Z200">
            <v>0</v>
          </cell>
          <cell r="AA200">
            <v>21.590081884961901</v>
          </cell>
        </row>
        <row r="201">
          <cell r="A201">
            <v>41030</v>
          </cell>
          <cell r="B201">
            <v>3.1890000000000005</v>
          </cell>
          <cell r="C201">
            <v>0</v>
          </cell>
          <cell r="D201">
            <v>3.1890000000000005</v>
          </cell>
          <cell r="F201">
            <v>41030</v>
          </cell>
          <cell r="G201">
            <v>22.83</v>
          </cell>
          <cell r="H201">
            <v>0</v>
          </cell>
          <cell r="I201">
            <v>22.83</v>
          </cell>
          <cell r="P201">
            <v>41030</v>
          </cell>
          <cell r="Q201">
            <v>-0.55000000000000004</v>
          </cell>
          <cell r="R201">
            <v>2.6390000000000002</v>
          </cell>
          <cell r="S201">
            <v>3.4501028347234546</v>
          </cell>
          <cell r="T201">
            <v>2.6390000000000002</v>
          </cell>
          <cell r="U201">
            <v>3.4501028347234546</v>
          </cell>
          <cell r="V201">
            <v>0</v>
          </cell>
          <cell r="X201">
            <v>41030</v>
          </cell>
          <cell r="Y201">
            <v>21.662681762531808</v>
          </cell>
          <cell r="Z201">
            <v>0</v>
          </cell>
          <cell r="AA201">
            <v>21.662681762531808</v>
          </cell>
        </row>
        <row r="202">
          <cell r="A202">
            <v>41061</v>
          </cell>
          <cell r="B202">
            <v>3.2069999999999999</v>
          </cell>
          <cell r="C202">
            <v>0</v>
          </cell>
          <cell r="D202">
            <v>3.2069999999999999</v>
          </cell>
          <cell r="F202">
            <v>41061</v>
          </cell>
          <cell r="G202">
            <v>22.88</v>
          </cell>
          <cell r="H202">
            <v>0</v>
          </cell>
          <cell r="I202">
            <v>22.88</v>
          </cell>
          <cell r="P202">
            <v>41061</v>
          </cell>
          <cell r="Q202">
            <v>-0.55000000000000004</v>
          </cell>
          <cell r="R202">
            <v>2.657</v>
          </cell>
          <cell r="S202">
            <v>3.4710757710208968</v>
          </cell>
          <cell r="T202">
            <v>2.657</v>
          </cell>
          <cell r="U202">
            <v>3.4710757710208968</v>
          </cell>
          <cell r="V202">
            <v>0</v>
          </cell>
          <cell r="X202">
            <v>41061</v>
          </cell>
          <cell r="Y202">
            <v>21.452880215880207</v>
          </cell>
          <cell r="Z202">
            <v>0</v>
          </cell>
          <cell r="AA202">
            <v>21.452880215880207</v>
          </cell>
        </row>
        <row r="203">
          <cell r="A203">
            <v>41091</v>
          </cell>
          <cell r="B203">
            <v>3.218</v>
          </cell>
          <cell r="C203">
            <v>0</v>
          </cell>
          <cell r="D203">
            <v>3.218</v>
          </cell>
          <cell r="F203">
            <v>41091</v>
          </cell>
          <cell r="G203">
            <v>22.93</v>
          </cell>
          <cell r="H203">
            <v>0</v>
          </cell>
          <cell r="I203">
            <v>22.93</v>
          </cell>
          <cell r="P203">
            <v>41091</v>
          </cell>
          <cell r="Q203">
            <v>-0.55000000000000004</v>
          </cell>
          <cell r="R203">
            <v>2.6680000000000001</v>
          </cell>
          <cell r="S203">
            <v>3.4829600340748486</v>
          </cell>
          <cell r="T203">
            <v>2.6680000000000001</v>
          </cell>
          <cell r="U203">
            <v>3.4829600340748486</v>
          </cell>
          <cell r="V203">
            <v>0</v>
          </cell>
          <cell r="X203">
            <v>41091</v>
          </cell>
          <cell r="Y203">
            <v>21.727438295476801</v>
          </cell>
          <cell r="Z203">
            <v>0</v>
          </cell>
          <cell r="AA203">
            <v>21.727438295476801</v>
          </cell>
        </row>
        <row r="204">
          <cell r="A204">
            <v>41122</v>
          </cell>
          <cell r="B204">
            <v>3.2269999999999999</v>
          </cell>
          <cell r="C204">
            <v>0</v>
          </cell>
          <cell r="D204">
            <v>3.2269999999999999</v>
          </cell>
          <cell r="F204">
            <v>41122</v>
          </cell>
          <cell r="G204">
            <v>22.98</v>
          </cell>
          <cell r="H204">
            <v>0</v>
          </cell>
          <cell r="I204">
            <v>22.98</v>
          </cell>
          <cell r="P204">
            <v>41122</v>
          </cell>
          <cell r="Q204">
            <v>-0.55000000000000004</v>
          </cell>
          <cell r="R204">
            <v>2.6769999999999996</v>
          </cell>
          <cell r="S204">
            <v>3.4921327218879039</v>
          </cell>
          <cell r="T204">
            <v>2.6769999999999996</v>
          </cell>
          <cell r="U204">
            <v>3.4921327218879039</v>
          </cell>
          <cell r="V204">
            <v>0</v>
          </cell>
          <cell r="X204">
            <v>41122</v>
          </cell>
          <cell r="Y204">
            <v>21.589465185930305</v>
          </cell>
          <cell r="Z204">
            <v>0</v>
          </cell>
          <cell r="AA204">
            <v>21.589465185930305</v>
          </cell>
        </row>
        <row r="205">
          <cell r="A205">
            <v>41153</v>
          </cell>
          <cell r="B205">
            <v>3.2250000000000001</v>
          </cell>
          <cell r="C205">
            <v>0</v>
          </cell>
          <cell r="D205">
            <v>3.2250000000000001</v>
          </cell>
          <cell r="F205">
            <v>41153</v>
          </cell>
          <cell r="G205">
            <v>23.03</v>
          </cell>
          <cell r="H205">
            <v>0</v>
          </cell>
          <cell r="I205">
            <v>23.03</v>
          </cell>
          <cell r="P205">
            <v>41153</v>
          </cell>
          <cell r="Q205">
            <v>-0.55000000000000004</v>
          </cell>
          <cell r="R205">
            <v>2.6749999999999998</v>
          </cell>
          <cell r="S205">
            <v>3.486950369007225</v>
          </cell>
          <cell r="T205">
            <v>2.6749999999999998</v>
          </cell>
          <cell r="U205">
            <v>3.486950369007225</v>
          </cell>
          <cell r="V205">
            <v>0</v>
          </cell>
          <cell r="X205">
            <v>41153</v>
          </cell>
          <cell r="Y205">
            <v>21.846684567280406</v>
          </cell>
          <cell r="Z205">
            <v>0</v>
          </cell>
          <cell r="AA205">
            <v>21.846684567280406</v>
          </cell>
        </row>
        <row r="206">
          <cell r="A206">
            <v>41183</v>
          </cell>
          <cell r="B206">
            <v>3.2430000000000003</v>
          </cell>
          <cell r="C206">
            <v>0</v>
          </cell>
          <cell r="D206">
            <v>3.2430000000000003</v>
          </cell>
          <cell r="F206">
            <v>41183</v>
          </cell>
          <cell r="G206">
            <v>23.08</v>
          </cell>
          <cell r="H206">
            <v>0</v>
          </cell>
          <cell r="I206">
            <v>23.08</v>
          </cell>
          <cell r="P206">
            <v>41183</v>
          </cell>
          <cell r="Q206">
            <v>-0.55000000000000004</v>
          </cell>
          <cell r="R206">
            <v>2.6930000000000005</v>
          </cell>
          <cell r="S206">
            <v>3.5079079440202547</v>
          </cell>
          <cell r="T206">
            <v>2.6930000000000005</v>
          </cell>
          <cell r="U206">
            <v>3.5079079440202547</v>
          </cell>
          <cell r="V206">
            <v>0</v>
          </cell>
          <cell r="X206">
            <v>41183</v>
          </cell>
          <cell r="Y206">
            <v>21.733419563630502</v>
          </cell>
          <cell r="Z206">
            <v>0</v>
          </cell>
          <cell r="AA206">
            <v>21.733419563630502</v>
          </cell>
        </row>
        <row r="207">
          <cell r="A207">
            <v>41214</v>
          </cell>
          <cell r="B207">
            <v>3.3340000000000005</v>
          </cell>
          <cell r="C207">
            <v>0</v>
          </cell>
          <cell r="D207">
            <v>3.3340000000000005</v>
          </cell>
          <cell r="F207">
            <v>41214</v>
          </cell>
          <cell r="G207">
            <v>23.13</v>
          </cell>
          <cell r="H207">
            <v>0</v>
          </cell>
          <cell r="I207">
            <v>23.13</v>
          </cell>
          <cell r="P207">
            <v>41214</v>
          </cell>
          <cell r="Q207">
            <v>-0.55000000000000004</v>
          </cell>
          <cell r="R207">
            <v>2.7840000000000007</v>
          </cell>
          <cell r="S207">
            <v>3.6237688647780502</v>
          </cell>
          <cell r="T207">
            <v>2.7840000000000007</v>
          </cell>
          <cell r="U207">
            <v>3.6237688647780502</v>
          </cell>
          <cell r="V207">
            <v>0</v>
          </cell>
          <cell r="X207">
            <v>41214</v>
          </cell>
          <cell r="Y207">
            <v>21.922780436369603</v>
          </cell>
          <cell r="Z207">
            <v>0</v>
          </cell>
          <cell r="AA207">
            <v>21.922780436369603</v>
          </cell>
        </row>
        <row r="208">
          <cell r="A208">
            <v>41244</v>
          </cell>
          <cell r="B208">
            <v>3.4330000000000003</v>
          </cell>
          <cell r="C208">
            <v>0</v>
          </cell>
          <cell r="D208">
            <v>3.4330000000000003</v>
          </cell>
          <cell r="F208">
            <v>41244</v>
          </cell>
          <cell r="G208">
            <v>23.18</v>
          </cell>
          <cell r="H208">
            <v>0</v>
          </cell>
          <cell r="I208">
            <v>23.18</v>
          </cell>
          <cell r="P208">
            <v>41244</v>
          </cell>
          <cell r="Q208">
            <v>-0.55000000000000004</v>
          </cell>
          <cell r="R208">
            <v>2.883</v>
          </cell>
          <cell r="S208">
            <v>3.7499508516843583</v>
          </cell>
          <cell r="T208">
            <v>2.883</v>
          </cell>
          <cell r="U208">
            <v>3.7499508516843583</v>
          </cell>
          <cell r="V208">
            <v>0</v>
          </cell>
          <cell r="X208">
            <v>41244</v>
          </cell>
          <cell r="Y208">
            <v>21.978530433561904</v>
          </cell>
          <cell r="Z208">
            <v>0</v>
          </cell>
          <cell r="AA208">
            <v>21.978530433561904</v>
          </cell>
        </row>
        <row r="209">
          <cell r="A209">
            <v>41275</v>
          </cell>
          <cell r="B209">
            <v>3.4775</v>
          </cell>
          <cell r="C209">
            <v>0</v>
          </cell>
          <cell r="D209">
            <v>3.4775</v>
          </cell>
          <cell r="F209">
            <v>41275</v>
          </cell>
          <cell r="G209">
            <v>23.230000000000103</v>
          </cell>
          <cell r="H209">
            <v>0</v>
          </cell>
          <cell r="I209">
            <v>23.230000000000103</v>
          </cell>
          <cell r="P209">
            <v>41275</v>
          </cell>
          <cell r="Q209">
            <v>-0.55000000000000004</v>
          </cell>
          <cell r="R209">
            <v>2.9275000000000002</v>
          </cell>
          <cell r="S209">
            <v>3.8050211493534105</v>
          </cell>
          <cell r="T209">
            <v>2.9275000000000002</v>
          </cell>
          <cell r="U209">
            <v>3.8050211493534105</v>
          </cell>
          <cell r="V209">
            <v>0</v>
          </cell>
          <cell r="X209">
            <v>41275</v>
          </cell>
          <cell r="Y209">
            <v>22.027207972031803</v>
          </cell>
          <cell r="Z209">
            <v>0</v>
          </cell>
          <cell r="AA209">
            <v>22.027207972031803</v>
          </cell>
        </row>
        <row r="210">
          <cell r="A210">
            <v>41306</v>
          </cell>
          <cell r="B210">
            <v>3.4045000000000001</v>
          </cell>
          <cell r="C210">
            <v>0</v>
          </cell>
          <cell r="D210">
            <v>3.4045000000000001</v>
          </cell>
          <cell r="F210">
            <v>41306</v>
          </cell>
          <cell r="G210">
            <v>23.280000000000104</v>
          </cell>
          <cell r="H210">
            <v>0</v>
          </cell>
          <cell r="I210">
            <v>23.280000000000104</v>
          </cell>
          <cell r="P210">
            <v>41306</v>
          </cell>
          <cell r="Q210">
            <v>-0.55000000000000004</v>
          </cell>
          <cell r="R210">
            <v>2.8544999999999998</v>
          </cell>
          <cell r="S210">
            <v>3.7073992875699622</v>
          </cell>
          <cell r="T210">
            <v>2.8544999999999998</v>
          </cell>
          <cell r="U210">
            <v>3.7073992875699622</v>
          </cell>
          <cell r="V210">
            <v>0</v>
          </cell>
          <cell r="X210">
            <v>41306</v>
          </cell>
          <cell r="Y210">
            <v>22.076592027968303</v>
          </cell>
          <cell r="Z210">
            <v>0</v>
          </cell>
          <cell r="AA210">
            <v>22.076592027968303</v>
          </cell>
        </row>
        <row r="211">
          <cell r="A211">
            <v>41334</v>
          </cell>
          <cell r="B211">
            <v>3.3195000000000001</v>
          </cell>
          <cell r="C211">
            <v>0</v>
          </cell>
          <cell r="D211">
            <v>3.3195000000000001</v>
          </cell>
          <cell r="F211">
            <v>41334</v>
          </cell>
          <cell r="G211">
            <v>23.330000000000105</v>
          </cell>
          <cell r="H211">
            <v>0</v>
          </cell>
          <cell r="I211">
            <v>23.330000000000105</v>
          </cell>
          <cell r="P211">
            <v>41334</v>
          </cell>
          <cell r="Q211">
            <v>-0.55000000000000004</v>
          </cell>
          <cell r="R211">
            <v>2.7694999999999999</v>
          </cell>
          <cell r="S211">
            <v>3.5946018809789604</v>
          </cell>
          <cell r="T211">
            <v>2.7694999999999999</v>
          </cell>
          <cell r="U211">
            <v>3.5946018809789604</v>
          </cell>
          <cell r="V211">
            <v>0</v>
          </cell>
          <cell r="X211">
            <v>41334</v>
          </cell>
          <cell r="Y211">
            <v>22.170282442175903</v>
          </cell>
          <cell r="Z211">
            <v>0</v>
          </cell>
          <cell r="AA211">
            <v>22.170282442175903</v>
          </cell>
        </row>
        <row r="212">
          <cell r="A212">
            <v>41365</v>
          </cell>
          <cell r="B212">
            <v>3.2494999999999998</v>
          </cell>
          <cell r="C212">
            <v>0</v>
          </cell>
          <cell r="D212">
            <v>3.2494999999999998</v>
          </cell>
          <cell r="F212">
            <v>41365</v>
          </cell>
          <cell r="G212">
            <v>23.380000000000106</v>
          </cell>
          <cell r="H212">
            <v>0</v>
          </cell>
          <cell r="I212">
            <v>23.380000000000106</v>
          </cell>
          <cell r="P212">
            <v>41365</v>
          </cell>
          <cell r="Q212">
            <v>-0.55000000000000004</v>
          </cell>
          <cell r="R212">
            <v>2.6994999999999996</v>
          </cell>
          <cell r="S212">
            <v>3.5011581070532931</v>
          </cell>
          <cell r="T212">
            <v>2.6994999999999996</v>
          </cell>
          <cell r="U212">
            <v>3.5011581070532931</v>
          </cell>
          <cell r="V212">
            <v>0</v>
          </cell>
          <cell r="X212">
            <v>41365</v>
          </cell>
          <cell r="Y212">
            <v>22.182717557824205</v>
          </cell>
          <cell r="Z212">
            <v>0</v>
          </cell>
          <cell r="AA212">
            <v>22.182717557824205</v>
          </cell>
        </row>
        <row r="213">
          <cell r="A213">
            <v>41395</v>
          </cell>
          <cell r="B213">
            <v>3.2595000000000001</v>
          </cell>
          <cell r="C213">
            <v>0</v>
          </cell>
          <cell r="D213">
            <v>3.2595000000000001</v>
          </cell>
          <cell r="F213">
            <v>41395</v>
          </cell>
          <cell r="G213">
            <v>23.430000000000106</v>
          </cell>
          <cell r="H213">
            <v>0</v>
          </cell>
          <cell r="I213">
            <v>23.430000000000106</v>
          </cell>
          <cell r="P213">
            <v>41395</v>
          </cell>
          <cell r="Q213">
            <v>-0.55000000000000004</v>
          </cell>
          <cell r="R213">
            <v>2.7095000000000002</v>
          </cell>
          <cell r="S213">
            <v>3.5116140393418993</v>
          </cell>
          <cell r="T213">
            <v>2.7095000000000002</v>
          </cell>
          <cell r="U213">
            <v>3.5116140393418993</v>
          </cell>
          <cell r="V213">
            <v>0</v>
          </cell>
          <cell r="X213">
            <v>41395</v>
          </cell>
          <cell r="Y213">
            <v>22.269484038341698</v>
          </cell>
          <cell r="Z213">
            <v>0</v>
          </cell>
          <cell r="AA213">
            <v>22.269484038341698</v>
          </cell>
        </row>
        <row r="214">
          <cell r="A214">
            <v>41426</v>
          </cell>
          <cell r="B214">
            <v>3.2785000000000002</v>
          </cell>
          <cell r="C214">
            <v>0</v>
          </cell>
          <cell r="D214">
            <v>3.2785000000000002</v>
          </cell>
          <cell r="F214">
            <v>41426</v>
          </cell>
          <cell r="G214">
            <v>23.480000000000103</v>
          </cell>
          <cell r="H214">
            <v>0</v>
          </cell>
          <cell r="I214">
            <v>23.480000000000103</v>
          </cell>
          <cell r="P214">
            <v>41426</v>
          </cell>
          <cell r="Q214">
            <v>-0.55000000000000004</v>
          </cell>
          <cell r="R214">
            <v>2.7285000000000004</v>
          </cell>
          <cell r="S214">
            <v>3.5336241738302769</v>
          </cell>
          <cell r="T214">
            <v>2.7285000000000004</v>
          </cell>
          <cell r="U214">
            <v>3.5336241738302769</v>
          </cell>
          <cell r="V214">
            <v>0</v>
          </cell>
          <cell r="X214">
            <v>41426</v>
          </cell>
          <cell r="Y214">
            <v>22.058513301382003</v>
          </cell>
          <cell r="Z214">
            <v>0</v>
          </cell>
          <cell r="AA214">
            <v>22.058513301382003</v>
          </cell>
        </row>
        <row r="215">
          <cell r="A215">
            <v>41456</v>
          </cell>
          <cell r="B215">
            <v>3.2894999999999999</v>
          </cell>
          <cell r="C215">
            <v>0</v>
          </cell>
          <cell r="D215">
            <v>3.2894999999999999</v>
          </cell>
          <cell r="F215">
            <v>41456</v>
          </cell>
          <cell r="G215">
            <v>23.530000000000104</v>
          </cell>
          <cell r="H215">
            <v>0</v>
          </cell>
          <cell r="I215">
            <v>23.530000000000104</v>
          </cell>
          <cell r="P215">
            <v>41456</v>
          </cell>
          <cell r="Q215">
            <v>-0.55000000000000004</v>
          </cell>
          <cell r="R215">
            <v>2.7394999999999996</v>
          </cell>
          <cell r="S215">
            <v>3.5453307208009441</v>
          </cell>
          <cell r="T215">
            <v>2.7394999999999996</v>
          </cell>
          <cell r="U215">
            <v>3.5453307208009441</v>
          </cell>
          <cell r="V215">
            <v>0</v>
          </cell>
          <cell r="X215">
            <v>41456</v>
          </cell>
          <cell r="Y215">
            <v>22.323105152783199</v>
          </cell>
          <cell r="Z215">
            <v>0</v>
          </cell>
          <cell r="AA215">
            <v>22.323105152783199</v>
          </cell>
        </row>
        <row r="216">
          <cell r="A216">
            <v>41487</v>
          </cell>
          <cell r="B216">
            <v>3.2985000000000002</v>
          </cell>
          <cell r="C216">
            <v>0</v>
          </cell>
          <cell r="D216">
            <v>3.2985000000000002</v>
          </cell>
          <cell r="F216">
            <v>41487</v>
          </cell>
          <cell r="G216">
            <v>23.580000000000105</v>
          </cell>
          <cell r="H216">
            <v>0</v>
          </cell>
          <cell r="I216">
            <v>23.580000000000105</v>
          </cell>
          <cell r="P216">
            <v>41487</v>
          </cell>
          <cell r="Q216">
            <v>-0.55000000000000004</v>
          </cell>
          <cell r="R216">
            <v>2.7484999999999999</v>
          </cell>
          <cell r="S216">
            <v>3.5543466569531486</v>
          </cell>
          <cell r="T216">
            <v>2.7484999999999999</v>
          </cell>
          <cell r="U216">
            <v>3.5543466569531486</v>
          </cell>
          <cell r="V216">
            <v>0</v>
          </cell>
          <cell r="X216">
            <v>41487</v>
          </cell>
          <cell r="Y216">
            <v>22.183894847216902</v>
          </cell>
          <cell r="Z216">
            <v>0</v>
          </cell>
          <cell r="AA216">
            <v>22.183894847216902</v>
          </cell>
        </row>
        <row r="217">
          <cell r="A217">
            <v>41518</v>
          </cell>
          <cell r="B217">
            <v>3.2955000000000001</v>
          </cell>
          <cell r="C217">
            <v>0</v>
          </cell>
          <cell r="D217">
            <v>3.2955000000000001</v>
          </cell>
          <cell r="F217">
            <v>41518</v>
          </cell>
          <cell r="G217">
            <v>23.630000000000106</v>
          </cell>
          <cell r="H217">
            <v>0</v>
          </cell>
          <cell r="I217">
            <v>23.630000000000106</v>
          </cell>
          <cell r="P217">
            <v>41518</v>
          </cell>
          <cell r="Q217">
            <v>-0.55000000000000004</v>
          </cell>
          <cell r="R217">
            <v>2.7454999999999998</v>
          </cell>
          <cell r="S217">
            <v>3.5478396807623498</v>
          </cell>
          <cell r="T217">
            <v>2.7454999999999998</v>
          </cell>
          <cell r="U217">
            <v>3.5478396807623498</v>
          </cell>
          <cell r="V217">
            <v>0</v>
          </cell>
          <cell r="X217">
            <v>41518</v>
          </cell>
          <cell r="Y217">
            <v>22.444656411231804</v>
          </cell>
          <cell r="Z217">
            <v>0</v>
          </cell>
          <cell r="AA217">
            <v>22.444656411231804</v>
          </cell>
        </row>
        <row r="218">
          <cell r="A218">
            <v>41548</v>
          </cell>
          <cell r="B218">
            <v>3.3125</v>
          </cell>
          <cell r="C218">
            <v>0</v>
          </cell>
          <cell r="D218">
            <v>3.3125</v>
          </cell>
          <cell r="F218">
            <v>41548</v>
          </cell>
          <cell r="G218">
            <v>23.680000000000106</v>
          </cell>
          <cell r="H218">
            <v>0</v>
          </cell>
          <cell r="I218">
            <v>23.680000000000106</v>
          </cell>
          <cell r="P218">
            <v>41548</v>
          </cell>
          <cell r="Q218">
            <v>-0.55000000000000004</v>
          </cell>
          <cell r="R218">
            <v>2.7625000000000002</v>
          </cell>
          <cell r="S218">
            <v>3.5672504720102252</v>
          </cell>
          <cell r="T218">
            <v>2.7625000000000002</v>
          </cell>
          <cell r="U218">
            <v>3.5672504720102252</v>
          </cell>
          <cell r="V218">
            <v>0</v>
          </cell>
          <cell r="X218">
            <v>41548</v>
          </cell>
          <cell r="Y218">
            <v>22.328469657306904</v>
          </cell>
          <cell r="Z218">
            <v>0</v>
          </cell>
          <cell r="AA218">
            <v>22.328469657306904</v>
          </cell>
        </row>
        <row r="219">
          <cell r="A219">
            <v>41579</v>
          </cell>
          <cell r="B219">
            <v>3.3985000000000003</v>
          </cell>
          <cell r="C219">
            <v>0</v>
          </cell>
          <cell r="D219">
            <v>3.3985000000000003</v>
          </cell>
          <cell r="F219">
            <v>41579</v>
          </cell>
          <cell r="G219">
            <v>23.730000000000103</v>
          </cell>
          <cell r="H219">
            <v>0</v>
          </cell>
          <cell r="I219">
            <v>23.730000000000103</v>
          </cell>
          <cell r="P219">
            <v>41579</v>
          </cell>
          <cell r="Q219">
            <v>-0.55000000000000004</v>
          </cell>
          <cell r="R219">
            <v>2.8485000000000005</v>
          </cell>
          <cell r="S219">
            <v>3.6755797728923065</v>
          </cell>
          <cell r="T219">
            <v>2.8485000000000005</v>
          </cell>
          <cell r="U219">
            <v>3.6755797728923065</v>
          </cell>
          <cell r="V219">
            <v>0</v>
          </cell>
          <cell r="X219">
            <v>41579</v>
          </cell>
          <cell r="Y219">
            <v>22.517309402448408</v>
          </cell>
          <cell r="Z219">
            <v>0</v>
          </cell>
          <cell r="AA219">
            <v>22.517309402448408</v>
          </cell>
        </row>
        <row r="220">
          <cell r="A220">
            <v>41609</v>
          </cell>
          <cell r="B220">
            <v>3.4944999999999999</v>
          </cell>
          <cell r="C220">
            <v>0</v>
          </cell>
          <cell r="D220">
            <v>3.4944999999999999</v>
          </cell>
          <cell r="F220">
            <v>41609</v>
          </cell>
          <cell r="G220">
            <v>23.780000000000104</v>
          </cell>
          <cell r="H220">
            <v>0</v>
          </cell>
          <cell r="I220">
            <v>23.780000000000104</v>
          </cell>
          <cell r="P220">
            <v>41609</v>
          </cell>
          <cell r="Q220">
            <v>-0.55000000000000004</v>
          </cell>
          <cell r="R220">
            <v>2.9444999999999997</v>
          </cell>
          <cell r="S220">
            <v>3.796730635250475</v>
          </cell>
          <cell r="T220">
            <v>2.9444999999999997</v>
          </cell>
          <cell r="U220">
            <v>3.796730635250475</v>
          </cell>
          <cell r="V220">
            <v>0</v>
          </cell>
          <cell r="X220">
            <v>41609</v>
          </cell>
          <cell r="Y220">
            <v>22.586585075039803</v>
          </cell>
          <cell r="Z220">
            <v>0</v>
          </cell>
          <cell r="AA220">
            <v>22.586585075039803</v>
          </cell>
        </row>
        <row r="221">
          <cell r="A221">
            <v>41640</v>
          </cell>
          <cell r="B221">
            <v>3.5369999999999999</v>
          </cell>
          <cell r="C221">
            <v>0</v>
          </cell>
          <cell r="D221">
            <v>3.5369999999999999</v>
          </cell>
          <cell r="F221">
            <v>41640</v>
          </cell>
          <cell r="G221">
            <v>23.830000000000105</v>
          </cell>
          <cell r="H221">
            <v>0</v>
          </cell>
          <cell r="I221">
            <v>23.830000000000105</v>
          </cell>
          <cell r="P221">
            <v>41640</v>
          </cell>
          <cell r="Q221">
            <v>-0.55000000000000004</v>
          </cell>
          <cell r="R221">
            <v>2.9870000000000001</v>
          </cell>
          <cell r="S221">
            <v>3.8486779912349354</v>
          </cell>
          <cell r="T221">
            <v>2.9870000000000001</v>
          </cell>
          <cell r="U221">
            <v>3.8486779912349354</v>
          </cell>
          <cell r="V221">
            <v>0</v>
          </cell>
          <cell r="X221">
            <v>41640</v>
          </cell>
          <cell r="Y221">
            <v>22.619004477236608</v>
          </cell>
          <cell r="Z221">
            <v>0</v>
          </cell>
          <cell r="AA221">
            <v>22.619004477236608</v>
          </cell>
        </row>
        <row r="222">
          <cell r="A222">
            <v>41671</v>
          </cell>
          <cell r="B222">
            <v>3.468</v>
          </cell>
          <cell r="C222">
            <v>0</v>
          </cell>
          <cell r="D222">
            <v>3.468</v>
          </cell>
          <cell r="F222">
            <v>41671</v>
          </cell>
          <cell r="G222">
            <v>23.880000000000106</v>
          </cell>
          <cell r="H222">
            <v>0</v>
          </cell>
          <cell r="I222">
            <v>23.880000000000106</v>
          </cell>
          <cell r="P222">
            <v>41671</v>
          </cell>
          <cell r="Q222">
            <v>-0.55000000000000004</v>
          </cell>
          <cell r="R222">
            <v>2.9180000000000001</v>
          </cell>
          <cell r="S222">
            <v>3.756986830009732</v>
          </cell>
          <cell r="T222">
            <v>2.9180000000000001</v>
          </cell>
          <cell r="U222">
            <v>3.756986830009732</v>
          </cell>
          <cell r="V222">
            <v>0</v>
          </cell>
          <cell r="X222">
            <v>41671</v>
          </cell>
          <cell r="Y222">
            <v>22.680441384330507</v>
          </cell>
          <cell r="Z222">
            <v>0</v>
          </cell>
          <cell r="AA222">
            <v>22.680441384330507</v>
          </cell>
        </row>
        <row r="223">
          <cell r="A223">
            <v>41699</v>
          </cell>
          <cell r="B223">
            <v>3.3860000000000001</v>
          </cell>
          <cell r="C223">
            <v>0</v>
          </cell>
          <cell r="D223">
            <v>3.3860000000000001</v>
          </cell>
          <cell r="F223">
            <v>41699</v>
          </cell>
          <cell r="G223">
            <v>23.930000000000106</v>
          </cell>
          <cell r="H223">
            <v>0</v>
          </cell>
          <cell r="I223">
            <v>23.930000000000106</v>
          </cell>
          <cell r="P223">
            <v>41699</v>
          </cell>
          <cell r="Q223">
            <v>-0.55000000000000004</v>
          </cell>
          <cell r="R223">
            <v>2.8360000000000003</v>
          </cell>
          <cell r="S223">
            <v>3.6489651874842535</v>
          </cell>
          <cell r="T223">
            <v>2.8360000000000003</v>
          </cell>
          <cell r="U223">
            <v>3.6489651874842535</v>
          </cell>
          <cell r="V223">
            <v>0</v>
          </cell>
          <cell r="X223">
            <v>41699</v>
          </cell>
          <cell r="Y223">
            <v>22.767617503155908</v>
          </cell>
          <cell r="Z223">
            <v>0</v>
          </cell>
          <cell r="AA223">
            <v>22.767617503155908</v>
          </cell>
        </row>
        <row r="224">
          <cell r="A224">
            <v>41730</v>
          </cell>
          <cell r="B224">
            <v>3.3190000000000004</v>
          </cell>
          <cell r="C224">
            <v>0</v>
          </cell>
          <cell r="D224">
            <v>3.3190000000000004</v>
          </cell>
          <cell r="F224">
            <v>41730</v>
          </cell>
          <cell r="G224">
            <v>23.980000000000103</v>
          </cell>
          <cell r="H224">
            <v>0</v>
          </cell>
          <cell r="I224">
            <v>23.980000000000103</v>
          </cell>
          <cell r="P224">
            <v>41730</v>
          </cell>
          <cell r="Q224">
            <v>-0.55000000000000004</v>
          </cell>
          <cell r="R224">
            <v>2.7690000000000001</v>
          </cell>
          <cell r="S224">
            <v>3.5601172457334522</v>
          </cell>
          <cell r="T224">
            <v>2.7690000000000001</v>
          </cell>
          <cell r="U224">
            <v>3.5601172457334522</v>
          </cell>
          <cell r="V224">
            <v>0</v>
          </cell>
          <cell r="X224">
            <v>41730</v>
          </cell>
          <cell r="Y224">
            <v>22.785382496844203</v>
          </cell>
          <cell r="Z224">
            <v>0</v>
          </cell>
          <cell r="AA224">
            <v>22.785382496844203</v>
          </cell>
        </row>
        <row r="225">
          <cell r="A225">
            <v>41760</v>
          </cell>
          <cell r="B225">
            <v>3.33</v>
          </cell>
          <cell r="C225">
            <v>0</v>
          </cell>
          <cell r="D225">
            <v>3.33</v>
          </cell>
          <cell r="F225">
            <v>41760</v>
          </cell>
          <cell r="G225">
            <v>24.030000000000104</v>
          </cell>
          <cell r="H225">
            <v>0</v>
          </cell>
          <cell r="I225">
            <v>24.030000000000104</v>
          </cell>
          <cell r="P225">
            <v>41760</v>
          </cell>
          <cell r="Q225">
            <v>-0.55000000000000004</v>
          </cell>
          <cell r="R225">
            <v>2.7800000000000002</v>
          </cell>
          <cell r="S225">
            <v>3.5716944141713816</v>
          </cell>
          <cell r="T225">
            <v>2.7800000000000002</v>
          </cell>
          <cell r="U225">
            <v>3.5716944141713816</v>
          </cell>
          <cell r="V225">
            <v>0</v>
          </cell>
          <cell r="X225">
            <v>41760</v>
          </cell>
          <cell r="Y225">
            <v>22.867061366505403</v>
          </cell>
          <cell r="Z225">
            <v>0</v>
          </cell>
          <cell r="AA225">
            <v>22.867061366505403</v>
          </cell>
        </row>
        <row r="226">
          <cell r="A226">
            <v>41791</v>
          </cell>
          <cell r="B226">
            <v>3.35</v>
          </cell>
          <cell r="C226">
            <v>0</v>
          </cell>
          <cell r="D226">
            <v>3.35</v>
          </cell>
          <cell r="F226">
            <v>41791</v>
          </cell>
          <cell r="G226">
            <v>24.080000000000105</v>
          </cell>
          <cell r="H226">
            <v>0</v>
          </cell>
          <cell r="I226">
            <v>24.080000000000105</v>
          </cell>
          <cell r="P226">
            <v>41791</v>
          </cell>
          <cell r="Q226">
            <v>-0.55000000000000004</v>
          </cell>
          <cell r="R226">
            <v>2.8</v>
          </cell>
          <cell r="S226">
            <v>3.5947210575108004</v>
          </cell>
          <cell r="T226">
            <v>2.8</v>
          </cell>
          <cell r="U226">
            <v>3.5947210575108004</v>
          </cell>
          <cell r="V226">
            <v>0</v>
          </cell>
          <cell r="X226">
            <v>41791</v>
          </cell>
          <cell r="Y226">
            <v>22.664698861245601</v>
          </cell>
          <cell r="Z226">
            <v>0</v>
          </cell>
          <cell r="AA226">
            <v>22.664698861245601</v>
          </cell>
        </row>
        <row r="227">
          <cell r="A227">
            <v>41821</v>
          </cell>
          <cell r="B227">
            <v>3.3610000000000002</v>
          </cell>
          <cell r="C227">
            <v>0</v>
          </cell>
          <cell r="D227">
            <v>3.3610000000000002</v>
          </cell>
          <cell r="F227">
            <v>41821</v>
          </cell>
          <cell r="G227">
            <v>24.130000000000106</v>
          </cell>
          <cell r="H227">
            <v>0</v>
          </cell>
          <cell r="I227">
            <v>24.130000000000106</v>
          </cell>
          <cell r="P227">
            <v>41821</v>
          </cell>
          <cell r="Q227">
            <v>-0.55000000000000004</v>
          </cell>
          <cell r="R227">
            <v>2.8109999999999999</v>
          </cell>
          <cell r="S227">
            <v>3.606251271671991</v>
          </cell>
          <cell r="T227">
            <v>2.8109999999999999</v>
          </cell>
          <cell r="U227">
            <v>3.606251271671991</v>
          </cell>
          <cell r="V227">
            <v>0</v>
          </cell>
          <cell r="X227">
            <v>41821</v>
          </cell>
          <cell r="Y227">
            <v>22.925000948962108</v>
          </cell>
          <cell r="Z227">
            <v>0</v>
          </cell>
          <cell r="AA227">
            <v>22.925000948962108</v>
          </cell>
        </row>
        <row r="228">
          <cell r="A228">
            <v>41852</v>
          </cell>
          <cell r="B228">
            <v>3.37</v>
          </cell>
          <cell r="C228">
            <v>0</v>
          </cell>
          <cell r="D228">
            <v>3.37</v>
          </cell>
          <cell r="F228">
            <v>41852</v>
          </cell>
          <cell r="G228">
            <v>24.180000000000106</v>
          </cell>
          <cell r="H228">
            <v>0</v>
          </cell>
          <cell r="I228">
            <v>24.180000000000106</v>
          </cell>
          <cell r="P228">
            <v>41852</v>
          </cell>
          <cell r="Q228">
            <v>-0.55000000000000004</v>
          </cell>
          <cell r="R228">
            <v>2.8200000000000003</v>
          </cell>
          <cell r="S228">
            <v>3.6151117457119204</v>
          </cell>
          <cell r="T228">
            <v>2.8200000000000003</v>
          </cell>
          <cell r="U228">
            <v>3.6151117457119204</v>
          </cell>
          <cell r="V228">
            <v>0</v>
          </cell>
          <cell r="X228">
            <v>41852</v>
          </cell>
          <cell r="Y228">
            <v>22.787135500943709</v>
          </cell>
          <cell r="Z228">
            <v>0</v>
          </cell>
          <cell r="AA228">
            <v>22.787135500943709</v>
          </cell>
        </row>
        <row r="229">
          <cell r="A229">
            <v>41883</v>
          </cell>
          <cell r="B229">
            <v>3.3660000000000001</v>
          </cell>
          <cell r="C229">
            <v>0</v>
          </cell>
          <cell r="D229">
            <v>3.3660000000000001</v>
          </cell>
          <cell r="F229">
            <v>41883</v>
          </cell>
          <cell r="G229">
            <v>24.230000000000103</v>
          </cell>
          <cell r="H229">
            <v>0</v>
          </cell>
          <cell r="I229">
            <v>24.230000000000103</v>
          </cell>
          <cell r="P229">
            <v>41883</v>
          </cell>
          <cell r="Q229">
            <v>-0.55000000000000004</v>
          </cell>
          <cell r="R229">
            <v>2.8159999999999998</v>
          </cell>
          <cell r="S229">
            <v>3.6073032554127367</v>
          </cell>
          <cell r="T229">
            <v>2.8159999999999998</v>
          </cell>
          <cell r="U229">
            <v>3.6073032554127367</v>
          </cell>
          <cell r="V229">
            <v>0</v>
          </cell>
          <cell r="X229">
            <v>41883</v>
          </cell>
          <cell r="Y229">
            <v>23.046184579693804</v>
          </cell>
          <cell r="Z229">
            <v>0</v>
          </cell>
          <cell r="AA229">
            <v>23.046184579693804</v>
          </cell>
        </row>
        <row r="230">
          <cell r="A230">
            <v>41913</v>
          </cell>
          <cell r="B230">
            <v>3.3820000000000001</v>
          </cell>
          <cell r="C230">
            <v>0</v>
          </cell>
          <cell r="D230">
            <v>3.3820000000000001</v>
          </cell>
          <cell r="F230">
            <v>41913</v>
          </cell>
          <cell r="G230">
            <v>24.280000000000104</v>
          </cell>
          <cell r="H230">
            <v>0</v>
          </cell>
          <cell r="I230">
            <v>24.280000000000104</v>
          </cell>
          <cell r="P230">
            <v>41913</v>
          </cell>
          <cell r="Q230">
            <v>-0.55000000000000004</v>
          </cell>
          <cell r="R230">
            <v>2.8319999999999999</v>
          </cell>
          <cell r="S230">
            <v>3.6251915132557921</v>
          </cell>
          <cell r="T230">
            <v>2.8319999999999999</v>
          </cell>
          <cell r="U230">
            <v>3.6251915132557921</v>
          </cell>
          <cell r="V230">
            <v>0</v>
          </cell>
          <cell r="X230">
            <v>41913</v>
          </cell>
          <cell r="Y230">
            <v>22.919386745733004</v>
          </cell>
          <cell r="Z230">
            <v>0</v>
          </cell>
          <cell r="AA230">
            <v>22.919386745733004</v>
          </cell>
        </row>
        <row r="231">
          <cell r="A231">
            <v>41944</v>
          </cell>
          <cell r="B231">
            <v>3.4630000000000001</v>
          </cell>
          <cell r="C231">
            <v>0</v>
          </cell>
          <cell r="D231">
            <v>3.4630000000000001</v>
          </cell>
          <cell r="F231">
            <v>41944</v>
          </cell>
          <cell r="G231">
            <v>24.330000000000105</v>
          </cell>
          <cell r="H231">
            <v>0</v>
          </cell>
          <cell r="I231">
            <v>24.330000000000105</v>
          </cell>
          <cell r="P231">
            <v>41944</v>
          </cell>
          <cell r="Q231">
            <v>-0.55000000000000004</v>
          </cell>
          <cell r="R231">
            <v>2.9130000000000003</v>
          </cell>
          <cell r="S231">
            <v>3.7261075804030028</v>
          </cell>
          <cell r="T231">
            <v>2.9130000000000003</v>
          </cell>
          <cell r="U231">
            <v>3.7261075804030028</v>
          </cell>
          <cell r="V231">
            <v>0</v>
          </cell>
          <cell r="X231">
            <v>41944</v>
          </cell>
          <cell r="Y231">
            <v>23.120361045222605</v>
          </cell>
          <cell r="Z231">
            <v>0</v>
          </cell>
          <cell r="AA231">
            <v>23.120361045222605</v>
          </cell>
        </row>
        <row r="232">
          <cell r="A232">
            <v>41974</v>
          </cell>
          <cell r="B232">
            <v>3.5560000000000005</v>
          </cell>
          <cell r="C232">
            <v>0</v>
          </cell>
          <cell r="D232">
            <v>3.5560000000000005</v>
          </cell>
          <cell r="F232">
            <v>41974</v>
          </cell>
          <cell r="G232">
            <v>24.380000000000106</v>
          </cell>
          <cell r="H232">
            <v>0</v>
          </cell>
          <cell r="I232">
            <v>24.380000000000106</v>
          </cell>
          <cell r="P232">
            <v>41974</v>
          </cell>
          <cell r="Q232">
            <v>-0.55000000000000004</v>
          </cell>
          <cell r="R232">
            <v>3.0060000000000002</v>
          </cell>
          <cell r="S232">
            <v>3.8423011767698885</v>
          </cell>
          <cell r="T232">
            <v>3.0060000000000002</v>
          </cell>
          <cell r="U232">
            <v>3.8423011767698885</v>
          </cell>
          <cell r="V232">
            <v>0</v>
          </cell>
          <cell r="X232">
            <v>41974</v>
          </cell>
          <cell r="Y232">
            <v>23.184237657521198</v>
          </cell>
          <cell r="Z232">
            <v>0</v>
          </cell>
          <cell r="AA232">
            <v>23.184237657521198</v>
          </cell>
        </row>
        <row r="233">
          <cell r="A233">
            <v>42005</v>
          </cell>
          <cell r="B233">
            <v>3.5965000000000003</v>
          </cell>
          <cell r="C233">
            <v>0</v>
          </cell>
          <cell r="D233">
            <v>3.5965000000000003</v>
          </cell>
          <cell r="F233">
            <v>42005</v>
          </cell>
          <cell r="G233">
            <v>24.430000000000106</v>
          </cell>
          <cell r="H233">
            <v>0</v>
          </cell>
          <cell r="I233">
            <v>24.430000000000106</v>
          </cell>
          <cell r="P233">
            <v>42005</v>
          </cell>
          <cell r="Q233">
            <v>-0.55000000000000004</v>
          </cell>
          <cell r="R233">
            <v>3.0465</v>
          </cell>
          <cell r="S233">
            <v>3.8911737510668476</v>
          </cell>
          <cell r="T233">
            <v>3.0465</v>
          </cell>
          <cell r="U233">
            <v>3.8911737510668476</v>
          </cell>
          <cell r="V233">
            <v>0</v>
          </cell>
          <cell r="X233">
            <v>42005</v>
          </cell>
          <cell r="Y233">
            <v>23.219562342478909</v>
          </cell>
          <cell r="Z233">
            <v>0</v>
          </cell>
          <cell r="AA233">
            <v>23.219562342478909</v>
          </cell>
        </row>
        <row r="234">
          <cell r="A234">
            <v>42036</v>
          </cell>
          <cell r="B234">
            <v>3.5315000000000003</v>
          </cell>
          <cell r="C234">
            <v>0</v>
          </cell>
          <cell r="D234">
            <v>3.5315000000000003</v>
          </cell>
          <cell r="F234">
            <v>42036</v>
          </cell>
          <cell r="G234">
            <v>24.480000000000103</v>
          </cell>
          <cell r="H234">
            <v>0</v>
          </cell>
          <cell r="I234">
            <v>24.480000000000103</v>
          </cell>
          <cell r="P234">
            <v>42036</v>
          </cell>
          <cell r="Q234">
            <v>-0.55000000000000004</v>
          </cell>
          <cell r="R234">
            <v>2.9815000000000005</v>
          </cell>
          <cell r="S234">
            <v>3.8053199149770092</v>
          </cell>
          <cell r="T234">
            <v>2.9815000000000005</v>
          </cell>
          <cell r="U234">
            <v>3.8053199149770092</v>
          </cell>
          <cell r="V234">
            <v>0</v>
          </cell>
          <cell r="X234">
            <v>42036</v>
          </cell>
          <cell r="Y234">
            <v>23.280514714601004</v>
          </cell>
          <cell r="Z234">
            <v>0</v>
          </cell>
          <cell r="AA234">
            <v>23.280514714601004</v>
          </cell>
        </row>
        <row r="235">
          <cell r="A235">
            <v>42064</v>
          </cell>
          <cell r="B235">
            <v>3.4525000000000001</v>
          </cell>
          <cell r="C235">
            <v>0</v>
          </cell>
          <cell r="D235">
            <v>3.4525000000000001</v>
          </cell>
          <cell r="F235">
            <v>42064</v>
          </cell>
          <cell r="G235">
            <v>24.530000000000104</v>
          </cell>
          <cell r="H235">
            <v>0</v>
          </cell>
          <cell r="I235">
            <v>24.530000000000104</v>
          </cell>
          <cell r="P235">
            <v>42064</v>
          </cell>
          <cell r="Q235">
            <v>-0.55000000000000004</v>
          </cell>
          <cell r="R235">
            <v>2.9024999999999999</v>
          </cell>
          <cell r="S235">
            <v>3.702002370711412</v>
          </cell>
          <cell r="T235">
            <v>2.9024999999999999</v>
          </cell>
          <cell r="U235">
            <v>3.702002370711412</v>
          </cell>
          <cell r="V235">
            <v>0</v>
          </cell>
          <cell r="X235">
            <v>42064</v>
          </cell>
          <cell r="Y235">
            <v>23.3680722973827</v>
          </cell>
          <cell r="Z235">
            <v>0</v>
          </cell>
          <cell r="AA235">
            <v>23.3680722973827</v>
          </cell>
        </row>
        <row r="236">
          <cell r="A236">
            <v>42095</v>
          </cell>
          <cell r="B236">
            <v>3.3885000000000005</v>
          </cell>
          <cell r="C236">
            <v>0</v>
          </cell>
          <cell r="D236">
            <v>3.3885000000000005</v>
          </cell>
          <cell r="F236">
            <v>42095</v>
          </cell>
          <cell r="G236">
            <v>24.580000000000105</v>
          </cell>
          <cell r="H236">
            <v>0</v>
          </cell>
          <cell r="I236">
            <v>24.580000000000105</v>
          </cell>
          <cell r="P236">
            <v>42095</v>
          </cell>
          <cell r="Q236">
            <v>-0.55000000000000004</v>
          </cell>
          <cell r="R236">
            <v>2.8385000000000007</v>
          </cell>
          <cell r="S236">
            <v>3.6177145926340031</v>
          </cell>
          <cell r="T236">
            <v>2.8385000000000007</v>
          </cell>
          <cell r="U236">
            <v>3.6177145926340031</v>
          </cell>
          <cell r="V236">
            <v>0</v>
          </cell>
          <cell r="X236">
            <v>42095</v>
          </cell>
          <cell r="Y236">
            <v>23.379927702617508</v>
          </cell>
          <cell r="Z236">
            <v>0</v>
          </cell>
          <cell r="AA236">
            <v>23.379927702617508</v>
          </cell>
        </row>
        <row r="237">
          <cell r="A237">
            <v>42125</v>
          </cell>
          <cell r="B237">
            <v>3.4005000000000001</v>
          </cell>
          <cell r="C237">
            <v>0</v>
          </cell>
          <cell r="D237">
            <v>3.4005000000000001</v>
          </cell>
          <cell r="F237">
            <v>42125</v>
          </cell>
          <cell r="G237">
            <v>24.630000000000106</v>
          </cell>
          <cell r="H237">
            <v>0</v>
          </cell>
          <cell r="I237">
            <v>24.630000000000106</v>
          </cell>
          <cell r="P237">
            <v>42125</v>
          </cell>
          <cell r="Q237">
            <v>-0.55000000000000004</v>
          </cell>
          <cell r="R237">
            <v>2.8505000000000003</v>
          </cell>
          <cell r="S237">
            <v>3.631451329166016</v>
          </cell>
          <cell r="T237">
            <v>2.8505000000000003</v>
          </cell>
          <cell r="U237">
            <v>3.631451329166016</v>
          </cell>
          <cell r="V237">
            <v>0</v>
          </cell>
          <cell r="X237">
            <v>42125</v>
          </cell>
          <cell r="Y237">
            <v>23.466976914485603</v>
          </cell>
          <cell r="Z237">
            <v>0</v>
          </cell>
          <cell r="AA237">
            <v>23.466976914485603</v>
          </cell>
        </row>
        <row r="238">
          <cell r="A238">
            <v>42156</v>
          </cell>
          <cell r="B238">
            <v>3.4215000000000004</v>
          </cell>
          <cell r="C238">
            <v>0</v>
          </cell>
          <cell r="D238">
            <v>3.4215000000000004</v>
          </cell>
          <cell r="F238">
            <v>42156</v>
          </cell>
          <cell r="G238">
            <v>24.680000000000106</v>
          </cell>
          <cell r="H238">
            <v>0</v>
          </cell>
          <cell r="I238">
            <v>24.680000000000106</v>
          </cell>
          <cell r="P238">
            <v>42156</v>
          </cell>
          <cell r="Q238">
            <v>-0.55000000000000004</v>
          </cell>
          <cell r="R238">
            <v>2.8715000000000002</v>
          </cell>
          <cell r="S238">
            <v>3.6565955901932625</v>
          </cell>
          <cell r="T238">
            <v>2.8715000000000002</v>
          </cell>
          <cell r="U238">
            <v>3.6565955901932625</v>
          </cell>
          <cell r="V238">
            <v>0</v>
          </cell>
          <cell r="X238">
            <v>42156</v>
          </cell>
          <cell r="Y238">
            <v>23.26476923792881</v>
          </cell>
          <cell r="Z238">
            <v>0</v>
          </cell>
          <cell r="AA238">
            <v>23.26476923792881</v>
          </cell>
        </row>
        <row r="239">
          <cell r="A239">
            <v>42186</v>
          </cell>
          <cell r="B239">
            <v>3.4325000000000001</v>
          </cell>
          <cell r="C239">
            <v>0</v>
          </cell>
          <cell r="D239">
            <v>3.4325000000000001</v>
          </cell>
          <cell r="F239">
            <v>42186</v>
          </cell>
          <cell r="G239">
            <v>24.730000000000103</v>
          </cell>
          <cell r="H239">
            <v>0</v>
          </cell>
          <cell r="I239">
            <v>24.730000000000103</v>
          </cell>
          <cell r="P239">
            <v>42186</v>
          </cell>
          <cell r="Q239">
            <v>-0.55000000000000004</v>
          </cell>
          <cell r="R239">
            <v>2.8825000000000003</v>
          </cell>
          <cell r="S239">
            <v>3.6690516916458784</v>
          </cell>
          <cell r="T239">
            <v>2.8825000000000003</v>
          </cell>
          <cell r="U239">
            <v>3.6690516916458784</v>
          </cell>
          <cell r="V239">
            <v>0</v>
          </cell>
          <cell r="X239">
            <v>42186</v>
          </cell>
          <cell r="Y239">
            <v>23.532800692792105</v>
          </cell>
          <cell r="Z239">
            <v>0</v>
          </cell>
          <cell r="AA239">
            <v>23.532800692792105</v>
          </cell>
        </row>
        <row r="240">
          <cell r="A240">
            <v>42217</v>
          </cell>
          <cell r="B240">
            <v>3.4415000000000004</v>
          </cell>
          <cell r="C240">
            <v>0</v>
          </cell>
          <cell r="D240">
            <v>3.4415000000000004</v>
          </cell>
          <cell r="F240">
            <v>42217</v>
          </cell>
          <cell r="G240">
            <v>24.780000000000104</v>
          </cell>
          <cell r="H240">
            <v>0</v>
          </cell>
          <cell r="I240">
            <v>24.780000000000104</v>
          </cell>
          <cell r="P240">
            <v>42217</v>
          </cell>
          <cell r="Q240">
            <v>-0.55000000000000004</v>
          </cell>
          <cell r="R240">
            <v>2.8915000000000006</v>
          </cell>
          <cell r="S240">
            <v>3.6789115884291292</v>
          </cell>
          <cell r="T240">
            <v>2.8915000000000006</v>
          </cell>
          <cell r="U240">
            <v>3.6789115884291292</v>
          </cell>
          <cell r="V240">
            <v>0</v>
          </cell>
          <cell r="X240">
            <v>42217</v>
          </cell>
          <cell r="Y240">
            <v>23.389082756006701</v>
          </cell>
          <cell r="Z240">
            <v>0</v>
          </cell>
          <cell r="AA240">
            <v>23.389082756006701</v>
          </cell>
        </row>
        <row r="241">
          <cell r="A241">
            <v>42248</v>
          </cell>
          <cell r="B241">
            <v>3.4365000000000006</v>
          </cell>
          <cell r="C241">
            <v>0</v>
          </cell>
          <cell r="D241">
            <v>3.4365000000000006</v>
          </cell>
          <cell r="F241">
            <v>42248</v>
          </cell>
          <cell r="G241">
            <v>24.830000000000105</v>
          </cell>
          <cell r="H241">
            <v>0</v>
          </cell>
          <cell r="I241">
            <v>24.830000000000105</v>
          </cell>
          <cell r="P241">
            <v>42248</v>
          </cell>
          <cell r="Q241">
            <v>-0.55000000000000004</v>
          </cell>
          <cell r="R241">
            <v>2.8865000000000007</v>
          </cell>
          <cell r="S241">
            <v>3.6709691457411351</v>
          </cell>
          <cell r="T241">
            <v>2.8865000000000007</v>
          </cell>
          <cell r="U241">
            <v>3.6709691457411351</v>
          </cell>
          <cell r="V241">
            <v>0</v>
          </cell>
          <cell r="X241">
            <v>42248</v>
          </cell>
          <cell r="Y241">
            <v>23.643113264610406</v>
          </cell>
          <cell r="Z241">
            <v>0</v>
          </cell>
          <cell r="AA241">
            <v>23.643113264610406</v>
          </cell>
        </row>
        <row r="242">
          <cell r="A242">
            <v>42278</v>
          </cell>
          <cell r="B242">
            <v>3.4515000000000002</v>
          </cell>
          <cell r="C242">
            <v>0</v>
          </cell>
          <cell r="D242">
            <v>3.4515000000000002</v>
          </cell>
          <cell r="F242">
            <v>42278</v>
          </cell>
          <cell r="G242">
            <v>24.880000000000106</v>
          </cell>
          <cell r="H242">
            <v>0</v>
          </cell>
          <cell r="I242">
            <v>24.880000000000106</v>
          </cell>
          <cell r="P242">
            <v>42278</v>
          </cell>
          <cell r="Q242">
            <v>-0.55000000000000004</v>
          </cell>
          <cell r="R242">
            <v>2.9015000000000004</v>
          </cell>
          <cell r="S242">
            <v>3.6885197171927309</v>
          </cell>
          <cell r="T242">
            <v>2.9015000000000004</v>
          </cell>
          <cell r="U242">
            <v>3.6885197171927309</v>
          </cell>
          <cell r="V242">
            <v>0</v>
          </cell>
          <cell r="X242">
            <v>42278</v>
          </cell>
          <cell r="Y242">
            <v>23.522178850354404</v>
          </cell>
          <cell r="Z242">
            <v>0</v>
          </cell>
          <cell r="AA242">
            <v>23.522178850354404</v>
          </cell>
        </row>
        <row r="243">
          <cell r="A243">
            <v>42309</v>
          </cell>
          <cell r="B243">
            <v>3.5274999999999999</v>
          </cell>
          <cell r="C243">
            <v>0</v>
          </cell>
          <cell r="D243">
            <v>3.5274999999999999</v>
          </cell>
          <cell r="F243">
            <v>42309</v>
          </cell>
          <cell r="G243">
            <v>24.930000000000106</v>
          </cell>
          <cell r="H243">
            <v>0</v>
          </cell>
          <cell r="I243">
            <v>24.930000000000106</v>
          </cell>
          <cell r="P243">
            <v>42309</v>
          </cell>
          <cell r="Q243">
            <v>-0.55000000000000004</v>
          </cell>
          <cell r="R243">
            <v>2.9775</v>
          </cell>
          <cell r="S243">
            <v>3.7835287166091605</v>
          </cell>
          <cell r="T243">
            <v>2.9775</v>
          </cell>
          <cell r="U243">
            <v>3.7835287166091605</v>
          </cell>
          <cell r="V243">
            <v>0</v>
          </cell>
          <cell r="X243">
            <v>42309</v>
          </cell>
          <cell r="Y243">
            <v>23.722200958038201</v>
          </cell>
          <cell r="Z243">
            <v>0</v>
          </cell>
          <cell r="AA243">
            <v>23.722200958038201</v>
          </cell>
        </row>
        <row r="244">
          <cell r="A244">
            <v>42339</v>
          </cell>
          <cell r="B244">
            <v>3.6175000000000002</v>
          </cell>
          <cell r="C244">
            <v>0</v>
          </cell>
          <cell r="D244">
            <v>3.6175000000000002</v>
          </cell>
          <cell r="F244">
            <v>42339</v>
          </cell>
          <cell r="G244">
            <v>24.980000000000103</v>
          </cell>
          <cell r="H244">
            <v>0</v>
          </cell>
          <cell r="I244">
            <v>24.980000000000103</v>
          </cell>
          <cell r="P244">
            <v>42339</v>
          </cell>
          <cell r="Q244">
            <v>-0.55000000000000004</v>
          </cell>
          <cell r="R244">
            <v>3.0674999999999999</v>
          </cell>
          <cell r="S244">
            <v>3.8963038906429048</v>
          </cell>
          <cell r="T244">
            <v>3.0674999999999999</v>
          </cell>
          <cell r="U244">
            <v>3.8963038906429048</v>
          </cell>
          <cell r="V244">
            <v>0</v>
          </cell>
          <cell r="X244">
            <v>42339</v>
          </cell>
          <cell r="Y244">
            <v>23.782482534968302</v>
          </cell>
          <cell r="Z244">
            <v>0</v>
          </cell>
          <cell r="AA244">
            <v>23.782482534968302</v>
          </cell>
        </row>
        <row r="245">
          <cell r="A245">
            <v>42370</v>
          </cell>
          <cell r="B245">
            <v>3.6560000000000001</v>
          </cell>
          <cell r="C245">
            <v>0</v>
          </cell>
          <cell r="D245">
            <v>3.6560000000000001</v>
          </cell>
          <cell r="F245">
            <v>42370</v>
          </cell>
          <cell r="G245">
            <v>25.030000000000104</v>
          </cell>
          <cell r="H245">
            <v>0</v>
          </cell>
          <cell r="I245">
            <v>25.030000000000104</v>
          </cell>
          <cell r="P245">
            <v>42370</v>
          </cell>
          <cell r="Q245">
            <v>-0.55000000000000004</v>
          </cell>
          <cell r="R245">
            <v>3.1059999999999999</v>
          </cell>
          <cell r="S245">
            <v>3.9435571947592809</v>
          </cell>
          <cell r="T245">
            <v>3.1059999999999999</v>
          </cell>
          <cell r="U245">
            <v>3.9435571947592809</v>
          </cell>
          <cell r="V245">
            <v>0</v>
          </cell>
          <cell r="X245">
            <v>42370</v>
          </cell>
          <cell r="Y245">
            <v>23.818188604574406</v>
          </cell>
          <cell r="Z245">
            <v>0</v>
          </cell>
          <cell r="AA245">
            <v>23.818188604574406</v>
          </cell>
        </row>
        <row r="246">
          <cell r="A246">
            <v>42401</v>
          </cell>
          <cell r="B246">
            <v>3.5950000000000002</v>
          </cell>
          <cell r="C246">
            <v>0</v>
          </cell>
          <cell r="D246">
            <v>3.5950000000000002</v>
          </cell>
          <cell r="F246">
            <v>42401</v>
          </cell>
          <cell r="G246">
            <v>25.080000000000105</v>
          </cell>
          <cell r="H246">
            <v>0</v>
          </cell>
          <cell r="I246">
            <v>25.080000000000105</v>
          </cell>
          <cell r="P246">
            <v>42401</v>
          </cell>
          <cell r="Q246">
            <v>-0.55000000000000004</v>
          </cell>
          <cell r="R246">
            <v>3.0449999999999999</v>
          </cell>
          <cell r="S246">
            <v>3.8645044294188149</v>
          </cell>
          <cell r="T246">
            <v>3.0449999999999999</v>
          </cell>
          <cell r="U246">
            <v>3.8645044294188149</v>
          </cell>
          <cell r="V246">
            <v>0</v>
          </cell>
          <cell r="X246">
            <v>42401</v>
          </cell>
          <cell r="Y246">
            <v>23.885826162854805</v>
          </cell>
          <cell r="Z246">
            <v>0</v>
          </cell>
          <cell r="AA246">
            <v>23.885826162854805</v>
          </cell>
        </row>
        <row r="247">
          <cell r="A247">
            <v>42430</v>
          </cell>
          <cell r="B247">
            <v>3.5190000000000006</v>
          </cell>
          <cell r="C247">
            <v>0</v>
          </cell>
          <cell r="D247">
            <v>3.5190000000000006</v>
          </cell>
          <cell r="P247">
            <v>42430</v>
          </cell>
          <cell r="Q247">
            <v>-0.55000000000000004</v>
          </cell>
          <cell r="R247">
            <v>2.9690000000000003</v>
          </cell>
          <cell r="S247">
            <v>3.7665991328746404</v>
          </cell>
          <cell r="T247">
            <v>2.9690000000000003</v>
          </cell>
          <cell r="U247">
            <v>3.7665991328746404</v>
          </cell>
          <cell r="V247">
            <v>0</v>
          </cell>
          <cell r="X247">
            <v>42430</v>
          </cell>
          <cell r="Y247">
            <v>23.964324048573509</v>
          </cell>
          <cell r="Z247">
            <v>0</v>
          </cell>
          <cell r="AA247">
            <v>23.964324048573509</v>
          </cell>
        </row>
        <row r="248">
          <cell r="A248">
            <v>42461</v>
          </cell>
          <cell r="B248">
            <v>3.4580000000000002</v>
          </cell>
          <cell r="C248">
            <v>0</v>
          </cell>
          <cell r="D248">
            <v>3.4580000000000002</v>
          </cell>
          <cell r="P248">
            <v>42461</v>
          </cell>
          <cell r="Q248">
            <v>-0.55000000000000004</v>
          </cell>
          <cell r="R248">
            <v>2.9080000000000004</v>
          </cell>
          <cell r="S248">
            <v>3.6877043355463894</v>
          </cell>
          <cell r="T248">
            <v>2.9080000000000004</v>
          </cell>
          <cell r="U248">
            <v>3.6877043355463894</v>
          </cell>
          <cell r="V248">
            <v>0</v>
          </cell>
          <cell r="X248">
            <v>42461</v>
          </cell>
          <cell r="Y248">
            <v>23.986205410387903</v>
          </cell>
          <cell r="Z248">
            <v>0</v>
          </cell>
          <cell r="AA248">
            <v>23.986205410387903</v>
          </cell>
        </row>
        <row r="249">
          <cell r="A249">
            <v>42491</v>
          </cell>
          <cell r="B249">
            <v>3.4710000000000001</v>
          </cell>
          <cell r="C249">
            <v>0</v>
          </cell>
          <cell r="D249">
            <v>3.4710000000000001</v>
          </cell>
          <cell r="P249">
            <v>42491</v>
          </cell>
          <cell r="Q249">
            <v>-0.55000000000000004</v>
          </cell>
          <cell r="R249">
            <v>2.9210000000000003</v>
          </cell>
          <cell r="S249">
            <v>3.7027362190246902</v>
          </cell>
          <cell r="T249">
            <v>2.9210000000000003</v>
          </cell>
          <cell r="U249">
            <v>3.7027362190246902</v>
          </cell>
          <cell r="V249">
            <v>0</v>
          </cell>
          <cell r="X249">
            <v>42491</v>
          </cell>
          <cell r="Y249">
            <v>24.065572761240205</v>
          </cell>
          <cell r="Z249">
            <v>0</v>
          </cell>
          <cell r="AA249">
            <v>24.065572761240205</v>
          </cell>
        </row>
        <row r="250">
          <cell r="A250">
            <v>42522</v>
          </cell>
          <cell r="B250">
            <v>3.4930000000000003</v>
          </cell>
          <cell r="C250">
            <v>0</v>
          </cell>
          <cell r="D250">
            <v>3.4930000000000003</v>
          </cell>
          <cell r="P250">
            <v>42522</v>
          </cell>
          <cell r="Q250">
            <v>-0.55000000000000004</v>
          </cell>
          <cell r="R250">
            <v>2.9430000000000005</v>
          </cell>
          <cell r="S250">
            <v>3.7291227432701319</v>
          </cell>
          <cell r="T250">
            <v>2.9430000000000005</v>
          </cell>
          <cell r="U250">
            <v>3.7291227432701319</v>
          </cell>
          <cell r="V250">
            <v>0</v>
          </cell>
          <cell r="X250">
            <v>42522</v>
          </cell>
          <cell r="Y250">
            <v>23.854797489781809</v>
          </cell>
          <cell r="Z250">
            <v>0</v>
          </cell>
          <cell r="AA250">
            <v>23.854797489781809</v>
          </cell>
        </row>
        <row r="251">
          <cell r="A251">
            <v>42552</v>
          </cell>
          <cell r="B251">
            <v>3.5040000000000004</v>
          </cell>
          <cell r="C251">
            <v>0</v>
          </cell>
          <cell r="D251">
            <v>3.5040000000000004</v>
          </cell>
          <cell r="P251">
            <v>42552</v>
          </cell>
          <cell r="Q251">
            <v>-0.55000000000000004</v>
          </cell>
          <cell r="R251">
            <v>2.9540000000000006</v>
          </cell>
          <cell r="S251">
            <v>3.7416146467690492</v>
          </cell>
          <cell r="T251">
            <v>2.9540000000000006</v>
          </cell>
          <cell r="U251">
            <v>3.7416146467690492</v>
          </cell>
          <cell r="V251">
            <v>0</v>
          </cell>
          <cell r="X251">
            <v>42552</v>
          </cell>
          <cell r="Y251">
            <v>24.129085425182002</v>
          </cell>
          <cell r="Z251">
            <v>0</v>
          </cell>
          <cell r="AA251">
            <v>24.129085425182002</v>
          </cell>
        </row>
        <row r="252">
          <cell r="A252">
            <v>42583</v>
          </cell>
          <cell r="B252">
            <v>3.5130000000000003</v>
          </cell>
          <cell r="C252">
            <v>0</v>
          </cell>
          <cell r="D252">
            <v>3.5130000000000003</v>
          </cell>
          <cell r="P252">
            <v>42583</v>
          </cell>
          <cell r="Q252">
            <v>-0.55000000000000004</v>
          </cell>
          <cell r="R252">
            <v>2.9630000000000001</v>
          </cell>
          <cell r="S252">
            <v>3.7515274462328363</v>
          </cell>
          <cell r="T252">
            <v>2.9630000000000001</v>
          </cell>
          <cell r="U252">
            <v>3.7515274462328363</v>
          </cell>
          <cell r="V252">
            <v>0</v>
          </cell>
          <cell r="X252">
            <v>42583</v>
          </cell>
          <cell r="Y252">
            <v>23.996345479015105</v>
          </cell>
          <cell r="Z252">
            <v>0</v>
          </cell>
          <cell r="AA252">
            <v>23.996345479015105</v>
          </cell>
        </row>
        <row r="253">
          <cell r="A253">
            <v>42614</v>
          </cell>
          <cell r="B253">
            <v>3.5070000000000001</v>
          </cell>
          <cell r="C253">
            <v>0</v>
          </cell>
          <cell r="D253">
            <v>3.5070000000000001</v>
          </cell>
          <cell r="P253">
            <v>42614</v>
          </cell>
          <cell r="Q253">
            <v>-0.55000000000000004</v>
          </cell>
          <cell r="R253">
            <v>2.9569999999999999</v>
          </cell>
          <cell r="S253">
            <v>3.7424593329849407</v>
          </cell>
          <cell r="T253">
            <v>2.9569999999999999</v>
          </cell>
          <cell r="U253">
            <v>3.7424593329849407</v>
          </cell>
          <cell r="V253">
            <v>0</v>
          </cell>
          <cell r="X253">
            <v>42614</v>
          </cell>
          <cell r="Y253">
            <v>24.252649564531907</v>
          </cell>
          <cell r="Z253">
            <v>0</v>
          </cell>
          <cell r="AA253">
            <v>24.252649564531907</v>
          </cell>
        </row>
        <row r="254">
          <cell r="A254">
            <v>42644</v>
          </cell>
          <cell r="B254">
            <v>3.5210000000000004</v>
          </cell>
          <cell r="C254">
            <v>0</v>
          </cell>
          <cell r="D254">
            <v>3.5210000000000004</v>
          </cell>
          <cell r="P254">
            <v>42644</v>
          </cell>
          <cell r="Q254">
            <v>-0.55000000000000004</v>
          </cell>
          <cell r="R254">
            <v>2.9710000000000001</v>
          </cell>
          <cell r="S254">
            <v>3.7587593781921469</v>
          </cell>
          <cell r="T254">
            <v>2.9710000000000001</v>
          </cell>
          <cell r="U254">
            <v>3.7587593781921469</v>
          </cell>
          <cell r="V254">
            <v>0</v>
          </cell>
          <cell r="X254">
            <v>42644</v>
          </cell>
          <cell r="Y254">
            <v>24.124984950360304</v>
          </cell>
          <cell r="Z254">
            <v>0</v>
          </cell>
          <cell r="AA254">
            <v>24.124984950360304</v>
          </cell>
        </row>
        <row r="255">
          <cell r="A255">
            <v>42675</v>
          </cell>
          <cell r="B255">
            <v>3.5920000000000001</v>
          </cell>
          <cell r="C255">
            <v>0</v>
          </cell>
          <cell r="D255">
            <v>3.5920000000000001</v>
          </cell>
          <cell r="P255">
            <v>42675</v>
          </cell>
          <cell r="Q255">
            <v>-0.55000000000000004</v>
          </cell>
          <cell r="R255">
            <v>3.0419999999999998</v>
          </cell>
          <cell r="S255">
            <v>3.8470965237754919</v>
          </cell>
          <cell r="T255">
            <v>3.0419999999999998</v>
          </cell>
          <cell r="U255">
            <v>3.8470965237754919</v>
          </cell>
          <cell r="V255">
            <v>0</v>
          </cell>
          <cell r="X255">
            <v>42675</v>
          </cell>
          <cell r="Y255">
            <v>24.319862541366607</v>
          </cell>
          <cell r="Z255">
            <v>0</v>
          </cell>
          <cell r="AA255">
            <v>24.319862541366607</v>
          </cell>
        </row>
        <row r="256">
          <cell r="A256">
            <v>42705</v>
          </cell>
          <cell r="B256">
            <v>3.6790000000000003</v>
          </cell>
          <cell r="C256">
            <v>0</v>
          </cell>
          <cell r="D256">
            <v>3.6790000000000003</v>
          </cell>
          <cell r="P256">
            <v>42705</v>
          </cell>
          <cell r="Q256">
            <v>-0.55000000000000004</v>
          </cell>
          <cell r="R256">
            <v>3.1290000000000004</v>
          </cell>
          <cell r="S256">
            <v>3.9556528258448682</v>
          </cell>
          <cell r="T256">
            <v>3.1290000000000004</v>
          </cell>
          <cell r="U256">
            <v>3.9556528258448682</v>
          </cell>
          <cell r="V256">
            <v>0</v>
          </cell>
          <cell r="X256">
            <v>42705</v>
          </cell>
          <cell r="Y256">
            <v>24.384206780576001</v>
          </cell>
          <cell r="Z256">
            <v>0</v>
          </cell>
          <cell r="AA256">
            <v>24.384206780576001</v>
          </cell>
        </row>
        <row r="257">
          <cell r="A257">
            <v>42736</v>
          </cell>
          <cell r="B257">
            <v>3.7155</v>
          </cell>
          <cell r="C257">
            <v>0</v>
          </cell>
          <cell r="D257">
            <v>3.7155</v>
          </cell>
          <cell r="P257">
            <v>42736</v>
          </cell>
          <cell r="Q257">
            <v>-0.55000000000000004</v>
          </cell>
          <cell r="R257">
            <v>3.1654999999999998</v>
          </cell>
          <cell r="S257">
            <v>4.0002730345146791</v>
          </cell>
          <cell r="T257">
            <v>3.1654999999999998</v>
          </cell>
          <cell r="U257">
            <v>4.0002730345146791</v>
          </cell>
          <cell r="V257">
            <v>0</v>
          </cell>
          <cell r="X257">
            <v>42736</v>
          </cell>
          <cell r="Y257">
            <v>24.422477682853504</v>
          </cell>
          <cell r="Z257">
            <v>0</v>
          </cell>
          <cell r="AA257">
            <v>24.422477682853504</v>
          </cell>
        </row>
        <row r="258">
          <cell r="A258">
            <v>42767</v>
          </cell>
          <cell r="B258">
            <v>3.6585000000000001</v>
          </cell>
          <cell r="C258">
            <v>0</v>
          </cell>
          <cell r="D258">
            <v>3.6585000000000001</v>
          </cell>
          <cell r="P258">
            <v>42767</v>
          </cell>
          <cell r="Q258">
            <v>-0.55000000000000004</v>
          </cell>
          <cell r="R258">
            <v>3.1085000000000003</v>
          </cell>
          <cell r="S258">
            <v>3.9267592768079864</v>
          </cell>
          <cell r="T258">
            <v>3.1085000000000003</v>
          </cell>
          <cell r="U258">
            <v>3.9267592768079864</v>
          </cell>
          <cell r="V258">
            <v>0</v>
          </cell>
          <cell r="X258">
            <v>42767</v>
          </cell>
          <cell r="Y258">
            <v>24.482251930955609</v>
          </cell>
          <cell r="Z258">
            <v>0</v>
          </cell>
          <cell r="AA258">
            <v>24.482251930955609</v>
          </cell>
        </row>
        <row r="259">
          <cell r="A259">
            <v>42795</v>
          </cell>
          <cell r="B259">
            <v>3.5855000000000001</v>
          </cell>
          <cell r="C259">
            <v>0</v>
          </cell>
          <cell r="D259">
            <v>3.5855000000000001</v>
          </cell>
          <cell r="P259">
            <v>42795</v>
          </cell>
          <cell r="Q259">
            <v>-0.55000000000000004</v>
          </cell>
          <cell r="R259">
            <v>3.0354999999999999</v>
          </cell>
          <cell r="S259">
            <v>3.8332467886310524</v>
          </cell>
          <cell r="T259">
            <v>3.0354999999999999</v>
          </cell>
          <cell r="U259">
            <v>3.8332467886310524</v>
          </cell>
          <cell r="V259">
            <v>0</v>
          </cell>
          <cell r="X259">
            <v>42795</v>
          </cell>
          <cell r="Y259">
            <v>24.565040057537203</v>
          </cell>
          <cell r="Z259">
            <v>0</v>
          </cell>
          <cell r="AA259">
            <v>24.565040057537203</v>
          </cell>
        </row>
        <row r="260">
          <cell r="A260">
            <v>42826</v>
          </cell>
          <cell r="B260">
            <v>3.5274999999999999</v>
          </cell>
          <cell r="C260">
            <v>0</v>
          </cell>
          <cell r="D260">
            <v>3.5274999999999999</v>
          </cell>
          <cell r="P260">
            <v>42826</v>
          </cell>
          <cell r="Q260">
            <v>-0.55000000000000004</v>
          </cell>
          <cell r="R260">
            <v>2.9775</v>
          </cell>
          <cell r="S260">
            <v>3.7586079324444079</v>
          </cell>
          <cell r="T260">
            <v>2.9775</v>
          </cell>
          <cell r="U260">
            <v>3.7586079324444079</v>
          </cell>
          <cell r="V260">
            <v>0</v>
          </cell>
          <cell r="X260">
            <v>42826</v>
          </cell>
          <cell r="Y260">
            <v>24.587959942463005</v>
          </cell>
          <cell r="Z260">
            <v>0</v>
          </cell>
          <cell r="AA260">
            <v>24.587959942463005</v>
          </cell>
        </row>
        <row r="261">
          <cell r="A261">
            <v>42856</v>
          </cell>
          <cell r="B261">
            <v>3.5415000000000005</v>
          </cell>
          <cell r="C261">
            <v>0</v>
          </cell>
          <cell r="D261">
            <v>3.5415000000000005</v>
          </cell>
          <cell r="P261">
            <v>42856</v>
          </cell>
          <cell r="Q261">
            <v>-0.55000000000000004</v>
          </cell>
          <cell r="R261">
            <v>2.9915000000000003</v>
          </cell>
          <cell r="S261">
            <v>3.7749351078612907</v>
          </cell>
          <cell r="T261">
            <v>2.9915000000000003</v>
          </cell>
          <cell r="U261">
            <v>3.7749351078612907</v>
          </cell>
          <cell r="V261">
            <v>0</v>
          </cell>
          <cell r="X261">
            <v>42856</v>
          </cell>
          <cell r="Y261">
            <v>24.664223121182506</v>
          </cell>
          <cell r="Z261">
            <v>0</v>
          </cell>
          <cell r="AA261">
            <v>24.664223121182506</v>
          </cell>
        </row>
        <row r="262">
          <cell r="A262">
            <v>42887</v>
          </cell>
          <cell r="B262">
            <v>3.5644999999999998</v>
          </cell>
          <cell r="C262">
            <v>0</v>
          </cell>
          <cell r="D262">
            <v>3.5644999999999998</v>
          </cell>
          <cell r="P262">
            <v>42887</v>
          </cell>
          <cell r="Q262">
            <v>-0.55000000000000004</v>
          </cell>
          <cell r="R262">
            <v>3.0145</v>
          </cell>
          <cell r="S262">
            <v>3.8025698064547737</v>
          </cell>
          <cell r="T262">
            <v>3.0145</v>
          </cell>
          <cell r="U262">
            <v>3.8025698064547737</v>
          </cell>
          <cell r="V262">
            <v>0</v>
          </cell>
          <cell r="X262">
            <v>42887</v>
          </cell>
          <cell r="Y262">
            <v>24.44277687881771</v>
          </cell>
          <cell r="Z262">
            <v>0</v>
          </cell>
          <cell r="AA262">
            <v>24.44277687881771</v>
          </cell>
        </row>
        <row r="263">
          <cell r="A263">
            <v>42917</v>
          </cell>
          <cell r="B263">
            <v>3.5755000000000003</v>
          </cell>
          <cell r="C263">
            <v>0</v>
          </cell>
          <cell r="D263">
            <v>3.5755000000000003</v>
          </cell>
          <cell r="P263">
            <v>42917</v>
          </cell>
          <cell r="Q263">
            <v>-0.55000000000000004</v>
          </cell>
          <cell r="R263">
            <v>3.0255000000000001</v>
          </cell>
          <cell r="S263">
            <v>3.8151086958357041</v>
          </cell>
          <cell r="T263">
            <v>3.0255000000000001</v>
          </cell>
          <cell r="U263">
            <v>3.8151086958357041</v>
          </cell>
          <cell r="V263">
            <v>0</v>
          </cell>
          <cell r="X263">
            <v>42917</v>
          </cell>
          <cell r="Y263">
            <v>24.731363939371199</v>
          </cell>
          <cell r="Z263">
            <v>0</v>
          </cell>
          <cell r="AA263">
            <v>24.731363939371199</v>
          </cell>
        </row>
        <row r="264">
          <cell r="A264">
            <v>42948</v>
          </cell>
          <cell r="B264">
            <v>3.5844999999999998</v>
          </cell>
          <cell r="C264">
            <v>0</v>
          </cell>
          <cell r="D264">
            <v>3.5844999999999998</v>
          </cell>
          <cell r="P264">
            <v>42948</v>
          </cell>
          <cell r="Q264">
            <v>-0.55000000000000004</v>
          </cell>
          <cell r="R264">
            <v>3.0344999999999995</v>
          </cell>
          <cell r="S264">
            <v>3.8250845207063269</v>
          </cell>
          <cell r="T264">
            <v>3.0344999999999995</v>
          </cell>
          <cell r="U264">
            <v>3.8250845207063269</v>
          </cell>
          <cell r="V264">
            <v>0</v>
          </cell>
          <cell r="X264">
            <v>42948</v>
          </cell>
          <cell r="Y264">
            <v>24.594446717190909</v>
          </cell>
          <cell r="Z264">
            <v>0</v>
          </cell>
          <cell r="AA264">
            <v>24.594446717190909</v>
          </cell>
        </row>
        <row r="265">
          <cell r="A265">
            <v>42979</v>
          </cell>
          <cell r="B265">
            <v>3.5775000000000001</v>
          </cell>
          <cell r="C265">
            <v>0</v>
          </cell>
          <cell r="D265">
            <v>3.5775000000000001</v>
          </cell>
          <cell r="P265">
            <v>42979</v>
          </cell>
          <cell r="Q265">
            <v>-0.55000000000000004</v>
          </cell>
          <cell r="R265">
            <v>3.0274999999999999</v>
          </cell>
          <cell r="S265">
            <v>3.8149035232920157</v>
          </cell>
          <cell r="T265">
            <v>3.0274999999999999</v>
          </cell>
          <cell r="U265">
            <v>3.8149035232920157</v>
          </cell>
          <cell r="V265">
            <v>0</v>
          </cell>
          <cell r="X265">
            <v>42979</v>
          </cell>
          <cell r="Y265">
            <v>24.854375711644902</v>
          </cell>
          <cell r="Z265">
            <v>0</v>
          </cell>
          <cell r="AA265">
            <v>24.854375711644902</v>
          </cell>
        </row>
        <row r="266">
          <cell r="A266">
            <v>43009</v>
          </cell>
          <cell r="B266">
            <v>3.5905</v>
          </cell>
          <cell r="C266">
            <v>0</v>
          </cell>
          <cell r="D266">
            <v>3.5905</v>
          </cell>
          <cell r="P266">
            <v>43009</v>
          </cell>
          <cell r="Q266">
            <v>-0.55000000000000004</v>
          </cell>
          <cell r="R266">
            <v>3.0404999999999998</v>
          </cell>
          <cell r="S266">
            <v>3.8299775134603675</v>
          </cell>
          <cell r="T266">
            <v>3.0404999999999998</v>
          </cell>
          <cell r="U266">
            <v>3.8299775134603675</v>
          </cell>
          <cell r="V266">
            <v>0</v>
          </cell>
          <cell r="X266">
            <v>43009</v>
          </cell>
          <cell r="Y266">
            <v>24.727503298734906</v>
          </cell>
          <cell r="Z266">
            <v>0</v>
          </cell>
          <cell r="AA266">
            <v>24.727503298734906</v>
          </cell>
        </row>
        <row r="267">
          <cell r="A267">
            <v>43040</v>
          </cell>
          <cell r="B267">
            <v>3.6565000000000003</v>
          </cell>
          <cell r="C267">
            <v>0</v>
          </cell>
          <cell r="D267">
            <v>3.6565000000000003</v>
          </cell>
          <cell r="P267">
            <v>43040</v>
          </cell>
          <cell r="Q267">
            <v>-0.55000000000000004</v>
          </cell>
          <cell r="R267">
            <v>3.1065000000000005</v>
          </cell>
          <cell r="S267">
            <v>3.9117473694412443</v>
          </cell>
          <cell r="T267">
            <v>3.1065000000000005</v>
          </cell>
          <cell r="U267">
            <v>3.9117473694412443</v>
          </cell>
          <cell r="V267">
            <v>0</v>
          </cell>
          <cell r="X267">
            <v>43040</v>
          </cell>
          <cell r="Y267">
            <v>24.922733364786605</v>
          </cell>
          <cell r="Z267">
            <v>0</v>
          </cell>
          <cell r="AA267">
            <v>24.922733364786605</v>
          </cell>
        </row>
        <row r="268">
          <cell r="A268">
            <v>43070</v>
          </cell>
          <cell r="B268">
            <v>3.7405000000000004</v>
          </cell>
          <cell r="C268">
            <v>0</v>
          </cell>
          <cell r="D268">
            <v>3.7405000000000004</v>
          </cell>
          <cell r="P268">
            <v>43070</v>
          </cell>
          <cell r="Q268">
            <v>-0.55000000000000004</v>
          </cell>
          <cell r="R268">
            <v>3.1905000000000001</v>
          </cell>
          <cell r="S268">
            <v>4.0161749495458015</v>
          </cell>
          <cell r="T268">
            <v>3.1905000000000001</v>
          </cell>
          <cell r="U268">
            <v>4.0161749495458015</v>
          </cell>
          <cell r="V268">
            <v>0</v>
          </cell>
          <cell r="X268">
            <v>43070</v>
          </cell>
          <cell r="Y268">
            <v>24.977872196011301</v>
          </cell>
          <cell r="Z268">
            <v>0</v>
          </cell>
          <cell r="AA268">
            <v>24.977872196011301</v>
          </cell>
        </row>
        <row r="269">
          <cell r="A269">
            <v>43101</v>
          </cell>
          <cell r="B269">
            <v>3.7749999999999999</v>
          </cell>
          <cell r="C269">
            <v>0</v>
          </cell>
          <cell r="D269">
            <v>3.7749999999999999</v>
          </cell>
          <cell r="P269">
            <v>43101</v>
          </cell>
          <cell r="Q269">
            <v>-0.55000000000000004</v>
          </cell>
          <cell r="R269">
            <v>3.2249999999999996</v>
          </cell>
          <cell r="S269">
            <v>4.0582101165112503</v>
          </cell>
          <cell r="T269">
            <v>3.2249999999999996</v>
          </cell>
          <cell r="U269">
            <v>4.0582101165112503</v>
          </cell>
          <cell r="V269">
            <v>0</v>
          </cell>
          <cell r="X269">
            <v>43101</v>
          </cell>
          <cell r="Y269">
            <v>25.027756503324103</v>
          </cell>
          <cell r="Z269">
            <v>0</v>
          </cell>
          <cell r="AA269">
            <v>25.027756503324103</v>
          </cell>
        </row>
        <row r="270">
          <cell r="A270">
            <v>43132</v>
          </cell>
          <cell r="B270">
            <v>3.722</v>
          </cell>
          <cell r="C270">
            <v>0</v>
          </cell>
          <cell r="D270">
            <v>3.722</v>
          </cell>
          <cell r="P270">
            <v>43132</v>
          </cell>
          <cell r="Q270">
            <v>-0.55000000000000004</v>
          </cell>
          <cell r="R270">
            <v>3.1719999999999997</v>
          </cell>
          <cell r="S270">
            <v>3.9901599289871275</v>
          </cell>
          <cell r="T270">
            <v>3.1719999999999997</v>
          </cell>
          <cell r="U270">
            <v>3.9901599289871275</v>
          </cell>
          <cell r="V270">
            <v>0</v>
          </cell>
          <cell r="X270">
            <v>43132</v>
          </cell>
          <cell r="Y270">
            <v>25.076043496676103</v>
          </cell>
          <cell r="Z270">
            <v>0</v>
          </cell>
          <cell r="AA270">
            <v>25.076043496676103</v>
          </cell>
        </row>
        <row r="271">
          <cell r="A271">
            <v>43160</v>
          </cell>
          <cell r="B271">
            <v>3.6520000000000001</v>
          </cell>
          <cell r="C271">
            <v>0</v>
          </cell>
          <cell r="D271">
            <v>3.6520000000000001</v>
          </cell>
          <cell r="P271">
            <v>43160</v>
          </cell>
          <cell r="Q271">
            <v>-0.55000000000000004</v>
          </cell>
          <cell r="R271">
            <v>3.1020000000000003</v>
          </cell>
          <cell r="S271">
            <v>3.9009169860324846</v>
          </cell>
          <cell r="T271">
            <v>3.1020000000000003</v>
          </cell>
          <cell r="U271">
            <v>3.9009169860324846</v>
          </cell>
          <cell r="V271">
            <v>0</v>
          </cell>
          <cell r="X271">
            <v>43160</v>
          </cell>
          <cell r="Y271">
            <v>25.166816040762903</v>
          </cell>
          <cell r="Z271">
            <v>0</v>
          </cell>
          <cell r="AA271">
            <v>25.166816040762903</v>
          </cell>
        </row>
        <row r="272">
          <cell r="A272">
            <v>43191</v>
          </cell>
          <cell r="B272">
            <v>3.597</v>
          </cell>
          <cell r="C272">
            <v>0</v>
          </cell>
          <cell r="D272">
            <v>3.597</v>
          </cell>
          <cell r="P272">
            <v>43191</v>
          </cell>
          <cell r="Q272">
            <v>-0.55000000000000004</v>
          </cell>
          <cell r="R272">
            <v>3.0469999999999997</v>
          </cell>
          <cell r="S272">
            <v>3.830472119211056</v>
          </cell>
          <cell r="T272">
            <v>3.0469999999999997</v>
          </cell>
          <cell r="U272">
            <v>3.830472119211056</v>
          </cell>
          <cell r="V272">
            <v>0</v>
          </cell>
          <cell r="X272">
            <v>43191</v>
          </cell>
          <cell r="Y272">
            <v>25.186183959237304</v>
          </cell>
          <cell r="Z272">
            <v>0</v>
          </cell>
          <cell r="AA272">
            <v>25.186183959237304</v>
          </cell>
        </row>
        <row r="273">
          <cell r="A273">
            <v>43221</v>
          </cell>
          <cell r="B273">
            <v>3.6120000000000001</v>
          </cell>
          <cell r="C273">
            <v>0</v>
          </cell>
          <cell r="D273">
            <v>3.6120000000000001</v>
          </cell>
          <cell r="P273">
            <v>43221</v>
          </cell>
          <cell r="Q273">
            <v>-0.55000000000000004</v>
          </cell>
          <cell r="R273">
            <v>3.0620000000000003</v>
          </cell>
          <cell r="S273">
            <v>3.8480965989090588</v>
          </cell>
          <cell r="T273">
            <v>3.0620000000000003</v>
          </cell>
          <cell r="U273">
            <v>3.8480965989090588</v>
          </cell>
          <cell r="V273">
            <v>0</v>
          </cell>
          <cell r="X273">
            <v>43221</v>
          </cell>
          <cell r="Y273">
            <v>25.265930033969109</v>
          </cell>
          <cell r="Z273">
            <v>0</v>
          </cell>
          <cell r="AA273">
            <v>25.265930033969109</v>
          </cell>
        </row>
        <row r="274">
          <cell r="A274">
            <v>43252</v>
          </cell>
          <cell r="B274">
            <v>3.6360000000000001</v>
          </cell>
          <cell r="C274">
            <v>0</v>
          </cell>
          <cell r="D274">
            <v>3.6360000000000001</v>
          </cell>
          <cell r="P274">
            <v>43252</v>
          </cell>
          <cell r="Q274">
            <v>-0.55000000000000004</v>
          </cell>
          <cell r="R274">
            <v>3.0860000000000003</v>
          </cell>
          <cell r="S274">
            <v>3.8769870355230585</v>
          </cell>
          <cell r="T274">
            <v>3.0860000000000003</v>
          </cell>
          <cell r="U274">
            <v>3.8769870355230585</v>
          </cell>
          <cell r="V274">
            <v>0</v>
          </cell>
          <cell r="X274">
            <v>43252</v>
          </cell>
          <cell r="Y274">
            <v>25.0499272418465</v>
          </cell>
          <cell r="Z274">
            <v>0</v>
          </cell>
          <cell r="AA274">
            <v>25.0499272418465</v>
          </cell>
        </row>
        <row r="275">
          <cell r="A275">
            <v>43282</v>
          </cell>
          <cell r="B275">
            <v>3.6469999999999998</v>
          </cell>
          <cell r="C275">
            <v>0</v>
          </cell>
          <cell r="D275">
            <v>3.6469999999999998</v>
          </cell>
          <cell r="P275">
            <v>43282</v>
          </cell>
          <cell r="Q275">
            <v>-0.55000000000000004</v>
          </cell>
          <cell r="R275">
            <v>3.0969999999999995</v>
          </cell>
          <cell r="S275">
            <v>3.8895842600406874</v>
          </cell>
          <cell r="T275">
            <v>3.0969999999999995</v>
          </cell>
          <cell r="U275">
            <v>3.8895842600406874</v>
          </cell>
          <cell r="V275">
            <v>0</v>
          </cell>
          <cell r="X275">
            <v>43282</v>
          </cell>
          <cell r="Y275">
            <v>25.329709813964406</v>
          </cell>
          <cell r="Z275">
            <v>0</v>
          </cell>
          <cell r="AA275">
            <v>25.329709813964406</v>
          </cell>
        </row>
        <row r="276">
          <cell r="A276">
            <v>43313</v>
          </cell>
          <cell r="B276">
            <v>3.6560000000000001</v>
          </cell>
          <cell r="C276">
            <v>0</v>
          </cell>
          <cell r="D276">
            <v>3.6560000000000001</v>
          </cell>
          <cell r="P276">
            <v>43313</v>
          </cell>
          <cell r="Q276">
            <v>-0.55000000000000004</v>
          </cell>
          <cell r="R276">
            <v>3.1059999999999999</v>
          </cell>
          <cell r="S276">
            <v>3.8996334687510585</v>
          </cell>
          <cell r="T276">
            <v>3.1059999999999999</v>
          </cell>
          <cell r="U276">
            <v>3.8996334687510585</v>
          </cell>
          <cell r="V276">
            <v>0</v>
          </cell>
          <cell r="X276">
            <v>43313</v>
          </cell>
          <cell r="Y276">
            <v>25.187400169123503</v>
          </cell>
          <cell r="Z276">
            <v>0</v>
          </cell>
          <cell r="AA276">
            <v>25.187400169123503</v>
          </cell>
        </row>
        <row r="277">
          <cell r="A277">
            <v>43344</v>
          </cell>
          <cell r="B277">
            <v>3.6480000000000001</v>
          </cell>
          <cell r="C277">
            <v>0</v>
          </cell>
          <cell r="D277">
            <v>3.6480000000000001</v>
          </cell>
          <cell r="P277">
            <v>43344</v>
          </cell>
          <cell r="Q277">
            <v>-0.55000000000000004</v>
          </cell>
          <cell r="R277">
            <v>3.0979999999999999</v>
          </cell>
          <cell r="S277">
            <v>3.888351235604516</v>
          </cell>
          <cell r="T277">
            <v>3.0979999999999999</v>
          </cell>
          <cell r="U277">
            <v>3.888351235604516</v>
          </cell>
          <cell r="V277">
            <v>0</v>
          </cell>
          <cell r="X277">
            <v>43344</v>
          </cell>
          <cell r="Y277">
            <v>25.448405414619508</v>
          </cell>
          <cell r="Z277">
            <v>0</v>
          </cell>
          <cell r="AA277">
            <v>25.448405414619508</v>
          </cell>
        </row>
        <row r="278">
          <cell r="A278">
            <v>43374</v>
          </cell>
          <cell r="B278">
            <v>3.66</v>
          </cell>
          <cell r="C278">
            <v>0</v>
          </cell>
          <cell r="D278">
            <v>3.66</v>
          </cell>
          <cell r="P278">
            <v>43374</v>
          </cell>
          <cell r="Q278">
            <v>-0.55000000000000004</v>
          </cell>
          <cell r="R278">
            <v>3.1100000000000003</v>
          </cell>
          <cell r="S278">
            <v>3.9022219934693809</v>
          </cell>
          <cell r="T278">
            <v>3.1100000000000003</v>
          </cell>
          <cell r="U278">
            <v>3.9022219934693809</v>
          </cell>
          <cell r="V278">
            <v>0</v>
          </cell>
          <cell r="X278">
            <v>43374</v>
          </cell>
          <cell r="Y278">
            <v>25.332095834908202</v>
          </cell>
          <cell r="Z278">
            <v>0</v>
          </cell>
          <cell r="AA278">
            <v>25.332095834908202</v>
          </cell>
        </row>
        <row r="279">
          <cell r="A279">
            <v>43405</v>
          </cell>
          <cell r="B279">
            <v>3.7210000000000001</v>
          </cell>
          <cell r="C279">
            <v>0</v>
          </cell>
          <cell r="D279">
            <v>3.7210000000000001</v>
          </cell>
          <cell r="P279">
            <v>43405</v>
          </cell>
          <cell r="Q279">
            <v>-0.55000000000000004</v>
          </cell>
          <cell r="R279">
            <v>3.1710000000000003</v>
          </cell>
          <cell r="S279">
            <v>3.9775190957565645</v>
          </cell>
          <cell r="T279">
            <v>3.1710000000000003</v>
          </cell>
          <cell r="U279">
            <v>3.9775190957565645</v>
          </cell>
          <cell r="V279">
            <v>0</v>
          </cell>
          <cell r="X279">
            <v>43405</v>
          </cell>
          <cell r="Y279">
            <v>25.524104165092005</v>
          </cell>
          <cell r="Z279">
            <v>0</v>
          </cell>
          <cell r="AA279">
            <v>25.524104165092005</v>
          </cell>
        </row>
        <row r="280">
          <cell r="A280">
            <v>43435</v>
          </cell>
          <cell r="B280">
            <v>3.802</v>
          </cell>
          <cell r="C280">
            <v>0</v>
          </cell>
          <cell r="D280">
            <v>3.802</v>
          </cell>
          <cell r="P280">
            <v>43435</v>
          </cell>
          <cell r="Q280">
            <v>-0.55000000000000004</v>
          </cell>
          <cell r="R280">
            <v>3.2519999999999998</v>
          </cell>
          <cell r="S280">
            <v>4.0779012122581317</v>
          </cell>
          <cell r="T280">
            <v>3.2519999999999998</v>
          </cell>
          <cell r="U280">
            <v>4.0779012122581317</v>
          </cell>
          <cell r="V280">
            <v>0</v>
          </cell>
          <cell r="X280">
            <v>43435</v>
          </cell>
          <cell r="Y280">
            <v>25.577512180698701</v>
          </cell>
          <cell r="Z280">
            <v>0</v>
          </cell>
          <cell r="AA280">
            <v>25.577512180698701</v>
          </cell>
        </row>
        <row r="281">
          <cell r="A281">
            <v>43466</v>
          </cell>
          <cell r="B281">
            <v>3.8344999999999998</v>
          </cell>
          <cell r="C281">
            <v>0</v>
          </cell>
          <cell r="D281">
            <v>3.8344999999999998</v>
          </cell>
          <cell r="P281">
            <v>43466</v>
          </cell>
          <cell r="Q281">
            <v>-0.55000000000000004</v>
          </cell>
          <cell r="R281">
            <v>3.2844999999999995</v>
          </cell>
          <cell r="S281">
            <v>4.1173955342096278</v>
          </cell>
          <cell r="T281">
            <v>3.2844999999999995</v>
          </cell>
          <cell r="U281">
            <v>4.1173955342096278</v>
          </cell>
          <cell r="V281">
            <v>0</v>
          </cell>
          <cell r="X281">
            <v>43466</v>
          </cell>
          <cell r="Y281">
            <v>25.628056516084602</v>
          </cell>
          <cell r="Z281">
            <v>0</v>
          </cell>
          <cell r="AA281">
            <v>25.628056516084602</v>
          </cell>
        </row>
        <row r="282">
          <cell r="A282">
            <v>43497</v>
          </cell>
          <cell r="B282">
            <v>3.7855000000000003</v>
          </cell>
          <cell r="C282">
            <v>0</v>
          </cell>
          <cell r="D282">
            <v>3.7855000000000003</v>
          </cell>
          <cell r="P282">
            <v>43497</v>
          </cell>
          <cell r="Q282">
            <v>-0.55000000000000004</v>
          </cell>
          <cell r="R282">
            <v>3.2355</v>
          </cell>
          <cell r="S282">
            <v>4.0547423584881317</v>
          </cell>
          <cell r="T282">
            <v>3.2355</v>
          </cell>
          <cell r="U282">
            <v>4.0547423584881317</v>
          </cell>
          <cell r="V282">
            <v>0</v>
          </cell>
          <cell r="X282">
            <v>43497</v>
          </cell>
          <cell r="Y282">
            <v>25.675743483915603</v>
          </cell>
          <cell r="Z282">
            <v>0</v>
          </cell>
          <cell r="AA282">
            <v>25.675743483915603</v>
          </cell>
        </row>
        <row r="283">
          <cell r="A283">
            <v>43525</v>
          </cell>
          <cell r="B283">
            <v>3.7185000000000001</v>
          </cell>
          <cell r="C283">
            <v>0</v>
          </cell>
          <cell r="D283">
            <v>3.7185000000000001</v>
          </cell>
          <cell r="P283">
            <v>43525</v>
          </cell>
          <cell r="Q283">
            <v>-0.55000000000000004</v>
          </cell>
          <cell r="R283">
            <v>3.1684999999999999</v>
          </cell>
          <cell r="S283">
            <v>3.969702992463179</v>
          </cell>
          <cell r="T283">
            <v>3.1684999999999999</v>
          </cell>
          <cell r="U283">
            <v>3.969702992463179</v>
          </cell>
          <cell r="V283">
            <v>0</v>
          </cell>
          <cell r="X283">
            <v>43525</v>
          </cell>
          <cell r="Y283">
            <v>25.770869895750906</v>
          </cell>
          <cell r="Z283">
            <v>0</v>
          </cell>
          <cell r="AA283">
            <v>25.770869895750906</v>
          </cell>
        </row>
        <row r="284">
          <cell r="A284">
            <v>43556</v>
          </cell>
          <cell r="B284">
            <v>3.6665000000000005</v>
          </cell>
          <cell r="C284">
            <v>0</v>
          </cell>
          <cell r="D284">
            <v>3.6665000000000005</v>
          </cell>
          <cell r="P284">
            <v>43556</v>
          </cell>
          <cell r="Q284">
            <v>-0.55000000000000004</v>
          </cell>
          <cell r="R284">
            <v>3.1165000000000003</v>
          </cell>
          <cell r="S284">
            <v>3.9033958275349865</v>
          </cell>
          <cell r="T284">
            <v>3.1165000000000003</v>
          </cell>
          <cell r="U284">
            <v>3.9033958275349865</v>
          </cell>
          <cell r="V284">
            <v>0</v>
          </cell>
          <cell r="X284">
            <v>43556</v>
          </cell>
          <cell r="Y284">
            <v>25.782130104249305</v>
          </cell>
          <cell r="Z284">
            <v>0</v>
          </cell>
          <cell r="AA284">
            <v>25.782130104249305</v>
          </cell>
        </row>
        <row r="285">
          <cell r="A285">
            <v>43586</v>
          </cell>
          <cell r="B285">
            <v>3.6825000000000001</v>
          </cell>
          <cell r="C285">
            <v>0</v>
          </cell>
          <cell r="D285">
            <v>3.6825000000000001</v>
          </cell>
          <cell r="P285">
            <v>43586</v>
          </cell>
          <cell r="Q285">
            <v>-0.55000000000000004</v>
          </cell>
          <cell r="R285">
            <v>3.1325000000000003</v>
          </cell>
          <cell r="S285">
            <v>3.9223213243718891</v>
          </cell>
          <cell r="T285">
            <v>3.1325000000000003</v>
          </cell>
          <cell r="U285">
            <v>3.9223213243718891</v>
          </cell>
          <cell r="V285">
            <v>0</v>
          </cell>
          <cell r="X285">
            <v>43586</v>
          </cell>
          <cell r="Y285">
            <v>25.870018087046301</v>
          </cell>
          <cell r="Z285">
            <v>0</v>
          </cell>
          <cell r="AA285">
            <v>25.870018087046301</v>
          </cell>
        </row>
        <row r="286">
          <cell r="A286">
            <v>43617</v>
          </cell>
          <cell r="B286">
            <v>3.7075</v>
          </cell>
          <cell r="C286">
            <v>0</v>
          </cell>
          <cell r="D286">
            <v>3.7075</v>
          </cell>
          <cell r="P286">
            <v>43617</v>
          </cell>
          <cell r="Q286">
            <v>-0.55000000000000004</v>
          </cell>
          <cell r="R286">
            <v>3.1574999999999998</v>
          </cell>
          <cell r="S286">
            <v>3.9524767030869441</v>
          </cell>
          <cell r="T286">
            <v>3.1574999999999998</v>
          </cell>
          <cell r="U286">
            <v>3.9524767030869441</v>
          </cell>
          <cell r="V286">
            <v>0</v>
          </cell>
          <cell r="X286">
            <v>43617</v>
          </cell>
          <cell r="Y286">
            <v>25.658068260794902</v>
          </cell>
          <cell r="Z286">
            <v>0</v>
          </cell>
          <cell r="AA286">
            <v>25.658068260794902</v>
          </cell>
        </row>
        <row r="287">
          <cell r="A287">
            <v>43647</v>
          </cell>
          <cell r="B287">
            <v>3.7185000000000001</v>
          </cell>
          <cell r="C287">
            <v>0</v>
          </cell>
          <cell r="D287">
            <v>3.7185000000000001</v>
          </cell>
          <cell r="P287">
            <v>43647</v>
          </cell>
          <cell r="Q287">
            <v>-0.55000000000000004</v>
          </cell>
          <cell r="R287">
            <v>3.1684999999999999</v>
          </cell>
          <cell r="S287">
            <v>3.9651436134200093</v>
          </cell>
          <cell r="T287">
            <v>3.1684999999999999</v>
          </cell>
          <cell r="U287">
            <v>3.9651436134200093</v>
          </cell>
          <cell r="V287">
            <v>0</v>
          </cell>
          <cell r="X287">
            <v>43647</v>
          </cell>
          <cell r="Y287">
            <v>25.923447491696407</v>
          </cell>
          <cell r="Z287">
            <v>0</v>
          </cell>
          <cell r="AA287">
            <v>25.923447491696407</v>
          </cell>
        </row>
        <row r="288">
          <cell r="A288">
            <v>43678</v>
          </cell>
          <cell r="B288">
            <v>3.7275</v>
          </cell>
          <cell r="C288">
            <v>0</v>
          </cell>
          <cell r="D288">
            <v>3.7275</v>
          </cell>
          <cell r="P288">
            <v>43678</v>
          </cell>
          <cell r="Q288">
            <v>-0.55000000000000004</v>
          </cell>
          <cell r="R288">
            <v>3.1775000000000002</v>
          </cell>
          <cell r="S288">
            <v>3.9752765842110636</v>
          </cell>
          <cell r="T288">
            <v>3.1775000000000002</v>
          </cell>
          <cell r="U288">
            <v>3.9752765842110636</v>
          </cell>
          <cell r="V288">
            <v>0</v>
          </cell>
          <cell r="X288">
            <v>43678</v>
          </cell>
          <cell r="Y288">
            <v>25.783552508303806</v>
          </cell>
          <cell r="Z288">
            <v>0</v>
          </cell>
          <cell r="AA288">
            <v>25.783552508303806</v>
          </cell>
        </row>
        <row r="289">
          <cell r="A289">
            <v>43709</v>
          </cell>
          <cell r="B289">
            <v>3.7185000000000001</v>
          </cell>
          <cell r="C289">
            <v>0</v>
          </cell>
          <cell r="D289">
            <v>3.7185000000000001</v>
          </cell>
          <cell r="P289">
            <v>43709</v>
          </cell>
          <cell r="Q289">
            <v>-0.55000000000000004</v>
          </cell>
          <cell r="R289">
            <v>3.1684999999999999</v>
          </cell>
          <cell r="S289">
            <v>3.9629031772060408</v>
          </cell>
          <cell r="T289">
            <v>3.1684999999999999</v>
          </cell>
          <cell r="U289">
            <v>3.9629031772060408</v>
          </cell>
          <cell r="V289">
            <v>0</v>
          </cell>
          <cell r="X289">
            <v>43709</v>
          </cell>
          <cell r="Y289">
            <v>26.044919748857406</v>
          </cell>
          <cell r="Z289">
            <v>0</v>
          </cell>
          <cell r="AA289">
            <v>26.044919748857406</v>
          </cell>
        </row>
        <row r="290">
          <cell r="A290">
            <v>43739</v>
          </cell>
          <cell r="B290">
            <v>3.7294999999999998</v>
          </cell>
          <cell r="C290">
            <v>0</v>
          </cell>
          <cell r="D290">
            <v>3.7294999999999998</v>
          </cell>
          <cell r="P290">
            <v>43739</v>
          </cell>
          <cell r="Q290">
            <v>-0.55000000000000004</v>
          </cell>
          <cell r="R290">
            <v>3.1795</v>
          </cell>
          <cell r="S290">
            <v>3.9755918071517953</v>
          </cell>
          <cell r="T290">
            <v>3.1795</v>
          </cell>
          <cell r="U290">
            <v>3.9755918071517953</v>
          </cell>
          <cell r="V290">
            <v>0</v>
          </cell>
          <cell r="X290">
            <v>43739</v>
          </cell>
          <cell r="Y290">
            <v>25.928250209285704</v>
          </cell>
          <cell r="Z290">
            <v>0</v>
          </cell>
          <cell r="AA290">
            <v>25.928250209285704</v>
          </cell>
        </row>
        <row r="291">
          <cell r="A291">
            <v>43770</v>
          </cell>
          <cell r="B291">
            <v>3.7855000000000003</v>
          </cell>
          <cell r="C291">
            <v>0</v>
          </cell>
          <cell r="D291">
            <v>3.7855000000000003</v>
          </cell>
          <cell r="P291">
            <v>43770</v>
          </cell>
          <cell r="Q291">
            <v>-0.55000000000000004</v>
          </cell>
          <cell r="R291">
            <v>3.2355</v>
          </cell>
          <cell r="S291">
            <v>4.0445017865650756</v>
          </cell>
          <cell r="T291">
            <v>3.2355</v>
          </cell>
          <cell r="U291">
            <v>4.0445017865650756</v>
          </cell>
          <cell r="V291">
            <v>0</v>
          </cell>
          <cell r="X291">
            <v>43770</v>
          </cell>
          <cell r="Y291">
            <v>26.117508900649611</v>
          </cell>
          <cell r="Z291">
            <v>0</v>
          </cell>
          <cell r="AA291">
            <v>26.117508900649611</v>
          </cell>
        </row>
        <row r="292">
          <cell r="A292">
            <v>43800</v>
          </cell>
          <cell r="B292">
            <v>3.8635000000000002</v>
          </cell>
          <cell r="C292">
            <v>0</v>
          </cell>
          <cell r="D292">
            <v>3.8635000000000002</v>
          </cell>
          <cell r="P292">
            <v>43800</v>
          </cell>
          <cell r="Q292">
            <v>-0.55000000000000004</v>
          </cell>
          <cell r="R292">
            <v>3.3135000000000003</v>
          </cell>
          <cell r="S292">
            <v>4.1409161191808455</v>
          </cell>
          <cell r="T292">
            <v>3.3135000000000003</v>
          </cell>
          <cell r="U292">
            <v>4.1409161191808455</v>
          </cell>
          <cell r="V292">
            <v>0</v>
          </cell>
          <cell r="X292">
            <v>43800</v>
          </cell>
          <cell r="Y292">
            <v>26.186431614885105</v>
          </cell>
          <cell r="Z292">
            <v>0</v>
          </cell>
          <cell r="AA292">
            <v>26.186431614885105</v>
          </cell>
        </row>
        <row r="293">
          <cell r="A293">
            <v>43831</v>
          </cell>
          <cell r="B293">
            <v>3.8940000000000006</v>
          </cell>
          <cell r="C293">
            <v>0</v>
          </cell>
          <cell r="D293">
            <v>3.8940000000000006</v>
          </cell>
          <cell r="P293">
            <v>43831</v>
          </cell>
          <cell r="Q293">
            <v>-0.55000000000000004</v>
          </cell>
          <cell r="R293">
            <v>3.3440000000000003</v>
          </cell>
          <cell r="S293">
            <v>4.1779102655169451</v>
          </cell>
          <cell r="T293">
            <v>3.3440000000000003</v>
          </cell>
          <cell r="U293">
            <v>4.1779102655169451</v>
          </cell>
          <cell r="V293">
            <v>0</v>
          </cell>
          <cell r="X293">
            <v>43831</v>
          </cell>
          <cell r="Y293">
            <v>26.219143986468303</v>
          </cell>
          <cell r="Z293">
            <v>0</v>
          </cell>
          <cell r="AA293">
            <v>26.219143986468303</v>
          </cell>
        </row>
        <row r="294">
          <cell r="A294">
            <v>43862</v>
          </cell>
          <cell r="B294">
            <v>3.8490000000000006</v>
          </cell>
          <cell r="C294">
            <v>0</v>
          </cell>
          <cell r="D294">
            <v>3.8490000000000006</v>
          </cell>
          <cell r="P294">
            <v>43862</v>
          </cell>
          <cell r="Q294">
            <v>-0.55000000000000004</v>
          </cell>
          <cell r="R294">
            <v>3.2990000000000004</v>
          </cell>
          <cell r="S294">
            <v>4.1205948270605317</v>
          </cell>
          <cell r="T294">
            <v>3.2990000000000004</v>
          </cell>
          <cell r="U294">
            <v>4.1205948270605317</v>
          </cell>
          <cell r="V294">
            <v>0</v>
          </cell>
          <cell r="X294">
            <v>43862</v>
          </cell>
          <cell r="Y294">
            <v>26.280314557756306</v>
          </cell>
          <cell r="Z294">
            <v>0</v>
          </cell>
          <cell r="AA294">
            <v>26.280314557756306</v>
          </cell>
        </row>
        <row r="295">
          <cell r="A295">
            <v>43891</v>
          </cell>
          <cell r="B295">
            <v>3.7850000000000001</v>
          </cell>
          <cell r="C295">
            <v>0</v>
          </cell>
          <cell r="D295">
            <v>3.7850000000000001</v>
          </cell>
          <cell r="P295">
            <v>43891</v>
          </cell>
          <cell r="Q295">
            <v>-0.55000000000000004</v>
          </cell>
          <cell r="R295">
            <v>3.2350000000000003</v>
          </cell>
          <cell r="S295">
            <v>4.0396647339510006</v>
          </cell>
          <cell r="T295">
            <v>3.2350000000000003</v>
          </cell>
          <cell r="U295">
            <v>4.0396647339510006</v>
          </cell>
          <cell r="V295">
            <v>0</v>
          </cell>
          <cell r="X295">
            <v>43891</v>
          </cell>
          <cell r="Y295">
            <v>26.280314557756306</v>
          </cell>
          <cell r="Z295">
            <v>0</v>
          </cell>
          <cell r="AA295">
            <v>26.280314557756306</v>
          </cell>
        </row>
        <row r="296">
          <cell r="A296">
            <v>43922</v>
          </cell>
          <cell r="B296">
            <v>3.7360000000000002</v>
          </cell>
          <cell r="C296">
            <v>0</v>
          </cell>
          <cell r="D296">
            <v>3.7360000000000002</v>
          </cell>
          <cell r="P296">
            <v>43922</v>
          </cell>
          <cell r="Q296">
            <v>-0.55000000000000004</v>
          </cell>
          <cell r="R296">
            <v>3.1859999999999999</v>
          </cell>
          <cell r="S296">
            <v>3.9773647484573402</v>
          </cell>
          <cell r="T296">
            <v>3.1859999999999999</v>
          </cell>
          <cell r="U296">
            <v>3.9773647484573402</v>
          </cell>
          <cell r="V296">
            <v>0</v>
          </cell>
          <cell r="X296">
            <v>43922</v>
          </cell>
          <cell r="Y296">
            <v>26.280314557756306</v>
          </cell>
          <cell r="Z296">
            <v>0</v>
          </cell>
          <cell r="AA296">
            <v>26.280314557756306</v>
          </cell>
        </row>
        <row r="297">
          <cell r="A297">
            <v>43952</v>
          </cell>
          <cell r="B297">
            <v>3.7530000000000001</v>
          </cell>
          <cell r="C297">
            <v>0</v>
          </cell>
          <cell r="D297">
            <v>3.7530000000000001</v>
          </cell>
          <cell r="P297">
            <v>43952</v>
          </cell>
          <cell r="Q297">
            <v>-0.55000000000000004</v>
          </cell>
          <cell r="R297">
            <v>3.2030000000000003</v>
          </cell>
          <cell r="S297">
            <v>3.9950923247147787</v>
          </cell>
          <cell r="T297">
            <v>3.2030000000000003</v>
          </cell>
          <cell r="U297">
            <v>3.9950923247147787</v>
          </cell>
          <cell r="V297">
            <v>0</v>
          </cell>
          <cell r="X297">
            <v>43952</v>
          </cell>
          <cell r="Y297">
            <v>26.280314557756306</v>
          </cell>
          <cell r="Z297">
            <v>0</v>
          </cell>
          <cell r="AA297">
            <v>26.280314557756306</v>
          </cell>
        </row>
        <row r="298">
          <cell r="A298">
            <v>43983</v>
          </cell>
          <cell r="B298">
            <v>3.7790000000000004</v>
          </cell>
          <cell r="C298">
            <v>0</v>
          </cell>
          <cell r="D298">
            <v>3.7790000000000004</v>
          </cell>
          <cell r="P298">
            <v>43983</v>
          </cell>
          <cell r="Q298">
            <v>-0.55000000000000004</v>
          </cell>
          <cell r="R298">
            <v>3.2290000000000001</v>
          </cell>
          <cell r="S298">
            <v>4.0238626552026426</v>
          </cell>
          <cell r="T298">
            <v>3.2290000000000001</v>
          </cell>
          <cell r="U298">
            <v>4.0238626552026426</v>
          </cell>
          <cell r="V298">
            <v>0</v>
          </cell>
          <cell r="X298">
            <v>43983</v>
          </cell>
          <cell r="Y298">
            <v>26.280314557756306</v>
          </cell>
          <cell r="Z298">
            <v>0</v>
          </cell>
          <cell r="AA298">
            <v>26.280314557756306</v>
          </cell>
        </row>
        <row r="299">
          <cell r="A299">
            <v>44013</v>
          </cell>
          <cell r="B299">
            <v>3.79</v>
          </cell>
          <cell r="C299">
            <v>0</v>
          </cell>
          <cell r="D299">
            <v>3.79</v>
          </cell>
          <cell r="P299">
            <v>44013</v>
          </cell>
          <cell r="Q299">
            <v>-0.55000000000000004</v>
          </cell>
          <cell r="R299">
            <v>3.24</v>
          </cell>
          <cell r="S299">
            <v>4.0340112832123207</v>
          </cell>
          <cell r="T299">
            <v>3.24</v>
          </cell>
          <cell r="U299">
            <v>4.0340112832123207</v>
          </cell>
          <cell r="V299">
            <v>0</v>
          </cell>
          <cell r="X299">
            <v>44013</v>
          </cell>
          <cell r="Y299">
            <v>26.280314557756306</v>
          </cell>
          <cell r="Z299">
            <v>0</v>
          </cell>
          <cell r="AA299">
            <v>26.280314557756306</v>
          </cell>
        </row>
        <row r="300">
          <cell r="A300">
            <v>44044</v>
          </cell>
          <cell r="B300">
            <v>3.7990000000000004</v>
          </cell>
          <cell r="C300">
            <v>0</v>
          </cell>
          <cell r="D300">
            <v>3.7990000000000004</v>
          </cell>
          <cell r="P300">
            <v>44044</v>
          </cell>
          <cell r="Q300">
            <v>-0.55000000000000004</v>
          </cell>
          <cell r="R300">
            <v>3.2490000000000006</v>
          </cell>
          <cell r="S300">
            <v>4.041522893295217</v>
          </cell>
          <cell r="T300">
            <v>3.2490000000000006</v>
          </cell>
          <cell r="U300">
            <v>4.041522893295217</v>
          </cell>
          <cell r="V300">
            <v>0</v>
          </cell>
          <cell r="X300">
            <v>44044</v>
          </cell>
          <cell r="Y300">
            <v>26.280314557756306</v>
          </cell>
          <cell r="Z300">
            <v>0</v>
          </cell>
          <cell r="AA300">
            <v>26.280314557756306</v>
          </cell>
        </row>
        <row r="301">
          <cell r="A301">
            <v>44075</v>
          </cell>
          <cell r="B301">
            <v>3.7890000000000006</v>
          </cell>
          <cell r="C301">
            <v>0</v>
          </cell>
          <cell r="D301">
            <v>3.7890000000000006</v>
          </cell>
          <cell r="P301">
            <v>44075</v>
          </cell>
          <cell r="Q301">
            <v>-0.55000000000000004</v>
          </cell>
          <cell r="R301">
            <v>3.2390000000000008</v>
          </cell>
          <cell r="S301">
            <v>4.0253949982200048</v>
          </cell>
          <cell r="T301">
            <v>3.2390000000000008</v>
          </cell>
          <cell r="U301">
            <v>4.0253949982200048</v>
          </cell>
          <cell r="V301">
            <v>0</v>
          </cell>
          <cell r="X301">
            <v>44075</v>
          </cell>
          <cell r="Y301">
            <v>26.280314557756306</v>
          </cell>
          <cell r="Z301">
            <v>0</v>
          </cell>
          <cell r="AA301">
            <v>26.280314557756306</v>
          </cell>
        </row>
        <row r="302">
          <cell r="A302">
            <v>44105</v>
          </cell>
          <cell r="B302">
            <v>3.7990000000000004</v>
          </cell>
          <cell r="C302">
            <v>0</v>
          </cell>
          <cell r="D302">
            <v>3.7990000000000004</v>
          </cell>
          <cell r="P302">
            <v>44105</v>
          </cell>
          <cell r="Q302">
            <v>-0.55000000000000004</v>
          </cell>
          <cell r="R302">
            <v>3.2490000000000006</v>
          </cell>
          <cell r="S302">
            <v>4.0342365325749077</v>
          </cell>
          <cell r="T302">
            <v>3.2490000000000006</v>
          </cell>
          <cell r="U302">
            <v>4.0342365325749077</v>
          </cell>
          <cell r="V302">
            <v>0</v>
          </cell>
          <cell r="X302">
            <v>44105</v>
          </cell>
          <cell r="Y302">
            <v>26.280314557756306</v>
          </cell>
          <cell r="Z302">
            <v>0</v>
          </cell>
          <cell r="AA302">
            <v>26.280314557756306</v>
          </cell>
        </row>
        <row r="303">
          <cell r="A303">
            <v>44136</v>
          </cell>
          <cell r="B303">
            <v>3.85</v>
          </cell>
          <cell r="C303">
            <v>0</v>
          </cell>
          <cell r="D303">
            <v>3.85</v>
          </cell>
          <cell r="P303">
            <v>44136</v>
          </cell>
          <cell r="Q303">
            <v>-0.55000000000000004</v>
          </cell>
          <cell r="R303">
            <v>3.3</v>
          </cell>
          <cell r="S303">
            <v>4.0937924459058008</v>
          </cell>
          <cell r="T303">
            <v>3.3</v>
          </cell>
          <cell r="U303">
            <v>4.0937924459058008</v>
          </cell>
          <cell r="V303">
            <v>0</v>
          </cell>
          <cell r="X303">
            <v>44136</v>
          </cell>
          <cell r="Y303">
            <v>26.280314557756306</v>
          </cell>
          <cell r="Z303">
            <v>0</v>
          </cell>
          <cell r="AA303">
            <v>26.280314557756306</v>
          </cell>
        </row>
        <row r="304">
          <cell r="A304">
            <v>44166</v>
          </cell>
          <cell r="B304">
            <v>3.9249999999999998</v>
          </cell>
          <cell r="C304">
            <v>0</v>
          </cell>
          <cell r="D304">
            <v>3.9249999999999998</v>
          </cell>
          <cell r="P304">
            <v>44166</v>
          </cell>
          <cell r="Q304">
            <v>-0.55000000000000004</v>
          </cell>
          <cell r="R304">
            <v>3.375</v>
          </cell>
          <cell r="S304">
            <v>4.1830959344715017</v>
          </cell>
          <cell r="T304">
            <v>3.375</v>
          </cell>
          <cell r="U304">
            <v>4.1830959344715017</v>
          </cell>
          <cell r="V304">
            <v>0</v>
          </cell>
          <cell r="X304">
            <v>44166</v>
          </cell>
          <cell r="Y304">
            <v>26.280314557756306</v>
          </cell>
          <cell r="Z304">
            <v>0</v>
          </cell>
          <cell r="AA304">
            <v>26.280314557756306</v>
          </cell>
        </row>
        <row r="305">
          <cell r="A305">
            <v>44197</v>
          </cell>
          <cell r="B305">
            <v>3.9535000000000005</v>
          </cell>
          <cell r="C305">
            <v>0</v>
          </cell>
          <cell r="D305">
            <v>3.9535000000000005</v>
          </cell>
          <cell r="P305">
            <v>44197</v>
          </cell>
          <cell r="Q305">
            <v>-0.55000000000000004</v>
          </cell>
          <cell r="R305">
            <v>3.4035000000000002</v>
          </cell>
          <cell r="S305">
            <v>4.2145193043798326</v>
          </cell>
          <cell r="T305">
            <v>3.4035000000000002</v>
          </cell>
          <cell r="U305">
            <v>4.2145193043798326</v>
          </cell>
          <cell r="V305">
            <v>0</v>
          </cell>
          <cell r="X305">
            <v>44197</v>
          </cell>
          <cell r="Y305">
            <v>26.280314557756306</v>
          </cell>
          <cell r="Z305">
            <v>0</v>
          </cell>
          <cell r="AA305">
            <v>26.280314557756306</v>
          </cell>
        </row>
        <row r="306">
          <cell r="A306">
            <v>44228</v>
          </cell>
          <cell r="B306">
            <v>3.9125000000000001</v>
          </cell>
          <cell r="C306">
            <v>0</v>
          </cell>
          <cell r="D306">
            <v>3.9125000000000001</v>
          </cell>
          <cell r="P306">
            <v>44228</v>
          </cell>
          <cell r="Q306">
            <v>-0.55000000000000004</v>
          </cell>
          <cell r="R306">
            <v>3.3624999999999998</v>
          </cell>
          <cell r="S306">
            <v>4.1598897405765873</v>
          </cell>
          <cell r="T306">
            <v>3.3624999999999998</v>
          </cell>
          <cell r="U306">
            <v>4.1598897405765873</v>
          </cell>
          <cell r="V306">
            <v>0</v>
          </cell>
          <cell r="X306">
            <v>44228</v>
          </cell>
          <cell r="Y306">
            <v>26.280314557756306</v>
          </cell>
          <cell r="Z306">
            <v>0</v>
          </cell>
          <cell r="AA306">
            <v>26.280314557756306</v>
          </cell>
        </row>
        <row r="307">
          <cell r="A307">
            <v>44256</v>
          </cell>
          <cell r="B307">
            <v>3.8515000000000006</v>
          </cell>
          <cell r="C307">
            <v>0</v>
          </cell>
          <cell r="D307">
            <v>3.8515000000000006</v>
          </cell>
          <cell r="P307">
            <v>44256</v>
          </cell>
          <cell r="Q307">
            <v>-0.55000000000000004</v>
          </cell>
          <cell r="R307">
            <v>3.3015000000000008</v>
          </cell>
          <cell r="S307">
            <v>4.0809960169479176</v>
          </cell>
          <cell r="T307">
            <v>3.3015000000000008</v>
          </cell>
          <cell r="U307">
            <v>4.0809960169479176</v>
          </cell>
          <cell r="V307">
            <v>0</v>
          </cell>
          <cell r="X307">
            <v>44256</v>
          </cell>
          <cell r="Y307">
            <v>26.280314557756306</v>
          </cell>
          <cell r="Z307">
            <v>0</v>
          </cell>
          <cell r="AA307">
            <v>26.280314557756306</v>
          </cell>
        </row>
        <row r="308">
          <cell r="A308">
            <v>44287</v>
          </cell>
          <cell r="B308">
            <v>3.8055000000000003</v>
          </cell>
          <cell r="C308">
            <v>0</v>
          </cell>
          <cell r="D308">
            <v>3.8055000000000003</v>
          </cell>
          <cell r="P308">
            <v>44287</v>
          </cell>
          <cell r="Q308">
            <v>-0.55000000000000004</v>
          </cell>
          <cell r="R308">
            <v>3.2555000000000005</v>
          </cell>
          <cell r="S308">
            <v>4.020387178411907</v>
          </cell>
          <cell r="T308">
            <v>3.2555000000000005</v>
          </cell>
          <cell r="U308">
            <v>4.020387178411907</v>
          </cell>
          <cell r="V308">
            <v>0</v>
          </cell>
          <cell r="X308">
            <v>44287</v>
          </cell>
          <cell r="Y308">
            <v>26.280314557756306</v>
          </cell>
          <cell r="Z308">
            <v>0</v>
          </cell>
          <cell r="AA308">
            <v>26.280314557756306</v>
          </cell>
        </row>
        <row r="309">
          <cell r="A309">
            <v>44317</v>
          </cell>
          <cell r="B309">
            <v>3.8235000000000001</v>
          </cell>
          <cell r="C309">
            <v>0</v>
          </cell>
          <cell r="D309">
            <v>3.8235000000000001</v>
          </cell>
          <cell r="P309">
            <v>44317</v>
          </cell>
          <cell r="Q309">
            <v>-0.55000000000000004</v>
          </cell>
          <cell r="R309">
            <v>3.2735000000000003</v>
          </cell>
          <cell r="S309">
            <v>4.0389634883772398</v>
          </cell>
          <cell r="T309">
            <v>3.2735000000000003</v>
          </cell>
          <cell r="U309">
            <v>4.0389634883772398</v>
          </cell>
          <cell r="V309">
            <v>0</v>
          </cell>
          <cell r="X309">
            <v>44317</v>
          </cell>
          <cell r="Y309">
            <v>26.280314557756306</v>
          </cell>
          <cell r="Z309">
            <v>0</v>
          </cell>
          <cell r="AA309">
            <v>26.280314557756306</v>
          </cell>
        </row>
        <row r="310">
          <cell r="A310">
            <v>44348</v>
          </cell>
          <cell r="B310">
            <v>3.8505000000000003</v>
          </cell>
          <cell r="C310">
            <v>0</v>
          </cell>
          <cell r="D310">
            <v>3.8505000000000003</v>
          </cell>
          <cell r="P310">
            <v>44348</v>
          </cell>
          <cell r="Q310">
            <v>-0.55000000000000004</v>
          </cell>
          <cell r="R310">
            <v>3.3005000000000004</v>
          </cell>
          <cell r="S310">
            <v>4.068465525204318</v>
          </cell>
          <cell r="T310">
            <v>3.3005000000000004</v>
          </cell>
          <cell r="U310">
            <v>4.068465525204318</v>
          </cell>
          <cell r="V310">
            <v>0</v>
          </cell>
          <cell r="X310">
            <v>44348</v>
          </cell>
          <cell r="Y310">
            <v>26.280314557756306</v>
          </cell>
          <cell r="Z310">
            <v>0</v>
          </cell>
          <cell r="AA310">
            <v>26.280314557756306</v>
          </cell>
        </row>
        <row r="311">
          <cell r="A311">
            <v>44378</v>
          </cell>
          <cell r="B311">
            <v>3.8615000000000004</v>
          </cell>
          <cell r="C311">
            <v>0</v>
          </cell>
          <cell r="D311">
            <v>3.8615000000000004</v>
          </cell>
          <cell r="P311">
            <v>44378</v>
          </cell>
          <cell r="Q311">
            <v>-0.55000000000000004</v>
          </cell>
          <cell r="R311">
            <v>3.3115000000000006</v>
          </cell>
          <cell r="S311">
            <v>4.0783185055886726</v>
          </cell>
          <cell r="T311">
            <v>3.3115000000000006</v>
          </cell>
          <cell r="U311">
            <v>4.0783185055886726</v>
          </cell>
          <cell r="V311">
            <v>0</v>
          </cell>
          <cell r="X311">
            <v>44378</v>
          </cell>
          <cell r="Y311">
            <v>26.280314557756306</v>
          </cell>
          <cell r="Z311">
            <v>0</v>
          </cell>
          <cell r="AA311">
            <v>26.280314557756306</v>
          </cell>
        </row>
        <row r="312">
          <cell r="A312">
            <v>44409</v>
          </cell>
          <cell r="B312">
            <v>3.8705000000000003</v>
          </cell>
          <cell r="C312">
            <v>0</v>
          </cell>
          <cell r="D312">
            <v>3.8705000000000003</v>
          </cell>
          <cell r="P312">
            <v>44409</v>
          </cell>
          <cell r="Q312">
            <v>-0.55000000000000004</v>
          </cell>
          <cell r="R312">
            <v>3.3205</v>
          </cell>
          <cell r="S312">
            <v>4.0855562781910315</v>
          </cell>
          <cell r="T312">
            <v>3.3205</v>
          </cell>
          <cell r="U312">
            <v>4.0855562781910315</v>
          </cell>
          <cell r="V312">
            <v>0</v>
          </cell>
          <cell r="X312">
            <v>44409</v>
          </cell>
          <cell r="Y312">
            <v>26.280314557756306</v>
          </cell>
          <cell r="Z312">
            <v>0</v>
          </cell>
          <cell r="AA312">
            <v>26.280314557756306</v>
          </cell>
        </row>
        <row r="313">
          <cell r="A313">
            <v>44440</v>
          </cell>
          <cell r="B313">
            <v>3.8595000000000002</v>
          </cell>
          <cell r="C313">
            <v>0</v>
          </cell>
          <cell r="D313">
            <v>3.8595000000000002</v>
          </cell>
          <cell r="P313">
            <v>44440</v>
          </cell>
          <cell r="Q313">
            <v>-0.55000000000000004</v>
          </cell>
          <cell r="R313">
            <v>3.3094999999999999</v>
          </cell>
          <cell r="S313">
            <v>4.0681824248515523</v>
          </cell>
          <cell r="T313">
            <v>3.3094999999999999</v>
          </cell>
          <cell r="U313">
            <v>4.0681824248515523</v>
          </cell>
          <cell r="V313">
            <v>0</v>
          </cell>
          <cell r="X313">
            <v>44440</v>
          </cell>
          <cell r="Y313">
            <v>26.280314557756306</v>
          </cell>
          <cell r="Z313">
            <v>0</v>
          </cell>
          <cell r="AA313">
            <v>26.280314557756306</v>
          </cell>
        </row>
        <row r="314">
          <cell r="A314">
            <v>44470</v>
          </cell>
          <cell r="B314">
            <v>3.8685000000000005</v>
          </cell>
          <cell r="C314">
            <v>0</v>
          </cell>
          <cell r="D314">
            <v>3.8685000000000005</v>
          </cell>
          <cell r="P314">
            <v>44470</v>
          </cell>
          <cell r="Q314">
            <v>-0.55000000000000004</v>
          </cell>
          <cell r="R314">
            <v>3.3185000000000002</v>
          </cell>
          <cell r="S314">
            <v>4.0755143805056733</v>
          </cell>
          <cell r="T314">
            <v>3.3185000000000002</v>
          </cell>
          <cell r="U314">
            <v>4.0755143805056733</v>
          </cell>
          <cell r="V314">
            <v>0</v>
          </cell>
          <cell r="X314">
            <v>44470</v>
          </cell>
          <cell r="Y314">
            <v>26.280314557756306</v>
          </cell>
          <cell r="Z314">
            <v>0</v>
          </cell>
          <cell r="AA314">
            <v>26.280314557756306</v>
          </cell>
        </row>
        <row r="315">
          <cell r="A315">
            <v>44501</v>
          </cell>
          <cell r="B315">
            <v>3.9144999999999999</v>
          </cell>
          <cell r="C315">
            <v>0</v>
          </cell>
          <cell r="D315">
            <v>3.9144999999999999</v>
          </cell>
          <cell r="P315">
            <v>44501</v>
          </cell>
          <cell r="Q315">
            <v>-0.55000000000000004</v>
          </cell>
          <cell r="R315">
            <v>3.3644999999999996</v>
          </cell>
          <cell r="S315">
            <v>4.1280929972145124</v>
          </cell>
          <cell r="T315">
            <v>3.3644999999999996</v>
          </cell>
          <cell r="U315">
            <v>4.1280929972145124</v>
          </cell>
          <cell r="V315">
            <v>0</v>
          </cell>
          <cell r="X315">
            <v>44501</v>
          </cell>
          <cell r="Y315">
            <v>26.280314557756306</v>
          </cell>
          <cell r="Z315">
            <v>0</v>
          </cell>
          <cell r="AA315">
            <v>26.280314557756306</v>
          </cell>
        </row>
        <row r="316">
          <cell r="A316">
            <v>44531</v>
          </cell>
          <cell r="B316">
            <v>3.9865000000000004</v>
          </cell>
          <cell r="C316">
            <v>0</v>
          </cell>
          <cell r="D316">
            <v>3.9865000000000004</v>
          </cell>
          <cell r="P316">
            <v>44531</v>
          </cell>
          <cell r="Q316">
            <v>-0.55000000000000004</v>
          </cell>
          <cell r="R316">
            <v>3.4365000000000006</v>
          </cell>
          <cell r="S316">
            <v>4.21255842292486</v>
          </cell>
          <cell r="T316">
            <v>3.4365000000000006</v>
          </cell>
          <cell r="U316">
            <v>4.21255842292486</v>
          </cell>
          <cell r="V316">
            <v>0</v>
          </cell>
          <cell r="X316">
            <v>44531</v>
          </cell>
          <cell r="Y316">
            <v>26.280314557756306</v>
          </cell>
          <cell r="Z316">
            <v>0</v>
          </cell>
          <cell r="AA316">
            <v>26.280314557756306</v>
          </cell>
        </row>
        <row r="317">
          <cell r="A317">
            <v>44562</v>
          </cell>
          <cell r="B317">
            <v>4.0129999999999999</v>
          </cell>
          <cell r="C317">
            <v>0</v>
          </cell>
          <cell r="D317">
            <v>4.0129999999999999</v>
          </cell>
          <cell r="P317">
            <v>44562</v>
          </cell>
          <cell r="Q317">
            <v>-0.55000000000000004</v>
          </cell>
          <cell r="R317">
            <v>3.4630000000000001</v>
          </cell>
          <cell r="S317">
            <v>4.2410014696208229</v>
          </cell>
          <cell r="T317">
            <v>3.4630000000000001</v>
          </cell>
          <cell r="U317">
            <v>4.2410014696208229</v>
          </cell>
          <cell r="V317">
            <v>0</v>
          </cell>
          <cell r="X317">
            <v>44562</v>
          </cell>
          <cell r="Y317">
            <v>26.280314557756306</v>
          </cell>
          <cell r="Z317">
            <v>0</v>
          </cell>
          <cell r="AA317">
            <v>26.280314557756306</v>
          </cell>
        </row>
        <row r="318">
          <cell r="A318">
            <v>44593</v>
          </cell>
          <cell r="B318">
            <v>3.9760000000000004</v>
          </cell>
          <cell r="C318">
            <v>0</v>
          </cell>
          <cell r="D318">
            <v>3.9760000000000004</v>
          </cell>
          <cell r="P318">
            <v>44593</v>
          </cell>
          <cell r="Q318">
            <v>-0.55000000000000004</v>
          </cell>
          <cell r="R318">
            <v>3.4260000000000002</v>
          </cell>
          <cell r="S318">
            <v>4.1916848374126685</v>
          </cell>
          <cell r="T318">
            <v>3.4260000000000002</v>
          </cell>
          <cell r="U318">
            <v>4.1916848374126685</v>
          </cell>
          <cell r="V318">
            <v>0</v>
          </cell>
          <cell r="X318">
            <v>44593</v>
          </cell>
          <cell r="Y318">
            <v>26.280314557756306</v>
          </cell>
          <cell r="Z318">
            <v>0</v>
          </cell>
          <cell r="AA318">
            <v>26.280314557756306</v>
          </cell>
        </row>
        <row r="319">
          <cell r="A319">
            <v>44621</v>
          </cell>
          <cell r="B319">
            <v>3.9180000000000001</v>
          </cell>
          <cell r="C319">
            <v>0</v>
          </cell>
          <cell r="D319">
            <v>3.9180000000000001</v>
          </cell>
          <cell r="P319">
            <v>44621</v>
          </cell>
          <cell r="Q319">
            <v>-0.55000000000000004</v>
          </cell>
          <cell r="R319">
            <v>3.3680000000000003</v>
          </cell>
          <cell r="S319">
            <v>4.1171618290566725</v>
          </cell>
          <cell r="T319">
            <v>3.3680000000000003</v>
          </cell>
          <cell r="U319">
            <v>4.1171618290566725</v>
          </cell>
          <cell r="V319">
            <v>0</v>
          </cell>
          <cell r="X319">
            <v>44621</v>
          </cell>
          <cell r="Y319">
            <v>26.280314557756306</v>
          </cell>
          <cell r="Z319">
            <v>0</v>
          </cell>
          <cell r="AA319">
            <v>26.280314557756306</v>
          </cell>
        </row>
        <row r="320">
          <cell r="A320">
            <v>44652</v>
          </cell>
          <cell r="B320">
            <v>3.875</v>
          </cell>
          <cell r="C320">
            <v>0</v>
          </cell>
          <cell r="D320">
            <v>3.875</v>
          </cell>
          <cell r="P320">
            <v>44652</v>
          </cell>
          <cell r="Q320">
            <v>-0.55000000000000004</v>
          </cell>
          <cell r="R320">
            <v>3.3250000000000002</v>
          </cell>
          <cell r="S320">
            <v>4.0607000605757255</v>
          </cell>
          <cell r="T320">
            <v>3.3250000000000002</v>
          </cell>
          <cell r="U320">
            <v>4.0607000605757255</v>
          </cell>
          <cell r="V320">
            <v>0</v>
          </cell>
          <cell r="X320">
            <v>44652</v>
          </cell>
          <cell r="Y320">
            <v>26.280314557756306</v>
          </cell>
          <cell r="Z320">
            <v>0</v>
          </cell>
          <cell r="AA320">
            <v>26.280314557756306</v>
          </cell>
        </row>
        <row r="321">
          <cell r="A321">
            <v>44682</v>
          </cell>
          <cell r="B321">
            <v>3.8940000000000006</v>
          </cell>
          <cell r="C321">
            <v>0</v>
          </cell>
          <cell r="D321">
            <v>3.8940000000000006</v>
          </cell>
          <cell r="P321">
            <v>44682</v>
          </cell>
          <cell r="Q321">
            <v>-0.55000000000000004</v>
          </cell>
          <cell r="R321">
            <v>3.3440000000000003</v>
          </cell>
          <cell r="S321">
            <v>4.0801057020579687</v>
          </cell>
          <cell r="T321">
            <v>3.3440000000000003</v>
          </cell>
          <cell r="U321">
            <v>4.0801057020579687</v>
          </cell>
          <cell r="V321">
            <v>0</v>
          </cell>
          <cell r="X321">
            <v>44682</v>
          </cell>
          <cell r="Y321">
            <v>26.280314557756306</v>
          </cell>
          <cell r="Z321">
            <v>0</v>
          </cell>
          <cell r="AA321">
            <v>26.280314557756306</v>
          </cell>
        </row>
        <row r="322">
          <cell r="A322">
            <v>44713</v>
          </cell>
          <cell r="B322">
            <v>3.9220000000000002</v>
          </cell>
          <cell r="C322">
            <v>0</v>
          </cell>
          <cell r="D322">
            <v>3.9220000000000002</v>
          </cell>
          <cell r="P322">
            <v>44713</v>
          </cell>
          <cell r="Q322">
            <v>-0.55000000000000004</v>
          </cell>
          <cell r="R322">
            <v>3.3719999999999999</v>
          </cell>
          <cell r="S322">
            <v>4.1103057590052723</v>
          </cell>
          <cell r="T322">
            <v>3.3719999999999999</v>
          </cell>
          <cell r="U322">
            <v>4.1103057590052723</v>
          </cell>
          <cell r="V322">
            <v>0</v>
          </cell>
          <cell r="X322">
            <v>44713</v>
          </cell>
          <cell r="Y322">
            <v>26.280314557756306</v>
          </cell>
          <cell r="Z322">
            <v>0</v>
          </cell>
          <cell r="AA322">
            <v>26.280314557756306</v>
          </cell>
        </row>
        <row r="323">
          <cell r="A323">
            <v>44743</v>
          </cell>
          <cell r="B323">
            <v>3.9330000000000003</v>
          </cell>
          <cell r="C323">
            <v>0</v>
          </cell>
          <cell r="D323">
            <v>3.9330000000000003</v>
          </cell>
          <cell r="P323">
            <v>44743</v>
          </cell>
          <cell r="Q323">
            <v>-0.55000000000000004</v>
          </cell>
          <cell r="R323">
            <v>3.383</v>
          </cell>
          <cell r="S323">
            <v>4.119860580009826</v>
          </cell>
          <cell r="T323">
            <v>3.383</v>
          </cell>
          <cell r="U323">
            <v>4.119860580009826</v>
          </cell>
          <cell r="V323">
            <v>0</v>
          </cell>
          <cell r="X323">
            <v>44743</v>
          </cell>
          <cell r="Y323">
            <v>26.280314557756306</v>
          </cell>
          <cell r="Z323">
            <v>0</v>
          </cell>
          <cell r="AA323">
            <v>26.280314557756306</v>
          </cell>
        </row>
        <row r="324">
          <cell r="A324">
            <v>44774</v>
          </cell>
          <cell r="B324">
            <v>3.9420000000000002</v>
          </cell>
          <cell r="C324">
            <v>0</v>
          </cell>
          <cell r="D324">
            <v>3.9420000000000002</v>
          </cell>
          <cell r="P324">
            <v>44774</v>
          </cell>
          <cell r="Q324">
            <v>-0.55000000000000004</v>
          </cell>
          <cell r="R324">
            <v>3.3920000000000003</v>
          </cell>
          <cell r="S324">
            <v>4.1268225370125453</v>
          </cell>
          <cell r="T324">
            <v>3.3920000000000003</v>
          </cell>
          <cell r="U324">
            <v>4.1268225370125453</v>
          </cell>
          <cell r="V324">
            <v>0</v>
          </cell>
          <cell r="X324">
            <v>44774</v>
          </cell>
          <cell r="Y324">
            <v>26.280314557756306</v>
          </cell>
          <cell r="Z324">
            <v>0</v>
          </cell>
          <cell r="AA324">
            <v>26.280314557756306</v>
          </cell>
        </row>
        <row r="325">
          <cell r="A325">
            <v>44805</v>
          </cell>
          <cell r="B325">
            <v>3.93</v>
          </cell>
          <cell r="C325">
            <v>0</v>
          </cell>
          <cell r="D325">
            <v>3.93</v>
          </cell>
          <cell r="P325">
            <v>44805</v>
          </cell>
          <cell r="Q325">
            <v>-0.55000000000000004</v>
          </cell>
          <cell r="R325">
            <v>3.38</v>
          </cell>
          <cell r="S325">
            <v>4.1082330081936007</v>
          </cell>
          <cell r="T325">
            <v>3.38</v>
          </cell>
          <cell r="U325">
            <v>4.1082330081936007</v>
          </cell>
          <cell r="V325">
            <v>0</v>
          </cell>
          <cell r="X325">
            <v>44805</v>
          </cell>
          <cell r="Y325">
            <v>26.280314557756306</v>
          </cell>
          <cell r="Z325">
            <v>0</v>
          </cell>
          <cell r="AA325">
            <v>26.280314557756306</v>
          </cell>
        </row>
        <row r="326">
          <cell r="A326">
            <v>44835</v>
          </cell>
          <cell r="B326">
            <v>3.9380000000000002</v>
          </cell>
          <cell r="C326">
            <v>0</v>
          </cell>
          <cell r="D326">
            <v>3.9380000000000002</v>
          </cell>
          <cell r="P326">
            <v>44835</v>
          </cell>
          <cell r="Q326">
            <v>-0.55000000000000004</v>
          </cell>
          <cell r="R326">
            <v>3.3879999999999999</v>
          </cell>
          <cell r="S326">
            <v>4.1140808589135647</v>
          </cell>
          <cell r="T326">
            <v>3.3879999999999999</v>
          </cell>
          <cell r="U326">
            <v>4.1140808589135647</v>
          </cell>
          <cell r="V326">
            <v>0</v>
          </cell>
          <cell r="X326">
            <v>44835</v>
          </cell>
          <cell r="Y326">
            <v>26.280314557756306</v>
          </cell>
          <cell r="Z326">
            <v>0</v>
          </cell>
          <cell r="AA326">
            <v>26.280314557756306</v>
          </cell>
        </row>
        <row r="327">
          <cell r="A327">
            <v>44866</v>
          </cell>
          <cell r="B327">
            <v>3.9790000000000005</v>
          </cell>
          <cell r="C327">
            <v>0</v>
          </cell>
          <cell r="D327">
            <v>3.9790000000000005</v>
          </cell>
          <cell r="P327">
            <v>44866</v>
          </cell>
          <cell r="Q327">
            <v>-0.55000000000000004</v>
          </cell>
          <cell r="R327">
            <v>3.4290000000000003</v>
          </cell>
          <cell r="S327">
            <v>4.1598084650589637</v>
          </cell>
          <cell r="T327">
            <v>3.4290000000000003</v>
          </cell>
          <cell r="U327">
            <v>4.1598084650589637</v>
          </cell>
          <cell r="V327">
            <v>0</v>
          </cell>
          <cell r="X327">
            <v>44866</v>
          </cell>
          <cell r="Y327">
            <v>26.280314557756306</v>
          </cell>
          <cell r="Z327">
            <v>0</v>
          </cell>
          <cell r="AA327">
            <v>26.280314557756306</v>
          </cell>
        </row>
        <row r="328">
          <cell r="A328">
            <v>44896</v>
          </cell>
          <cell r="B328">
            <v>4.048</v>
          </cell>
          <cell r="C328">
            <v>0</v>
          </cell>
          <cell r="D328">
            <v>4.048</v>
          </cell>
          <cell r="P328">
            <v>44896</v>
          </cell>
          <cell r="Q328">
            <v>-0.55000000000000004</v>
          </cell>
          <cell r="R328">
            <v>3.4980000000000002</v>
          </cell>
          <cell r="S328">
            <v>4.2395014000149365</v>
          </cell>
          <cell r="T328">
            <v>3.4980000000000002</v>
          </cell>
          <cell r="U328">
            <v>4.2395014000149365</v>
          </cell>
          <cell r="V328">
            <v>0</v>
          </cell>
          <cell r="X328">
            <v>44896</v>
          </cell>
          <cell r="Y328">
            <v>26.280314557756306</v>
          </cell>
          <cell r="Z328">
            <v>0</v>
          </cell>
          <cell r="AA328">
            <v>26.280314557756306</v>
          </cell>
        </row>
        <row r="329">
          <cell r="A329">
            <v>44927</v>
          </cell>
          <cell r="B329">
            <v>4.0724999999999998</v>
          </cell>
          <cell r="C329">
            <v>0</v>
          </cell>
          <cell r="D329">
            <v>4.0724999999999998</v>
          </cell>
          <cell r="P329">
            <v>44927</v>
          </cell>
          <cell r="Q329">
            <v>-0.55000000000000004</v>
          </cell>
          <cell r="R329">
            <v>3.5225</v>
          </cell>
          <cell r="S329">
            <v>4.2650135742326505</v>
          </cell>
          <cell r="T329">
            <v>3.5225</v>
          </cell>
          <cell r="U329">
            <v>4.2650135742326505</v>
          </cell>
          <cell r="V329">
            <v>0</v>
          </cell>
          <cell r="X329">
            <v>44927</v>
          </cell>
          <cell r="Y329">
            <v>26.280314557756306</v>
          </cell>
          <cell r="Z329">
            <v>0</v>
          </cell>
          <cell r="AA329">
            <v>26.280314557756306</v>
          </cell>
        </row>
        <row r="330">
          <cell r="A330">
            <v>44958</v>
          </cell>
          <cell r="B330">
            <v>4.0395000000000003</v>
          </cell>
          <cell r="C330">
            <v>0</v>
          </cell>
          <cell r="D330">
            <v>4.0395000000000003</v>
          </cell>
          <cell r="P330">
            <v>44958</v>
          </cell>
          <cell r="Q330">
            <v>-0.55000000000000004</v>
          </cell>
          <cell r="R330">
            <v>3.4895000000000005</v>
          </cell>
          <cell r="S330">
            <v>4.2209095477807486</v>
          </cell>
          <cell r="T330">
            <v>3.4895000000000005</v>
          </cell>
          <cell r="U330">
            <v>4.2209095477807486</v>
          </cell>
          <cell r="V330">
            <v>0</v>
          </cell>
          <cell r="X330">
            <v>44958</v>
          </cell>
          <cell r="Y330">
            <v>26.280314557756306</v>
          </cell>
          <cell r="Z330">
            <v>0</v>
          </cell>
          <cell r="AA330">
            <v>26.280314557756306</v>
          </cell>
        </row>
        <row r="331">
          <cell r="A331">
            <v>44986</v>
          </cell>
          <cell r="B331">
            <v>3.9845000000000002</v>
          </cell>
          <cell r="C331">
            <v>0</v>
          </cell>
          <cell r="D331">
            <v>3.9845000000000002</v>
          </cell>
          <cell r="P331">
            <v>44986</v>
          </cell>
          <cell r="Q331">
            <v>-0.55000000000000004</v>
          </cell>
          <cell r="R331">
            <v>3.4344999999999999</v>
          </cell>
          <cell r="S331">
            <v>4.1506890814659618</v>
          </cell>
          <cell r="T331">
            <v>3.4344999999999999</v>
          </cell>
          <cell r="U331">
            <v>4.1506890814659618</v>
          </cell>
          <cell r="V331">
            <v>0</v>
          </cell>
          <cell r="X331">
            <v>44986</v>
          </cell>
          <cell r="Y331">
            <v>26.280314557756306</v>
          </cell>
          <cell r="Z331">
            <v>0</v>
          </cell>
          <cell r="AA331">
            <v>26.280314557756306</v>
          </cell>
        </row>
        <row r="332">
          <cell r="A332">
            <v>45017</v>
          </cell>
          <cell r="B332">
            <v>3.9445000000000001</v>
          </cell>
          <cell r="C332">
            <v>0</v>
          </cell>
          <cell r="D332">
            <v>3.9445000000000001</v>
          </cell>
          <cell r="P332">
            <v>45017</v>
          </cell>
          <cell r="Q332">
            <v>-0.55000000000000004</v>
          </cell>
          <cell r="R332">
            <v>3.3944999999999999</v>
          </cell>
          <cell r="S332">
            <v>4.0983023706247419</v>
          </cell>
          <cell r="T332">
            <v>3.3944999999999999</v>
          </cell>
          <cell r="U332">
            <v>4.0983023706247419</v>
          </cell>
          <cell r="V332">
            <v>0</v>
          </cell>
          <cell r="X332">
            <v>45017</v>
          </cell>
          <cell r="Y332">
            <v>26.280314557756306</v>
          </cell>
          <cell r="Z332">
            <v>0</v>
          </cell>
          <cell r="AA332">
            <v>26.280314557756306</v>
          </cell>
        </row>
        <row r="333">
          <cell r="A333">
            <v>45047</v>
          </cell>
          <cell r="B333">
            <v>3.9645000000000001</v>
          </cell>
          <cell r="C333">
            <v>0</v>
          </cell>
          <cell r="D333">
            <v>3.9645000000000001</v>
          </cell>
          <cell r="P333">
            <v>45047</v>
          </cell>
          <cell r="Q333">
            <v>-0.55000000000000004</v>
          </cell>
          <cell r="R333">
            <v>3.4145000000000003</v>
          </cell>
          <cell r="S333">
            <v>4.1185056240588853</v>
          </cell>
          <cell r="T333">
            <v>3.4145000000000003</v>
          </cell>
          <cell r="U333">
            <v>4.1185056240588853</v>
          </cell>
          <cell r="V333">
            <v>0</v>
          </cell>
          <cell r="X333">
            <v>45047</v>
          </cell>
          <cell r="Y333">
            <v>26.280314557756306</v>
          </cell>
          <cell r="Z333">
            <v>0</v>
          </cell>
          <cell r="AA333">
            <v>26.280314557756306</v>
          </cell>
        </row>
        <row r="334">
          <cell r="A334">
            <v>45078</v>
          </cell>
          <cell r="B334">
            <v>3.9935000000000005</v>
          </cell>
          <cell r="C334">
            <v>0</v>
          </cell>
          <cell r="D334">
            <v>3.9935000000000005</v>
          </cell>
          <cell r="P334">
            <v>45078</v>
          </cell>
          <cell r="Q334">
            <v>-0.55000000000000004</v>
          </cell>
          <cell r="R334">
            <v>3.4435000000000002</v>
          </cell>
          <cell r="S334">
            <v>4.1493698425040737</v>
          </cell>
          <cell r="T334">
            <v>3.4435000000000002</v>
          </cell>
          <cell r="U334">
            <v>4.1493698425040737</v>
          </cell>
          <cell r="V334">
            <v>0</v>
          </cell>
          <cell r="X334">
            <v>45078</v>
          </cell>
          <cell r="Y334">
            <v>26.280314557756306</v>
          </cell>
          <cell r="Z334">
            <v>0</v>
          </cell>
          <cell r="AA334">
            <v>26.280314557756306</v>
          </cell>
        </row>
        <row r="335">
          <cell r="A335">
            <v>45108</v>
          </cell>
          <cell r="B335">
            <v>4.0045000000000002</v>
          </cell>
          <cell r="C335">
            <v>0</v>
          </cell>
          <cell r="D335">
            <v>4.0045000000000002</v>
          </cell>
          <cell r="P335">
            <v>45108</v>
          </cell>
          <cell r="Q335">
            <v>-0.55000000000000004</v>
          </cell>
          <cell r="R335">
            <v>3.4545000000000003</v>
          </cell>
          <cell r="S335">
            <v>4.1586243510045469</v>
          </cell>
          <cell r="T335">
            <v>3.4545000000000003</v>
          </cell>
          <cell r="U335">
            <v>4.1586243510045469</v>
          </cell>
          <cell r="V335">
            <v>0</v>
          </cell>
          <cell r="X335">
            <v>45108</v>
          </cell>
          <cell r="Y335">
            <v>26.280314557756306</v>
          </cell>
          <cell r="Z335">
            <v>0</v>
          </cell>
          <cell r="AA335">
            <v>26.280314557756306</v>
          </cell>
        </row>
        <row r="336">
          <cell r="A336">
            <v>45139</v>
          </cell>
          <cell r="B336">
            <v>4.0135000000000005</v>
          </cell>
          <cell r="C336">
            <v>0</v>
          </cell>
          <cell r="D336">
            <v>4.0135000000000005</v>
          </cell>
          <cell r="P336">
            <v>45139</v>
          </cell>
          <cell r="Q336">
            <v>-0.55000000000000004</v>
          </cell>
          <cell r="R336">
            <v>3.4635000000000007</v>
          </cell>
          <cell r="S336">
            <v>4.1653088576107589</v>
          </cell>
          <cell r="T336">
            <v>3.4635000000000007</v>
          </cell>
          <cell r="U336">
            <v>4.1653088576107589</v>
          </cell>
          <cell r="V336">
            <v>0</v>
          </cell>
          <cell r="X336">
            <v>45139</v>
          </cell>
          <cell r="Y336">
            <v>26.280314557756306</v>
          </cell>
          <cell r="Z336">
            <v>0</v>
          </cell>
          <cell r="AA336">
            <v>26.280314557756306</v>
          </cell>
        </row>
        <row r="337">
          <cell r="A337">
            <v>45170</v>
          </cell>
          <cell r="B337">
            <v>4.0005000000000006</v>
          </cell>
          <cell r="C337">
            <v>0</v>
          </cell>
          <cell r="D337">
            <v>4.0005000000000006</v>
          </cell>
          <cell r="P337">
            <v>45170</v>
          </cell>
          <cell r="Q337">
            <v>-0.55000000000000004</v>
          </cell>
          <cell r="R337">
            <v>3.4505000000000008</v>
          </cell>
          <cell r="S337">
            <v>4.1455347598132484</v>
          </cell>
          <cell r="T337">
            <v>3.4505000000000008</v>
          </cell>
          <cell r="U337">
            <v>4.1455347598132484</v>
          </cell>
          <cell r="V337">
            <v>0</v>
          </cell>
          <cell r="X337">
            <v>45170</v>
          </cell>
          <cell r="Y337">
            <v>26.280314557756306</v>
          </cell>
          <cell r="Z337">
            <v>0</v>
          </cell>
          <cell r="AA337">
            <v>26.280314557756306</v>
          </cell>
        </row>
        <row r="338">
          <cell r="A338">
            <v>45200</v>
          </cell>
          <cell r="B338">
            <v>4.0075000000000003</v>
          </cell>
          <cell r="C338">
            <v>0</v>
          </cell>
          <cell r="D338">
            <v>4.0075000000000003</v>
          </cell>
          <cell r="P338">
            <v>45200</v>
          </cell>
          <cell r="Q338">
            <v>-0.55000000000000004</v>
          </cell>
          <cell r="R338">
            <v>3.4575000000000005</v>
          </cell>
          <cell r="S338">
            <v>4.1499250198646331</v>
          </cell>
          <cell r="T338">
            <v>3.4575000000000005</v>
          </cell>
          <cell r="U338">
            <v>4.1499250198646331</v>
          </cell>
          <cell r="V338">
            <v>0</v>
          </cell>
          <cell r="X338">
            <v>45200</v>
          </cell>
          <cell r="Y338">
            <v>26.280314557756306</v>
          </cell>
          <cell r="Z338">
            <v>0</v>
          </cell>
          <cell r="AA338">
            <v>26.280314557756306</v>
          </cell>
        </row>
        <row r="339">
          <cell r="A339">
            <v>45231</v>
          </cell>
          <cell r="B339">
            <v>4.0434999999999999</v>
          </cell>
          <cell r="C339">
            <v>0</v>
          </cell>
          <cell r="D339">
            <v>4.0434999999999999</v>
          </cell>
          <cell r="P339">
            <v>45231</v>
          </cell>
          <cell r="Q339">
            <v>-0.55000000000000004</v>
          </cell>
          <cell r="R339">
            <v>3.4935</v>
          </cell>
          <cell r="S339">
            <v>4.1889321910591093</v>
          </cell>
          <cell r="T339">
            <v>3.4935</v>
          </cell>
          <cell r="U339">
            <v>4.1889321910591093</v>
          </cell>
          <cell r="V339">
            <v>0</v>
          </cell>
          <cell r="X339">
            <v>45231</v>
          </cell>
          <cell r="Y339">
            <v>26.280314557756306</v>
          </cell>
          <cell r="Z339">
            <v>0</v>
          </cell>
          <cell r="AA339">
            <v>26.280314557756306</v>
          </cell>
        </row>
        <row r="340">
          <cell r="A340">
            <v>45261</v>
          </cell>
          <cell r="B340">
            <v>4.1094999999999997</v>
          </cell>
          <cell r="C340">
            <v>0</v>
          </cell>
          <cell r="D340">
            <v>4.1094999999999997</v>
          </cell>
          <cell r="P340">
            <v>45261</v>
          </cell>
          <cell r="Q340">
            <v>-0.55000000000000004</v>
          </cell>
          <cell r="R340">
            <v>3.5594999999999999</v>
          </cell>
          <cell r="S340">
            <v>4.2639213571219763</v>
          </cell>
          <cell r="T340">
            <v>3.5594999999999999</v>
          </cell>
          <cell r="U340">
            <v>4.2639213571219763</v>
          </cell>
          <cell r="V340">
            <v>0</v>
          </cell>
          <cell r="X340">
            <v>45261</v>
          </cell>
          <cell r="Y340">
            <v>26.280314557756306</v>
          </cell>
          <cell r="Z340">
            <v>0</v>
          </cell>
          <cell r="AA340">
            <v>26.280314557756306</v>
          </cell>
        </row>
        <row r="341">
          <cell r="A341">
            <v>45292</v>
          </cell>
          <cell r="B341">
            <v>4.1319999999999997</v>
          </cell>
          <cell r="C341">
            <v>0</v>
          </cell>
          <cell r="D341">
            <v>4.1319999999999997</v>
          </cell>
          <cell r="P341">
            <v>45292</v>
          </cell>
          <cell r="Q341">
            <v>-0.55000000000000004</v>
          </cell>
          <cell r="R341">
            <v>3.5819999999999999</v>
          </cell>
          <cell r="S341">
            <v>4.2865540245997744</v>
          </cell>
          <cell r="T341">
            <v>3.5819999999999999</v>
          </cell>
          <cell r="U341">
            <v>4.2865540245997744</v>
          </cell>
          <cell r="V341">
            <v>0</v>
          </cell>
          <cell r="X341">
            <v>45292</v>
          </cell>
          <cell r="Y341">
            <v>26.280314557756306</v>
          </cell>
          <cell r="Z341">
            <v>0</v>
          </cell>
          <cell r="AA341">
            <v>26.280314557756306</v>
          </cell>
        </row>
        <row r="342">
          <cell r="A342">
            <v>45323</v>
          </cell>
          <cell r="B342">
            <v>4.1029999999999998</v>
          </cell>
          <cell r="C342">
            <v>0</v>
          </cell>
          <cell r="D342">
            <v>4.1029999999999998</v>
          </cell>
          <cell r="P342">
            <v>45323</v>
          </cell>
          <cell r="Q342">
            <v>-0.55000000000000004</v>
          </cell>
          <cell r="R342">
            <v>3.5529999999999999</v>
          </cell>
          <cell r="S342">
            <v>4.2475592689636157</v>
          </cell>
          <cell r="T342">
            <v>3.5529999999999999</v>
          </cell>
          <cell r="U342">
            <v>4.2475592689636157</v>
          </cell>
          <cell r="V342">
            <v>0</v>
          </cell>
          <cell r="X342">
            <v>45323</v>
          </cell>
          <cell r="Y342">
            <v>26.280314557756306</v>
          </cell>
          <cell r="Z342">
            <v>0</v>
          </cell>
          <cell r="AA342">
            <v>26.280314557756306</v>
          </cell>
        </row>
        <row r="343">
          <cell r="A343">
            <v>45352</v>
          </cell>
          <cell r="B343">
            <v>4.0510000000000002</v>
          </cell>
          <cell r="C343">
            <v>0</v>
          </cell>
          <cell r="D343">
            <v>4.0510000000000002</v>
          </cell>
          <cell r="P343">
            <v>45352</v>
          </cell>
          <cell r="Q343">
            <v>-0.55000000000000004</v>
          </cell>
          <cell r="R343">
            <v>3.5010000000000003</v>
          </cell>
          <cell r="S343">
            <v>4.1814339808400467</v>
          </cell>
          <cell r="T343">
            <v>3.5010000000000003</v>
          </cell>
          <cell r="U343">
            <v>4.1814339808400467</v>
          </cell>
          <cell r="V343">
            <v>0</v>
          </cell>
          <cell r="X343">
            <v>45352</v>
          </cell>
          <cell r="Y343">
            <v>26.280314557756306</v>
          </cell>
          <cell r="Z343">
            <v>0</v>
          </cell>
          <cell r="AA343">
            <v>26.280314557756306</v>
          </cell>
        </row>
        <row r="344">
          <cell r="A344">
            <v>45383</v>
          </cell>
          <cell r="B344">
            <v>4.0140000000000002</v>
          </cell>
          <cell r="C344">
            <v>0</v>
          </cell>
          <cell r="D344">
            <v>4.0140000000000002</v>
          </cell>
          <cell r="P344">
            <v>45383</v>
          </cell>
          <cell r="Q344">
            <v>-0.55000000000000004</v>
          </cell>
          <cell r="R344">
            <v>3.4640000000000004</v>
          </cell>
          <cell r="S344">
            <v>4.1330492392114486</v>
          </cell>
          <cell r="T344">
            <v>3.4640000000000004</v>
          </cell>
          <cell r="U344">
            <v>4.1330492392114486</v>
          </cell>
          <cell r="V344">
            <v>0</v>
          </cell>
          <cell r="X344">
            <v>45383</v>
          </cell>
          <cell r="Y344">
            <v>26.280314557756306</v>
          </cell>
          <cell r="Z344">
            <v>0</v>
          </cell>
          <cell r="AA344">
            <v>26.280314557756306</v>
          </cell>
        </row>
        <row r="345">
          <cell r="A345">
            <v>45413</v>
          </cell>
          <cell r="B345">
            <v>4.0350000000000001</v>
          </cell>
          <cell r="C345">
            <v>0</v>
          </cell>
          <cell r="D345">
            <v>4.0350000000000001</v>
          </cell>
          <cell r="P345">
            <v>45413</v>
          </cell>
          <cell r="Q345">
            <v>-0.55000000000000004</v>
          </cell>
          <cell r="R345">
            <v>3.4850000000000003</v>
          </cell>
          <cell r="S345">
            <v>4.1540171529382803</v>
          </cell>
          <cell r="T345">
            <v>3.4850000000000003</v>
          </cell>
          <cell r="U345">
            <v>4.1540171529382803</v>
          </cell>
          <cell r="V345">
            <v>0</v>
          </cell>
          <cell r="X345">
            <v>45413</v>
          </cell>
          <cell r="Y345">
            <v>26.280314557756306</v>
          </cell>
          <cell r="Z345">
            <v>0</v>
          </cell>
          <cell r="AA345">
            <v>26.280314557756306</v>
          </cell>
        </row>
        <row r="346">
          <cell r="P346">
            <v>45444</v>
          </cell>
          <cell r="Q346">
            <v>-0.55000000000000004</v>
          </cell>
          <cell r="R346">
            <v>3.4850000000000003</v>
          </cell>
          <cell r="S346">
            <v>4.1497874961139107</v>
          </cell>
          <cell r="T346">
            <v>3.4850000000000003</v>
          </cell>
          <cell r="U346">
            <v>4.1497874961139107</v>
          </cell>
          <cell r="V346">
            <v>0</v>
          </cell>
          <cell r="X346">
            <v>45444</v>
          </cell>
          <cell r="Y346">
            <v>26.280314557756306</v>
          </cell>
          <cell r="Z346">
            <v>0</v>
          </cell>
          <cell r="AA346">
            <v>26.280314557756306</v>
          </cell>
        </row>
        <row r="347">
          <cell r="P347">
            <v>45474</v>
          </cell>
          <cell r="Q347">
            <v>-0.55000000000000004</v>
          </cell>
          <cell r="R347">
            <v>3.4850000000000003</v>
          </cell>
          <cell r="S347">
            <v>4.1456891875664503</v>
          </cell>
          <cell r="T347">
            <v>3.4850000000000003</v>
          </cell>
          <cell r="U347">
            <v>4.1456891875664503</v>
          </cell>
          <cell r="V347">
            <v>0</v>
          </cell>
          <cell r="X347">
            <v>45474</v>
          </cell>
          <cell r="Y347">
            <v>26.280314557756306</v>
          </cell>
          <cell r="Z347">
            <v>0</v>
          </cell>
          <cell r="AA347">
            <v>26.280314557756306</v>
          </cell>
        </row>
        <row r="348">
          <cell r="P348">
            <v>45505</v>
          </cell>
          <cell r="Q348">
            <v>-0.55000000000000004</v>
          </cell>
          <cell r="R348">
            <v>3.4850000000000003</v>
          </cell>
          <cell r="S348">
            <v>4.141449031078321</v>
          </cell>
          <cell r="T348">
            <v>3.4850000000000003</v>
          </cell>
          <cell r="U348">
            <v>4.141449031078321</v>
          </cell>
          <cell r="V348">
            <v>0</v>
          </cell>
          <cell r="X348">
            <v>45505</v>
          </cell>
          <cell r="Y348">
            <v>26.280314557756306</v>
          </cell>
          <cell r="Z348">
            <v>0</v>
          </cell>
          <cell r="AA348">
            <v>26.280314557756306</v>
          </cell>
        </row>
        <row r="349">
          <cell r="P349">
            <v>45536</v>
          </cell>
          <cell r="Q349">
            <v>-0.55000000000000004</v>
          </cell>
          <cell r="R349">
            <v>3.4850000000000003</v>
          </cell>
          <cell r="S349">
            <v>4.1372035758323964</v>
          </cell>
          <cell r="T349">
            <v>3.4850000000000003</v>
          </cell>
          <cell r="U349">
            <v>4.1372035758323964</v>
          </cell>
          <cell r="V349">
            <v>0</v>
          </cell>
          <cell r="X349">
            <v>45536</v>
          </cell>
          <cell r="Y349">
            <v>26.280314557756306</v>
          </cell>
          <cell r="Z349">
            <v>0</v>
          </cell>
          <cell r="AA349">
            <v>26.280314557756306</v>
          </cell>
        </row>
        <row r="350">
          <cell r="P350">
            <v>45566</v>
          </cell>
          <cell r="Q350">
            <v>-0.55000000000000004</v>
          </cell>
          <cell r="R350">
            <v>3.4850000000000003</v>
          </cell>
          <cell r="S350">
            <v>4.1330900492274001</v>
          </cell>
          <cell r="T350">
            <v>3.4850000000000003</v>
          </cell>
          <cell r="U350">
            <v>4.1330900492274001</v>
          </cell>
          <cell r="V350">
            <v>0</v>
          </cell>
          <cell r="X350">
            <v>45566</v>
          </cell>
          <cell r="Y350">
            <v>26.280314557756306</v>
          </cell>
          <cell r="Z350">
            <v>0</v>
          </cell>
          <cell r="AA350">
            <v>26.280314557756306</v>
          </cell>
        </row>
        <row r="351">
          <cell r="P351">
            <v>45597</v>
          </cell>
          <cell r="Q351">
            <v>-0.55000000000000004</v>
          </cell>
          <cell r="R351">
            <v>3.4850000000000003</v>
          </cell>
          <cell r="S351">
            <v>4.1288342405413454</v>
          </cell>
          <cell r="T351">
            <v>3.4850000000000003</v>
          </cell>
          <cell r="U351">
            <v>4.1288342405413454</v>
          </cell>
          <cell r="V351">
            <v>0</v>
          </cell>
          <cell r="X351">
            <v>45597</v>
          </cell>
          <cell r="Y351">
            <v>26.280314557756306</v>
          </cell>
          <cell r="Z351">
            <v>0</v>
          </cell>
          <cell r="AA351">
            <v>26.280314557756306</v>
          </cell>
        </row>
        <row r="352">
          <cell r="P352">
            <v>45627</v>
          </cell>
          <cell r="Q352">
            <v>-0.55000000000000004</v>
          </cell>
          <cell r="R352">
            <v>3.4850000000000003</v>
          </cell>
          <cell r="S352">
            <v>4.1247107414311159</v>
          </cell>
          <cell r="T352">
            <v>3.4850000000000003</v>
          </cell>
          <cell r="U352">
            <v>4.1247107414311159</v>
          </cell>
          <cell r="V352">
            <v>0</v>
          </cell>
          <cell r="X352">
            <v>45627</v>
          </cell>
          <cell r="Y352">
            <v>26.280314557756306</v>
          </cell>
          <cell r="Z352">
            <v>0</v>
          </cell>
          <cell r="AA352">
            <v>26.280314557756306</v>
          </cell>
        </row>
        <row r="353">
          <cell r="P353">
            <v>45658</v>
          </cell>
          <cell r="Q353">
            <v>-0.55000000000000004</v>
          </cell>
          <cell r="R353">
            <v>3.4850000000000003</v>
          </cell>
          <cell r="S353">
            <v>4.1204446763621814</v>
          </cell>
          <cell r="T353">
            <v>3.4850000000000003</v>
          </cell>
          <cell r="U353">
            <v>4.1204446763621814</v>
          </cell>
          <cell r="V353">
            <v>0</v>
          </cell>
          <cell r="X353">
            <v>45658</v>
          </cell>
          <cell r="Y353">
            <v>26.280314557756306</v>
          </cell>
          <cell r="Z353">
            <v>0</v>
          </cell>
          <cell r="AA353">
            <v>26.280314557756306</v>
          </cell>
        </row>
        <row r="354">
          <cell r="P354">
            <v>45689</v>
          </cell>
          <cell r="Q354">
            <v>-0.55000000000000004</v>
          </cell>
          <cell r="R354">
            <v>3.4850000000000003</v>
          </cell>
          <cell r="S354">
            <v>4.1161734362599214</v>
          </cell>
          <cell r="T354">
            <v>3.4850000000000003</v>
          </cell>
          <cell r="U354">
            <v>4.1161734362599214</v>
          </cell>
          <cell r="V354">
            <v>0</v>
          </cell>
          <cell r="X354">
            <v>45689</v>
          </cell>
          <cell r="Y354">
            <v>26.280314557756306</v>
          </cell>
          <cell r="Z354">
            <v>0</v>
          </cell>
          <cell r="AA354">
            <v>26.280314557756306</v>
          </cell>
        </row>
        <row r="355">
          <cell r="P355">
            <v>45717</v>
          </cell>
          <cell r="Q355">
            <v>-0.55000000000000004</v>
          </cell>
          <cell r="R355">
            <v>3.4850000000000003</v>
          </cell>
          <cell r="S355">
            <v>4.1123111147976266</v>
          </cell>
          <cell r="T355">
            <v>3.4850000000000003</v>
          </cell>
          <cell r="U355">
            <v>4.1123111147976266</v>
          </cell>
          <cell r="V355">
            <v>0</v>
          </cell>
          <cell r="X355">
            <v>45717</v>
          </cell>
          <cell r="Y355">
            <v>26.280314557756306</v>
          </cell>
          <cell r="Z355">
            <v>0</v>
          </cell>
          <cell r="AA355">
            <v>26.280314557756306</v>
          </cell>
        </row>
        <row r="356">
          <cell r="P356">
            <v>45748</v>
          </cell>
          <cell r="Q356">
            <v>-0.55000000000000004</v>
          </cell>
          <cell r="R356">
            <v>3.4850000000000003</v>
          </cell>
          <cell r="S356">
            <v>4.1080300947921407</v>
          </cell>
          <cell r="T356">
            <v>3.4850000000000003</v>
          </cell>
          <cell r="U356">
            <v>4.1080300947921407</v>
          </cell>
          <cell r="V356">
            <v>0</v>
          </cell>
          <cell r="X356">
            <v>45748</v>
          </cell>
          <cell r="Y356">
            <v>26.280314557756306</v>
          </cell>
          <cell r="Z356">
            <v>0</v>
          </cell>
          <cell r="AA356">
            <v>26.280314557756306</v>
          </cell>
        </row>
        <row r="357">
          <cell r="P357">
            <v>45778</v>
          </cell>
          <cell r="Q357">
            <v>-0.55000000000000004</v>
          </cell>
          <cell r="R357">
            <v>3.4850000000000003</v>
          </cell>
          <cell r="S357">
            <v>4.1038823140315355</v>
          </cell>
          <cell r="T357">
            <v>3.4850000000000003</v>
          </cell>
          <cell r="U357">
            <v>4.1038823140315355</v>
          </cell>
          <cell r="V357">
            <v>0</v>
          </cell>
          <cell r="X357">
            <v>45778</v>
          </cell>
          <cell r="Y357">
            <v>26.280314557756306</v>
          </cell>
          <cell r="Z357">
            <v>0</v>
          </cell>
          <cell r="AA357">
            <v>26.280314557756306</v>
          </cell>
        </row>
        <row r="358">
          <cell r="P358">
            <v>45809</v>
          </cell>
          <cell r="Q358">
            <v>-0.55000000000000004</v>
          </cell>
          <cell r="R358">
            <v>3.4850000000000003</v>
          </cell>
          <cell r="S358">
            <v>4.0995912782649961</v>
          </cell>
          <cell r="T358">
            <v>3.4850000000000003</v>
          </cell>
          <cell r="U358">
            <v>4.0995912782649961</v>
          </cell>
          <cell r="V358">
            <v>0</v>
          </cell>
          <cell r="X358">
            <v>45809</v>
          </cell>
          <cell r="Y358">
            <v>26.280314557756306</v>
          </cell>
          <cell r="Z358">
            <v>0</v>
          </cell>
          <cell r="AA358">
            <v>26.280314557756306</v>
          </cell>
        </row>
        <row r="359">
          <cell r="P359">
            <v>45839</v>
          </cell>
          <cell r="Q359">
            <v>-0.55000000000000004</v>
          </cell>
          <cell r="R359">
            <v>3.4850000000000003</v>
          </cell>
          <cell r="S359">
            <v>4.0954338519235218</v>
          </cell>
          <cell r="T359">
            <v>3.4850000000000003</v>
          </cell>
          <cell r="U359">
            <v>4.0954338519235218</v>
          </cell>
          <cell r="V359">
            <v>0</v>
          </cell>
          <cell r="X359">
            <v>45839</v>
          </cell>
          <cell r="Y359">
            <v>26.280314557756306</v>
          </cell>
          <cell r="Z359">
            <v>0</v>
          </cell>
          <cell r="AA359">
            <v>26.280314557756306</v>
          </cell>
        </row>
        <row r="360">
          <cell r="P360">
            <v>45870</v>
          </cell>
          <cell r="Q360">
            <v>-0.55000000000000004</v>
          </cell>
          <cell r="R360">
            <v>3.4850000000000003</v>
          </cell>
          <cell r="S360">
            <v>4.0911328977354611</v>
          </cell>
          <cell r="T360">
            <v>3.4850000000000003</v>
          </cell>
          <cell r="U360">
            <v>4.0911328977354611</v>
          </cell>
          <cell r="V360">
            <v>0</v>
          </cell>
          <cell r="X360">
            <v>45870</v>
          </cell>
          <cell r="Y360">
            <v>26.280314557756306</v>
          </cell>
          <cell r="Z360">
            <v>0</v>
          </cell>
          <cell r="AA360">
            <v>26.280314557756306</v>
          </cell>
        </row>
        <row r="361">
          <cell r="P361">
            <v>45901</v>
          </cell>
          <cell r="Q361">
            <v>-0.55000000000000004</v>
          </cell>
          <cell r="R361">
            <v>3.4850000000000003</v>
          </cell>
          <cell r="S361">
            <v>4.0868269403629105</v>
          </cell>
          <cell r="T361">
            <v>3.4850000000000003</v>
          </cell>
          <cell r="U361">
            <v>4.0868269403629105</v>
          </cell>
          <cell r="V361">
            <v>0</v>
          </cell>
          <cell r="X361">
            <v>45901</v>
          </cell>
          <cell r="Y361">
            <v>26.280314557756306</v>
          </cell>
          <cell r="Z361">
            <v>0</v>
          </cell>
          <cell r="AA361">
            <v>26.280314557756306</v>
          </cell>
        </row>
        <row r="362">
          <cell r="P362">
            <v>45931</v>
          </cell>
          <cell r="Q362">
            <v>-0.55000000000000004</v>
          </cell>
          <cell r="R362">
            <v>3.4850000000000003</v>
          </cell>
          <cell r="S362">
            <v>4.0826551448436863</v>
          </cell>
          <cell r="T362">
            <v>3.4850000000000003</v>
          </cell>
          <cell r="U362">
            <v>4.0826551448436863</v>
          </cell>
          <cell r="V362">
            <v>0</v>
          </cell>
          <cell r="X362">
            <v>45931</v>
          </cell>
          <cell r="Y362">
            <v>26.280314557756306</v>
          </cell>
          <cell r="Z362">
            <v>0</v>
          </cell>
          <cell r="AA362">
            <v>26.280314557756306</v>
          </cell>
        </row>
        <row r="363">
          <cell r="P363">
            <v>45962</v>
          </cell>
          <cell r="Q363">
            <v>-0.55000000000000004</v>
          </cell>
          <cell r="R363">
            <v>3.4850000000000003</v>
          </cell>
          <cell r="S363">
            <v>4.0783394159876707</v>
          </cell>
          <cell r="T363">
            <v>3.4850000000000003</v>
          </cell>
          <cell r="U363">
            <v>4.0783394159876707</v>
          </cell>
          <cell r="V363">
            <v>0</v>
          </cell>
          <cell r="X363">
            <v>45962</v>
          </cell>
          <cell r="Y363">
            <v>26.280314557756306</v>
          </cell>
          <cell r="Z363">
            <v>0</v>
          </cell>
          <cell r="AA363">
            <v>26.280314557756306</v>
          </cell>
        </row>
        <row r="364">
          <cell r="P364">
            <v>45992</v>
          </cell>
          <cell r="Q364">
            <v>-0.55000000000000004</v>
          </cell>
          <cell r="R364">
            <v>3.4850000000000003</v>
          </cell>
          <cell r="S364">
            <v>4.0741582113692214</v>
          </cell>
          <cell r="T364">
            <v>3.4850000000000003</v>
          </cell>
          <cell r="U364">
            <v>4.0741582113692214</v>
          </cell>
          <cell r="V364">
            <v>0</v>
          </cell>
          <cell r="X364">
            <v>45992</v>
          </cell>
          <cell r="Y364">
            <v>26.280314557756306</v>
          </cell>
          <cell r="Z364">
            <v>0</v>
          </cell>
          <cell r="AA364">
            <v>26.280314557756306</v>
          </cell>
        </row>
        <row r="365">
          <cell r="P365">
            <v>46023</v>
          </cell>
          <cell r="Q365">
            <v>-0.55000000000000004</v>
          </cell>
          <cell r="R365">
            <v>3.4850000000000003</v>
          </cell>
          <cell r="S365">
            <v>4.0698328085365558</v>
          </cell>
          <cell r="T365">
            <v>3.4850000000000003</v>
          </cell>
          <cell r="U365">
            <v>4.0698328085365558</v>
          </cell>
          <cell r="V365">
            <v>0</v>
          </cell>
          <cell r="X365">
            <v>46023</v>
          </cell>
          <cell r="Y365">
            <v>26.280314557756306</v>
          </cell>
          <cell r="Z365">
            <v>0</v>
          </cell>
          <cell r="AA365">
            <v>26.280314557756306</v>
          </cell>
        </row>
        <row r="366">
          <cell r="P366">
            <v>46054</v>
          </cell>
          <cell r="Q366">
            <v>-0.55000000000000004</v>
          </cell>
          <cell r="R366">
            <v>3.4850000000000003</v>
          </cell>
          <cell r="S366">
            <v>4.0655025268084417</v>
          </cell>
          <cell r="T366">
            <v>3.4850000000000003</v>
          </cell>
          <cell r="U366">
            <v>4.0655025268084417</v>
          </cell>
          <cell r="V366">
            <v>0</v>
          </cell>
          <cell r="X366">
            <v>46054</v>
          </cell>
          <cell r="Y366">
            <v>26.280314557756306</v>
          </cell>
          <cell r="Z366">
            <v>0</v>
          </cell>
          <cell r="AA366">
            <v>26.280314557756306</v>
          </cell>
        </row>
        <row r="367">
          <cell r="P367">
            <v>46082</v>
          </cell>
          <cell r="Q367">
            <v>-0.55000000000000004</v>
          </cell>
          <cell r="R367">
            <v>3.4850000000000003</v>
          </cell>
          <cell r="S367">
            <v>4.0615871320546209</v>
          </cell>
          <cell r="T367">
            <v>3.4850000000000003</v>
          </cell>
          <cell r="U367">
            <v>4.0615871320546209</v>
          </cell>
          <cell r="V367">
            <v>0</v>
          </cell>
          <cell r="X367">
            <v>46082</v>
          </cell>
          <cell r="Y367">
            <v>26.280314557756306</v>
          </cell>
          <cell r="Z367">
            <v>0</v>
          </cell>
          <cell r="AA367">
            <v>26.280314557756306</v>
          </cell>
        </row>
        <row r="368">
          <cell r="P368">
            <v>46113</v>
          </cell>
          <cell r="Q368">
            <v>-0.55000000000000004</v>
          </cell>
          <cell r="R368">
            <v>3.4850000000000003</v>
          </cell>
          <cell r="S368">
            <v>4.0572476343346162</v>
          </cell>
          <cell r="T368">
            <v>3.4850000000000003</v>
          </cell>
          <cell r="U368">
            <v>4.0572476343346162</v>
          </cell>
          <cell r="V368">
            <v>0</v>
          </cell>
          <cell r="X368">
            <v>46113</v>
          </cell>
          <cell r="Y368">
            <v>26.280314557756306</v>
          </cell>
          <cell r="Z368">
            <v>0</v>
          </cell>
          <cell r="AA368">
            <v>26.280314557756306</v>
          </cell>
        </row>
        <row r="369">
          <cell r="P369">
            <v>46143</v>
          </cell>
          <cell r="Q369">
            <v>-0.55000000000000004</v>
          </cell>
          <cell r="R369">
            <v>3.4850000000000003</v>
          </cell>
          <cell r="S369">
            <v>4.0530435444948365</v>
          </cell>
          <cell r="T369">
            <v>3.4850000000000003</v>
          </cell>
          <cell r="U369">
            <v>4.0530435444948365</v>
          </cell>
          <cell r="V369">
            <v>0</v>
          </cell>
          <cell r="X369">
            <v>46143</v>
          </cell>
          <cell r="Y369">
            <v>26.280314557756306</v>
          </cell>
          <cell r="Z369">
            <v>0</v>
          </cell>
          <cell r="AA369">
            <v>26.280314557756306</v>
          </cell>
        </row>
        <row r="370">
          <cell r="P370">
            <v>46174</v>
          </cell>
          <cell r="Q370">
            <v>-0.55000000000000004</v>
          </cell>
          <cell r="R370">
            <v>3.4850000000000003</v>
          </cell>
          <cell r="S370">
            <v>4.0486946144341411</v>
          </cell>
          <cell r="T370">
            <v>3.4850000000000003</v>
          </cell>
          <cell r="U370">
            <v>4.0486946144341411</v>
          </cell>
          <cell r="V370">
            <v>0</v>
          </cell>
          <cell r="X370">
            <v>46174</v>
          </cell>
          <cell r="Y370">
            <v>26.280314557756306</v>
          </cell>
          <cell r="Z370">
            <v>0</v>
          </cell>
          <cell r="AA370">
            <v>26.280314557756306</v>
          </cell>
        </row>
        <row r="371">
          <cell r="P371">
            <v>46204</v>
          </cell>
          <cell r="Q371">
            <v>-0.55000000000000004</v>
          </cell>
          <cell r="R371">
            <v>3.4850000000000003</v>
          </cell>
          <cell r="S371">
            <v>4.0444814437925904</v>
          </cell>
          <cell r="T371">
            <v>3.4850000000000003</v>
          </cell>
          <cell r="U371">
            <v>4.0444814437925904</v>
          </cell>
          <cell r="V371">
            <v>0</v>
          </cell>
          <cell r="X371">
            <v>46204</v>
          </cell>
          <cell r="Y371">
            <v>26.280314557756306</v>
          </cell>
          <cell r="Z371">
            <v>0</v>
          </cell>
          <cell r="AA371">
            <v>26.280314557756306</v>
          </cell>
        </row>
        <row r="372">
          <cell r="P372">
            <v>46235</v>
          </cell>
          <cell r="Q372">
            <v>-0.55000000000000004</v>
          </cell>
          <cell r="R372">
            <v>3.4850000000000003</v>
          </cell>
          <cell r="S372">
            <v>4.040123179096665</v>
          </cell>
          <cell r="T372">
            <v>3.4850000000000003</v>
          </cell>
          <cell r="U372">
            <v>4.040123179096665</v>
          </cell>
          <cell r="V372">
            <v>0</v>
          </cell>
          <cell r="X372">
            <v>46235</v>
          </cell>
          <cell r="Y372">
            <v>26.280314557756306</v>
          </cell>
          <cell r="Z372">
            <v>0</v>
          </cell>
          <cell r="AA372">
            <v>26.280314557756306</v>
          </cell>
        </row>
        <row r="373">
          <cell r="P373">
            <v>46266</v>
          </cell>
          <cell r="Q373">
            <v>-0.55000000000000004</v>
          </cell>
          <cell r="R373">
            <v>3.4850000000000003</v>
          </cell>
          <cell r="S373">
            <v>4.0357602080302168</v>
          </cell>
          <cell r="T373">
            <v>3.4850000000000003</v>
          </cell>
          <cell r="U373">
            <v>4.0357602080302168</v>
          </cell>
          <cell r="V373">
            <v>0</v>
          </cell>
          <cell r="X373">
            <v>46266</v>
          </cell>
          <cell r="Y373">
            <v>26.280314557756306</v>
          </cell>
          <cell r="Z373">
            <v>0</v>
          </cell>
          <cell r="AA373">
            <v>26.280314557756306</v>
          </cell>
        </row>
        <row r="374">
          <cell r="P374">
            <v>46296</v>
          </cell>
          <cell r="Q374">
            <v>-0.55000000000000004</v>
          </cell>
          <cell r="R374">
            <v>3.4850000000000003</v>
          </cell>
          <cell r="S374">
            <v>4.0315335206628262</v>
          </cell>
          <cell r="T374">
            <v>3.4850000000000003</v>
          </cell>
          <cell r="U374">
            <v>4.0315335206628262</v>
          </cell>
          <cell r="V374">
            <v>0</v>
          </cell>
          <cell r="X374">
            <v>46296</v>
          </cell>
          <cell r="Y374">
            <v>26.280314557756306</v>
          </cell>
          <cell r="Z374">
            <v>0</v>
          </cell>
          <cell r="AA374">
            <v>26.280314557756306</v>
          </cell>
        </row>
        <row r="375">
          <cell r="P375">
            <v>46327</v>
          </cell>
          <cell r="Q375">
            <v>-0.55000000000000004</v>
          </cell>
          <cell r="R375">
            <v>3.4850000000000003</v>
          </cell>
          <cell r="S375">
            <v>4.0271613624219507</v>
          </cell>
          <cell r="T375">
            <v>3.4850000000000003</v>
          </cell>
          <cell r="U375">
            <v>4.0271613624219507</v>
          </cell>
          <cell r="V375">
            <v>0</v>
          </cell>
          <cell r="X375">
            <v>46327</v>
          </cell>
          <cell r="Y375">
            <v>26.280314557756306</v>
          </cell>
          <cell r="Z375">
            <v>0</v>
          </cell>
          <cell r="AA375">
            <v>26.280314557756306</v>
          </cell>
        </row>
        <row r="376">
          <cell r="P376">
            <v>46357</v>
          </cell>
          <cell r="Q376">
            <v>-0.55000000000000004</v>
          </cell>
          <cell r="R376">
            <v>3.4850000000000003</v>
          </cell>
          <cell r="S376">
            <v>4.0229258315638656</v>
          </cell>
          <cell r="T376">
            <v>3.4850000000000003</v>
          </cell>
          <cell r="U376">
            <v>4.0229258315638656</v>
          </cell>
          <cell r="V376">
            <v>0</v>
          </cell>
          <cell r="X376">
            <v>46357</v>
          </cell>
          <cell r="Y376">
            <v>26.280314557756306</v>
          </cell>
          <cell r="Z376">
            <v>0</v>
          </cell>
          <cell r="AA376">
            <v>26.280314557756306</v>
          </cell>
        </row>
        <row r="377">
          <cell r="P377">
            <v>46388</v>
          </cell>
          <cell r="Q377">
            <v>-0.55000000000000004</v>
          </cell>
          <cell r="R377">
            <v>3.4850000000000003</v>
          </cell>
          <cell r="S377">
            <v>4.0185445839690308</v>
          </cell>
          <cell r="T377">
            <v>3.4850000000000003</v>
          </cell>
          <cell r="U377">
            <v>4.0185445839690308</v>
          </cell>
          <cell r="V377">
            <v>0</v>
          </cell>
          <cell r="X377">
            <v>46388</v>
          </cell>
          <cell r="Y377">
            <v>26.280314557756306</v>
          </cell>
          <cell r="Z377">
            <v>0</v>
          </cell>
          <cell r="AA377">
            <v>26.280314557756306</v>
          </cell>
        </row>
        <row r="378">
          <cell r="P378">
            <v>46419</v>
          </cell>
          <cell r="Q378">
            <v>-0.55000000000000004</v>
          </cell>
          <cell r="R378">
            <v>3.4850000000000003</v>
          </cell>
          <cell r="S378">
            <v>4.0141587546969708</v>
          </cell>
          <cell r="T378">
            <v>3.4850000000000003</v>
          </cell>
          <cell r="U378">
            <v>4.0141587546969708</v>
          </cell>
          <cell r="V378">
            <v>0</v>
          </cell>
          <cell r="X378">
            <v>46419</v>
          </cell>
          <cell r="Y378">
            <v>26.280314557756306</v>
          </cell>
          <cell r="Z378">
            <v>0</v>
          </cell>
          <cell r="AA378">
            <v>26.280314557756306</v>
          </cell>
        </row>
        <row r="379">
          <cell r="P379">
            <v>46447</v>
          </cell>
          <cell r="Q379">
            <v>-0.55000000000000004</v>
          </cell>
          <cell r="R379">
            <v>3.4850000000000003</v>
          </cell>
          <cell r="S379">
            <v>4.0101934434970552</v>
          </cell>
          <cell r="T379">
            <v>3.4850000000000003</v>
          </cell>
          <cell r="U379">
            <v>4.0101934434970552</v>
          </cell>
          <cell r="V379">
            <v>0</v>
          </cell>
          <cell r="X379">
            <v>46447</v>
          </cell>
          <cell r="Y379">
            <v>26.280314557756306</v>
          </cell>
          <cell r="Z379">
            <v>0</v>
          </cell>
          <cell r="AA379">
            <v>26.280314557756306</v>
          </cell>
        </row>
        <row r="380">
          <cell r="P380">
            <v>46478</v>
          </cell>
          <cell r="Q380">
            <v>-0.55000000000000004</v>
          </cell>
          <cell r="R380">
            <v>3.4850000000000003</v>
          </cell>
          <cell r="S380">
            <v>4.0057989641064955</v>
          </cell>
          <cell r="T380">
            <v>3.4850000000000003</v>
          </cell>
          <cell r="U380">
            <v>4.0057989641064955</v>
          </cell>
          <cell r="V380">
            <v>0</v>
          </cell>
          <cell r="X380">
            <v>46478</v>
          </cell>
          <cell r="Y380">
            <v>26.280314557756306</v>
          </cell>
          <cell r="Z380">
            <v>0</v>
          </cell>
          <cell r="AA380">
            <v>26.280314557756306</v>
          </cell>
        </row>
        <row r="381">
          <cell r="P381">
            <v>46508</v>
          </cell>
          <cell r="Q381">
            <v>-0.55000000000000004</v>
          </cell>
          <cell r="R381">
            <v>3.4850000000000003</v>
          </cell>
          <cell r="S381">
            <v>4.0015419493839159</v>
          </cell>
          <cell r="T381">
            <v>3.4850000000000003</v>
          </cell>
          <cell r="U381">
            <v>4.0015419493839159</v>
          </cell>
          <cell r="V381">
            <v>0</v>
          </cell>
          <cell r="X381">
            <v>46508</v>
          </cell>
          <cell r="Y381">
            <v>26.280314557756306</v>
          </cell>
          <cell r="Z381">
            <v>0</v>
          </cell>
          <cell r="AA381">
            <v>26.280314557756306</v>
          </cell>
        </row>
        <row r="382">
          <cell r="P382">
            <v>46539</v>
          </cell>
          <cell r="Q382">
            <v>-0.55000000000000004</v>
          </cell>
          <cell r="R382">
            <v>3.4850000000000003</v>
          </cell>
          <cell r="S382">
            <v>3.9971386229653856</v>
          </cell>
          <cell r="T382">
            <v>3.4850000000000003</v>
          </cell>
          <cell r="U382">
            <v>3.9971386229653856</v>
          </cell>
          <cell r="V382">
            <v>0</v>
          </cell>
          <cell r="X382">
            <v>46539</v>
          </cell>
          <cell r="Y382">
            <v>26.280314557756306</v>
          </cell>
          <cell r="Z382">
            <v>0</v>
          </cell>
          <cell r="AA382">
            <v>26.280314557756306</v>
          </cell>
        </row>
        <row r="383">
          <cell r="P383">
            <v>46569</v>
          </cell>
          <cell r="Q383">
            <v>-0.55000000000000004</v>
          </cell>
          <cell r="R383">
            <v>3.4850000000000003</v>
          </cell>
          <cell r="S383">
            <v>3.9928730939940014</v>
          </cell>
          <cell r="T383">
            <v>3.4850000000000003</v>
          </cell>
          <cell r="U383">
            <v>3.9928730939940014</v>
          </cell>
          <cell r="V383">
            <v>0</v>
          </cell>
          <cell r="X383">
            <v>46569</v>
          </cell>
          <cell r="Y383">
            <v>26.280314557756306</v>
          </cell>
          <cell r="Z383">
            <v>0</v>
          </cell>
          <cell r="AA383">
            <v>26.280314557756306</v>
          </cell>
        </row>
        <row r="384">
          <cell r="P384">
            <v>46600</v>
          </cell>
          <cell r="Q384">
            <v>-0.55000000000000004</v>
          </cell>
          <cell r="R384">
            <v>3.4850000000000003</v>
          </cell>
          <cell r="S384">
            <v>3.9884610184969107</v>
          </cell>
          <cell r="T384">
            <v>3.4850000000000003</v>
          </cell>
          <cell r="U384">
            <v>3.9884610184969107</v>
          </cell>
          <cell r="V384">
            <v>0</v>
          </cell>
          <cell r="X384">
            <v>46600</v>
          </cell>
          <cell r="Y384">
            <v>26.280314557756306</v>
          </cell>
          <cell r="Z384">
            <v>0</v>
          </cell>
          <cell r="AA384">
            <v>26.280314557756306</v>
          </cell>
        </row>
        <row r="385">
          <cell r="P385">
            <v>46631</v>
          </cell>
          <cell r="Q385">
            <v>-0.55000000000000004</v>
          </cell>
          <cell r="R385">
            <v>3.4850000000000003</v>
          </cell>
          <cell r="S385">
            <v>3.9840445342936008</v>
          </cell>
          <cell r="T385">
            <v>3.4850000000000003</v>
          </cell>
          <cell r="U385">
            <v>3.9840445342936008</v>
          </cell>
          <cell r="V385">
            <v>0</v>
          </cell>
          <cell r="X385">
            <v>46631</v>
          </cell>
          <cell r="Y385">
            <v>26.280314557756306</v>
          </cell>
          <cell r="Z385">
            <v>0</v>
          </cell>
          <cell r="AA385">
            <v>26.280314557756306</v>
          </cell>
        </row>
        <row r="386">
          <cell r="P386">
            <v>46661</v>
          </cell>
          <cell r="Q386">
            <v>-0.55000000000000004</v>
          </cell>
          <cell r="R386">
            <v>3.4850000000000003</v>
          </cell>
          <cell r="S386">
            <v>3.9797663434808159</v>
          </cell>
          <cell r="T386">
            <v>3.4850000000000003</v>
          </cell>
          <cell r="U386">
            <v>3.9797663434808159</v>
          </cell>
          <cell r="V386">
            <v>0</v>
          </cell>
          <cell r="X386">
            <v>46661</v>
          </cell>
          <cell r="Y386">
            <v>26.280314557756306</v>
          </cell>
          <cell r="Z386">
            <v>0</v>
          </cell>
          <cell r="AA386">
            <v>26.280314557756306</v>
          </cell>
        </row>
        <row r="387">
          <cell r="P387">
            <v>46692</v>
          </cell>
          <cell r="Q387">
            <v>-0.55000000000000004</v>
          </cell>
          <cell r="R387">
            <v>3.4850000000000003</v>
          </cell>
          <cell r="S387">
            <v>3.9753412579803702</v>
          </cell>
          <cell r="T387">
            <v>3.4850000000000003</v>
          </cell>
          <cell r="U387">
            <v>3.9753412579803702</v>
          </cell>
          <cell r="V387">
            <v>0</v>
          </cell>
          <cell r="X387">
            <v>46692</v>
          </cell>
          <cell r="Y387">
            <v>26.280314557756306</v>
          </cell>
          <cell r="Z387">
            <v>0</v>
          </cell>
          <cell r="AA387">
            <v>26.280314557756306</v>
          </cell>
        </row>
        <row r="388">
          <cell r="P388">
            <v>46722</v>
          </cell>
          <cell r="Q388">
            <v>-0.55000000000000004</v>
          </cell>
          <cell r="R388">
            <v>3.4850000000000003</v>
          </cell>
          <cell r="S388">
            <v>3.9710547907560914</v>
          </cell>
          <cell r="T388">
            <v>3.4850000000000003</v>
          </cell>
          <cell r="U388">
            <v>3.9710547907560914</v>
          </cell>
          <cell r="V388">
            <v>0</v>
          </cell>
          <cell r="X388">
            <v>46722</v>
          </cell>
          <cell r="Y388">
            <v>26.280314557756306</v>
          </cell>
          <cell r="Z388">
            <v>0</v>
          </cell>
          <cell r="AA388">
            <v>26.280314557756306</v>
          </cell>
        </row>
        <row r="389">
          <cell r="P389">
            <v>46753</v>
          </cell>
          <cell r="Q389">
            <v>-0.55000000000000004</v>
          </cell>
          <cell r="R389">
            <v>3.4850000000000003</v>
          </cell>
          <cell r="S389">
            <v>3.9666212019671656</v>
          </cell>
          <cell r="T389">
            <v>3.4850000000000003</v>
          </cell>
          <cell r="U389">
            <v>3.9666212019671656</v>
          </cell>
          <cell r="V389">
            <v>0</v>
          </cell>
          <cell r="X389">
            <v>46753</v>
          </cell>
          <cell r="Y389">
            <v>26.280314557756306</v>
          </cell>
          <cell r="Z389">
            <v>0</v>
          </cell>
          <cell r="AA389">
            <v>26.280314557756306</v>
          </cell>
        </row>
        <row r="390">
          <cell r="P390">
            <v>46784</v>
          </cell>
          <cell r="Q390">
            <v>-0.55000000000000004</v>
          </cell>
          <cell r="R390">
            <v>3.4850000000000003</v>
          </cell>
          <cell r="S390">
            <v>3.9621833294023006</v>
          </cell>
          <cell r="T390">
            <v>3.4850000000000003</v>
          </cell>
          <cell r="U390">
            <v>3.9621833294023006</v>
          </cell>
          <cell r="V390">
            <v>0</v>
          </cell>
          <cell r="X390">
            <v>46784</v>
          </cell>
          <cell r="Y390">
            <v>26.280314557756306</v>
          </cell>
          <cell r="Z390">
            <v>0</v>
          </cell>
          <cell r="AA390">
            <v>26.280314557756306</v>
          </cell>
        </row>
        <row r="391">
          <cell r="P391">
            <v>46813</v>
          </cell>
          <cell r="Q391">
            <v>-0.55000000000000004</v>
          </cell>
          <cell r="R391">
            <v>3.4850000000000003</v>
          </cell>
          <cell r="S391">
            <v>3.9580279154984712</v>
          </cell>
          <cell r="T391">
            <v>3.4850000000000003</v>
          </cell>
          <cell r="U391">
            <v>3.9580279154984712</v>
          </cell>
          <cell r="V391">
            <v>0</v>
          </cell>
          <cell r="X391">
            <v>46813</v>
          </cell>
          <cell r="Y391">
            <v>26.280314557756306</v>
          </cell>
          <cell r="Z391">
            <v>0</v>
          </cell>
          <cell r="AA391">
            <v>26.280314557756306</v>
          </cell>
        </row>
        <row r="392">
          <cell r="P392">
            <v>46844</v>
          </cell>
          <cell r="Q392">
            <v>-0.55000000000000004</v>
          </cell>
          <cell r="R392">
            <v>3.4850000000000003</v>
          </cell>
          <cell r="S392">
            <v>3.9535818236900515</v>
          </cell>
          <cell r="T392">
            <v>3.4850000000000003</v>
          </cell>
          <cell r="U392">
            <v>3.9535818236900515</v>
          </cell>
          <cell r="V392">
            <v>0</v>
          </cell>
          <cell r="X392">
            <v>46844</v>
          </cell>
          <cell r="Y392">
            <v>26.280314557756306</v>
          </cell>
          <cell r="Z392">
            <v>0</v>
          </cell>
          <cell r="AA392">
            <v>26.280314557756306</v>
          </cell>
        </row>
        <row r="393">
          <cell r="P393">
            <v>46874</v>
          </cell>
          <cell r="Q393">
            <v>-0.55000000000000004</v>
          </cell>
          <cell r="R393">
            <v>3.4850000000000003</v>
          </cell>
          <cell r="S393">
            <v>3.9492751459889108</v>
          </cell>
          <cell r="T393">
            <v>3.4850000000000003</v>
          </cell>
          <cell r="U393">
            <v>3.9492751459889108</v>
          </cell>
          <cell r="V393">
            <v>0</v>
          </cell>
          <cell r="X393">
            <v>46874</v>
          </cell>
          <cell r="Y393">
            <v>26.280314557756306</v>
          </cell>
          <cell r="Z393">
            <v>0</v>
          </cell>
          <cell r="AA393">
            <v>26.280314557756306</v>
          </cell>
        </row>
        <row r="394">
          <cell r="P394">
            <v>46905</v>
          </cell>
          <cell r="Q394">
            <v>-0.55000000000000004</v>
          </cell>
          <cell r="R394">
            <v>3.4850000000000003</v>
          </cell>
          <cell r="S394">
            <v>3.9448207952009655</v>
          </cell>
          <cell r="T394">
            <v>3.4850000000000003</v>
          </cell>
          <cell r="U394">
            <v>3.9448207952009655</v>
          </cell>
          <cell r="V394">
            <v>0</v>
          </cell>
          <cell r="X394">
            <v>46905</v>
          </cell>
          <cell r="Y394">
            <v>26.280314557756306</v>
          </cell>
          <cell r="Z394">
            <v>0</v>
          </cell>
          <cell r="AA394">
            <v>26.280314557756306</v>
          </cell>
        </row>
        <row r="395">
          <cell r="P395">
            <v>46935</v>
          </cell>
          <cell r="Q395">
            <v>-0.55000000000000004</v>
          </cell>
          <cell r="R395">
            <v>3.4850000000000003</v>
          </cell>
          <cell r="S395">
            <v>3.940506172386371</v>
          </cell>
          <cell r="T395">
            <v>3.4850000000000003</v>
          </cell>
          <cell r="U395">
            <v>3.940506172386371</v>
          </cell>
          <cell r="V395">
            <v>0</v>
          </cell>
          <cell r="X395">
            <v>46935</v>
          </cell>
          <cell r="Y395">
            <v>26.280314557756306</v>
          </cell>
          <cell r="Z395">
            <v>0</v>
          </cell>
          <cell r="AA395">
            <v>26.280314557756306</v>
          </cell>
        </row>
        <row r="396">
          <cell r="P396">
            <v>46966</v>
          </cell>
          <cell r="Q396">
            <v>-0.55000000000000004</v>
          </cell>
          <cell r="R396">
            <v>3.4850000000000003</v>
          </cell>
          <cell r="S396">
            <v>3.9360436606763458</v>
          </cell>
          <cell r="T396">
            <v>3.4850000000000003</v>
          </cell>
          <cell r="U396">
            <v>3.9360436606763458</v>
          </cell>
          <cell r="V396">
            <v>0</v>
          </cell>
          <cell r="X396">
            <v>46966</v>
          </cell>
          <cell r="Y396">
            <v>26.280314557756306</v>
          </cell>
          <cell r="Z396">
            <v>0</v>
          </cell>
          <cell r="AA396">
            <v>26.280314557756306</v>
          </cell>
        </row>
        <row r="397">
          <cell r="P397">
            <v>46997</v>
          </cell>
          <cell r="Q397">
            <v>-0.55000000000000004</v>
          </cell>
          <cell r="R397">
            <v>3.4850000000000003</v>
          </cell>
          <cell r="S397">
            <v>3.9315770391999156</v>
          </cell>
          <cell r="T397">
            <v>3.4850000000000003</v>
          </cell>
          <cell r="U397">
            <v>3.9315770391999156</v>
          </cell>
          <cell r="V397">
            <v>0</v>
          </cell>
          <cell r="X397">
            <v>46997</v>
          </cell>
          <cell r="Y397">
            <v>26.280314557756306</v>
          </cell>
          <cell r="Z397">
            <v>0</v>
          </cell>
          <cell r="AA397">
            <v>26.280314557756306</v>
          </cell>
        </row>
        <row r="398">
          <cell r="P398">
            <v>47027</v>
          </cell>
          <cell r="Q398">
            <v>-0.55000000000000004</v>
          </cell>
          <cell r="R398">
            <v>3.4850000000000003</v>
          </cell>
          <cell r="S398">
            <v>3.9272506130945821</v>
          </cell>
          <cell r="T398">
            <v>3.4850000000000003</v>
          </cell>
          <cell r="U398">
            <v>3.9272506130945821</v>
          </cell>
          <cell r="V398">
            <v>0</v>
          </cell>
          <cell r="X398">
            <v>47027</v>
          </cell>
          <cell r="Y398">
            <v>26.280314557756306</v>
          </cell>
          <cell r="Z398">
            <v>0</v>
          </cell>
          <cell r="AA398">
            <v>26.280314557756306</v>
          </cell>
        </row>
        <row r="399">
          <cell r="P399">
            <v>47058</v>
          </cell>
          <cell r="Q399">
            <v>-0.55000000000000004</v>
          </cell>
          <cell r="R399">
            <v>3.4850000000000003</v>
          </cell>
          <cell r="S399">
            <v>3.9227759786064413</v>
          </cell>
          <cell r="T399">
            <v>3.4850000000000003</v>
          </cell>
          <cell r="U399">
            <v>3.9227759786064413</v>
          </cell>
          <cell r="V399">
            <v>0</v>
          </cell>
          <cell r="X399">
            <v>47058</v>
          </cell>
          <cell r="Y399">
            <v>26.280314557756306</v>
          </cell>
          <cell r="Z399">
            <v>0</v>
          </cell>
          <cell r="AA399">
            <v>26.280314557756306</v>
          </cell>
        </row>
        <row r="400">
          <cell r="P400">
            <v>47088</v>
          </cell>
          <cell r="Q400">
            <v>-0.55000000000000004</v>
          </cell>
          <cell r="R400">
            <v>3.4850000000000003</v>
          </cell>
          <cell r="S400">
            <v>3.9184418454305758</v>
          </cell>
          <cell r="T400">
            <v>3.4850000000000003</v>
          </cell>
          <cell r="U400">
            <v>3.9184418454305758</v>
          </cell>
          <cell r="V400">
            <v>0</v>
          </cell>
          <cell r="X400">
            <v>47088</v>
          </cell>
          <cell r="Y400">
            <v>26.280314557756306</v>
          </cell>
          <cell r="Z400">
            <v>0</v>
          </cell>
          <cell r="AA400">
            <v>26.280314557756306</v>
          </cell>
        </row>
        <row r="401">
          <cell r="P401">
            <v>47119</v>
          </cell>
          <cell r="Q401">
            <v>-0.55000000000000004</v>
          </cell>
          <cell r="R401">
            <v>3.4850000000000003</v>
          </cell>
          <cell r="S401">
            <v>3.913959296009081</v>
          </cell>
          <cell r="T401">
            <v>3.4850000000000003</v>
          </cell>
          <cell r="U401">
            <v>3.913959296009081</v>
          </cell>
          <cell r="V401">
            <v>0</v>
          </cell>
          <cell r="X401">
            <v>47119</v>
          </cell>
          <cell r="Y401">
            <v>26.280314557756306</v>
          </cell>
          <cell r="Z401">
            <v>0</v>
          </cell>
          <cell r="AA401">
            <v>26.280314557756306</v>
          </cell>
        </row>
        <row r="402">
          <cell r="P402">
            <v>47150</v>
          </cell>
          <cell r="Q402">
            <v>-0.55000000000000004</v>
          </cell>
          <cell r="R402">
            <v>3.4850000000000003</v>
          </cell>
          <cell r="S402">
            <v>3.9094727618246452</v>
          </cell>
          <cell r="T402">
            <v>3.4850000000000003</v>
          </cell>
          <cell r="U402">
            <v>3.9094727618246452</v>
          </cell>
          <cell r="V402">
            <v>0</v>
          </cell>
          <cell r="X402">
            <v>47150</v>
          </cell>
          <cell r="Y402">
            <v>26.280314557756306</v>
          </cell>
          <cell r="Z402">
            <v>0</v>
          </cell>
          <cell r="AA402">
            <v>26.280314557756306</v>
          </cell>
        </row>
        <row r="403">
          <cell r="P403">
            <v>47178</v>
          </cell>
          <cell r="Q403">
            <v>-0.55000000000000004</v>
          </cell>
          <cell r="R403">
            <v>3.4850000000000003</v>
          </cell>
          <cell r="S403">
            <v>3.9054170044476106</v>
          </cell>
          <cell r="T403">
            <v>3.4850000000000003</v>
          </cell>
          <cell r="U403">
            <v>3.9054170044476106</v>
          </cell>
          <cell r="V403">
            <v>0</v>
          </cell>
          <cell r="X403">
            <v>47178</v>
          </cell>
          <cell r="Y403">
            <v>26.280314557756306</v>
          </cell>
          <cell r="Z403">
            <v>0</v>
          </cell>
          <cell r="AA403">
            <v>26.280314557756306</v>
          </cell>
        </row>
        <row r="404">
          <cell r="P404">
            <v>47209</v>
          </cell>
          <cell r="Q404">
            <v>-0.55000000000000004</v>
          </cell>
          <cell r="R404">
            <v>3.4850000000000003</v>
          </cell>
          <cell r="S404">
            <v>3.9009229563383161</v>
          </cell>
          <cell r="T404">
            <v>3.4850000000000003</v>
          </cell>
          <cell r="U404">
            <v>3.9009229563383161</v>
          </cell>
          <cell r="V404">
            <v>0</v>
          </cell>
          <cell r="X404">
            <v>47209</v>
          </cell>
          <cell r="Y404">
            <v>26.280314557756306</v>
          </cell>
          <cell r="Z404">
            <v>0</v>
          </cell>
          <cell r="AA404">
            <v>26.280314557756306</v>
          </cell>
        </row>
        <row r="405">
          <cell r="P405">
            <v>47239</v>
          </cell>
          <cell r="Q405">
            <v>-0.55000000000000004</v>
          </cell>
          <cell r="R405">
            <v>3.4850000000000003</v>
          </cell>
          <cell r="S405">
            <v>3.8965701532472656</v>
          </cell>
          <cell r="T405">
            <v>3.4850000000000003</v>
          </cell>
          <cell r="U405">
            <v>3.8965701532472656</v>
          </cell>
          <cell r="V405">
            <v>0</v>
          </cell>
          <cell r="X405">
            <v>47239</v>
          </cell>
          <cell r="Y405">
            <v>26.280314557756306</v>
          </cell>
          <cell r="Z405">
            <v>0</v>
          </cell>
          <cell r="AA405">
            <v>26.280314557756306</v>
          </cell>
        </row>
        <row r="406">
          <cell r="P406">
            <v>47270</v>
          </cell>
          <cell r="Q406">
            <v>-0.55000000000000004</v>
          </cell>
          <cell r="R406">
            <v>3.4850000000000003</v>
          </cell>
          <cell r="S406">
            <v>3.8920684329557762</v>
          </cell>
          <cell r="T406">
            <v>3.4850000000000003</v>
          </cell>
          <cell r="U406">
            <v>3.8920684329557762</v>
          </cell>
          <cell r="V406">
            <v>0</v>
          </cell>
          <cell r="X406">
            <v>47270</v>
          </cell>
          <cell r="Y406">
            <v>26.280314557756306</v>
          </cell>
          <cell r="Z406">
            <v>0</v>
          </cell>
          <cell r="AA406">
            <v>26.280314557756306</v>
          </cell>
        </row>
        <row r="407">
          <cell r="P407">
            <v>47300</v>
          </cell>
          <cell r="Q407">
            <v>-0.55000000000000004</v>
          </cell>
          <cell r="R407">
            <v>3.4850000000000003</v>
          </cell>
          <cell r="S407">
            <v>3.8877082526145958</v>
          </cell>
          <cell r="T407">
            <v>3.4850000000000003</v>
          </cell>
          <cell r="U407">
            <v>3.8877082526145958</v>
          </cell>
          <cell r="V407">
            <v>0</v>
          </cell>
          <cell r="X407">
            <v>47300</v>
          </cell>
          <cell r="Y407">
            <v>26.280314557756306</v>
          </cell>
          <cell r="Z407">
            <v>0</v>
          </cell>
          <cell r="AA407">
            <v>26.280314557756306</v>
          </cell>
        </row>
        <row r="408">
          <cell r="P408">
            <v>47331</v>
          </cell>
          <cell r="Q408">
            <v>-0.55000000000000004</v>
          </cell>
          <cell r="R408">
            <v>3.4850000000000003</v>
          </cell>
          <cell r="S408">
            <v>3.8831989581879003</v>
          </cell>
          <cell r="T408">
            <v>3.4850000000000003</v>
          </cell>
          <cell r="U408">
            <v>3.8831989581879003</v>
          </cell>
          <cell r="V408">
            <v>0</v>
          </cell>
          <cell r="X408">
            <v>47331</v>
          </cell>
          <cell r="Y408">
            <v>26.280314557756306</v>
          </cell>
          <cell r="Z408">
            <v>0</v>
          </cell>
          <cell r="AA408">
            <v>26.280314557756306</v>
          </cell>
        </row>
        <row r="409">
          <cell r="P409">
            <v>47362</v>
          </cell>
          <cell r="Q409">
            <v>-0.55000000000000004</v>
          </cell>
          <cell r="R409">
            <v>3.4850000000000003</v>
          </cell>
          <cell r="S409">
            <v>3.8786858521818548</v>
          </cell>
          <cell r="T409">
            <v>3.4850000000000003</v>
          </cell>
          <cell r="U409">
            <v>3.8786858521818548</v>
          </cell>
          <cell r="V409">
            <v>0</v>
          </cell>
          <cell r="X409">
            <v>47362</v>
          </cell>
          <cell r="Y409">
            <v>26.280314557756306</v>
          </cell>
          <cell r="Z409">
            <v>0</v>
          </cell>
          <cell r="AA409">
            <v>26.280314557756306</v>
          </cell>
        </row>
        <row r="410">
          <cell r="P410">
            <v>47392</v>
          </cell>
          <cell r="Q410">
            <v>-0.55000000000000004</v>
          </cell>
          <cell r="R410">
            <v>3.4850000000000003</v>
          </cell>
          <cell r="S410">
            <v>3.874314724953837</v>
          </cell>
          <cell r="T410">
            <v>3.4850000000000003</v>
          </cell>
          <cell r="U410">
            <v>3.874314724953837</v>
          </cell>
          <cell r="V410">
            <v>0</v>
          </cell>
          <cell r="X410">
            <v>47392</v>
          </cell>
          <cell r="Y410">
            <v>26.280314557756306</v>
          </cell>
          <cell r="Z410">
            <v>0</v>
          </cell>
          <cell r="AA410">
            <v>26.280314557756306</v>
          </cell>
        </row>
        <row r="411">
          <cell r="P411">
            <v>47423</v>
          </cell>
          <cell r="Q411">
            <v>-0.55000000000000004</v>
          </cell>
          <cell r="R411">
            <v>3.4850000000000003</v>
          </cell>
          <cell r="S411">
            <v>3.8697941926637105</v>
          </cell>
          <cell r="T411">
            <v>3.4850000000000003</v>
          </cell>
          <cell r="U411">
            <v>3.8697941926637105</v>
          </cell>
          <cell r="V411">
            <v>0</v>
          </cell>
          <cell r="X411">
            <v>47423</v>
          </cell>
          <cell r="Y411">
            <v>26.280314557756306</v>
          </cell>
          <cell r="Z411">
            <v>0</v>
          </cell>
          <cell r="AA411">
            <v>26.280314557756306</v>
          </cell>
        </row>
        <row r="412">
          <cell r="P412">
            <v>47453</v>
          </cell>
          <cell r="Q412">
            <v>-0.55000000000000004</v>
          </cell>
          <cell r="R412">
            <v>3.4850000000000003</v>
          </cell>
          <cell r="S412">
            <v>3.8654159261343901</v>
          </cell>
          <cell r="T412">
            <v>3.4850000000000003</v>
          </cell>
          <cell r="U412">
            <v>3.8654159261343901</v>
          </cell>
          <cell r="V412">
            <v>0</v>
          </cell>
          <cell r="X412">
            <v>47453</v>
          </cell>
          <cell r="Y412">
            <v>26.280314557756306</v>
          </cell>
          <cell r="Z412">
            <v>0</v>
          </cell>
          <cell r="AA412">
            <v>26.280314557756306</v>
          </cell>
        </row>
        <row r="413">
          <cell r="P413">
            <v>47484</v>
          </cell>
          <cell r="Q413">
            <v>-0.55000000000000004</v>
          </cell>
          <cell r="R413">
            <v>3.4850000000000003</v>
          </cell>
          <cell r="S413">
            <v>3.8608880655653564</v>
          </cell>
          <cell r="T413">
            <v>3.4850000000000003</v>
          </cell>
          <cell r="U413">
            <v>3.8608880655653564</v>
          </cell>
          <cell r="V413">
            <v>0</v>
          </cell>
          <cell r="X413">
            <v>47484</v>
          </cell>
          <cell r="Y413">
            <v>26.280314557756306</v>
          </cell>
          <cell r="Z413">
            <v>0</v>
          </cell>
          <cell r="AA413">
            <v>26.280314557756306</v>
          </cell>
        </row>
        <row r="414">
          <cell r="P414">
            <v>47515</v>
          </cell>
          <cell r="Q414">
            <v>-0.55000000000000004</v>
          </cell>
          <cell r="R414">
            <v>3.4850000000000003</v>
          </cell>
          <cell r="S414">
            <v>3.8563565183402804</v>
          </cell>
          <cell r="T414">
            <v>3.4850000000000003</v>
          </cell>
          <cell r="U414">
            <v>3.8563565183402804</v>
          </cell>
          <cell r="V414">
            <v>0</v>
          </cell>
          <cell r="X414">
            <v>47515</v>
          </cell>
          <cell r="Y414">
            <v>26.280314557756306</v>
          </cell>
          <cell r="Z414">
            <v>0</v>
          </cell>
          <cell r="AA414">
            <v>26.280314557756306</v>
          </cell>
        </row>
        <row r="415">
          <cell r="P415">
            <v>47543</v>
          </cell>
          <cell r="Q415">
            <v>-0.55000000000000004</v>
          </cell>
          <cell r="R415">
            <v>3.4850000000000003</v>
          </cell>
          <cell r="S415">
            <v>3.8522603602294958</v>
          </cell>
          <cell r="T415">
            <v>3.4850000000000003</v>
          </cell>
          <cell r="U415">
            <v>3.8522603602294958</v>
          </cell>
          <cell r="V415">
            <v>0</v>
          </cell>
          <cell r="X415">
            <v>47543</v>
          </cell>
          <cell r="Y415">
            <v>26.280314557756306</v>
          </cell>
          <cell r="Z415">
            <v>0</v>
          </cell>
          <cell r="AA415">
            <v>26.280314557756306</v>
          </cell>
        </row>
        <row r="416">
          <cell r="P416">
            <v>47574</v>
          </cell>
          <cell r="Q416">
            <v>-0.55000000000000004</v>
          </cell>
          <cell r="R416">
            <v>3.4850000000000003</v>
          </cell>
          <cell r="S416">
            <v>3.8479190134971892</v>
          </cell>
          <cell r="T416">
            <v>3.4850000000000003</v>
          </cell>
          <cell r="U416">
            <v>3.8479190134971892</v>
          </cell>
          <cell r="V416">
            <v>0</v>
          </cell>
          <cell r="X416">
            <v>47574</v>
          </cell>
          <cell r="Y416">
            <v>26.280314557756306</v>
          </cell>
          <cell r="Z416">
            <v>0</v>
          </cell>
          <cell r="AA416">
            <v>26.280314557756306</v>
          </cell>
        </row>
        <row r="417">
          <cell r="P417">
            <v>47604</v>
          </cell>
          <cell r="Q417">
            <v>-0.55000000000000004</v>
          </cell>
          <cell r="R417">
            <v>3.4850000000000003</v>
          </cell>
          <cell r="S417">
            <v>3.8435825592928246</v>
          </cell>
          <cell r="T417">
            <v>3.4850000000000003</v>
          </cell>
          <cell r="U417">
            <v>3.8435825592928246</v>
          </cell>
          <cell r="V417">
            <v>0</v>
          </cell>
          <cell r="X417">
            <v>47604</v>
          </cell>
          <cell r="Y417">
            <v>26.280314557756306</v>
          </cell>
          <cell r="Z417">
            <v>0</v>
          </cell>
          <cell r="AA417">
            <v>26.280314557756306</v>
          </cell>
        </row>
        <row r="418">
          <cell r="P418">
            <v>47635</v>
          </cell>
          <cell r="Q418">
            <v>-0.55000000000000004</v>
          </cell>
          <cell r="R418">
            <v>3.4850000000000003</v>
          </cell>
          <cell r="S418">
            <v>3.8392509921027136</v>
          </cell>
          <cell r="T418">
            <v>3.4850000000000003</v>
          </cell>
          <cell r="U418">
            <v>3.8392509921027136</v>
          </cell>
          <cell r="V418">
            <v>0</v>
          </cell>
          <cell r="X418">
            <v>47635</v>
          </cell>
          <cell r="Y418">
            <v>26.280314557756306</v>
          </cell>
          <cell r="Z418">
            <v>0</v>
          </cell>
          <cell r="AA418">
            <v>26.280314557756306</v>
          </cell>
        </row>
        <row r="419">
          <cell r="P419">
            <v>47665</v>
          </cell>
          <cell r="Q419">
            <v>-0.55000000000000004</v>
          </cell>
          <cell r="R419">
            <v>3.4850000000000003</v>
          </cell>
          <cell r="S419">
            <v>3.8349243064193819</v>
          </cell>
          <cell r="T419">
            <v>3.4850000000000003</v>
          </cell>
          <cell r="U419">
            <v>3.8349243064193819</v>
          </cell>
          <cell r="V419">
            <v>0</v>
          </cell>
          <cell r="X419">
            <v>47665</v>
          </cell>
          <cell r="Y419">
            <v>26.280314557756306</v>
          </cell>
          <cell r="Z419">
            <v>0</v>
          </cell>
          <cell r="AA419">
            <v>26.280314557756306</v>
          </cell>
        </row>
        <row r="420">
          <cell r="P420">
            <v>47696</v>
          </cell>
          <cell r="Q420">
            <v>-0.55000000000000004</v>
          </cell>
          <cell r="R420">
            <v>3.4850000000000003</v>
          </cell>
          <cell r="S420">
            <v>3.8306024967415633</v>
          </cell>
          <cell r="T420">
            <v>3.4850000000000003</v>
          </cell>
          <cell r="U420">
            <v>3.8306024967415633</v>
          </cell>
          <cell r="V420">
            <v>0</v>
          </cell>
          <cell r="X420">
            <v>47696</v>
          </cell>
          <cell r="Y420">
            <v>26.280314557756306</v>
          </cell>
          <cell r="Z420">
            <v>0</v>
          </cell>
          <cell r="AA420">
            <v>26.280314557756306</v>
          </cell>
        </row>
        <row r="421">
          <cell r="P421">
            <v>47727</v>
          </cell>
          <cell r="Q421">
            <v>-0.55000000000000004</v>
          </cell>
          <cell r="R421">
            <v>3.4850000000000003</v>
          </cell>
          <cell r="S421">
            <v>3.8262855575741903</v>
          </cell>
          <cell r="T421">
            <v>3.4850000000000003</v>
          </cell>
          <cell r="U421">
            <v>3.8262855575741903</v>
          </cell>
          <cell r="V421">
            <v>0</v>
          </cell>
          <cell r="X421">
            <v>47727</v>
          </cell>
          <cell r="Y421">
            <v>26.280314557756306</v>
          </cell>
          <cell r="Z421">
            <v>0</v>
          </cell>
          <cell r="AA421">
            <v>26.280314557756306</v>
          </cell>
        </row>
        <row r="422">
          <cell r="P422">
            <v>47757</v>
          </cell>
          <cell r="Q422">
            <v>-0.55000000000000004</v>
          </cell>
          <cell r="R422">
            <v>3.4850000000000003</v>
          </cell>
          <cell r="S422">
            <v>3.8219734834283878</v>
          </cell>
          <cell r="T422">
            <v>3.4850000000000003</v>
          </cell>
          <cell r="U422">
            <v>3.8219734834283878</v>
          </cell>
          <cell r="V422">
            <v>0</v>
          </cell>
        </row>
        <row r="423">
          <cell r="P423">
            <v>47788</v>
          </cell>
          <cell r="Q423">
            <v>-0.55000000000000004</v>
          </cell>
          <cell r="R423">
            <v>3.4850000000000003</v>
          </cell>
          <cell r="S423">
            <v>3.8176662688214669</v>
          </cell>
          <cell r="T423">
            <v>3.4850000000000003</v>
          </cell>
          <cell r="U423">
            <v>3.8176662688214669</v>
          </cell>
          <cell r="V423">
            <v>0</v>
          </cell>
        </row>
        <row r="424">
          <cell r="P424">
            <v>47818</v>
          </cell>
          <cell r="Q424">
            <v>-0.55000000000000004</v>
          </cell>
          <cell r="R424">
            <v>3.4850000000000003</v>
          </cell>
          <cell r="S424">
            <v>3.8133639082769175</v>
          </cell>
          <cell r="T424">
            <v>3.4850000000000003</v>
          </cell>
          <cell r="U424">
            <v>3.8133639082769175</v>
          </cell>
          <cell r="V424">
            <v>0</v>
          </cell>
        </row>
      </sheetData>
      <sheetData sheetId="10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1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2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3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4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5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7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8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9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0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1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2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3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4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5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7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8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9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0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1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2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3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4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5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</sheetData>
      <sheetData sheetId="36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7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8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</sheetData>
      <sheetData sheetId="39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0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1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2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3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4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1.9211415512152229E-2</v>
          </cell>
        </row>
        <row r="45">
          <cell r="I45">
            <v>1.9211415512152229E-2</v>
          </cell>
        </row>
        <row r="46">
          <cell r="I46">
            <v>1.9211415512152229E-2</v>
          </cell>
        </row>
        <row r="47">
          <cell r="I47">
            <v>1.9211415512152229E-2</v>
          </cell>
        </row>
        <row r="48">
          <cell r="I48">
            <v>1.9211415512152229E-2</v>
          </cell>
        </row>
        <row r="49">
          <cell r="I49">
            <v>1.9211415512152229E-2</v>
          </cell>
        </row>
        <row r="50">
          <cell r="I50">
            <v>1.9211415512152229E-2</v>
          </cell>
        </row>
        <row r="51">
          <cell r="I51">
            <v>1.9211415512152229E-2</v>
          </cell>
        </row>
        <row r="52">
          <cell r="I52">
            <v>1.9211415512152229E-2</v>
          </cell>
        </row>
        <row r="53">
          <cell r="I53">
            <v>1.9211415512152229E-2</v>
          </cell>
        </row>
        <row r="54">
          <cell r="I54">
            <v>1.9211415512152229E-2</v>
          </cell>
        </row>
        <row r="55">
          <cell r="I55">
            <v>1.9211415512152229E-2</v>
          </cell>
        </row>
        <row r="56">
          <cell r="I56">
            <v>1.9211415512152229E-2</v>
          </cell>
        </row>
        <row r="57">
          <cell r="I57">
            <v>1.9211415512152229E-2</v>
          </cell>
        </row>
        <row r="58">
          <cell r="I58">
            <v>1.9211415512152229E-2</v>
          </cell>
        </row>
        <row r="59">
          <cell r="I59">
            <v>1.9211415512152229E-2</v>
          </cell>
        </row>
        <row r="60">
          <cell r="I60">
            <v>1.9211415512152229E-2</v>
          </cell>
        </row>
        <row r="61">
          <cell r="I61">
            <v>1.9211415512152229E-2</v>
          </cell>
        </row>
        <row r="62">
          <cell r="I62">
            <v>1.9211415512152229E-2</v>
          </cell>
        </row>
        <row r="63">
          <cell r="I63">
            <v>1.9211415512152229E-2</v>
          </cell>
        </row>
        <row r="64">
          <cell r="I64">
            <v>1.9211415512152229E-2</v>
          </cell>
        </row>
        <row r="65">
          <cell r="I65">
            <v>1.9211415512152229E-2</v>
          </cell>
        </row>
        <row r="66">
          <cell r="I66">
            <v>1.9211415512152229E-2</v>
          </cell>
        </row>
        <row r="67">
          <cell r="I67">
            <v>1.9211415512152229E-2</v>
          </cell>
        </row>
        <row r="68">
          <cell r="I68">
            <v>1.9211415512152229E-2</v>
          </cell>
        </row>
        <row r="69">
          <cell r="I69">
            <v>1.9211415512152229E-2</v>
          </cell>
        </row>
        <row r="70">
          <cell r="I70">
            <v>1.9211415512152229E-2</v>
          </cell>
        </row>
        <row r="71">
          <cell r="I71">
            <v>1.9211415512152229E-2</v>
          </cell>
        </row>
        <row r="72">
          <cell r="I72">
            <v>1.9211415512152229E-2</v>
          </cell>
        </row>
        <row r="73">
          <cell r="I73">
            <v>1.9211415512152229E-2</v>
          </cell>
        </row>
        <row r="74">
          <cell r="I74">
            <v>1.9211415512152229E-2</v>
          </cell>
        </row>
        <row r="75">
          <cell r="I75">
            <v>1.9211415512152229E-2</v>
          </cell>
        </row>
        <row r="76">
          <cell r="I76">
            <v>1.9211415512152229E-2</v>
          </cell>
        </row>
        <row r="77">
          <cell r="I77">
            <v>1.9211415512152229E-2</v>
          </cell>
        </row>
        <row r="78">
          <cell r="I78">
            <v>1.9211415512152229E-2</v>
          </cell>
        </row>
        <row r="79">
          <cell r="I79">
            <v>1.9211415512152229E-2</v>
          </cell>
        </row>
        <row r="80">
          <cell r="I80">
            <v>1.9211415512152229E-2</v>
          </cell>
        </row>
        <row r="81">
          <cell r="I81">
            <v>1.9211415512152229E-2</v>
          </cell>
        </row>
        <row r="82">
          <cell r="I82">
            <v>1.9211415512152229E-2</v>
          </cell>
        </row>
        <row r="83">
          <cell r="I83">
            <v>1.9211415512152229E-2</v>
          </cell>
        </row>
        <row r="84">
          <cell r="I84">
            <v>1.9211415512152229E-2</v>
          </cell>
        </row>
        <row r="85">
          <cell r="I85">
            <v>1.9211415512152229E-2</v>
          </cell>
        </row>
        <row r="86">
          <cell r="I86">
            <v>1.9211415512152229E-2</v>
          </cell>
        </row>
        <row r="87">
          <cell r="I87">
            <v>1.9211415512152229E-2</v>
          </cell>
        </row>
        <row r="88">
          <cell r="I88">
            <v>1.9211415512152229E-2</v>
          </cell>
        </row>
        <row r="89">
          <cell r="I89">
            <v>1.9211415512152229E-2</v>
          </cell>
        </row>
        <row r="90">
          <cell r="I90">
            <v>1.9211415512152229E-2</v>
          </cell>
        </row>
        <row r="91">
          <cell r="I91">
            <v>1.9211415512152229E-2</v>
          </cell>
        </row>
        <row r="92">
          <cell r="I92">
            <v>1.9211415512152229E-2</v>
          </cell>
        </row>
        <row r="93">
          <cell r="I93">
            <v>1.9211415512152229E-2</v>
          </cell>
        </row>
        <row r="94">
          <cell r="I94">
            <v>1.9211415512152229E-2</v>
          </cell>
        </row>
        <row r="95">
          <cell r="I95">
            <v>1.9211415512152229E-2</v>
          </cell>
        </row>
        <row r="96">
          <cell r="I96">
            <v>1.9211415512152229E-2</v>
          </cell>
        </row>
        <row r="97">
          <cell r="I97">
            <v>1.9211415512152229E-2</v>
          </cell>
        </row>
        <row r="98">
          <cell r="I98">
            <v>1.9211415512152229E-2</v>
          </cell>
        </row>
        <row r="99">
          <cell r="I99">
            <v>1.9211415512152229E-2</v>
          </cell>
        </row>
        <row r="100">
          <cell r="I100">
            <v>1.9211415512152229E-2</v>
          </cell>
        </row>
        <row r="101">
          <cell r="I101">
            <v>1.9211415512152229E-2</v>
          </cell>
        </row>
        <row r="102">
          <cell r="I102">
            <v>1.9211415512152229E-2</v>
          </cell>
        </row>
        <row r="103">
          <cell r="I103">
            <v>1.9211415512152229E-2</v>
          </cell>
        </row>
        <row r="104">
          <cell r="I104">
            <v>1.9211415512152229E-2</v>
          </cell>
        </row>
        <row r="105">
          <cell r="I105">
            <v>1.9211415512152229E-2</v>
          </cell>
        </row>
        <row r="106">
          <cell r="I106">
            <v>1.9211415512152229E-2</v>
          </cell>
        </row>
        <row r="107">
          <cell r="I107">
            <v>1.9211415512152229E-2</v>
          </cell>
        </row>
        <row r="108">
          <cell r="I108">
            <v>1.9211415512152229E-2</v>
          </cell>
        </row>
        <row r="109">
          <cell r="I109">
            <v>1.9211415512152229E-2</v>
          </cell>
        </row>
        <row r="110">
          <cell r="I110">
            <v>1.9211415512152229E-2</v>
          </cell>
        </row>
        <row r="111">
          <cell r="I111">
            <v>1.9211415512152229E-2</v>
          </cell>
        </row>
        <row r="112">
          <cell r="I112">
            <v>1.9211415512152229E-2</v>
          </cell>
        </row>
        <row r="113">
          <cell r="I113">
            <v>1.9211415512152229E-2</v>
          </cell>
        </row>
        <row r="114">
          <cell r="I114">
            <v>1.9211415512152229E-2</v>
          </cell>
        </row>
        <row r="115">
          <cell r="I115">
            <v>1.9211415512152229E-2</v>
          </cell>
        </row>
        <row r="116">
          <cell r="I116">
            <v>1.9211415512152229E-2</v>
          </cell>
        </row>
        <row r="117">
          <cell r="I117">
            <v>1.9211415512152229E-2</v>
          </cell>
        </row>
        <row r="118">
          <cell r="I118">
            <v>1.9211415512152229E-2</v>
          </cell>
        </row>
        <row r="119">
          <cell r="I119">
            <v>1.9211415512152229E-2</v>
          </cell>
        </row>
        <row r="120">
          <cell r="I120">
            <v>1.9211415512152229E-2</v>
          </cell>
        </row>
        <row r="121">
          <cell r="I121">
            <v>1.9211415512152229E-2</v>
          </cell>
        </row>
        <row r="122">
          <cell r="I122">
            <v>1.9211415512152229E-2</v>
          </cell>
        </row>
        <row r="123">
          <cell r="I123">
            <v>1.9211415512152229E-2</v>
          </cell>
        </row>
        <row r="124">
          <cell r="I124">
            <v>1.9211415512152229E-2</v>
          </cell>
        </row>
        <row r="125">
          <cell r="I125">
            <v>1.9211415512152229E-2</v>
          </cell>
        </row>
        <row r="126">
          <cell r="I126">
            <v>1.9211415512152229E-2</v>
          </cell>
        </row>
        <row r="127">
          <cell r="I127">
            <v>1.9211415512152229E-2</v>
          </cell>
        </row>
        <row r="128">
          <cell r="I128">
            <v>1.9211415512152229E-2</v>
          </cell>
        </row>
        <row r="129">
          <cell r="I129">
            <v>1.9211415512152229E-2</v>
          </cell>
        </row>
        <row r="130">
          <cell r="I130">
            <v>1.9211415512152229E-2</v>
          </cell>
        </row>
        <row r="131">
          <cell r="I131">
            <v>1.9211415512152229E-2</v>
          </cell>
        </row>
        <row r="132">
          <cell r="I132">
            <v>1.9211415512152229E-2</v>
          </cell>
        </row>
        <row r="133">
          <cell r="I133">
            <v>1.9211415512152229E-2</v>
          </cell>
        </row>
        <row r="134">
          <cell r="I134">
            <v>1.9211415512152229E-2</v>
          </cell>
        </row>
        <row r="135">
          <cell r="I135">
            <v>1.9211415512152229E-2</v>
          </cell>
        </row>
        <row r="136">
          <cell r="I136">
            <v>1.9211415512152229E-2</v>
          </cell>
        </row>
        <row r="137">
          <cell r="I137">
            <v>1.9211415512152229E-2</v>
          </cell>
        </row>
        <row r="138">
          <cell r="I138">
            <v>1.9211415512152229E-2</v>
          </cell>
        </row>
        <row r="139">
          <cell r="I139">
            <v>1.9211415512152229E-2</v>
          </cell>
        </row>
        <row r="140">
          <cell r="I140">
            <v>1.9211415512152229E-2</v>
          </cell>
        </row>
        <row r="141">
          <cell r="I141">
            <v>1.9211415512152229E-2</v>
          </cell>
        </row>
        <row r="142">
          <cell r="I142">
            <v>1.9211415512152229E-2</v>
          </cell>
        </row>
        <row r="143">
          <cell r="I143">
            <v>1.9211415512152229E-2</v>
          </cell>
        </row>
        <row r="144">
          <cell r="I144">
            <v>1.9211415512152229E-2</v>
          </cell>
        </row>
        <row r="145">
          <cell r="I145">
            <v>1.9211415512152229E-2</v>
          </cell>
        </row>
        <row r="146">
          <cell r="I146">
            <v>1.9211415512152229E-2</v>
          </cell>
        </row>
        <row r="147">
          <cell r="I147">
            <v>1.9211415512152229E-2</v>
          </cell>
        </row>
        <row r="148">
          <cell r="I148">
            <v>1.9211415512152229E-2</v>
          </cell>
        </row>
        <row r="149">
          <cell r="I149">
            <v>1.9211415512152229E-2</v>
          </cell>
        </row>
        <row r="150">
          <cell r="I150">
            <v>1.9211415512152229E-2</v>
          </cell>
        </row>
        <row r="151">
          <cell r="I151">
            <v>1.9211415512152229E-2</v>
          </cell>
        </row>
        <row r="152">
          <cell r="I152">
            <v>1.9211415512152229E-2</v>
          </cell>
        </row>
        <row r="153">
          <cell r="I153">
            <v>1.9211415512152229E-2</v>
          </cell>
        </row>
        <row r="154">
          <cell r="I154">
            <v>1.9211415512152229E-2</v>
          </cell>
        </row>
        <row r="155">
          <cell r="I155">
            <v>1.9211415512152229E-2</v>
          </cell>
        </row>
        <row r="156">
          <cell r="I156">
            <v>1.9211415512152229E-2</v>
          </cell>
        </row>
        <row r="157">
          <cell r="I157">
            <v>1.9211415512152229E-2</v>
          </cell>
        </row>
        <row r="158">
          <cell r="I158">
            <v>1.9211415512152229E-2</v>
          </cell>
        </row>
        <row r="159">
          <cell r="I159">
            <v>1.9211415512152229E-2</v>
          </cell>
        </row>
        <row r="160">
          <cell r="I160">
            <v>1.9211415512152229E-2</v>
          </cell>
        </row>
        <row r="161">
          <cell r="I161">
            <v>1.9211415512152229E-2</v>
          </cell>
        </row>
        <row r="162">
          <cell r="I162">
            <v>1.9211415512152229E-2</v>
          </cell>
        </row>
        <row r="163">
          <cell r="I163">
            <v>1.9211415512152229E-2</v>
          </cell>
        </row>
        <row r="164">
          <cell r="I164">
            <v>1.9211415512152229E-2</v>
          </cell>
        </row>
        <row r="165">
          <cell r="I165">
            <v>1.9211415512152229E-2</v>
          </cell>
        </row>
        <row r="166">
          <cell r="I166">
            <v>1.9211415512152229E-2</v>
          </cell>
        </row>
        <row r="167">
          <cell r="I167">
            <v>1.9211415512152229E-2</v>
          </cell>
        </row>
        <row r="168">
          <cell r="I168">
            <v>1.9211415512152229E-2</v>
          </cell>
        </row>
        <row r="169">
          <cell r="I169">
            <v>1.9211415512152229E-2</v>
          </cell>
        </row>
        <row r="170">
          <cell r="I170">
            <v>1.9211415512152229E-2</v>
          </cell>
        </row>
        <row r="171">
          <cell r="I171">
            <v>1.9211415512152229E-2</v>
          </cell>
        </row>
        <row r="172">
          <cell r="I172">
            <v>1.9211415512152229E-2</v>
          </cell>
        </row>
        <row r="173">
          <cell r="I173">
            <v>1.9211415512152229E-2</v>
          </cell>
        </row>
        <row r="174">
          <cell r="I174">
            <v>1.9211415512152229E-2</v>
          </cell>
        </row>
        <row r="175">
          <cell r="I175">
            <v>1.9211415512152229E-2</v>
          </cell>
        </row>
        <row r="176">
          <cell r="I176">
            <v>1.9211415512152229E-2</v>
          </cell>
        </row>
        <row r="177">
          <cell r="I177">
            <v>1.9211415512152229E-2</v>
          </cell>
        </row>
        <row r="178">
          <cell r="I178">
            <v>1.9211415512152229E-2</v>
          </cell>
        </row>
        <row r="179">
          <cell r="I179">
            <v>1.9211415512152229E-2</v>
          </cell>
        </row>
        <row r="180">
          <cell r="I180">
            <v>1.9211415512152229E-2</v>
          </cell>
        </row>
        <row r="181">
          <cell r="I181">
            <v>1.9211415512152229E-2</v>
          </cell>
        </row>
        <row r="182">
          <cell r="I182">
            <v>1.9211415512152229E-2</v>
          </cell>
        </row>
        <row r="183">
          <cell r="I183">
            <v>1.9211415512152229E-2</v>
          </cell>
        </row>
        <row r="184">
          <cell r="I184">
            <v>1.9211415512152229E-2</v>
          </cell>
        </row>
        <row r="185">
          <cell r="I185">
            <v>1.9211415512152229E-2</v>
          </cell>
        </row>
        <row r="186">
          <cell r="I186">
            <v>1.9211415512152229E-2</v>
          </cell>
        </row>
        <row r="187">
          <cell r="I187">
            <v>1.9211415512152229E-2</v>
          </cell>
        </row>
        <row r="188">
          <cell r="I188">
            <v>1.9211415512152229E-2</v>
          </cell>
        </row>
        <row r="189">
          <cell r="I189">
            <v>1.9211415512152229E-2</v>
          </cell>
        </row>
        <row r="190">
          <cell r="I190">
            <v>1.9211415512152229E-2</v>
          </cell>
        </row>
        <row r="191">
          <cell r="I191">
            <v>1.9211415512152229E-2</v>
          </cell>
        </row>
        <row r="192">
          <cell r="I192">
            <v>1.9211415512152229E-2</v>
          </cell>
        </row>
        <row r="193">
          <cell r="I193">
            <v>1.9211415512152229E-2</v>
          </cell>
        </row>
        <row r="194">
          <cell r="I194">
            <v>1.9211415512152229E-2</v>
          </cell>
        </row>
        <row r="195">
          <cell r="I195">
            <v>1.9211415512152229E-2</v>
          </cell>
        </row>
        <row r="196">
          <cell r="I196">
            <v>1.9211415512152229E-2</v>
          </cell>
        </row>
        <row r="197">
          <cell r="I197">
            <v>1.9211415512152229E-2</v>
          </cell>
        </row>
        <row r="198">
          <cell r="I198">
            <v>1.9211415512152229E-2</v>
          </cell>
        </row>
        <row r="199">
          <cell r="I199">
            <v>1.9211415512152229E-2</v>
          </cell>
        </row>
        <row r="200">
          <cell r="I200">
            <v>1.9211415512152229E-2</v>
          </cell>
        </row>
        <row r="201">
          <cell r="I201">
            <v>1.9211415512152229E-2</v>
          </cell>
        </row>
        <row r="202">
          <cell r="I202">
            <v>1.9211415512152229E-2</v>
          </cell>
        </row>
        <row r="203">
          <cell r="I203">
            <v>1.9211415512152229E-2</v>
          </cell>
        </row>
        <row r="204">
          <cell r="I204">
            <v>1.9211415512152229E-2</v>
          </cell>
        </row>
        <row r="205">
          <cell r="I205">
            <v>1.9211415512152229E-2</v>
          </cell>
        </row>
        <row r="206">
          <cell r="I206">
            <v>1.9211415512152229E-2</v>
          </cell>
        </row>
        <row r="207">
          <cell r="I207">
            <v>1.9211415512152229E-2</v>
          </cell>
        </row>
        <row r="208">
          <cell r="I208">
            <v>1.9211415512152229E-2</v>
          </cell>
        </row>
        <row r="209">
          <cell r="I209">
            <v>1.9211415512152229E-2</v>
          </cell>
        </row>
        <row r="210">
          <cell r="I210">
            <v>1.9211415512152229E-2</v>
          </cell>
        </row>
        <row r="211">
          <cell r="I211">
            <v>1.9211415512152229E-2</v>
          </cell>
        </row>
        <row r="212">
          <cell r="I212">
            <v>1.9211415512152229E-2</v>
          </cell>
        </row>
        <row r="213">
          <cell r="I213">
            <v>1.9211415512152229E-2</v>
          </cell>
        </row>
        <row r="214">
          <cell r="I214">
            <v>1.9211415512152229E-2</v>
          </cell>
        </row>
        <row r="215">
          <cell r="I215">
            <v>1.9211415512152229E-2</v>
          </cell>
        </row>
        <row r="216">
          <cell r="I216">
            <v>1.9211415512152229E-2</v>
          </cell>
        </row>
        <row r="217">
          <cell r="I217">
            <v>1.9211415512152229E-2</v>
          </cell>
        </row>
        <row r="218">
          <cell r="I218">
            <v>1.9211415512152229E-2</v>
          </cell>
        </row>
        <row r="219">
          <cell r="I219">
            <v>1.9211415512152229E-2</v>
          </cell>
        </row>
        <row r="220">
          <cell r="I220">
            <v>1.9211415512152229E-2</v>
          </cell>
        </row>
        <row r="221">
          <cell r="I221">
            <v>1.9211415512152229E-2</v>
          </cell>
        </row>
        <row r="222">
          <cell r="I222">
            <v>1.9211415512152229E-2</v>
          </cell>
        </row>
        <row r="223">
          <cell r="I223">
            <v>1.9211415512152229E-2</v>
          </cell>
        </row>
        <row r="224">
          <cell r="I224">
            <v>1.9211415512152229E-2</v>
          </cell>
        </row>
        <row r="225">
          <cell r="I225">
            <v>1.9211415512152229E-2</v>
          </cell>
        </row>
        <row r="226">
          <cell r="I226">
            <v>1.9211415512152229E-2</v>
          </cell>
        </row>
        <row r="227">
          <cell r="I227">
            <v>1.9211415512152229E-2</v>
          </cell>
        </row>
        <row r="228">
          <cell r="I228">
            <v>1.9211415512152229E-2</v>
          </cell>
        </row>
        <row r="229">
          <cell r="I229">
            <v>1.9211415512152229E-2</v>
          </cell>
        </row>
        <row r="230">
          <cell r="I230">
            <v>1.9211415512152229E-2</v>
          </cell>
        </row>
        <row r="231">
          <cell r="I231">
            <v>1.9211415512152229E-2</v>
          </cell>
        </row>
        <row r="232">
          <cell r="I232">
            <v>1.9211415512152229E-2</v>
          </cell>
        </row>
        <row r="233">
          <cell r="I233">
            <v>1.9211415512152229E-2</v>
          </cell>
        </row>
        <row r="234">
          <cell r="I234">
            <v>1.9211415512152229E-2</v>
          </cell>
        </row>
        <row r="235">
          <cell r="I235">
            <v>1.9211415512152229E-2</v>
          </cell>
        </row>
        <row r="236">
          <cell r="I236">
            <v>1.9211415512152229E-2</v>
          </cell>
        </row>
        <row r="237">
          <cell r="I237">
            <v>1.9211415512152229E-2</v>
          </cell>
        </row>
        <row r="238">
          <cell r="I238">
            <v>1.9211415512152229E-2</v>
          </cell>
        </row>
        <row r="239">
          <cell r="I239">
            <v>1.9211415512152229E-2</v>
          </cell>
        </row>
        <row r="240">
          <cell r="I240">
            <v>1.9211415512152229E-2</v>
          </cell>
        </row>
        <row r="241">
          <cell r="I241">
            <v>1.9211415512152229E-2</v>
          </cell>
        </row>
        <row r="242">
          <cell r="I242">
            <v>1.9211415512152229E-2</v>
          </cell>
        </row>
        <row r="243">
          <cell r="I243">
            <v>1.9211415512152229E-2</v>
          </cell>
        </row>
        <row r="244">
          <cell r="I244">
            <v>1.9211415512152229E-2</v>
          </cell>
        </row>
        <row r="245">
          <cell r="I245">
            <v>1.9211415512152229E-2</v>
          </cell>
        </row>
        <row r="246">
          <cell r="I246">
            <v>1.9211415512152229E-2</v>
          </cell>
        </row>
      </sheetData>
      <sheetData sheetId="45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7" refreshError="1">
        <row r="13">
          <cell r="H13" t="str">
            <v>PPP Reset:  Australia, Argentina, Israel, Panama</v>
          </cell>
        </row>
      </sheetData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1"/>
  <dimension ref="A1:AB34"/>
  <sheetViews>
    <sheetView zoomScale="80" zoomScaleNormal="80" workbookViewId="0">
      <selection activeCell="B27" sqref="A27:IV30"/>
    </sheetView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459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632">
        <f>+RAROC!$J$67/1000</f>
        <v>9.13440074354037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633">
        <v>0</v>
      </c>
      <c r="J10" s="634" t="s">
        <v>460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635">
        <v>0</v>
      </c>
      <c r="J11" s="636" t="s">
        <v>460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0</v>
      </c>
      <c r="J12" s="637" t="s">
        <v>460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+Elba!G78*$E$17</f>
        <v>11.605235981183279</v>
      </c>
      <c r="F18" s="620">
        <f>Elba!G78*(1-$E$17)+Elba!H78*$E$17</f>
        <v>34.133047003480236</v>
      </c>
      <c r="G18" s="620">
        <f>Elba!H78*(1-$E$17)+Elba!I78*$E$17</f>
        <v>32.08506418327142</v>
      </c>
      <c r="H18" s="620">
        <f>Elba!I78*(1-$E$17)+Elba!J78*$E$17</f>
        <v>30.719742303132207</v>
      </c>
      <c r="I18" s="620">
        <f>Elba!J78*(1-$E$17)+Elba!K78*$E$17</f>
        <v>30.037081363062605</v>
      </c>
      <c r="J18" s="620">
        <f>Elba!K78*(1-$E$17)+Elba!L78*$E$17</f>
        <v>19.114506321948934</v>
      </c>
      <c r="K18" s="416">
        <f>Elba!L78*(1-$E$17)+Elba!M78*$E$17</f>
        <v>0</v>
      </c>
      <c r="L18" s="416">
        <f>Elba!M78*(1-$E$17)+Elba!N78*$E$17</f>
        <v>0</v>
      </c>
      <c r="M18" s="416">
        <f>Elba!N78*(1-$E$17)+Elba!O78*$E$17</f>
        <v>0</v>
      </c>
      <c r="N18" s="416">
        <f>Elba!O78*(1-$E$17)+Elba!P78*$E$17</f>
        <v>0</v>
      </c>
      <c r="O18" s="416">
        <f>Elba!P78*(1-$E$17)+Elba!Q78*$E$17</f>
        <v>0</v>
      </c>
      <c r="P18" s="416">
        <f>Elba!Q78*(1-$E$17)+Elba!R78*$E$17</f>
        <v>0</v>
      </c>
      <c r="Q18" s="416">
        <f>Elba!R78*(1-$E$17)+Elba!S78*$E$17</f>
        <v>0</v>
      </c>
      <c r="R18" s="416">
        <f>Elba!S78*(1-$E$17)+Elba!T78*$E$17</f>
        <v>0</v>
      </c>
      <c r="S18" s="416">
        <f>Elba!T78*(1-$E$17)+Elba!U78*$E$17</f>
        <v>0</v>
      </c>
      <c r="T18" s="416">
        <f>Elba!U78*(1-$E$17)+Elba!V78*$E$17</f>
        <v>0</v>
      </c>
      <c r="U18" s="416">
        <f>Elba!V78*(1-$E$17)+Elba!W78*$E$17</f>
        <v>0</v>
      </c>
      <c r="V18" s="416">
        <f>Elba!W78*(1-$E$17)+Elba!X78*$E$17</f>
        <v>0</v>
      </c>
      <c r="W18" s="416">
        <f>Elba!X78*(1-$E$17)+Elba!Y78*$E$17</f>
        <v>0</v>
      </c>
      <c r="X18" s="416">
        <f>Elba!Y78*(1-$E$17)+Elba!Z78*$E$17</f>
        <v>0</v>
      </c>
      <c r="Y18" s="417">
        <f>Elba!Z78*(1-$E$17)+Elba!AA78*$E$17</f>
        <v>0</v>
      </c>
      <c r="Z18" s="412"/>
      <c r="AA18" s="623">
        <f>+AVERAGE(K18:T18)</f>
        <v>0</v>
      </c>
    </row>
    <row r="19" spans="1:28" s="420" customFormat="1" x14ac:dyDescent="0.2">
      <c r="A19" s="419" t="s">
        <v>450</v>
      </c>
      <c r="D19" s="607"/>
      <c r="E19" s="621">
        <f>+Elba!G100*$E$17</f>
        <v>4.2449498408685784</v>
      </c>
      <c r="F19" s="621">
        <f>+Elba!G100*(1-$E$17)+Elba!H100*$E$17</f>
        <v>12.734849522605737</v>
      </c>
      <c r="G19" s="621">
        <f>+Elba!H100*(1-$E$17)+Elba!I100*$E$17</f>
        <v>12.734849522605737</v>
      </c>
      <c r="H19" s="621">
        <f>+Elba!I100*(1-$E$17)+Elba!J100*$E$17</f>
        <v>11.673612062388592</v>
      </c>
      <c r="I19" s="621">
        <f>+Elba!J100*(1-$E$17)+Elba!K100*$E$17</f>
        <v>9.5511371419543032</v>
      </c>
      <c r="J19" s="621">
        <f>+Elba!K100*(1-$E$17)+Elba!L100*$E$17</f>
        <v>6.3674247613028694</v>
      </c>
      <c r="K19" s="421">
        <f>+Elba!L100*(1-$E$17)+Elba!M100*$E$17</f>
        <v>0</v>
      </c>
      <c r="L19" s="421">
        <f>+Elba!M100*(1-$E$17)+Elba!N100*$E$17</f>
        <v>0</v>
      </c>
      <c r="M19" s="421">
        <f>+Elba!N100*(1-$E$17)+Elba!O100*$E$17</f>
        <v>0</v>
      </c>
      <c r="N19" s="421">
        <f>+Elba!O100*(1-$E$17)+Elba!P100*$E$17</f>
        <v>0</v>
      </c>
      <c r="O19" s="421">
        <f>+Elba!P100*(1-$E$17)+Elba!Q100*$E$17</f>
        <v>0</v>
      </c>
      <c r="P19" s="421">
        <f>+Elba!Q100*(1-$E$17)+Elba!R100*$E$17</f>
        <v>0</v>
      </c>
      <c r="Q19" s="421">
        <f>+Elba!R100*(1-$E$17)+Elba!S100*$E$17</f>
        <v>0</v>
      </c>
      <c r="R19" s="421">
        <f>+Elba!S100*(1-$E$17)+Elba!T100*$E$17</f>
        <v>0</v>
      </c>
      <c r="S19" s="421">
        <f>+Elba!T100*(1-$E$17)+Elba!U100*$E$17</f>
        <v>0</v>
      </c>
      <c r="T19" s="421">
        <f>+Elba!U100*(1-$E$17)+Elba!V100*$E$17</f>
        <v>0</v>
      </c>
      <c r="U19" s="421">
        <f>+Elba!V100*(1-$E$17)+Elba!W100*$E$17</f>
        <v>0</v>
      </c>
      <c r="V19" s="421">
        <f>+Elba!W100*(1-$E$17)+Elba!X100*$E$17</f>
        <v>0</v>
      </c>
      <c r="W19" s="421">
        <f>+Elba!X100*(1-$E$17)+Elba!Y100*$E$17</f>
        <v>0</v>
      </c>
      <c r="X19" s="421">
        <f>+Elba!Y100*(1-$E$17)+Elba!Z100*$E$17</f>
        <v>0</v>
      </c>
      <c r="Y19" s="422">
        <f>+Elba!Z100*(1-$E$17)+Elba!AA100*$E$17</f>
        <v>0</v>
      </c>
      <c r="Z19" s="608"/>
      <c r="AA19" s="624">
        <f>+AVERAGE(K19:T19)</f>
        <v>0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25.481931083251801</v>
      </c>
      <c r="K20" s="423">
        <f t="shared" si="1"/>
        <v>0</v>
      </c>
      <c r="L20" s="423">
        <f t="shared" si="1"/>
        <v>0</v>
      </c>
      <c r="M20" s="423">
        <f t="shared" si="1"/>
        <v>0</v>
      </c>
      <c r="N20" s="423">
        <f t="shared" si="1"/>
        <v>0</v>
      </c>
      <c r="O20" s="423">
        <f t="shared" si="1"/>
        <v>0</v>
      </c>
      <c r="P20" s="423">
        <f t="shared" si="1"/>
        <v>0</v>
      </c>
      <c r="Q20" s="423">
        <f t="shared" si="1"/>
        <v>0</v>
      </c>
      <c r="R20" s="423">
        <f t="shared" si="1"/>
        <v>0</v>
      </c>
      <c r="S20" s="423">
        <f t="shared" si="1"/>
        <v>0</v>
      </c>
      <c r="T20" s="423">
        <f t="shared" si="1"/>
        <v>0</v>
      </c>
      <c r="U20" s="423">
        <f t="shared" si="1"/>
        <v>0</v>
      </c>
      <c r="V20" s="423">
        <f t="shared" si="1"/>
        <v>0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0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+SUM(RAROC!N$66)*$E$17</f>
        <v>7369.4538225004871</v>
      </c>
      <c r="F22" s="609">
        <f>+SUM(RAROC!N$66)*(1-$E$17)+SUM(RAROC!O$66)*$E$17</f>
        <v>21827.286087879162</v>
      </c>
      <c r="G22" s="609">
        <f>+SUM(RAROC!O$66)*(1-$E$17)+SUM(RAROC!P$66)*$E$17</f>
        <v>20967.234556708143</v>
      </c>
      <c r="H22" s="609">
        <f>+SUM(RAROC!P$66)*(1-$E$17)+SUM(RAROC!Q$66)*$E$17</f>
        <v>19952.595792794433</v>
      </c>
      <c r="I22" s="609">
        <f>+SUM(RAROC!Q$66)*(1-$E$17)+SUM(RAROC!R$66)*$E$17</f>
        <v>18835.078628443633</v>
      </c>
      <c r="J22" s="609">
        <f>+SUM(RAROC!R$66)*(1-$E$17)+SUM(RAROC!S$66)*$E$17</f>
        <v>12183.595453323733</v>
      </c>
      <c r="K22" s="609">
        <f>+SUM(RAROC!S$66)*(1-$E$17)+SUM(RAROC!T$66)*$E$17</f>
        <v>0</v>
      </c>
      <c r="L22" s="609">
        <f>+SUM(RAROC!T$66)*(1-$E$17)+SUM(RAROC!U$66)*$E$17</f>
        <v>0</v>
      </c>
      <c r="M22" s="609">
        <f>+SUM(RAROC!U$66)*(1-$E$17)+SUM(RAROC!V$66)*$E$17</f>
        <v>0</v>
      </c>
      <c r="N22" s="609">
        <f>+SUM(RAROC!V$66)*(1-$E$17)+SUM(RAROC!W$66)*$E$17</f>
        <v>0</v>
      </c>
      <c r="O22" s="609">
        <f>+SUM(RAROC!W$66)*(1-$E$17)+SUM(RAROC!X$66)*$E$17</f>
        <v>0</v>
      </c>
      <c r="P22" s="609">
        <f>+SUM(RAROC!X$66)*(1-$E$17)+SUM(RAROC!Y$66)*$E$17</f>
        <v>0</v>
      </c>
      <c r="Q22" s="609">
        <f>+SUM(RAROC!Y$66)*(1-$E$17)+SUM(RAROC!Z$66)*$E$17</f>
        <v>0</v>
      </c>
      <c r="R22" s="609">
        <f>+SUM(RAROC!Z$66)*(1-$E$17)+SUM(RAROC!AA$66)*$E$17</f>
        <v>0</v>
      </c>
      <c r="S22" s="609">
        <f>+SUM(RAROC!AA$66)*(1-$E$17)+SUM(RAROC!AB$66)*$E$17</f>
        <v>0</v>
      </c>
      <c r="T22" s="609">
        <f>+SUM(RAROC!AB$66)*(1-$E$17)+SUM(RAROC!AC$66)*$E$17</f>
        <v>0</v>
      </c>
      <c r="U22" s="609">
        <f>+SUM(RAROC!AC$66)*(1-$E$17)+SUM(RAROC!AD$66)*$E$17</f>
        <v>0</v>
      </c>
      <c r="V22" s="609">
        <f>+SUM(RAROC!AD$66)*(1-$E$17)+SUM(RAROC!AE$66)*$E$17</f>
        <v>0</v>
      </c>
      <c r="W22" s="609">
        <f>+SUM(RAROC!AE$66)*(1-$E$17)+SUM(RAROC!AF$66)*$E$17</f>
        <v>0</v>
      </c>
      <c r="X22" s="609">
        <f>+SUM(RAROC!AF$66)*(1-$E$17)+SUM(RAROC!AG$66)*$E$17</f>
        <v>0</v>
      </c>
      <c r="Y22" s="610">
        <f>+SUM(RAROC!AG$66)*(1-$E$17)+SUM(RAROC!AH$66)*$E$17</f>
        <v>0</v>
      </c>
      <c r="Z22" s="432"/>
      <c r="AA22" s="615">
        <f>+AVERAGE(K22:T22)</f>
        <v>0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+SUM(RAROC!N$52)*$E$17</f>
        <v>-5558.1476213622882</v>
      </c>
      <c r="F24" s="431">
        <f>+SUM(RAROC!N$52)*(1-$E$17)+SUM(RAROC!O$52)*$E$17</f>
        <v>-16667.906178530677</v>
      </c>
      <c r="G24" s="431">
        <f>+SUM(RAROC!O$52)*(1-$E$17)+SUM(RAROC!P$52)*$E$17</f>
        <v>-16648.662138100684</v>
      </c>
      <c r="H24" s="431">
        <f>+SUM(RAROC!P$52)*(1-$E$17)+SUM(RAROC!Q$52)*$E$17</f>
        <v>-16605.4419594145</v>
      </c>
      <c r="I24" s="431">
        <f>+SUM(RAROC!Q$52)*(1-$E$17)+SUM(RAROC!R$52)*$E$17</f>
        <v>-16545.342343270611</v>
      </c>
      <c r="J24" s="431">
        <f>+SUM(RAROC!R$52)*(1-$E$17)+SUM(RAROC!S$52)*$E$17</f>
        <v>-11032.438980791127</v>
      </c>
      <c r="K24" s="431">
        <f>+SUM(RAROC!S$52)*(1-$E$17)+SUM(RAROC!T$52)*$E$17</f>
        <v>0</v>
      </c>
      <c r="L24" s="431">
        <f>+SUM(RAROC!T$52)*(1-$E$17)+SUM(RAROC!U$52)*$E$17</f>
        <v>0</v>
      </c>
      <c r="M24" s="431">
        <f>+SUM(RAROC!U$52)*(1-$E$17)+SUM(RAROC!V$52)*$E$17</f>
        <v>0</v>
      </c>
      <c r="N24" s="431">
        <f>+SUM(RAROC!V$52)*(1-$E$17)+SUM(RAROC!W$52)*$E$17</f>
        <v>0</v>
      </c>
      <c r="O24" s="431">
        <f>+SUM(RAROC!W$52)*(1-$E$17)+SUM(RAROC!X$52)*$E$17</f>
        <v>0</v>
      </c>
      <c r="P24" s="431">
        <f>+SUM(RAROC!X$52)*(1-$E$17)+SUM(RAROC!Y$52)*$E$17</f>
        <v>0</v>
      </c>
      <c r="Q24" s="431">
        <f>+SUM(RAROC!Y$52)*(1-$E$17)+SUM(RAROC!Z$52)*$E$17</f>
        <v>0</v>
      </c>
      <c r="R24" s="431">
        <f>+SUM(RAROC!Z$52)*(1-$E$17)+SUM(RAROC!AA$52)*$E$17</f>
        <v>0</v>
      </c>
      <c r="S24" s="431">
        <f>+SUM(RAROC!AA$52)*(1-$E$17)+SUM(RAROC!AB$52)*$E$17</f>
        <v>0</v>
      </c>
      <c r="T24" s="431">
        <f>+SUM(RAROC!AB$52)*(1-$E$17)+SUM(RAROC!AC$52)*$E$17</f>
        <v>0</v>
      </c>
      <c r="U24" s="431">
        <f>+SUM(RAROC!AC$52)*(1-$E$17)+SUM(RAROC!AD$52)*$E$17</f>
        <v>0</v>
      </c>
      <c r="V24" s="431">
        <f>+SUM(RAROC!AD$52)*(1-$E$17)+SUM(RAROC!AE$52)*$E$17</f>
        <v>0</v>
      </c>
      <c r="W24" s="431">
        <f>+SUM(RAROC!AE$52)*(1-$E$17)+SUM(RAROC!AF$52)*$E$17</f>
        <v>0</v>
      </c>
      <c r="X24" s="431">
        <f>+SUM(RAROC!AF$52)*(1-$E$17)+SUM(RAROC!AG$52)*$E$17</f>
        <v>0</v>
      </c>
      <c r="Y24" s="434">
        <f>+SUM(RAROC!AG$52)*(1-$E$17)+SUM(RAROC!AH$52)*$E$17</f>
        <v>0</v>
      </c>
      <c r="Z24" s="418"/>
      <c r="AA24" s="436">
        <f>+AVERAGE(K24:T24)</f>
        <v>0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1151.1564725326061</v>
      </c>
      <c r="K26" s="441">
        <f t="shared" si="2"/>
        <v>0</v>
      </c>
      <c r="L26" s="441">
        <f t="shared" si="2"/>
        <v>0</v>
      </c>
      <c r="M26" s="441">
        <f t="shared" si="2"/>
        <v>0</v>
      </c>
      <c r="N26" s="441">
        <f t="shared" si="2"/>
        <v>0</v>
      </c>
      <c r="O26" s="441">
        <f t="shared" si="2"/>
        <v>0</v>
      </c>
      <c r="P26" s="441">
        <f t="shared" si="2"/>
        <v>0</v>
      </c>
      <c r="Q26" s="441">
        <f t="shared" si="2"/>
        <v>0</v>
      </c>
      <c r="R26" s="441">
        <f t="shared" si="2"/>
        <v>0</v>
      </c>
      <c r="S26" s="441">
        <f t="shared" si="2"/>
        <v>0</v>
      </c>
      <c r="T26" s="441">
        <f t="shared" si="2"/>
        <v>0</v>
      </c>
      <c r="U26" s="441">
        <f t="shared" si="2"/>
        <v>0</v>
      </c>
      <c r="V26" s="441">
        <f t="shared" si="2"/>
        <v>0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0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11"/>
  <dimension ref="A1:AB34"/>
  <sheetViews>
    <sheetView zoomScale="80" zoomScaleNormal="80" workbookViewId="0">
      <selection activeCell="B27" sqref="A27:IV30"/>
    </sheetView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461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632">
        <f>(RAROC!$J$67+RAROC!$K$57)/1000</f>
        <v>-12.100129572198675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633">
        <v>0</v>
      </c>
      <c r="J10" s="634" t="s">
        <v>460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635">
        <v>0</v>
      </c>
      <c r="J11" s="636" t="s">
        <v>460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0</v>
      </c>
      <c r="J12" s="637" t="s">
        <v>460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+Elba!G78*$E$17</f>
        <v>11.605235981183279</v>
      </c>
      <c r="F18" s="620">
        <f>Elba!G78*(1-$E$17)+Elba!H78*$E$17</f>
        <v>34.133047003480236</v>
      </c>
      <c r="G18" s="620">
        <f>Elba!H78*(1-$E$17)+Elba!I78*$E$17</f>
        <v>32.08506418327142</v>
      </c>
      <c r="H18" s="620">
        <f>Elba!I78*(1-$E$17)+Elba!J78*$E$17</f>
        <v>30.719742303132207</v>
      </c>
      <c r="I18" s="620">
        <f>Elba!J78*(1-$E$17)+Elba!K78*$E$17</f>
        <v>30.037081363062605</v>
      </c>
      <c r="J18" s="620">
        <f>Elba!K78*(1-$E$17)+Elba!L78*$E$17</f>
        <v>19.114506321948934</v>
      </c>
      <c r="K18" s="416">
        <f>Elba!L78*(1-$E$17)+Elba!M78*$E$17</f>
        <v>0</v>
      </c>
      <c r="L18" s="416">
        <f>Elba!M78*(1-$E$17)+Elba!N78*$E$17</f>
        <v>0</v>
      </c>
      <c r="M18" s="416">
        <f>Elba!N78*(1-$E$17)+Elba!O78*$E$17</f>
        <v>0</v>
      </c>
      <c r="N18" s="416">
        <f>Elba!O78*(1-$E$17)+Elba!P78*$E$17</f>
        <v>0</v>
      </c>
      <c r="O18" s="416">
        <f>Elba!P78*(1-$E$17)+Elba!Q78*$E$17</f>
        <v>0</v>
      </c>
      <c r="P18" s="416">
        <f>Elba!Q78*(1-$E$17)+Elba!R78*$E$17</f>
        <v>0</v>
      </c>
      <c r="Q18" s="416">
        <f>Elba!R78*(1-$E$17)+Elba!S78*$E$17</f>
        <v>0</v>
      </c>
      <c r="R18" s="416">
        <f>Elba!S78*(1-$E$17)+Elba!T78*$E$17</f>
        <v>0</v>
      </c>
      <c r="S18" s="416">
        <f>Elba!T78*(1-$E$17)+Elba!U78*$E$17</f>
        <v>0</v>
      </c>
      <c r="T18" s="416">
        <f>Elba!U78*(1-$E$17)+Elba!V78*$E$17</f>
        <v>0</v>
      </c>
      <c r="U18" s="416">
        <f>Elba!V78*(1-$E$17)+Elba!W78*$E$17</f>
        <v>0</v>
      </c>
      <c r="V18" s="416">
        <f>Elba!W78*(1-$E$17)+Elba!X78*$E$17</f>
        <v>0</v>
      </c>
      <c r="W18" s="416">
        <f>Elba!X78*(1-$E$17)+Elba!Y78*$E$17</f>
        <v>0</v>
      </c>
      <c r="X18" s="416">
        <f>Elba!Y78*(1-$E$17)+Elba!Z78*$E$17</f>
        <v>0</v>
      </c>
      <c r="Y18" s="417">
        <f>Elba!Z78*(1-$E$17)+Elba!AA78*$E$17</f>
        <v>0</v>
      </c>
      <c r="Z18" s="412"/>
      <c r="AA18" s="623">
        <f>+AVERAGE(K18:T18)</f>
        <v>0</v>
      </c>
    </row>
    <row r="19" spans="1:28" s="420" customFormat="1" x14ac:dyDescent="0.2">
      <c r="A19" s="419" t="s">
        <v>450</v>
      </c>
      <c r="D19" s="607"/>
      <c r="E19" s="621">
        <f>+Elba!G100*$E$17</f>
        <v>4.2449498408685784</v>
      </c>
      <c r="F19" s="621">
        <f>+Elba!G100*(1-$E$17)+Elba!H100*$E$17</f>
        <v>12.734849522605737</v>
      </c>
      <c r="G19" s="621">
        <f>+Elba!H100*(1-$E$17)+Elba!I100*$E$17</f>
        <v>12.734849522605737</v>
      </c>
      <c r="H19" s="621">
        <f>+Elba!I100*(1-$E$17)+Elba!J100*$E$17</f>
        <v>11.673612062388592</v>
      </c>
      <c r="I19" s="621">
        <f>+Elba!J100*(1-$E$17)+Elba!K100*$E$17</f>
        <v>9.5511371419543032</v>
      </c>
      <c r="J19" s="621">
        <f>+Elba!K100*(1-$E$17)+Elba!L100*$E$17</f>
        <v>6.3674247613028694</v>
      </c>
      <c r="K19" s="421">
        <f>+Elba!L100*(1-$E$17)+Elba!M100*$E$17</f>
        <v>0</v>
      </c>
      <c r="L19" s="421">
        <f>+Elba!M100*(1-$E$17)+Elba!N100*$E$17</f>
        <v>0</v>
      </c>
      <c r="M19" s="421">
        <f>+Elba!N100*(1-$E$17)+Elba!O100*$E$17</f>
        <v>0</v>
      </c>
      <c r="N19" s="421">
        <f>+Elba!O100*(1-$E$17)+Elba!P100*$E$17</f>
        <v>0</v>
      </c>
      <c r="O19" s="421">
        <f>+Elba!P100*(1-$E$17)+Elba!Q100*$E$17</f>
        <v>0</v>
      </c>
      <c r="P19" s="421">
        <f>+Elba!Q100*(1-$E$17)+Elba!R100*$E$17</f>
        <v>0</v>
      </c>
      <c r="Q19" s="421">
        <f>+Elba!R100*(1-$E$17)+Elba!S100*$E$17</f>
        <v>0</v>
      </c>
      <c r="R19" s="421">
        <f>+Elba!S100*(1-$E$17)+Elba!T100*$E$17</f>
        <v>0</v>
      </c>
      <c r="S19" s="421">
        <f>+Elba!T100*(1-$E$17)+Elba!U100*$E$17</f>
        <v>0</v>
      </c>
      <c r="T19" s="421">
        <f>+Elba!U100*(1-$E$17)+Elba!V100*$E$17</f>
        <v>0</v>
      </c>
      <c r="U19" s="421">
        <f>+Elba!V100*(1-$E$17)+Elba!W100*$E$17</f>
        <v>0</v>
      </c>
      <c r="V19" s="421">
        <f>+Elba!W100*(1-$E$17)+Elba!X100*$E$17</f>
        <v>0</v>
      </c>
      <c r="W19" s="421">
        <f>+Elba!X100*(1-$E$17)+Elba!Y100*$E$17</f>
        <v>0</v>
      </c>
      <c r="X19" s="421">
        <f>+Elba!Y100*(1-$E$17)+Elba!Z100*$E$17</f>
        <v>0</v>
      </c>
      <c r="Y19" s="422">
        <f>+Elba!Z100*(1-$E$17)+Elba!AA100*$E$17</f>
        <v>0</v>
      </c>
      <c r="Z19" s="608"/>
      <c r="AA19" s="624">
        <f>+AVERAGE(K19:T19)</f>
        <v>0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25.481931083251801</v>
      </c>
      <c r="K20" s="423">
        <f t="shared" si="1"/>
        <v>0</v>
      </c>
      <c r="L20" s="423">
        <f t="shared" si="1"/>
        <v>0</v>
      </c>
      <c r="M20" s="423">
        <f t="shared" si="1"/>
        <v>0</v>
      </c>
      <c r="N20" s="423">
        <f t="shared" si="1"/>
        <v>0</v>
      </c>
      <c r="O20" s="423">
        <f t="shared" si="1"/>
        <v>0</v>
      </c>
      <c r="P20" s="423">
        <f t="shared" si="1"/>
        <v>0</v>
      </c>
      <c r="Q20" s="423">
        <f t="shared" si="1"/>
        <v>0</v>
      </c>
      <c r="R20" s="423">
        <f t="shared" si="1"/>
        <v>0</v>
      </c>
      <c r="S20" s="423">
        <f t="shared" si="1"/>
        <v>0</v>
      </c>
      <c r="T20" s="423">
        <f t="shared" si="1"/>
        <v>0</v>
      </c>
      <c r="U20" s="423">
        <f t="shared" si="1"/>
        <v>0</v>
      </c>
      <c r="V20" s="423">
        <f t="shared" si="1"/>
        <v>0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0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+SUM(RAROC!N$66)*$E$17</f>
        <v>7369.4538225004871</v>
      </c>
      <c r="F22" s="609">
        <f>+SUM(RAROC!N$66)*(1-$E$17)+SUM(RAROC!O$66)*$E$17</f>
        <v>21827.286087879162</v>
      </c>
      <c r="G22" s="609">
        <f>+SUM(RAROC!O$66)*(1-$E$17)+SUM(RAROC!P$66)*$E$17</f>
        <v>20967.234556708143</v>
      </c>
      <c r="H22" s="609">
        <f>+SUM(RAROC!P$66)*(1-$E$17)+SUM(RAROC!Q$66)*$E$17</f>
        <v>19952.595792794433</v>
      </c>
      <c r="I22" s="609">
        <f>+SUM(RAROC!Q$66)*(1-$E$17)+SUM(RAROC!R$66)*$E$17</f>
        <v>18835.078628443633</v>
      </c>
      <c r="J22" s="609">
        <f>+SUM(RAROC!R$66)*(1-$E$17)+SUM(RAROC!S$66)*$E$17</f>
        <v>12183.595453323733</v>
      </c>
      <c r="K22" s="609">
        <f>+SUM(RAROC!S$66)*(1-$E$17)+SUM(RAROC!T$66)*$E$17</f>
        <v>0</v>
      </c>
      <c r="L22" s="609">
        <f>+SUM(RAROC!T$66)*(1-$E$17)+SUM(RAROC!U$66)*$E$17</f>
        <v>0</v>
      </c>
      <c r="M22" s="609">
        <f>+SUM(RAROC!U$66)*(1-$E$17)+SUM(RAROC!V$66)*$E$17</f>
        <v>0</v>
      </c>
      <c r="N22" s="609">
        <f>+SUM(RAROC!V$66)*(1-$E$17)+SUM(RAROC!W$66)*$E$17</f>
        <v>0</v>
      </c>
      <c r="O22" s="609">
        <f>+SUM(RAROC!W$66)*(1-$E$17)+SUM(RAROC!X$66)*$E$17</f>
        <v>0</v>
      </c>
      <c r="P22" s="609">
        <f>+SUM(RAROC!X$66)*(1-$E$17)+SUM(RAROC!Y$66)*$E$17</f>
        <v>0</v>
      </c>
      <c r="Q22" s="609">
        <f>+SUM(RAROC!Y$66)*(1-$E$17)+SUM(RAROC!Z$66)*$E$17</f>
        <v>0</v>
      </c>
      <c r="R22" s="609">
        <f>+SUM(RAROC!Z$66)*(1-$E$17)+SUM(RAROC!AA$66)*$E$17</f>
        <v>0</v>
      </c>
      <c r="S22" s="609">
        <f>+SUM(RAROC!AA$66)*(1-$E$17)+SUM(RAROC!AB$66)*$E$17</f>
        <v>0</v>
      </c>
      <c r="T22" s="609">
        <f>+SUM(RAROC!AB$66)*(1-$E$17)+SUM(RAROC!AC$66)*$E$17</f>
        <v>0</v>
      </c>
      <c r="U22" s="609">
        <f>+SUM(RAROC!AC$66)*(1-$E$17)+SUM(RAROC!AD$66)*$E$17</f>
        <v>0</v>
      </c>
      <c r="V22" s="609">
        <f>+SUM(RAROC!AD$66)*(1-$E$17)+SUM(RAROC!AE$66)*$E$17</f>
        <v>0</v>
      </c>
      <c r="W22" s="609">
        <f>+SUM(RAROC!AE$66)*(1-$E$17)+SUM(RAROC!AF$66)*$E$17</f>
        <v>0</v>
      </c>
      <c r="X22" s="609">
        <f>+SUM(RAROC!AF$66)*(1-$E$17)+SUM(RAROC!AG$66)*$E$17</f>
        <v>0</v>
      </c>
      <c r="Y22" s="610">
        <f>+SUM(RAROC!AG$66)*(1-$E$17)+SUM(RAROC!AH$66)*$E$17</f>
        <v>0</v>
      </c>
      <c r="Z22" s="432"/>
      <c r="AA22" s="615">
        <f>+AVERAGE(K22:T22)</f>
        <v>0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+SUM(RAROC!N$52)*$E$17</f>
        <v>-5558.1476213622882</v>
      </c>
      <c r="F24" s="431">
        <f>+SUM(RAROC!N$52)*(1-$E$17)+SUM(RAROC!O$52)*$E$17</f>
        <v>-16667.906178530677</v>
      </c>
      <c r="G24" s="431">
        <f>+SUM(RAROC!O$52)*(1-$E$17)+SUM(RAROC!P$52)*$E$17</f>
        <v>-16648.662138100684</v>
      </c>
      <c r="H24" s="431">
        <f>+SUM(RAROC!P$52)*(1-$E$17)+SUM(RAROC!Q$52)*$E$17</f>
        <v>-16605.4419594145</v>
      </c>
      <c r="I24" s="431">
        <f>+SUM(RAROC!Q$52)*(1-$E$17)+SUM(RAROC!R$52)*$E$17</f>
        <v>-16545.342343270611</v>
      </c>
      <c r="J24" s="638">
        <f>+SUM(RAROC!R$52)*(1-$E$17)+SUM(RAROC!S$52)*$E$17+RAROC!$R$56</f>
        <v>-74762.405679346557</v>
      </c>
      <c r="K24" s="431">
        <f>+SUM(RAROC!S$52)*(1-$E$17)+SUM(RAROC!T$52)*$E$17</f>
        <v>0</v>
      </c>
      <c r="L24" s="431">
        <f>+SUM(RAROC!T$52)*(1-$E$17)+SUM(RAROC!U$52)*$E$17</f>
        <v>0</v>
      </c>
      <c r="M24" s="431">
        <f>+SUM(RAROC!U$52)*(1-$E$17)+SUM(RAROC!V$52)*$E$17</f>
        <v>0</v>
      </c>
      <c r="N24" s="431">
        <f>+SUM(RAROC!V$52)*(1-$E$17)+SUM(RAROC!W$52)*$E$17</f>
        <v>0</v>
      </c>
      <c r="O24" s="431">
        <f>+SUM(RAROC!W$52)*(1-$E$17)+SUM(RAROC!X$52)*$E$17</f>
        <v>0</v>
      </c>
      <c r="P24" s="431">
        <f>+SUM(RAROC!X$52)*(1-$E$17)+SUM(RAROC!Y$52)*$E$17</f>
        <v>0</v>
      </c>
      <c r="Q24" s="431">
        <f>+SUM(RAROC!Y$52)*(1-$E$17)+SUM(RAROC!Z$52)*$E$17</f>
        <v>0</v>
      </c>
      <c r="R24" s="431">
        <f>+SUM(RAROC!Z$52)*(1-$E$17)+SUM(RAROC!AA$52)*$E$17</f>
        <v>0</v>
      </c>
      <c r="S24" s="431">
        <f>+SUM(RAROC!AA$52)*(1-$E$17)+SUM(RAROC!AB$52)*$E$17</f>
        <v>0</v>
      </c>
      <c r="T24" s="431">
        <f>+SUM(RAROC!AB$52)*(1-$E$17)+SUM(RAROC!AC$52)*$E$17</f>
        <v>0</v>
      </c>
      <c r="U24" s="431">
        <f>+SUM(RAROC!AC$52)*(1-$E$17)+SUM(RAROC!AD$52)*$E$17</f>
        <v>0</v>
      </c>
      <c r="V24" s="431">
        <f>+SUM(RAROC!AD$52)*(1-$E$17)+SUM(RAROC!AE$52)*$E$17</f>
        <v>0</v>
      </c>
      <c r="W24" s="431">
        <f>+SUM(RAROC!AE$52)*(1-$E$17)+SUM(RAROC!AF$52)*$E$17</f>
        <v>0</v>
      </c>
      <c r="X24" s="431">
        <f>+SUM(RAROC!AF$52)*(1-$E$17)+SUM(RAROC!AG$52)*$E$17</f>
        <v>0</v>
      </c>
      <c r="Y24" s="434">
        <f>+SUM(RAROC!AG$52)*(1-$E$17)+SUM(RAROC!AH$52)*$E$17</f>
        <v>0</v>
      </c>
      <c r="Z24" s="418"/>
      <c r="AA24" s="436">
        <f>+AVERAGE(K24:T24)</f>
        <v>0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-62578.810226022826</v>
      </c>
      <c r="K26" s="441">
        <f t="shared" si="2"/>
        <v>0</v>
      </c>
      <c r="L26" s="441">
        <f t="shared" si="2"/>
        <v>0</v>
      </c>
      <c r="M26" s="441">
        <f t="shared" si="2"/>
        <v>0</v>
      </c>
      <c r="N26" s="441">
        <f t="shared" si="2"/>
        <v>0</v>
      </c>
      <c r="O26" s="441">
        <f t="shared" si="2"/>
        <v>0</v>
      </c>
      <c r="P26" s="441">
        <f t="shared" si="2"/>
        <v>0</v>
      </c>
      <c r="Q26" s="441">
        <f t="shared" si="2"/>
        <v>0</v>
      </c>
      <c r="R26" s="441">
        <f t="shared" si="2"/>
        <v>0</v>
      </c>
      <c r="S26" s="441">
        <f t="shared" si="2"/>
        <v>0</v>
      </c>
      <c r="T26" s="441">
        <f t="shared" si="2"/>
        <v>0</v>
      </c>
      <c r="U26" s="441">
        <f t="shared" si="2"/>
        <v>0</v>
      </c>
      <c r="V26" s="441">
        <f t="shared" si="2"/>
        <v>0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0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B34"/>
  <sheetViews>
    <sheetView zoomScale="80" zoomScaleNormal="80" workbookViewId="0">
      <selection activeCell="B27" sqref="A27:IV30"/>
    </sheetView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462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591">
        <f>+SUM(RAROC!$J$67,RAROC!$K$61,RAROC!$K$70)/1000</f>
        <v>18.975519027476402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403">
        <f>+AVERAGE(Elba!L21:W21)</f>
        <v>17</v>
      </c>
      <c r="J10" s="598">
        <f>SUM(SUMPRODUCT(Elba!$L$150:$W$150,Elba!$L$151:$W$151))/SUM(Elba!$L$151:$W$151)</f>
        <v>0.44637870907311344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405">
        <f>+AVERAGE(Elba!L22:W22)</f>
        <v>5.25</v>
      </c>
      <c r="J11" s="599">
        <f>SUM(SUMPRODUCT(Elba!$L$153:$W$153,Elba!$L$154:$W$154))/SUM(Elba!$L$154:$W$154)</f>
        <v>0.52701005184256799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22.25</v>
      </c>
      <c r="J12" s="604">
        <f>(J10*I10*ML+J11*I11*NB)/(I10*ML+I11*NB)</f>
        <v>0.47253253393900924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+Elba!G77*$E$17</f>
        <v>11.605235981183279</v>
      </c>
      <c r="F18" s="620">
        <f>Elba!G77*(1-$E$17)+Elba!H77*$E$17</f>
        <v>34.133047003480236</v>
      </c>
      <c r="G18" s="620">
        <f>Elba!H77*(1-$E$17)+Elba!I77*$E$17</f>
        <v>32.08506418327142</v>
      </c>
      <c r="H18" s="620">
        <f>Elba!I77*(1-$E$17)+Elba!J77*$E$17</f>
        <v>30.719742303132207</v>
      </c>
      <c r="I18" s="620">
        <f>Elba!J77*(1-$E$17)+Elba!K77*$E$17</f>
        <v>30.037081363062605</v>
      </c>
      <c r="J18" s="620">
        <f>Elba!K77*(1-$E$17)+Elba!L77*$E$17</f>
        <v>30.719742303132215</v>
      </c>
      <c r="K18" s="416">
        <f>Elba!L77*(1-$E$17)+Elba!M77*$E$17</f>
        <v>34.815707943549839</v>
      </c>
      <c r="L18" s="416">
        <f>Elba!M77*(1-$E$17)+Elba!N77*$E$17</f>
        <v>34.815707943549839</v>
      </c>
      <c r="M18" s="416">
        <f>Elba!N77*(1-$E$17)+Elba!O77*$E$17</f>
        <v>34.815707943549839</v>
      </c>
      <c r="N18" s="416">
        <f>Elba!O77*(1-$E$17)+Elba!P77*$E$17</f>
        <v>34.815707943549839</v>
      </c>
      <c r="O18" s="416">
        <f>Elba!P77*(1-$E$17)+Elba!Q77*$E$17</f>
        <v>34.815707943549839</v>
      </c>
      <c r="P18" s="416">
        <f>Elba!Q77*(1-$E$17)+Elba!R77*$E$17</f>
        <v>34.815707943549839</v>
      </c>
      <c r="Q18" s="416">
        <f>Elba!R77*(1-$E$17)+Elba!S77*$E$17</f>
        <v>34.815707943549839</v>
      </c>
      <c r="R18" s="416">
        <f>Elba!S77*(1-$E$17)+Elba!T77*$E$17</f>
        <v>34.815707943549839</v>
      </c>
      <c r="S18" s="416">
        <f>Elba!T77*(1-$E$17)+Elba!U77*$E$17</f>
        <v>34.815707943549839</v>
      </c>
      <c r="T18" s="416">
        <f>Elba!U77*(1-$E$17)+Elba!V77*$E$17</f>
        <v>34.815707943549839</v>
      </c>
      <c r="U18" s="416">
        <f>Elba!V77*(1-$E$17)+Elba!W77*$E$17</f>
        <v>34.815707943549839</v>
      </c>
      <c r="V18" s="416">
        <f>Elba!W77*(1-$E$17)+Elba!X77*$E$17</f>
        <v>23.210471962366562</v>
      </c>
      <c r="W18" s="416">
        <f>Elba!X77*(1-$E$17)+Elba!Y77*$E$17</f>
        <v>0</v>
      </c>
      <c r="X18" s="416">
        <f>Elba!Y77*(1-$E$17)+Elba!Z77*$E$17</f>
        <v>0</v>
      </c>
      <c r="Y18" s="417">
        <f>Elba!Z77*(1-$E$17)+Elba!AA77*$E$17</f>
        <v>0</v>
      </c>
      <c r="Z18" s="412"/>
      <c r="AA18" s="623">
        <f>+AVERAGE(K18:T18)</f>
        <v>34.815707943549846</v>
      </c>
    </row>
    <row r="19" spans="1:28" s="420" customFormat="1" x14ac:dyDescent="0.2">
      <c r="A19" s="419" t="s">
        <v>450</v>
      </c>
      <c r="D19" s="607"/>
      <c r="E19" s="621">
        <f>+Elba!G99*$E$17</f>
        <v>4.2449498408685784</v>
      </c>
      <c r="F19" s="621">
        <f>+Elba!G99*(1-$E$17)+Elba!H99*$E$17</f>
        <v>12.734849522605737</v>
      </c>
      <c r="G19" s="621">
        <f>+Elba!H99*(1-$E$17)+Elba!I99*$E$17</f>
        <v>12.734849522605737</v>
      </c>
      <c r="H19" s="621">
        <f>+Elba!I99*(1-$E$17)+Elba!J99*$E$17</f>
        <v>11.673612062388592</v>
      </c>
      <c r="I19" s="621">
        <f>+Elba!J99*(1-$E$17)+Elba!K99*$E$17</f>
        <v>9.5511371419543032</v>
      </c>
      <c r="J19" s="621">
        <f>+Elba!K99*(1-$E$17)+Elba!L99*$E$17</f>
        <v>10.612374602171448</v>
      </c>
      <c r="K19" s="421">
        <f>+Elba!L99*(1-$E$17)+Elba!M99*$E$17</f>
        <v>12.734849522605737</v>
      </c>
      <c r="L19" s="421">
        <f>+Elba!M99*(1-$E$17)+Elba!N99*$E$17</f>
        <v>12.734849522605737</v>
      </c>
      <c r="M19" s="421">
        <f>+Elba!N99*(1-$E$17)+Elba!O99*$E$17</f>
        <v>13.796086982822882</v>
      </c>
      <c r="N19" s="421">
        <f>+Elba!O99*(1-$E$17)+Elba!P99*$E$17</f>
        <v>15.918561903257171</v>
      </c>
      <c r="O19" s="421">
        <f>+Elba!P99*(1-$E$17)+Elba!Q99*$E$17</f>
        <v>15.918561903257171</v>
      </c>
      <c r="P19" s="421">
        <f>+Elba!Q99*(1-$E$17)+Elba!R99*$E$17</f>
        <v>16.979799363474317</v>
      </c>
      <c r="Q19" s="421">
        <f>+Elba!R99*(1-$E$17)+Elba!S99*$E$17</f>
        <v>19.102274283908606</v>
      </c>
      <c r="R19" s="421">
        <f>+Elba!S99*(1-$E$17)+Elba!T99*$E$17</f>
        <v>19.102274283908606</v>
      </c>
      <c r="S19" s="421">
        <f>+Elba!T99*(1-$E$17)+Elba!U99*$E$17</f>
        <v>19.102274283908606</v>
      </c>
      <c r="T19" s="421">
        <f>+Elba!U99*(1-$E$17)+Elba!V99*$E$17</f>
        <v>19.102274283908606</v>
      </c>
      <c r="U19" s="421">
        <f>+Elba!V99*(1-$E$17)+Elba!W99*$E$17</f>
        <v>19.102274283908606</v>
      </c>
      <c r="V19" s="421">
        <f>+Elba!W99*(1-$E$17)+Elba!X99*$E$17</f>
        <v>12.734849522605739</v>
      </c>
      <c r="W19" s="421">
        <f>+Elba!X99*(1-$E$17)+Elba!Y99*$E$17</f>
        <v>0</v>
      </c>
      <c r="X19" s="421">
        <f>+Elba!Y99*(1-$E$17)+Elba!Z99*$E$17</f>
        <v>0</v>
      </c>
      <c r="Y19" s="422">
        <f>+Elba!Z99*(1-$E$17)+Elba!AA99*$E$17</f>
        <v>0</v>
      </c>
      <c r="Z19" s="608"/>
      <c r="AA19" s="624">
        <f>+AVERAGE(K19:T19)</f>
        <v>16.449180633365742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41.332116905303664</v>
      </c>
      <c r="K20" s="423">
        <f t="shared" si="1"/>
        <v>47.550557466155574</v>
      </c>
      <c r="L20" s="423">
        <f t="shared" si="1"/>
        <v>47.550557466155574</v>
      </c>
      <c r="M20" s="423">
        <f t="shared" si="1"/>
        <v>48.611794926372724</v>
      </c>
      <c r="N20" s="423">
        <f t="shared" si="1"/>
        <v>50.73426984680701</v>
      </c>
      <c r="O20" s="423">
        <f t="shared" si="1"/>
        <v>50.73426984680701</v>
      </c>
      <c r="P20" s="423">
        <f t="shared" si="1"/>
        <v>51.795507307024153</v>
      </c>
      <c r="Q20" s="423">
        <f t="shared" si="1"/>
        <v>53.917982227458445</v>
      </c>
      <c r="R20" s="423">
        <f t="shared" si="1"/>
        <v>53.917982227458445</v>
      </c>
      <c r="S20" s="423">
        <f t="shared" si="1"/>
        <v>53.917982227458445</v>
      </c>
      <c r="T20" s="423">
        <f t="shared" si="1"/>
        <v>53.917982227458445</v>
      </c>
      <c r="U20" s="423">
        <f t="shared" si="1"/>
        <v>53.917982227458445</v>
      </c>
      <c r="V20" s="423">
        <f t="shared" si="1"/>
        <v>35.945321484972297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51.264888576915574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+SUM(RAROC!N$66,RAROC!N$69)*$E$17</f>
        <v>7369.4538225004871</v>
      </c>
      <c r="F22" s="609">
        <f>+SUM(RAROC!N$66,RAROC!N$69)*(1-$E$17)+SUM(RAROC!O$66,RAROC!O$69)*$E$17</f>
        <v>21827.286087879162</v>
      </c>
      <c r="G22" s="609">
        <f>+SUM(RAROC!O$66,RAROC!O$69)*(1-$E$17)+SUM(RAROC!P$66,RAROC!P$69)*$E$17</f>
        <v>20967.234556708143</v>
      </c>
      <c r="H22" s="609">
        <f>+SUM(RAROC!P$66,RAROC!P$69)*(1-$E$17)+SUM(RAROC!Q$66,RAROC!Q$69)*$E$17</f>
        <v>19952.595792794433</v>
      </c>
      <c r="I22" s="609">
        <f>+SUM(RAROC!Q$66,RAROC!Q$69)*(1-$E$17)+SUM(RAROC!R$66,RAROC!R$69)*$E$17</f>
        <v>18835.078628443633</v>
      </c>
      <c r="J22" s="609">
        <f>+SUM(RAROC!R$66,RAROC!R$69)*(1-$E$17)+SUM(RAROC!S$66,RAROC!S$69)*$E$17</f>
        <v>19468.644538520981</v>
      </c>
      <c r="K22" s="609">
        <f>+SUM(RAROC!S$66,RAROC!S$69)*(1-$E$17)+SUM(RAROC!T$66,RAROC!T$69)*$E$17</f>
        <v>21806.799364250281</v>
      </c>
      <c r="L22" s="609">
        <f>+SUM(RAROC!T$66,RAROC!T$69)*(1-$E$17)+SUM(RAROC!U$66,RAROC!U$69)*$E$17</f>
        <v>21652.245950659009</v>
      </c>
      <c r="M22" s="609">
        <f>+SUM(RAROC!U$66,RAROC!U$69)*(1-$E$17)+SUM(RAROC!V$66,RAROC!V$69)*$E$17</f>
        <v>22118.218839221903</v>
      </c>
      <c r="N22" s="609">
        <f>+SUM(RAROC!V$66,RAROC!V$69)*(1-$E$17)+SUM(RAROC!W$66,RAROC!W$69)*$E$17</f>
        <v>23252.375242614689</v>
      </c>
      <c r="O22" s="609">
        <f>+SUM(RAROC!W$66,RAROC!W$69)*(1-$E$17)+SUM(RAROC!X$66,RAROC!X$69)*$E$17</f>
        <v>23273.469038389027</v>
      </c>
      <c r="P22" s="609">
        <f>+SUM(RAROC!X$66,RAROC!X$69)*(1-$E$17)+SUM(RAROC!Y$66,RAROC!Y$69)*$E$17</f>
        <v>24004.210477621946</v>
      </c>
      <c r="Q22" s="609">
        <f>+SUM(RAROC!Y$66,RAROC!Y$69)*(1-$E$17)+SUM(RAROC!Z$66,RAROC!Z$69)*$E$17</f>
        <v>25162.874247547468</v>
      </c>
      <c r="R22" s="609">
        <f>+SUM(RAROC!Z$66,RAROC!Z$69)*(1-$E$17)+SUM(RAROC!AA$66,RAROC!AA$69)*$E$17</f>
        <v>25169.533472169434</v>
      </c>
      <c r="S22" s="609">
        <f>+SUM(RAROC!AA$66,RAROC!AA$69)*(1-$E$17)+SUM(RAROC!AB$66,RAROC!AB$69)*$E$17</f>
        <v>25178.914008687803</v>
      </c>
      <c r="T22" s="609">
        <f>+SUM(RAROC!AB$66,RAROC!AB$69)*(1-$E$17)+SUM(RAROC!AC$66,RAROC!AC$69)*$E$17</f>
        <v>25303.879013618163</v>
      </c>
      <c r="U22" s="609">
        <f>+SUM(RAROC!AC$66,RAROC!AC$69)*(1-$E$17)+SUM(RAROC!AD$66,RAROC!AD$69)*$E$17</f>
        <v>25365.728499568064</v>
      </c>
      <c r="V22" s="609">
        <f>+SUM(RAROC!AD$66,RAROC!AD$69)*(1-$E$17)+SUM(RAROC!AE$66,RAROC!AE$69)*$E$17</f>
        <v>16965.434841035047</v>
      </c>
      <c r="W22" s="609">
        <f>+SUM(RAROC!AE$66,RAROC!AE$69)*(1-$E$17)+SUM(RAROC!AF$66,RAROC!AF$69)*$E$17</f>
        <v>0</v>
      </c>
      <c r="X22" s="609">
        <f>+SUM(RAROC!AF$66,RAROC!AF$69)*(1-$E$17)+SUM(RAROC!AG$66,RAROC!AG$69)*$E$17</f>
        <v>0</v>
      </c>
      <c r="Y22" s="610">
        <f>+SUM(RAROC!AG$66,RAROC!AG$69)*(1-$E$17)+SUM(RAROC!AH$66,RAROC!AH$69)*$E$17</f>
        <v>0</v>
      </c>
      <c r="Z22" s="432"/>
      <c r="AA22" s="615">
        <f>+AVERAGE(K22:T22)</f>
        <v>23692.251965477972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+SUM(RAROC!N$52,RAROC!N$60)*$E$17</f>
        <v>-5558.1476213622882</v>
      </c>
      <c r="F24" s="431">
        <f>+SUM(RAROC!N$52,RAROC!N$60)*(1-$E$17)+SUM(RAROC!O$52,RAROC!O$60)*$E$17</f>
        <v>-16667.906178530677</v>
      </c>
      <c r="G24" s="431">
        <f>+SUM(RAROC!O$52,RAROC!O$60)*(1-$E$17)+SUM(RAROC!P$52,RAROC!P$60)*$E$17</f>
        <v>-16648.662138100684</v>
      </c>
      <c r="H24" s="431">
        <f>+SUM(RAROC!P$52,RAROC!P$60)*(1-$E$17)+SUM(RAROC!Q$52,RAROC!Q$60)*$E$17</f>
        <v>-16605.4419594145</v>
      </c>
      <c r="I24" s="431">
        <f>+SUM(RAROC!Q$52,RAROC!Q$60)*(1-$E$17)+SUM(RAROC!R$52,RAROC!R$60)*$E$17</f>
        <v>-16545.342343270611</v>
      </c>
      <c r="J24" s="431">
        <f>+SUM(RAROC!R$52,RAROC!R$60)*(1-$E$17)+SUM(RAROC!S$52,RAROC!S$60)*$E$17</f>
        <v>-16476.307683137871</v>
      </c>
      <c r="K24" s="431">
        <f>+SUM(RAROC!S$52,RAROC!S$60)*(1-$E$17)+SUM(RAROC!T$52,RAROC!T$60)*$E$17</f>
        <v>-16389.873922952207</v>
      </c>
      <c r="L24" s="431">
        <f>+SUM(RAROC!T$52,RAROC!T$60)*(1-$E$17)+SUM(RAROC!U$52,RAROC!U$60)*$E$17</f>
        <v>-16550.143248095512</v>
      </c>
      <c r="M24" s="431">
        <f>+SUM(RAROC!U$52,RAROC!U$60)*(1-$E$17)+SUM(RAROC!V$52,RAROC!V$60)*$E$17</f>
        <v>-16787.022771009564</v>
      </c>
      <c r="N24" s="431">
        <f>+SUM(RAROC!V$52,RAROC!V$60)*(1-$E$17)+SUM(RAROC!W$52,RAROC!W$60)*$E$17</f>
        <v>-17142.64777138576</v>
      </c>
      <c r="O24" s="431">
        <f>+SUM(RAROC!W$52,RAROC!W$60)*(1-$E$17)+SUM(RAROC!X$52,RAROC!X$60)*$E$17</f>
        <v>-17321.662643235304</v>
      </c>
      <c r="P24" s="431">
        <f>+SUM(RAROC!X$52,RAROC!X$60)*(1-$E$17)+SUM(RAROC!Y$52,RAROC!Y$60)*$E$17</f>
        <v>-17612.341137795513</v>
      </c>
      <c r="Q24" s="431">
        <f>+SUM(RAROC!Y$52,RAROC!Y$60)*(1-$E$17)+SUM(RAROC!Z$52,RAROC!Z$60)*$E$17</f>
        <v>-17996.470798409213</v>
      </c>
      <c r="R24" s="431">
        <f>+SUM(RAROC!Z$52,RAROC!Z$60)*(1-$E$17)+SUM(RAROC!AA$52,RAROC!AA$60)*$E$17</f>
        <v>-18195.882008020184</v>
      </c>
      <c r="S24" s="431">
        <f>+SUM(RAROC!AA$52,RAROC!AA$60)*(1-$E$17)+SUM(RAROC!AB$52,RAROC!AB$60)*$E$17</f>
        <v>-18415.564551636184</v>
      </c>
      <c r="T24" s="431">
        <f>+SUM(RAROC!AB$52,RAROC!AB$60)*(1-$E$17)+SUM(RAROC!AC$52,RAROC!AC$60)*$E$17</f>
        <v>-18645.719548678899</v>
      </c>
      <c r="U24" s="431">
        <f>+SUM(RAROC!AC$52,RAROC!AC$60)*(1-$E$17)+SUM(RAROC!AD$52,RAROC!AD$60)*$E$17</f>
        <v>-18860.214664668496</v>
      </c>
      <c r="V24" s="431">
        <f>+SUM(RAROC!AD$52,RAROC!AD$60)*(1-$E$17)+SUM(RAROC!AE$52,RAROC!AE$60)*$E$17</f>
        <v>-12664.739109880609</v>
      </c>
      <c r="W24" s="431">
        <f>+SUM(RAROC!AE$52,RAROC!AE$60)*(1-$E$17)+SUM(RAROC!AF$52,RAROC!AF$60)*$E$17</f>
        <v>0</v>
      </c>
      <c r="X24" s="431">
        <f>+SUM(RAROC!AF$52,RAROC!AF$60)*(1-$E$17)+SUM(RAROC!AG$52,RAROC!AG$60)*$E$17</f>
        <v>0</v>
      </c>
      <c r="Y24" s="434">
        <f>+SUM(RAROC!AG$52,RAROC!AG$60)*(1-$E$17)+SUM(RAROC!AH$52,RAROC!AH$60)*$E$17</f>
        <v>0</v>
      </c>
      <c r="Z24" s="418"/>
      <c r="AA24" s="436">
        <f>+AVERAGE(K24:T24)</f>
        <v>-17505.732840121833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2992.3368553831097</v>
      </c>
      <c r="K26" s="441">
        <f t="shared" si="2"/>
        <v>5416.9254412980736</v>
      </c>
      <c r="L26" s="441">
        <f t="shared" si="2"/>
        <v>5102.1027025634976</v>
      </c>
      <c r="M26" s="441">
        <f t="shared" si="2"/>
        <v>5331.196068212339</v>
      </c>
      <c r="N26" s="441">
        <f t="shared" si="2"/>
        <v>6109.7274712289291</v>
      </c>
      <c r="O26" s="441">
        <f t="shared" si="2"/>
        <v>5951.8063951537224</v>
      </c>
      <c r="P26" s="441">
        <f t="shared" si="2"/>
        <v>6391.8693398264331</v>
      </c>
      <c r="Q26" s="441">
        <f t="shared" si="2"/>
        <v>7166.4034491382554</v>
      </c>
      <c r="R26" s="441">
        <f t="shared" si="2"/>
        <v>6973.6514641492504</v>
      </c>
      <c r="S26" s="441">
        <f t="shared" si="2"/>
        <v>6763.3494570516195</v>
      </c>
      <c r="T26" s="441">
        <f t="shared" si="2"/>
        <v>6658.1594649392646</v>
      </c>
      <c r="U26" s="441">
        <f t="shared" si="2"/>
        <v>6505.5138348995679</v>
      </c>
      <c r="V26" s="441">
        <f t="shared" si="2"/>
        <v>4300.6957311544375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6186.5191253561379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/>
  <dimension ref="A1:AB34"/>
  <sheetViews>
    <sheetView zoomScale="80" zoomScaleNormal="80" workbookViewId="0"/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463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591">
        <f>('PF1'!D4*'Common Assumpt'!$G$59+'PF2'!D4*'Common Assumpt'!$G$60+'PF3'!D4*'Common Assumpt'!$G$61)*0+-2.701+11</f>
        <v>8.2989999999999995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403">
        <f>+AVERAGE(Elba!L21:W21)</f>
        <v>17</v>
      </c>
      <c r="J10" s="598">
        <f>SUM(SUMPRODUCT(Elba!$L$150:$W$150,Elba!$L$151:$W$151))/SUM(Elba!$L$151:$W$151)</f>
        <v>0.44637870907311344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405">
        <f>+AVERAGE(Elba!L22:W22)</f>
        <v>5.25</v>
      </c>
      <c r="J11" s="599">
        <f>SUM(SUMPRODUCT(Elba!$L$153:$W$153,Elba!$L$154:$W$154))/SUM(Elba!$L$154:$W$154)</f>
        <v>0.52701005184256799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22.25</v>
      </c>
      <c r="J12" s="604">
        <f>(J10*I10*ML+J11*I11*NB)/(I10*ML+I11*NB)</f>
        <v>0.47253253393900924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+'PF1'!E18*'Common Assumpt'!$G$59+'PF2'!E18*'Common Assumpt'!$G$60+'PF3'!E18*'Common Assumpt'!$G$61</f>
        <v>11.605235981183279</v>
      </c>
      <c r="F18" s="620">
        <f>+'PF1'!F18*'Common Assumpt'!$G$59+'PF2'!F18*'Common Assumpt'!$G$60+'PF3'!F18*'Common Assumpt'!$G$61</f>
        <v>34.133047003480236</v>
      </c>
      <c r="G18" s="620">
        <f>+'PF1'!G18*'Common Assumpt'!$G$59+'PF2'!G18*'Common Assumpt'!$G$60+'PF3'!G18*'Common Assumpt'!$G$61</f>
        <v>32.08506418327142</v>
      </c>
      <c r="H18" s="620">
        <f>+'PF1'!H18*'Common Assumpt'!$G$59+'PF2'!H18*'Common Assumpt'!$G$60+'PF3'!H18*'Common Assumpt'!$G$61</f>
        <v>30.719742303132207</v>
      </c>
      <c r="I18" s="620">
        <f>+'PF1'!I18*'Common Assumpt'!$G$59+'PF2'!I18*'Common Assumpt'!$G$60+'PF3'!I18*'Common Assumpt'!$G$61</f>
        <v>30.037081363062605</v>
      </c>
      <c r="J18" s="620">
        <f>+'PF1'!J18*'Common Assumpt'!$G$59+'PF2'!J18*'Common Assumpt'!$G$60+'PF3'!J18*'Common Assumpt'!$G$61</f>
        <v>26.0776479106589</v>
      </c>
      <c r="K18" s="416">
        <f>+'PF1'!K18*'Common Assumpt'!$G$59+'PF2'!K18*'Common Assumpt'!$G$60+'PF3'!K18*'Common Assumpt'!$G$61</f>
        <v>20.889424766129903</v>
      </c>
      <c r="L18" s="416">
        <f>+'PF1'!L18*'Common Assumpt'!$G$59+'PF2'!L18*'Common Assumpt'!$G$60+'PF3'!L18*'Common Assumpt'!$G$61</f>
        <v>20.889424766129903</v>
      </c>
      <c r="M18" s="416">
        <f>+'PF1'!M18*'Common Assumpt'!$G$59+'PF2'!M18*'Common Assumpt'!$G$60+'PF3'!M18*'Common Assumpt'!$G$61</f>
        <v>20.889424766129903</v>
      </c>
      <c r="N18" s="416">
        <f>+'PF1'!N18*'Common Assumpt'!$G$59+'PF2'!N18*'Common Assumpt'!$G$60+'PF3'!N18*'Common Assumpt'!$G$61</f>
        <v>20.889424766129903</v>
      </c>
      <c r="O18" s="416">
        <f>+'PF1'!O18*'Common Assumpt'!$G$59+'PF2'!O18*'Common Assumpt'!$G$60+'PF3'!O18*'Common Assumpt'!$G$61</f>
        <v>20.889424766129903</v>
      </c>
      <c r="P18" s="416">
        <f>+'PF1'!P18*'Common Assumpt'!$G$59+'PF2'!P18*'Common Assumpt'!$G$60+'PF3'!P18*'Common Assumpt'!$G$61</f>
        <v>20.889424766129903</v>
      </c>
      <c r="Q18" s="416">
        <f>+'PF1'!Q18*'Common Assumpt'!$G$59+'PF2'!Q18*'Common Assumpt'!$G$60+'PF3'!Q18*'Common Assumpt'!$G$61</f>
        <v>20.889424766129903</v>
      </c>
      <c r="R18" s="416">
        <f>+'PF1'!R18*'Common Assumpt'!$G$59+'PF2'!R18*'Common Assumpt'!$G$60+'PF3'!R18*'Common Assumpt'!$G$61</f>
        <v>20.889424766129903</v>
      </c>
      <c r="S18" s="416">
        <f>+'PF1'!S18*'Common Assumpt'!$G$59+'PF2'!S18*'Common Assumpt'!$G$60+'PF3'!S18*'Common Assumpt'!$G$61</f>
        <v>20.889424766129903</v>
      </c>
      <c r="T18" s="416">
        <f>+'PF1'!T18*'Common Assumpt'!$G$59+'PF2'!T18*'Common Assumpt'!$G$60+'PF3'!T18*'Common Assumpt'!$G$61</f>
        <v>20.889424766129903</v>
      </c>
      <c r="U18" s="416">
        <f>+'PF1'!U18*'Common Assumpt'!$G$59+'PF2'!U18*'Common Assumpt'!$G$60+'PF3'!U18*'Common Assumpt'!$G$61</f>
        <v>20.889424766129903</v>
      </c>
      <c r="V18" s="416">
        <f>+'PF1'!V18*'Common Assumpt'!$G$59+'PF2'!V18*'Common Assumpt'!$G$60+'PF3'!V18*'Common Assumpt'!$G$61</f>
        <v>13.926283177419936</v>
      </c>
      <c r="W18" s="416">
        <f>+'PF1'!W18*'Common Assumpt'!$G$59+'PF2'!W18*'Common Assumpt'!$G$60+'PF3'!W18*'Common Assumpt'!$G$61</f>
        <v>0</v>
      </c>
      <c r="X18" s="416">
        <f>+'PF1'!X18*'Common Assumpt'!$G$59+'PF2'!X18*'Common Assumpt'!$G$60+'PF3'!X18*'Common Assumpt'!$G$61</f>
        <v>0</v>
      </c>
      <c r="Y18" s="417">
        <f>+'PF1'!Y18*'Common Assumpt'!$G$59+'PF2'!Y18*'Common Assumpt'!$G$60+'PF3'!Y18*'Common Assumpt'!$G$61</f>
        <v>0</v>
      </c>
      <c r="Z18" s="412"/>
      <c r="AA18" s="623">
        <f>+AVERAGE(K18:T18)</f>
        <v>20.889424766129903</v>
      </c>
    </row>
    <row r="19" spans="1:28" s="420" customFormat="1" x14ac:dyDescent="0.2">
      <c r="A19" s="419" t="s">
        <v>450</v>
      </c>
      <c r="D19" s="607"/>
      <c r="E19" s="621">
        <f>+'PF1'!E19*'Common Assumpt'!$G$59+'PF2'!E19*'Common Assumpt'!$G$60+'PF3'!E19*'Common Assumpt'!$G$61</f>
        <v>4.2449498408685784</v>
      </c>
      <c r="F19" s="621">
        <f>+'PF1'!F19*'Common Assumpt'!$G$59+'PF2'!F19*'Common Assumpt'!$G$60+'PF3'!F19*'Common Assumpt'!$G$61</f>
        <v>12.734849522605737</v>
      </c>
      <c r="G19" s="621">
        <f>+'PF1'!G19*'Common Assumpt'!$G$59+'PF2'!G19*'Common Assumpt'!$G$60+'PF3'!G19*'Common Assumpt'!$G$61</f>
        <v>12.734849522605737</v>
      </c>
      <c r="H19" s="621">
        <f>+'PF1'!H19*'Common Assumpt'!$G$59+'PF2'!H19*'Common Assumpt'!$G$60+'PF3'!H19*'Common Assumpt'!$G$61</f>
        <v>11.673612062388592</v>
      </c>
      <c r="I19" s="621">
        <f>+'PF1'!I19*'Common Assumpt'!$G$59+'PF2'!I19*'Common Assumpt'!$G$60+'PF3'!I19*'Common Assumpt'!$G$61</f>
        <v>9.5511371419543032</v>
      </c>
      <c r="J19" s="621">
        <f>+'PF1'!J19*'Common Assumpt'!$G$59+'PF2'!J19*'Common Assumpt'!$G$60+'PF3'!J19*'Common Assumpt'!$G$61</f>
        <v>8.9143946658240161</v>
      </c>
      <c r="K19" s="421">
        <f>+'PF1'!K19*'Common Assumpt'!$G$59+'PF2'!K19*'Common Assumpt'!$G$60+'PF3'!K19*'Common Assumpt'!$G$61</f>
        <v>7.6409097135634418</v>
      </c>
      <c r="L19" s="421">
        <f>+'PF1'!L19*'Common Assumpt'!$G$59+'PF2'!L19*'Common Assumpt'!$G$60+'PF3'!L19*'Common Assumpt'!$G$61</f>
        <v>7.6409097135634418</v>
      </c>
      <c r="M19" s="421">
        <f>+'PF1'!M19*'Common Assumpt'!$G$59+'PF2'!M19*'Common Assumpt'!$G$60+'PF3'!M19*'Common Assumpt'!$G$61</f>
        <v>8.277652189693729</v>
      </c>
      <c r="N19" s="421">
        <f>+'PF1'!N19*'Common Assumpt'!$G$59+'PF2'!N19*'Common Assumpt'!$G$60+'PF3'!N19*'Common Assumpt'!$G$61</f>
        <v>9.5511371419543014</v>
      </c>
      <c r="O19" s="421">
        <f>+'PF1'!O19*'Common Assumpt'!$G$59+'PF2'!O19*'Common Assumpt'!$G$60+'PF3'!O19*'Common Assumpt'!$G$61</f>
        <v>9.5511371419543014</v>
      </c>
      <c r="P19" s="421">
        <f>+'PF1'!P19*'Common Assumpt'!$G$59+'PF2'!P19*'Common Assumpt'!$G$60+'PF3'!P19*'Common Assumpt'!$G$61</f>
        <v>10.18787961808459</v>
      </c>
      <c r="Q19" s="421">
        <f>+'PF1'!Q19*'Common Assumpt'!$G$59+'PF2'!Q19*'Common Assumpt'!$G$60+'PF3'!Q19*'Common Assumpt'!$G$61</f>
        <v>11.461364570345163</v>
      </c>
      <c r="R19" s="421">
        <f>+'PF1'!R19*'Common Assumpt'!$G$59+'PF2'!R19*'Common Assumpt'!$G$60+'PF3'!R19*'Common Assumpt'!$G$61</f>
        <v>11.461364570345163</v>
      </c>
      <c r="S19" s="421">
        <f>+'PF1'!S19*'Common Assumpt'!$G$59+'PF2'!S19*'Common Assumpt'!$G$60+'PF3'!S19*'Common Assumpt'!$G$61</f>
        <v>11.461364570345163</v>
      </c>
      <c r="T19" s="421">
        <f>+'PF1'!T19*'Common Assumpt'!$G$59+'PF2'!T19*'Common Assumpt'!$G$60+'PF3'!T19*'Common Assumpt'!$G$61</f>
        <v>11.461364570345163</v>
      </c>
      <c r="U19" s="421">
        <f>+'PF1'!U19*'Common Assumpt'!$G$59+'PF2'!U19*'Common Assumpt'!$G$60+'PF3'!U19*'Common Assumpt'!$G$61</f>
        <v>11.461364570345163</v>
      </c>
      <c r="V19" s="421">
        <f>+'PF1'!V19*'Common Assumpt'!$G$59+'PF2'!V19*'Common Assumpt'!$G$60+'PF3'!V19*'Common Assumpt'!$G$61</f>
        <v>7.6409097135634427</v>
      </c>
      <c r="W19" s="421">
        <f>+'PF1'!W19*'Common Assumpt'!$G$59+'PF2'!W19*'Common Assumpt'!$G$60+'PF3'!W19*'Common Assumpt'!$G$61</f>
        <v>0</v>
      </c>
      <c r="X19" s="421">
        <f>+'PF1'!X19*'Common Assumpt'!$G$59+'PF2'!X19*'Common Assumpt'!$G$60+'PF3'!X19*'Common Assumpt'!$G$61</f>
        <v>0</v>
      </c>
      <c r="Y19" s="422">
        <f>+'PF1'!Y19*'Common Assumpt'!$G$59+'PF2'!Y19*'Common Assumpt'!$G$60+'PF3'!Y19*'Common Assumpt'!$G$61</f>
        <v>0</v>
      </c>
      <c r="Z19" s="608"/>
      <c r="AA19" s="624">
        <f>+AVERAGE(K19:T19)</f>
        <v>9.8695083800194485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34.992042576482916</v>
      </c>
      <c r="K20" s="423">
        <f t="shared" si="1"/>
        <v>28.530334479693344</v>
      </c>
      <c r="L20" s="423">
        <f t="shared" si="1"/>
        <v>28.530334479693344</v>
      </c>
      <c r="M20" s="423">
        <f t="shared" si="1"/>
        <v>29.167076955823632</v>
      </c>
      <c r="N20" s="423">
        <f t="shared" si="1"/>
        <v>30.440561908084206</v>
      </c>
      <c r="O20" s="423">
        <f t="shared" si="1"/>
        <v>30.440561908084206</v>
      </c>
      <c r="P20" s="423">
        <f t="shared" si="1"/>
        <v>31.077304384214493</v>
      </c>
      <c r="Q20" s="423">
        <f t="shared" si="1"/>
        <v>32.350789336475067</v>
      </c>
      <c r="R20" s="423">
        <f t="shared" si="1"/>
        <v>32.350789336475067</v>
      </c>
      <c r="S20" s="423">
        <f t="shared" si="1"/>
        <v>32.350789336475067</v>
      </c>
      <c r="T20" s="423">
        <f t="shared" si="1"/>
        <v>32.350789336475067</v>
      </c>
      <c r="U20" s="423">
        <f t="shared" si="1"/>
        <v>32.350789336475067</v>
      </c>
      <c r="V20" s="423">
        <f t="shared" si="1"/>
        <v>21.567192890983378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30.758933146149349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+'PF1'!E22*'Common Assumpt'!$G$59+'PF2'!E22*'Common Assumpt'!$G$60+'PF3'!E22*'Common Assumpt'!$G$61</f>
        <v>7369.4538225004871</v>
      </c>
      <c r="F22" s="609">
        <f>+'PF1'!F22*'Common Assumpt'!$G$59+'PF2'!F22*'Common Assumpt'!$G$60+'PF3'!F22*'Common Assumpt'!$G$61</f>
        <v>21827.286087879162</v>
      </c>
      <c r="G22" s="609">
        <f>+'PF1'!G22*'Common Assumpt'!$G$59+'PF2'!G22*'Common Assumpt'!$G$60+'PF3'!G22*'Common Assumpt'!$G$61</f>
        <v>20967.234556708143</v>
      </c>
      <c r="H22" s="609">
        <f>+'PF1'!H22*'Common Assumpt'!$G$59+'PF2'!H22*'Common Assumpt'!$G$60+'PF3'!H22*'Common Assumpt'!$G$61</f>
        <v>19952.595792794433</v>
      </c>
      <c r="I22" s="609">
        <f>+'PF1'!I22*'Common Assumpt'!$G$59+'PF2'!I22*'Common Assumpt'!$G$60+'PF3'!I22*'Common Assumpt'!$G$61</f>
        <v>18835.078628443633</v>
      </c>
      <c r="J22" s="609">
        <f>+'PF1'!J22*'Common Assumpt'!$G$59+'PF2'!J22*'Common Assumpt'!$G$60+'PF3'!J22*'Common Assumpt'!$G$61</f>
        <v>16554.624904442084</v>
      </c>
      <c r="K22" s="609">
        <f>+'PF1'!K22*'Common Assumpt'!$G$59+'PF2'!K22*'Common Assumpt'!$G$60+'PF3'!K22*'Common Assumpt'!$G$61</f>
        <v>13084.079618550168</v>
      </c>
      <c r="L22" s="609">
        <f>+'PF1'!L22*'Common Assumpt'!$G$59+'PF2'!L22*'Common Assumpt'!$G$60+'PF3'!L22*'Common Assumpt'!$G$61</f>
        <v>12991.347570395405</v>
      </c>
      <c r="M22" s="609">
        <f>+'PF1'!M22*'Common Assumpt'!$G$59+'PF2'!M22*'Common Assumpt'!$G$60+'PF3'!M22*'Common Assumpt'!$G$61</f>
        <v>13270.931303533142</v>
      </c>
      <c r="N22" s="609">
        <f>+'PF1'!N22*'Common Assumpt'!$G$59+'PF2'!N22*'Common Assumpt'!$G$60+'PF3'!N22*'Common Assumpt'!$G$61</f>
        <v>13951.425145568814</v>
      </c>
      <c r="O22" s="609">
        <f>+'PF1'!O22*'Common Assumpt'!$G$59+'PF2'!O22*'Common Assumpt'!$G$60+'PF3'!O22*'Common Assumpt'!$G$61</f>
        <v>13964.081423033416</v>
      </c>
      <c r="P22" s="609">
        <f>+'PF1'!P22*'Common Assumpt'!$G$59+'PF2'!P22*'Common Assumpt'!$G$60+'PF3'!P22*'Common Assumpt'!$G$61</f>
        <v>14402.526286573167</v>
      </c>
      <c r="Q22" s="609">
        <f>+'PF1'!Q22*'Common Assumpt'!$G$59+'PF2'!Q22*'Common Assumpt'!$G$60+'PF3'!Q22*'Common Assumpt'!$G$61</f>
        <v>15097.72454852848</v>
      </c>
      <c r="R22" s="609">
        <f>+'PF1'!R22*'Common Assumpt'!$G$59+'PF2'!R22*'Common Assumpt'!$G$60+'PF3'!R22*'Common Assumpt'!$G$61</f>
        <v>15101.72008330166</v>
      </c>
      <c r="S22" s="609">
        <f>+'PF1'!S22*'Common Assumpt'!$G$59+'PF2'!S22*'Common Assumpt'!$G$60+'PF3'!S22*'Common Assumpt'!$G$61</f>
        <v>15107.348405212681</v>
      </c>
      <c r="T22" s="609">
        <f>+'PF1'!T22*'Common Assumpt'!$G$59+'PF2'!T22*'Common Assumpt'!$G$60+'PF3'!T22*'Common Assumpt'!$G$61</f>
        <v>15182.327408170897</v>
      </c>
      <c r="U22" s="609">
        <f>+'PF1'!U22*'Common Assumpt'!$G$59+'PF2'!U22*'Common Assumpt'!$G$60+'PF3'!U22*'Common Assumpt'!$G$61</f>
        <v>15219.437099740837</v>
      </c>
      <c r="V22" s="609">
        <f>+'PF1'!V22*'Common Assumpt'!$G$59+'PF2'!V22*'Common Assumpt'!$G$60+'PF3'!V22*'Common Assumpt'!$G$61</f>
        <v>10179.260904621027</v>
      </c>
      <c r="W22" s="609">
        <f>+'PF1'!W22*'Common Assumpt'!$G$59+'PF2'!W22*'Common Assumpt'!$G$60+'PF3'!W22*'Common Assumpt'!$G$61</f>
        <v>0</v>
      </c>
      <c r="X22" s="609">
        <f>+'PF1'!X22*'Common Assumpt'!$G$59+'PF2'!X22*'Common Assumpt'!$G$60+'PF3'!X22*'Common Assumpt'!$G$61</f>
        <v>0</v>
      </c>
      <c r="Y22" s="610">
        <f>+'PF1'!Y22*'Common Assumpt'!$G$59+'PF2'!Y22*'Common Assumpt'!$G$60+'PF3'!Y22*'Common Assumpt'!$G$61</f>
        <v>0</v>
      </c>
      <c r="Z22" s="432"/>
      <c r="AA22" s="615">
        <f>+AVERAGE(K22:T22)</f>
        <v>14215.351179286783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+'PF1'!E24*'Common Assumpt'!$G$59+'PF2'!E24*'Common Assumpt'!$G$60+'PF3'!E24*'Common Assumpt'!$G$61</f>
        <v>-5558.1476213622882</v>
      </c>
      <c r="F24" s="431">
        <f>+'PF1'!F24*'Common Assumpt'!$G$59+'PF2'!F24*'Common Assumpt'!$G$60+'PF3'!F24*'Common Assumpt'!$G$61</f>
        <v>-16667.906178530677</v>
      </c>
      <c r="G24" s="431">
        <f>+'PF1'!G24*'Common Assumpt'!$G$59+'PF2'!G24*'Common Assumpt'!$G$60+'PF3'!G24*'Common Assumpt'!$G$61</f>
        <v>-16648.662138100684</v>
      </c>
      <c r="H24" s="431">
        <f>+'PF1'!H24*'Common Assumpt'!$G$59+'PF2'!H24*'Common Assumpt'!$G$60+'PF3'!H24*'Common Assumpt'!$G$61</f>
        <v>-16605.4419594145</v>
      </c>
      <c r="I24" s="431">
        <f>+'PF1'!I24*'Common Assumpt'!$G$59+'PF2'!I24*'Common Assumpt'!$G$60+'PF3'!I24*'Common Assumpt'!$G$61</f>
        <v>-16545.342343270611</v>
      </c>
      <c r="J24" s="431">
        <f>+'PF1'!J24*'Common Assumpt'!$G$59+'PF2'!J24*'Common Assumpt'!$G$60+'PF3'!J24*'Common Assumpt'!$G$61</f>
        <v>-27044.753541910257</v>
      </c>
      <c r="K24" s="431">
        <f>+'PF1'!K24*'Common Assumpt'!$G$59+'PF2'!K24*'Common Assumpt'!$G$60+'PF3'!K24*'Common Assumpt'!$G$61</f>
        <v>-9833.9243537713246</v>
      </c>
      <c r="L24" s="431">
        <f>+'PF1'!L24*'Common Assumpt'!$G$59+'PF2'!L24*'Common Assumpt'!$G$60+'PF3'!L24*'Common Assumpt'!$G$61</f>
        <v>-9930.085948857306</v>
      </c>
      <c r="M24" s="431">
        <f>+'PF1'!M24*'Common Assumpt'!$G$59+'PF2'!M24*'Common Assumpt'!$G$60+'PF3'!M24*'Common Assumpt'!$G$61</f>
        <v>-10072.213662605738</v>
      </c>
      <c r="N24" s="431">
        <f>+'PF1'!N24*'Common Assumpt'!$G$59+'PF2'!N24*'Common Assumpt'!$G$60+'PF3'!N24*'Common Assumpt'!$G$61</f>
        <v>-10285.588662831457</v>
      </c>
      <c r="O24" s="431">
        <f>+'PF1'!O24*'Common Assumpt'!$G$59+'PF2'!O24*'Common Assumpt'!$G$60+'PF3'!O24*'Common Assumpt'!$G$61</f>
        <v>-10392.997585941182</v>
      </c>
      <c r="P24" s="431">
        <f>+'PF1'!P24*'Common Assumpt'!$G$59+'PF2'!P24*'Common Assumpt'!$G$60+'PF3'!P24*'Common Assumpt'!$G$61</f>
        <v>-10567.404682677306</v>
      </c>
      <c r="Q24" s="431">
        <f>+'PF1'!Q24*'Common Assumpt'!$G$59+'PF2'!Q24*'Common Assumpt'!$G$60+'PF3'!Q24*'Common Assumpt'!$G$61</f>
        <v>-10797.882479045527</v>
      </c>
      <c r="R24" s="431">
        <f>+'PF1'!R24*'Common Assumpt'!$G$59+'PF2'!R24*'Common Assumpt'!$G$60+'PF3'!R24*'Common Assumpt'!$G$61</f>
        <v>-10917.52920481211</v>
      </c>
      <c r="S24" s="431">
        <f>+'PF1'!S24*'Common Assumpt'!$G$59+'PF2'!S24*'Common Assumpt'!$G$60+'PF3'!S24*'Common Assumpt'!$G$61</f>
        <v>-11049.33873098171</v>
      </c>
      <c r="T24" s="431">
        <f>+'PF1'!T24*'Common Assumpt'!$G$59+'PF2'!T24*'Common Assumpt'!$G$60+'PF3'!T24*'Common Assumpt'!$G$61</f>
        <v>-11187.431729207339</v>
      </c>
      <c r="U24" s="431">
        <f>+'PF1'!U24*'Common Assumpt'!$G$59+'PF2'!U24*'Common Assumpt'!$G$60+'PF3'!U24*'Common Assumpt'!$G$61</f>
        <v>-11316.128798801097</v>
      </c>
      <c r="V24" s="431">
        <f>+'PF1'!V24*'Common Assumpt'!$G$59+'PF2'!V24*'Common Assumpt'!$G$60+'PF3'!V24*'Common Assumpt'!$G$61</f>
        <v>-7598.8434659283648</v>
      </c>
      <c r="W24" s="431">
        <f>+'PF1'!W24*'Common Assumpt'!$G$59+'PF2'!W24*'Common Assumpt'!$G$60+'PF3'!W24*'Common Assumpt'!$G$61</f>
        <v>0</v>
      </c>
      <c r="X24" s="431">
        <f>+'PF1'!X24*'Common Assumpt'!$G$59+'PF2'!X24*'Common Assumpt'!$G$60+'PF3'!X24*'Common Assumpt'!$G$61</f>
        <v>0</v>
      </c>
      <c r="Y24" s="434">
        <f>+'PF1'!Y24*'Common Assumpt'!$G$59+'PF2'!Y24*'Common Assumpt'!$G$60+'PF3'!Y24*'Common Assumpt'!$G$61</f>
        <v>0</v>
      </c>
      <c r="Z24" s="418"/>
      <c r="AA24" s="436">
        <f>+AVERAGE(K24:T24)</f>
        <v>-10503.4397040731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>+'PF1'!E26*'Common Assumpt'!$G$59+'PF2'!E26*'Common Assumpt'!$G$60+'PF3'!E26*'Common Assumpt'!$G$61</f>
        <v>1811.306201138199</v>
      </c>
      <c r="F26" s="441">
        <f>+'PF1'!F26*'Common Assumpt'!$G$59+'PF2'!F26*'Common Assumpt'!$G$60+'PF3'!F26*'Common Assumpt'!$G$61</f>
        <v>5159.3799093484849</v>
      </c>
      <c r="G26" s="441">
        <f>+'PF1'!G26*'Common Assumpt'!$G$59+'PF2'!G26*'Common Assumpt'!$G$60+'PF3'!G26*'Common Assumpt'!$G$61</f>
        <v>4318.5724186074585</v>
      </c>
      <c r="H26" s="441">
        <f>+'PF1'!H26*'Common Assumpt'!$G$59+'PF2'!H26*'Common Assumpt'!$G$60+'PF3'!H26*'Common Assumpt'!$G$61</f>
        <v>3347.1538333799326</v>
      </c>
      <c r="I26" s="441">
        <f>+'PF1'!I26*'Common Assumpt'!$G$59+'PF2'!I26*'Common Assumpt'!$G$60+'PF3'!I26*'Common Assumpt'!$G$61</f>
        <v>2289.7362851730213</v>
      </c>
      <c r="J26" s="441">
        <f>+'PF1'!J26*'Common Assumpt'!$G$59+'PF2'!J26*'Common Assumpt'!$G$60+'PF3'!J26*'Common Assumpt'!$G$61</f>
        <v>-10490.12863746818</v>
      </c>
      <c r="K26" s="441">
        <f>+'PF1'!K26*'Common Assumpt'!$G$59+'PF2'!K26*'Common Assumpt'!$G$60+'PF3'!K26*'Common Assumpt'!$G$61</f>
        <v>3250.155264778844</v>
      </c>
      <c r="L26" s="441">
        <f>+'PF1'!L26*'Common Assumpt'!$G$59+'PF2'!L26*'Common Assumpt'!$G$60+'PF3'!L26*'Common Assumpt'!$G$61</f>
        <v>3061.2616215380986</v>
      </c>
      <c r="M26" s="441">
        <f>+'PF1'!M26*'Common Assumpt'!$G$59+'PF2'!M26*'Common Assumpt'!$G$60+'PF3'!M26*'Common Assumpt'!$G$61</f>
        <v>3198.7176409274034</v>
      </c>
      <c r="N26" s="441">
        <f>+'PF1'!N26*'Common Assumpt'!$G$59+'PF2'!N26*'Common Assumpt'!$G$60+'PF3'!N26*'Common Assumpt'!$G$61</f>
        <v>3665.8364827373575</v>
      </c>
      <c r="O26" s="441">
        <f>+'PF1'!O26*'Common Assumpt'!$G$59+'PF2'!O26*'Common Assumpt'!$G$60+'PF3'!O26*'Common Assumpt'!$G$61</f>
        <v>3571.0838370922334</v>
      </c>
      <c r="P26" s="441">
        <f>+'PF1'!P26*'Common Assumpt'!$G$59+'PF2'!P26*'Common Assumpt'!$G$60+'PF3'!P26*'Common Assumpt'!$G$61</f>
        <v>3835.1216038958596</v>
      </c>
      <c r="Q26" s="441">
        <f>+'PF1'!Q26*'Common Assumpt'!$G$59+'PF2'!Q26*'Common Assumpt'!$G$60+'PF3'!Q26*'Common Assumpt'!$G$61</f>
        <v>4299.8420694829529</v>
      </c>
      <c r="R26" s="441">
        <f>+'PF1'!R26*'Common Assumpt'!$G$59+'PF2'!R26*'Common Assumpt'!$G$60+'PF3'!R26*'Common Assumpt'!$G$61</f>
        <v>4184.1908784895504</v>
      </c>
      <c r="S26" s="441">
        <f>+'PF1'!S26*'Common Assumpt'!$G$59+'PF2'!S26*'Common Assumpt'!$G$60+'PF3'!S26*'Common Assumpt'!$G$61</f>
        <v>4058.0096742309715</v>
      </c>
      <c r="T26" s="441">
        <f>+'PF1'!T26*'Common Assumpt'!$G$59+'PF2'!T26*'Common Assumpt'!$G$60+'PF3'!T26*'Common Assumpt'!$G$61</f>
        <v>3994.8956789635586</v>
      </c>
      <c r="U26" s="441">
        <f>+'PF1'!U26*'Common Assumpt'!$G$59+'PF2'!U26*'Common Assumpt'!$G$60+'PF3'!U26*'Common Assumpt'!$G$61</f>
        <v>3903.3083009397405</v>
      </c>
      <c r="V26" s="441">
        <f>+'PF1'!V26*'Common Assumpt'!$G$59+'PF2'!V26*'Common Assumpt'!$G$60+'PF3'!V26*'Common Assumpt'!$G$61</f>
        <v>2580.4174386926625</v>
      </c>
      <c r="W26" s="441">
        <f>+'PF1'!W26*'Common Assumpt'!$G$59+'PF2'!W26*'Common Assumpt'!$G$60+'PF3'!W26*'Common Assumpt'!$G$61</f>
        <v>0</v>
      </c>
      <c r="X26" s="441">
        <f>+'PF1'!X26*'Common Assumpt'!$G$59+'PF2'!X26*'Common Assumpt'!$G$60+'PF3'!X26*'Common Assumpt'!$G$61</f>
        <v>0</v>
      </c>
      <c r="Y26" s="444">
        <f>+'PF1'!Y26*'Common Assumpt'!$G$59+'PF2'!Y26*'Common Assumpt'!$G$60+'PF3'!Y26*'Common Assumpt'!$G$61</f>
        <v>0</v>
      </c>
      <c r="Z26" s="418"/>
      <c r="AA26" s="442">
        <f>+AVERAGE(K26:T26)</f>
        <v>3711.9114752136825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AA87"/>
  <sheetViews>
    <sheetView tabSelected="1" zoomScale="80" zoomScaleNormal="80" workbookViewId="0"/>
  </sheetViews>
  <sheetFormatPr defaultRowHeight="12.75" x14ac:dyDescent="0.2"/>
  <cols>
    <col min="2" max="4" width="8.42578125" customWidth="1"/>
    <col min="6" max="6" width="12.42578125" customWidth="1"/>
    <col min="7" max="7" width="11" bestFit="1" customWidth="1"/>
    <col min="8" max="8" width="10.5703125" customWidth="1"/>
    <col min="10" max="10" width="10.7109375" bestFit="1" customWidth="1"/>
    <col min="17" max="17" width="11.140625" customWidth="1"/>
  </cols>
  <sheetData>
    <row r="1" spans="1:27" ht="18" customHeight="1" x14ac:dyDescent="0.25">
      <c r="A1" s="470" t="s">
        <v>0</v>
      </c>
      <c r="B1" s="194"/>
    </row>
    <row r="2" spans="1:27" ht="12.75" customHeight="1" x14ac:dyDescent="0.2">
      <c r="A2" s="471" t="s">
        <v>137</v>
      </c>
      <c r="B2" s="194"/>
    </row>
    <row r="3" spans="1:27" ht="12.75" customHeight="1" x14ac:dyDescent="0.2">
      <c r="A3" s="194"/>
      <c r="B3" s="194"/>
    </row>
    <row r="4" spans="1:27" ht="12.75" customHeight="1" x14ac:dyDescent="0.2">
      <c r="A4" s="472" t="s">
        <v>1</v>
      </c>
      <c r="B4" s="227"/>
      <c r="C4" s="445">
        <v>1999</v>
      </c>
      <c r="D4" s="3">
        <f t="shared" ref="D4:Z4" si="0">+C4+1</f>
        <v>2000</v>
      </c>
      <c r="E4" s="3">
        <f t="shared" si="0"/>
        <v>2001</v>
      </c>
      <c r="F4" s="3">
        <f t="shared" si="0"/>
        <v>2002</v>
      </c>
      <c r="G4" s="3">
        <f t="shared" si="0"/>
        <v>2003</v>
      </c>
      <c r="H4" s="3">
        <f t="shared" si="0"/>
        <v>2004</v>
      </c>
      <c r="I4" s="3">
        <f t="shared" si="0"/>
        <v>2005</v>
      </c>
      <c r="J4" s="3">
        <f t="shared" si="0"/>
        <v>2006</v>
      </c>
      <c r="K4" s="3">
        <f t="shared" si="0"/>
        <v>2007</v>
      </c>
      <c r="L4" s="3">
        <f t="shared" si="0"/>
        <v>2008</v>
      </c>
      <c r="M4" s="3">
        <f t="shared" si="0"/>
        <v>2009</v>
      </c>
      <c r="N4" s="3">
        <f t="shared" si="0"/>
        <v>2010</v>
      </c>
      <c r="O4" s="3">
        <f t="shared" si="0"/>
        <v>2011</v>
      </c>
      <c r="P4" s="3">
        <f t="shared" si="0"/>
        <v>2012</v>
      </c>
      <c r="Q4" s="3">
        <f t="shared" si="0"/>
        <v>2013</v>
      </c>
      <c r="R4" s="3">
        <f t="shared" si="0"/>
        <v>2014</v>
      </c>
      <c r="S4" s="3">
        <f t="shared" si="0"/>
        <v>2015</v>
      </c>
      <c r="T4" s="3">
        <f t="shared" si="0"/>
        <v>2016</v>
      </c>
      <c r="U4" s="3">
        <f t="shared" si="0"/>
        <v>2017</v>
      </c>
      <c r="V4" s="3">
        <f t="shared" si="0"/>
        <v>2018</v>
      </c>
      <c r="W4" s="3">
        <f t="shared" si="0"/>
        <v>2019</v>
      </c>
      <c r="X4" s="3">
        <f t="shared" si="0"/>
        <v>2020</v>
      </c>
      <c r="Y4" s="3">
        <f t="shared" si="0"/>
        <v>2021</v>
      </c>
      <c r="Z4" s="3">
        <f t="shared" si="0"/>
        <v>2022</v>
      </c>
    </row>
    <row r="5" spans="1:27" ht="12.75" customHeight="1" x14ac:dyDescent="0.2">
      <c r="A5" s="473" t="s">
        <v>2</v>
      </c>
      <c r="B5" s="7"/>
      <c r="C5" s="8">
        <f>IF(switch=0,HLOOKUP(C$4,CURVES!$O$22:$AN$25,4),HLOOKUP(C$4,CURVES!$O$22:$AN$23,2))</f>
        <v>2.2758333333333334</v>
      </c>
      <c r="D5" s="8">
        <f>IF(switch=0,HLOOKUP(D$4,CURVES!$O$22:$AN$25,4),HLOOKUP(D$4,CURVES!$O$22:$AN$23,2))</f>
        <v>2.8247917881046067</v>
      </c>
      <c r="E5" s="8">
        <f>IF(switch=0,HLOOKUP(E$4,CURVES!$O$22:$AN$25,4),HLOOKUP(E$4,CURVES!$O$22:$AN$23,2))</f>
        <v>2.8035582543088018</v>
      </c>
      <c r="F5" s="8">
        <f>IF(switch=0,HLOOKUP(F$4,CURVES!$O$22:$AN$25,4),HLOOKUP(F$4,CURVES!$O$22:$AN$23,2))</f>
        <v>2.7476317857430446</v>
      </c>
      <c r="G5" s="8">
        <f>IF(switch=0,HLOOKUP(G$4,CURVES!$O$22:$AN$25,4),HLOOKUP(G$4,CURVES!$O$22:$AN$23,2))</f>
        <v>2.764410966272191</v>
      </c>
      <c r="H5" s="8">
        <f>IF(switch=0,HLOOKUP(H$4,CURVES!$O$22:$AN$25,4),HLOOKUP(H$4,CURVES!$O$22:$AN$23,2))</f>
        <v>2.7880856580080597</v>
      </c>
      <c r="I5" s="8">
        <f>IF(switch=0,HLOOKUP(I$4,CURVES!$O$22:$AN$25,4),HLOOKUP(I$4,CURVES!$O$22:$AN$23,2))</f>
        <v>2.837871278959808</v>
      </c>
      <c r="J5" s="8">
        <f>IF(switch=0,HLOOKUP(J$4,CURVES!$O$22:$AN$25,4),HLOOKUP(J$4,CURVES!$O$22:$AN$23,2))</f>
        <v>2.9118056177749216</v>
      </c>
      <c r="K5" s="8">
        <f>IF(switch=0,HLOOKUP(K$4,CURVES!$O$22:$AN$25,4),HLOOKUP(K$4,CURVES!$O$22:$AN$23,2))</f>
        <v>2.959272063385868</v>
      </c>
      <c r="L5" s="8">
        <f>IF(switch=0,HLOOKUP(L$4,CURVES!$O$22:$AN$25,4),HLOOKUP(L$4,CURVES!$O$22:$AN$23,2))</f>
        <v>3.044883950378491</v>
      </c>
      <c r="M5" s="8">
        <f>IF(switch=0,HLOOKUP(M$4,CURVES!$O$22:$AN$25,4),HLOOKUP(M$4,CURVES!$O$22:$AN$23,2))</f>
        <v>3.0785328085180041</v>
      </c>
      <c r="N5" s="8">
        <f>IF(switch=0,HLOOKUP(N$4,CURVES!$O$22:$AN$25,4),HLOOKUP(N$4,CURVES!$O$22:$AN$23,2))</f>
        <v>3.1634924224136838</v>
      </c>
      <c r="O5" s="8">
        <f>IF(switch=0,HLOOKUP(O$4,CURVES!$O$22:$AN$25,4),HLOOKUP(O$4,CURVES!$O$22:$AN$23,2))</f>
        <v>3.2379933772990568</v>
      </c>
      <c r="P5" s="8">
        <f>IF(switch=0,HLOOKUP(P$4,CURVES!$O$22:$AN$25,4),HLOOKUP(P$4,CURVES!$O$22:$AN$23,2))</f>
        <v>3.3410846234479799</v>
      </c>
      <c r="Q5" s="8">
        <f>IF(switch=0,HLOOKUP(Q$4,CURVES!$O$22:$AN$25,4),HLOOKUP(Q$4,CURVES!$O$22:$AN$23,2))</f>
        <v>3.4310919673019931</v>
      </c>
      <c r="R5" s="8">
        <f>IF(switch=0,HLOOKUP(R$4,CURVES!$O$22:$AN$25,4),HLOOKUP(R$4,CURVES!$O$22:$AN$23,2))</f>
        <v>3.5188379993231749</v>
      </c>
      <c r="S5" s="8">
        <f>IF(switch=0,HLOOKUP(S$4,CURVES!$O$22:$AN$25,4),HLOOKUP(S$4,CURVES!$O$22:$AN$23,2))</f>
        <v>3.6227454064444227</v>
      </c>
      <c r="T5" s="8">
        <f>IF(switch=0,HLOOKUP(T$4,CURVES!$O$22:$AN$25,4),HLOOKUP(T$4,CURVES!$O$22:$AN$23,2))</f>
        <v>3.7481789813050437</v>
      </c>
      <c r="U5" s="8">
        <f>IF(switch=0,HLOOKUP(U$4,CURVES!$O$22:$AN$25,4),HLOOKUP(U$4,CURVES!$O$22:$AN$23,2))</f>
        <v>3.8519840950692905</v>
      </c>
      <c r="V5" s="8">
        <f>IF(switch=0,HLOOKUP(V$4,CURVES!$O$22:$AN$25,4),HLOOKUP(V$4,CURVES!$O$22:$AN$23,2))</f>
        <v>3.9378206826128754</v>
      </c>
      <c r="W5" s="8">
        <f>IF(switch=0,HLOOKUP(W$4,CURVES!$O$22:$AN$25,4),HLOOKUP(W$4,CURVES!$O$22:$AN$23,2))</f>
        <v>4.0769793214244894</v>
      </c>
      <c r="X5" s="8">
        <f>IF(switch=0,HLOOKUP(X$4,CURVES!$O$22:$AN$25,4),HLOOKUP(X$4,CURVES!$O$22:$AN$23,2))</f>
        <v>4.0769793214244894</v>
      </c>
      <c r="Y5" s="8">
        <f>IF(switch=0,HLOOKUP(Y$4,CURVES!$O$22:$AN$25,4),HLOOKUP(Y$4,CURVES!$O$22:$AN$23,2))</f>
        <v>4.0769793214244894</v>
      </c>
      <c r="Z5" s="8">
        <f>IF(switch=0,HLOOKUP(Z$4,CURVES!$O$22:$AN$25,4),HLOOKUP(Z$4,CURVES!$O$22:$AN$23,2))</f>
        <v>4.0769793214244894</v>
      </c>
    </row>
    <row r="6" spans="1:27" ht="12.75" customHeight="1" x14ac:dyDescent="0.2">
      <c r="A6" s="216" t="s">
        <v>156</v>
      </c>
      <c r="B6" s="194"/>
      <c r="C6" s="8">
        <v>-7.0000000000000007E-2</v>
      </c>
      <c r="D6" s="8">
        <v>-7.0000000000000007E-2</v>
      </c>
      <c r="E6" s="8">
        <v>-7.0000000000000007E-2</v>
      </c>
      <c r="F6" s="8">
        <v>-7.0000000000000007E-2</v>
      </c>
      <c r="G6" s="8">
        <v>-7.0000000000000007E-2</v>
      </c>
      <c r="H6" s="8">
        <v>-7.0000000000000007E-2</v>
      </c>
      <c r="I6" s="8">
        <v>-7.0000000000000007E-2</v>
      </c>
      <c r="J6" s="8">
        <v>-7.0000000000000007E-2</v>
      </c>
      <c r="K6" s="8">
        <v>-7.0000000000000007E-2</v>
      </c>
      <c r="L6" s="8">
        <v>-7.0000000000000007E-2</v>
      </c>
      <c r="M6" s="8">
        <v>-7.0000000000000007E-2</v>
      </c>
      <c r="N6" s="8">
        <v>-7.0000000000000007E-2</v>
      </c>
      <c r="O6" s="8">
        <v>-7.0000000000000007E-2</v>
      </c>
      <c r="P6" s="8">
        <v>-7.0000000000000007E-2</v>
      </c>
      <c r="Q6" s="8">
        <v>-7.0000000000000007E-2</v>
      </c>
      <c r="R6" s="8">
        <v>-7.0000000000000007E-2</v>
      </c>
      <c r="S6" s="8">
        <v>-7.0000000000000007E-2</v>
      </c>
      <c r="T6" s="8">
        <v>-7.0000000000000007E-2</v>
      </c>
      <c r="U6" s="8">
        <v>-7.0000000000000007E-2</v>
      </c>
      <c r="V6" s="8">
        <v>-7.0000000000000007E-2</v>
      </c>
      <c r="W6" s="8">
        <v>-7.0000000000000007E-2</v>
      </c>
      <c r="X6" s="8">
        <v>-7.0000000000000007E-2</v>
      </c>
      <c r="Y6" s="8">
        <v>-7.0000000000000007E-2</v>
      </c>
      <c r="Z6" s="8">
        <v>-7.0000000000000007E-2</v>
      </c>
    </row>
    <row r="7" spans="1:27" ht="12.75" customHeight="1" x14ac:dyDescent="0.2">
      <c r="A7" s="194" t="s">
        <v>3</v>
      </c>
      <c r="B7" s="194"/>
      <c r="C7" s="533">
        <f>IF(switch=0,RAROC!D40,RAROC!E40)</f>
        <v>1.6318326471105999E-2</v>
      </c>
      <c r="D7" s="8">
        <f>C7</f>
        <v>1.6318326471105999E-2</v>
      </c>
      <c r="E7" s="8">
        <f t="shared" ref="E7:Z7" si="1">D7</f>
        <v>1.6318326471105999E-2</v>
      </c>
      <c r="F7" s="8">
        <f t="shared" si="1"/>
        <v>1.6318326471105999E-2</v>
      </c>
      <c r="G7" s="8">
        <f t="shared" si="1"/>
        <v>1.6318326471105999E-2</v>
      </c>
      <c r="H7" s="8">
        <f t="shared" si="1"/>
        <v>1.6318326471105999E-2</v>
      </c>
      <c r="I7" s="8">
        <f t="shared" si="1"/>
        <v>1.6318326471105999E-2</v>
      </c>
      <c r="J7" s="8">
        <f t="shared" si="1"/>
        <v>1.6318326471105999E-2</v>
      </c>
      <c r="K7" s="8">
        <f t="shared" si="1"/>
        <v>1.6318326471105999E-2</v>
      </c>
      <c r="L7" s="8">
        <f t="shared" si="1"/>
        <v>1.6318326471105999E-2</v>
      </c>
      <c r="M7" s="8">
        <f t="shared" si="1"/>
        <v>1.6318326471105999E-2</v>
      </c>
      <c r="N7" s="8">
        <f t="shared" si="1"/>
        <v>1.6318326471105999E-2</v>
      </c>
      <c r="O7" s="8">
        <f t="shared" si="1"/>
        <v>1.6318326471105999E-2</v>
      </c>
      <c r="P7" s="8">
        <f t="shared" si="1"/>
        <v>1.6318326471105999E-2</v>
      </c>
      <c r="Q7" s="8">
        <f t="shared" si="1"/>
        <v>1.6318326471105999E-2</v>
      </c>
      <c r="R7" s="8">
        <f t="shared" si="1"/>
        <v>1.6318326471105999E-2</v>
      </c>
      <c r="S7" s="8">
        <f t="shared" si="1"/>
        <v>1.6318326471105999E-2</v>
      </c>
      <c r="T7" s="8">
        <f t="shared" si="1"/>
        <v>1.6318326471105999E-2</v>
      </c>
      <c r="U7" s="8">
        <f t="shared" si="1"/>
        <v>1.6318326471105999E-2</v>
      </c>
      <c r="V7" s="8">
        <f t="shared" si="1"/>
        <v>1.6318326471105999E-2</v>
      </c>
      <c r="W7" s="8">
        <f t="shared" si="1"/>
        <v>1.6318326471105999E-2</v>
      </c>
      <c r="X7" s="8">
        <f t="shared" si="1"/>
        <v>1.6318326471105999E-2</v>
      </c>
      <c r="Y7" s="8">
        <f t="shared" si="1"/>
        <v>1.6318326471105999E-2</v>
      </c>
      <c r="Z7" s="8">
        <f t="shared" si="1"/>
        <v>1.6318326471105999E-2</v>
      </c>
    </row>
    <row r="8" spans="1:27" ht="12.75" customHeight="1" x14ac:dyDescent="0.2">
      <c r="A8" s="194"/>
      <c r="B8" s="19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7" ht="12.75" customHeight="1" x14ac:dyDescent="0.2">
      <c r="A9" s="216" t="s">
        <v>188</v>
      </c>
      <c r="B9" s="194"/>
      <c r="C9" s="531">
        <f>IF(switch=0,RAROC!D19,RAROC!E19)</f>
        <v>1.5932972926987581</v>
      </c>
      <c r="D9" s="230">
        <f>+D$5/C$5*C$9</f>
        <v>1.9776198206187128</v>
      </c>
      <c r="E9" s="230">
        <f t="shared" ref="E9:Z9" si="2">+E$5/D$5*D$9</f>
        <v>1.962754350719943</v>
      </c>
      <c r="F9" s="230">
        <f t="shared" si="2"/>
        <v>1.9236005648732832</v>
      </c>
      <c r="G9" s="230">
        <f t="shared" si="2"/>
        <v>1.935347568715448</v>
      </c>
      <c r="H9" s="230">
        <f t="shared" si="2"/>
        <v>1.9519220786743952</v>
      </c>
      <c r="I9" s="230">
        <f t="shared" si="2"/>
        <v>1.9867766938678393</v>
      </c>
      <c r="J9" s="230">
        <f t="shared" si="2"/>
        <v>2.0385376818743981</v>
      </c>
      <c r="K9" s="230">
        <f t="shared" si="2"/>
        <v>2.071768656295176</v>
      </c>
      <c r="L9" s="230">
        <f t="shared" si="2"/>
        <v>2.1317050258747492</v>
      </c>
      <c r="M9" s="230">
        <f t="shared" si="2"/>
        <v>2.1552623900238919</v>
      </c>
      <c r="N9" s="230">
        <f t="shared" si="2"/>
        <v>2.2147421071130395</v>
      </c>
      <c r="O9" s="230">
        <f t="shared" si="2"/>
        <v>2.2668997796384165</v>
      </c>
      <c r="P9" s="230">
        <f t="shared" si="2"/>
        <v>2.3390733439255</v>
      </c>
      <c r="Q9" s="230">
        <f t="shared" si="2"/>
        <v>2.4020869465409254</v>
      </c>
      <c r="R9" s="230">
        <f t="shared" si="2"/>
        <v>2.4635174182792223</v>
      </c>
      <c r="S9" s="230">
        <f t="shared" si="2"/>
        <v>2.5362623719771928</v>
      </c>
      <c r="T9" s="230">
        <f t="shared" si="2"/>
        <v>2.624077666846012</v>
      </c>
      <c r="U9" s="230">
        <f t="shared" si="2"/>
        <v>2.6967510055771116</v>
      </c>
      <c r="V9" s="230">
        <f t="shared" si="2"/>
        <v>2.7568446866672733</v>
      </c>
      <c r="W9" s="230">
        <f t="shared" si="2"/>
        <v>2.854268816644947</v>
      </c>
      <c r="X9" s="230">
        <f t="shared" si="2"/>
        <v>2.854268816644947</v>
      </c>
      <c r="Y9" s="230">
        <f t="shared" si="2"/>
        <v>2.854268816644947</v>
      </c>
      <c r="Z9" s="230">
        <f t="shared" si="2"/>
        <v>2.854268816644947</v>
      </c>
    </row>
    <row r="10" spans="1:27" ht="12.75" customHeight="1" x14ac:dyDescent="0.2">
      <c r="A10" s="194"/>
      <c r="B10" s="19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94"/>
      <c r="B11" s="194"/>
      <c r="C11" s="194"/>
      <c r="D11" s="194"/>
      <c r="E11" s="194"/>
      <c r="P11" s="194"/>
      <c r="Q11" s="194"/>
      <c r="Z11" s="8"/>
      <c r="AA11" s="8"/>
    </row>
    <row r="12" spans="1:27" ht="12.75" customHeight="1" x14ac:dyDescent="0.2">
      <c r="A12" s="194"/>
      <c r="B12" s="474" t="s">
        <v>147</v>
      </c>
      <c r="Z12" s="8"/>
      <c r="AA12" s="8"/>
    </row>
    <row r="13" spans="1:27" ht="12.75" customHeight="1" x14ac:dyDescent="0.2">
      <c r="A13" s="194"/>
      <c r="B13" s="216" t="s">
        <v>148</v>
      </c>
      <c r="F13" s="14">
        <f>+F18*22</f>
        <v>70.041672374331554</v>
      </c>
      <c r="G13" s="11" t="s">
        <v>150</v>
      </c>
      <c r="H13">
        <v>62.9</v>
      </c>
      <c r="Z13" s="8"/>
      <c r="AA13" s="8"/>
    </row>
    <row r="14" spans="1:27" ht="12.75" customHeight="1" x14ac:dyDescent="0.2">
      <c r="A14" s="194"/>
      <c r="B14" s="194"/>
      <c r="F14" s="446">
        <f>F13/52.05*47994/1000</f>
        <v>64.583670008331765</v>
      </c>
      <c r="G14" s="11" t="s">
        <v>149</v>
      </c>
      <c r="H14">
        <v>58</v>
      </c>
      <c r="Z14" s="8"/>
      <c r="AA14" s="8"/>
    </row>
    <row r="15" spans="1:27" ht="12.75" customHeight="1" x14ac:dyDescent="0.2">
      <c r="A15" s="194"/>
      <c r="B15" s="194"/>
      <c r="F15" s="446"/>
      <c r="G15" s="11"/>
      <c r="Z15" s="8"/>
      <c r="AA15" s="8"/>
    </row>
    <row r="16" spans="1:27" ht="12.75" customHeight="1" x14ac:dyDescent="0.2">
      <c r="A16" s="194"/>
      <c r="B16" s="475" t="s">
        <v>99</v>
      </c>
      <c r="C16" s="4"/>
      <c r="D16" s="4"/>
      <c r="M16" s="4"/>
      <c r="Z16" s="8"/>
      <c r="AA16" s="8"/>
    </row>
    <row r="17" spans="1:27" ht="12.75" customHeight="1" x14ac:dyDescent="0.2">
      <c r="A17" s="194"/>
      <c r="B17" s="216" t="s">
        <v>427</v>
      </c>
      <c r="C17" s="11"/>
      <c r="D17" s="11"/>
      <c r="F17" s="532">
        <v>2.0479828202088139</v>
      </c>
      <c r="G17" t="s">
        <v>4</v>
      </c>
      <c r="Z17" s="8"/>
      <c r="AA17" s="8"/>
    </row>
    <row r="18" spans="1:27" ht="12.75" customHeight="1" x14ac:dyDescent="0.2">
      <c r="A18" s="194"/>
      <c r="B18" s="216" t="s">
        <v>268</v>
      </c>
      <c r="C18" s="11"/>
      <c r="D18" s="11"/>
      <c r="F18" s="532">
        <f>IF(switch=0,RAROC!D43,RAROC!E43)</f>
        <v>3.1837123806514342</v>
      </c>
      <c r="G18" t="s">
        <v>4</v>
      </c>
      <c r="Z18" s="8"/>
      <c r="AA18" s="8"/>
    </row>
    <row r="19" spans="1:27" ht="12.75" customHeight="1" x14ac:dyDescent="0.2">
      <c r="A19" s="194"/>
      <c r="B19" s="194"/>
      <c r="Z19" s="8"/>
      <c r="AA19" s="8"/>
    </row>
    <row r="20" spans="1:27" ht="12.75" customHeight="1" x14ac:dyDescent="0.2">
      <c r="A20" s="194"/>
      <c r="B20" s="474" t="s">
        <v>5</v>
      </c>
      <c r="F20" s="13"/>
      <c r="Z20" s="8"/>
      <c r="AA20" s="8"/>
    </row>
    <row r="21" spans="1:27" ht="12.75" customHeight="1" x14ac:dyDescent="0.2">
      <c r="A21" s="194"/>
      <c r="B21" s="216" t="s">
        <v>100</v>
      </c>
      <c r="D21" s="530">
        <f>IF(switch=0,RAROC!D46,RAROC!E46)</f>
        <v>0.66818530547428878</v>
      </c>
      <c r="Z21" s="8"/>
      <c r="AA21" s="8"/>
    </row>
    <row r="22" spans="1:27" ht="12.75" customHeight="1" x14ac:dyDescent="0.2">
      <c r="A22" s="194"/>
      <c r="B22" s="476" t="s">
        <v>98</v>
      </c>
      <c r="C22" s="10"/>
      <c r="F22" s="18"/>
      <c r="G22" s="358"/>
      <c r="H22" s="358"/>
      <c r="I22" s="358"/>
      <c r="J22" s="468" t="s">
        <v>186</v>
      </c>
      <c r="K22" s="340" t="s">
        <v>187</v>
      </c>
      <c r="Z22" s="8"/>
      <c r="AA22" s="8"/>
    </row>
    <row r="23" spans="1:27" ht="12.75" customHeight="1" x14ac:dyDescent="0.2">
      <c r="A23" s="194"/>
      <c r="B23" s="194"/>
      <c r="F23" s="359"/>
      <c r="G23" s="360"/>
      <c r="H23" s="360"/>
      <c r="I23" s="360"/>
      <c r="J23" s="360">
        <f>2/3</f>
        <v>0.66666666666666663</v>
      </c>
      <c r="K23" s="360">
        <f>1-J23</f>
        <v>0.33333333333333337</v>
      </c>
      <c r="Z23" s="8"/>
      <c r="AA23" s="8"/>
    </row>
    <row r="24" spans="1:27" ht="25.5" customHeight="1" x14ac:dyDescent="0.2">
      <c r="A24" s="194"/>
      <c r="B24" s="194"/>
      <c r="C24" s="227" t="s">
        <v>155</v>
      </c>
      <c r="D24" s="194"/>
      <c r="E24" s="194"/>
      <c r="F24" s="340" t="s">
        <v>120</v>
      </c>
      <c r="G24" s="212" t="s">
        <v>6</v>
      </c>
      <c r="H24" s="212" t="s">
        <v>7</v>
      </c>
      <c r="I24" s="213" t="s">
        <v>8</v>
      </c>
      <c r="J24" s="212" t="s">
        <v>9</v>
      </c>
      <c r="Q24" s="8"/>
      <c r="R24" s="8"/>
    </row>
    <row r="25" spans="1:27" ht="12.75" customHeight="1" x14ac:dyDescent="0.2">
      <c r="A25" s="194"/>
      <c r="B25" s="194"/>
      <c r="C25" s="310" t="s">
        <v>10</v>
      </c>
      <c r="D25" s="216"/>
      <c r="E25" s="194"/>
      <c r="F25" s="169" t="s">
        <v>218</v>
      </c>
      <c r="G25" s="533">
        <f>IF(switch=1,RAROC!E24,RAROC!D24)</f>
        <v>0.17837409978335145</v>
      </c>
      <c r="H25" s="533">
        <f>IF(switch=1,RAROC!J24,RAROC!I24)*(1+USInf97!$S$3)</f>
        <v>0.16128437180628141</v>
      </c>
      <c r="I25" s="533">
        <f>IF(switch=1,RAROC!O24,RAROC!N24)*(1+USInf97!$S$3)</f>
        <v>0.26911155373971685</v>
      </c>
      <c r="J25" s="641">
        <f>+SUM(G25:I25)</f>
        <v>0.60877002532934976</v>
      </c>
      <c r="K25" s="554"/>
      <c r="Q25" s="8"/>
      <c r="R25" s="8"/>
    </row>
    <row r="26" spans="1:27" ht="12.75" customHeight="1" x14ac:dyDescent="0.2">
      <c r="A26" s="194"/>
      <c r="B26" s="194"/>
      <c r="C26" s="326" t="s">
        <v>82</v>
      </c>
      <c r="D26" s="216"/>
      <c r="E26" s="194"/>
      <c r="F26" s="169" t="s">
        <v>119</v>
      </c>
      <c r="G26" s="533">
        <f>IF(switch=1,RAROC!E28,0.769)</f>
        <v>0.77418858633854859</v>
      </c>
      <c r="H26" s="533">
        <f>IF(switch=1,RAROC!J28,0.213)</f>
        <v>0.21793959743833019</v>
      </c>
      <c r="I26" s="533">
        <f>IF(switch=1,RAROC!O28,(0.102+0.03+0.165+0.18))</f>
        <v>0.48278567469627792</v>
      </c>
      <c r="J26" s="641">
        <f>SUM(G26:I26)</f>
        <v>1.4749138584731567</v>
      </c>
      <c r="Q26" s="8"/>
      <c r="R26" s="8"/>
    </row>
    <row r="27" spans="1:27" ht="12.75" customHeight="1" x14ac:dyDescent="0.2">
      <c r="A27" s="194"/>
      <c r="B27" s="194"/>
      <c r="F27" s="169"/>
      <c r="G27" s="169"/>
      <c r="H27" s="169"/>
      <c r="I27" s="169"/>
      <c r="J27" s="169"/>
      <c r="Q27" s="8"/>
      <c r="R27" s="8"/>
    </row>
    <row r="28" spans="1:27" ht="12.75" customHeight="1" x14ac:dyDescent="0.2">
      <c r="A28" s="194"/>
      <c r="B28" s="194"/>
      <c r="F28" s="642"/>
      <c r="G28" s="643"/>
      <c r="H28" s="643"/>
      <c r="I28" s="643"/>
      <c r="J28" s="169"/>
      <c r="Q28" s="8"/>
      <c r="R28" s="8"/>
    </row>
    <row r="29" spans="1:27" ht="25.5" customHeight="1" x14ac:dyDescent="0.2">
      <c r="A29" s="194"/>
      <c r="B29" s="194"/>
      <c r="C29" s="227" t="s">
        <v>159</v>
      </c>
      <c r="D29" s="194"/>
      <c r="E29" s="194"/>
      <c r="F29" s="644" t="s">
        <v>120</v>
      </c>
      <c r="G29" s="645" t="s">
        <v>6</v>
      </c>
      <c r="H29" s="645" t="s">
        <v>7</v>
      </c>
      <c r="I29" s="646" t="s">
        <v>8</v>
      </c>
      <c r="J29" s="645" t="s">
        <v>9</v>
      </c>
      <c r="Q29" s="8"/>
      <c r="R29" s="8"/>
    </row>
    <row r="30" spans="1:27" ht="12.75" customHeight="1" x14ac:dyDescent="0.2">
      <c r="A30" s="194"/>
      <c r="B30" s="194"/>
      <c r="C30" s="310" t="s">
        <v>10</v>
      </c>
      <c r="D30" s="216"/>
      <c r="E30" s="194"/>
      <c r="F30" s="169" t="s">
        <v>119</v>
      </c>
      <c r="G30" s="533">
        <f>IF(switch=1,RAROC!E33,0.428)</f>
        <v>0.43051205897455336</v>
      </c>
      <c r="H30" s="533">
        <f>IF(switch=1,RAROC!J33,0.119)</f>
        <v>0.12398291893295681</v>
      </c>
      <c r="I30" s="533">
        <f>IF(switch=1,RAROC!O33,0.227)</f>
        <v>0.2294455892113656</v>
      </c>
      <c r="J30" s="641">
        <f>+SUM(G30:I30)</f>
        <v>0.78394056711887572</v>
      </c>
      <c r="Q30" s="8"/>
      <c r="R30" s="8"/>
    </row>
    <row r="31" spans="1:27" ht="12.75" customHeight="1" x14ac:dyDescent="0.2">
      <c r="A31" s="194"/>
      <c r="B31" s="194"/>
      <c r="C31" s="326" t="s">
        <v>82</v>
      </c>
      <c r="D31" s="216"/>
      <c r="E31" s="194"/>
      <c r="F31" s="169" t="s">
        <v>119</v>
      </c>
      <c r="G31" s="533">
        <f>IF(switch=1,RAROC!E37,0.916)</f>
        <v>0.92109021695042526</v>
      </c>
      <c r="H31" s="533">
        <f>IF(switch=1,RAROC!J37,0.254)</f>
        <v>0.25931501276226809</v>
      </c>
      <c r="I31" s="533">
        <f>IF(switch=1,RAROC!O37,0.123+0.031+0.166+0.215)</f>
        <v>0.5396253024872415</v>
      </c>
      <c r="J31" s="641">
        <f>SUM(G31:I31)</f>
        <v>1.7200305321999347</v>
      </c>
      <c r="Q31" s="8"/>
      <c r="R31" s="8"/>
    </row>
    <row r="32" spans="1:27" ht="12.75" customHeight="1" x14ac:dyDescent="0.2">
      <c r="C32" s="326"/>
      <c r="D32" s="216"/>
      <c r="E32" s="194"/>
      <c r="G32" s="219"/>
      <c r="H32" s="219"/>
      <c r="I32" s="219"/>
      <c r="J32" s="220"/>
      <c r="Z32" s="8"/>
      <c r="AA32" s="8"/>
    </row>
    <row r="33" spans="1:27" ht="12.75" customHeight="1" x14ac:dyDescent="0.2">
      <c r="C33" s="326"/>
      <c r="D33" s="216"/>
      <c r="E33" s="194"/>
      <c r="G33" s="219"/>
      <c r="H33" s="219"/>
      <c r="I33" s="219"/>
      <c r="J33" s="220"/>
      <c r="Z33" s="8"/>
      <c r="AA33" s="8"/>
    </row>
    <row r="34" spans="1:27" ht="12.75" customHeight="1" x14ac:dyDescent="0.2">
      <c r="B34" s="9" t="s">
        <v>161</v>
      </c>
      <c r="Z34" s="8"/>
      <c r="AA34" s="8"/>
    </row>
    <row r="35" spans="1:27" x14ac:dyDescent="0.2">
      <c r="C35" s="4" t="s">
        <v>162</v>
      </c>
      <c r="F35" s="219">
        <v>0.02</v>
      </c>
      <c r="H35" s="358"/>
      <c r="Z35" s="8"/>
      <c r="AA35" s="8"/>
    </row>
    <row r="36" spans="1:27" ht="12.75" customHeight="1" x14ac:dyDescent="0.2">
      <c r="B36" s="13"/>
      <c r="Z36" s="8"/>
      <c r="AA36" s="8"/>
    </row>
    <row r="37" spans="1:27" ht="12.75" customHeight="1" x14ac:dyDescent="0.2">
      <c r="B37" s="13" t="s">
        <v>11</v>
      </c>
      <c r="Z37" s="8"/>
      <c r="AA37" s="8"/>
    </row>
    <row r="38" spans="1:27" ht="12.75" customHeight="1" x14ac:dyDescent="0.2">
      <c r="B38" s="11" t="s">
        <v>100</v>
      </c>
      <c r="D38" s="530">
        <f>IF(switch=0,RAROC!D51,RAROC!E51)</f>
        <v>0.49882083305603736</v>
      </c>
      <c r="Z38" s="8"/>
      <c r="AA38" s="8"/>
    </row>
    <row r="39" spans="1:27" ht="12.75" customHeight="1" x14ac:dyDescent="0.2">
      <c r="B39" s="18" t="s">
        <v>12</v>
      </c>
      <c r="G39" s="358"/>
      <c r="Z39" s="8"/>
      <c r="AA39" s="8"/>
    </row>
    <row r="40" spans="1:27" x14ac:dyDescent="0.2">
      <c r="C40" s="4" t="s">
        <v>157</v>
      </c>
      <c r="F40" s="256" t="s">
        <v>125</v>
      </c>
      <c r="G40" s="360">
        <v>1</v>
      </c>
      <c r="H40" s="358"/>
      <c r="J40" s="4" t="s">
        <v>158</v>
      </c>
      <c r="Z40" s="8"/>
      <c r="AA40" s="8"/>
    </row>
    <row r="41" spans="1:27" ht="12.75" customHeight="1" x14ac:dyDescent="0.2">
      <c r="B41" s="227"/>
      <c r="G41" s="215" t="s">
        <v>151</v>
      </c>
      <c r="N41" s="215" t="s">
        <v>151</v>
      </c>
      <c r="P41" s="194"/>
      <c r="Q41" s="194"/>
      <c r="Z41" s="8"/>
      <c r="AA41" s="8"/>
    </row>
    <row r="42" spans="1:27" ht="12.75" customHeight="1" x14ac:dyDescent="0.2">
      <c r="C42" s="456" t="s">
        <v>78</v>
      </c>
      <c r="G42" s="540">
        <f>IF(switch=0,5.8222388509*(+$G$40),RAROC!E63)</f>
        <v>5.83158812337415</v>
      </c>
      <c r="H42" s="222"/>
      <c r="J42" s="456" t="s">
        <v>160</v>
      </c>
      <c r="N42" s="537">
        <f>IF(switch=0,RAROC!D55,RAROC!E55)</f>
        <v>0.25069688731424139</v>
      </c>
      <c r="P42" s="222"/>
      <c r="Q42" s="194"/>
      <c r="Z42" s="8"/>
      <c r="AA42" s="8"/>
    </row>
    <row r="43" spans="1:27" ht="12.75" customHeight="1" x14ac:dyDescent="0.2">
      <c r="C43" s="326" t="s">
        <v>79</v>
      </c>
      <c r="G43" s="540">
        <f>IF(switch=0,5.5884170635*(+$G$40),RAROC!E66)</f>
        <v>5.5712126045260799</v>
      </c>
      <c r="H43" s="469" t="s">
        <v>189</v>
      </c>
      <c r="J43" s="326" t="s">
        <v>81</v>
      </c>
      <c r="N43" s="538">
        <f>IF(switch=0,RAROC!D58,RAROC!E58)</f>
        <v>1.351960472978688E-2</v>
      </c>
      <c r="P43" s="194"/>
      <c r="Q43" s="194"/>
      <c r="Z43" s="8"/>
      <c r="AA43" s="8"/>
    </row>
    <row r="44" spans="1:27" ht="12.75" customHeight="1" x14ac:dyDescent="0.2">
      <c r="C44" s="326" t="s">
        <v>80</v>
      </c>
      <c r="G44" s="537">
        <f>IF(switch=0,0.0266154761904762,RAROC!E69)</f>
        <v>2.6519669249769236E-2</v>
      </c>
      <c r="H44" s="469" t="s">
        <v>189</v>
      </c>
      <c r="Z44" s="8"/>
      <c r="AA44" s="8"/>
    </row>
    <row r="45" spans="1:27" ht="12.75" customHeight="1" x14ac:dyDescent="0.2">
      <c r="C45" s="326" t="s">
        <v>81</v>
      </c>
      <c r="G45" s="538">
        <f>IF(switch=0,2.5%,RAROC!E72)</f>
        <v>2.4971231696412598E-2</v>
      </c>
      <c r="H45" s="194"/>
      <c r="I45" s="225"/>
      <c r="P45" s="194"/>
      <c r="Q45" s="194"/>
      <c r="R45" s="226"/>
      <c r="S45" s="226"/>
      <c r="T45" s="194"/>
      <c r="U45" s="194"/>
      <c r="V45" s="194"/>
      <c r="W45" s="194"/>
      <c r="X45" s="194"/>
      <c r="Y45" s="194"/>
      <c r="Z45" s="8"/>
      <c r="AA45" s="8"/>
    </row>
    <row r="46" spans="1:27" ht="12.75" customHeight="1" x14ac:dyDescent="0.2">
      <c r="A46" s="326"/>
      <c r="E46" s="194"/>
      <c r="F46" s="194"/>
      <c r="G46" s="194"/>
      <c r="H46" s="194"/>
      <c r="I46" s="194"/>
      <c r="L46" s="194"/>
      <c r="M46" s="194"/>
      <c r="N46" s="194"/>
      <c r="P46" s="194"/>
      <c r="Q46" s="194"/>
      <c r="R46" s="226"/>
      <c r="S46" s="226"/>
      <c r="T46" s="194"/>
      <c r="U46" s="194"/>
      <c r="V46" s="194"/>
      <c r="W46" s="194"/>
      <c r="X46" s="194"/>
      <c r="Y46" s="194"/>
      <c r="Z46" s="8"/>
      <c r="AA46" s="8"/>
    </row>
    <row r="47" spans="1:27" ht="12.75" customHeight="1" x14ac:dyDescent="0.2">
      <c r="A47" s="326"/>
      <c r="E47" s="194"/>
      <c r="F47" s="194"/>
      <c r="G47" s="194"/>
      <c r="H47" s="194"/>
      <c r="I47" s="194"/>
      <c r="L47" s="194"/>
      <c r="M47" s="194"/>
      <c r="N47" s="194"/>
      <c r="P47" s="194"/>
      <c r="Q47" s="194"/>
      <c r="R47" s="226"/>
      <c r="S47" s="226"/>
      <c r="T47" s="194"/>
      <c r="U47" s="194"/>
      <c r="V47" s="194"/>
      <c r="W47" s="194"/>
      <c r="X47" s="194"/>
      <c r="Y47" s="194"/>
      <c r="Z47" s="8"/>
      <c r="AA47" s="8"/>
    </row>
    <row r="48" spans="1:27" ht="12.75" customHeight="1" x14ac:dyDescent="0.2">
      <c r="A48" s="326"/>
      <c r="E48" s="194"/>
      <c r="F48" s="194"/>
      <c r="G48" s="194"/>
      <c r="H48" s="194"/>
      <c r="I48" s="194"/>
      <c r="L48" s="194"/>
      <c r="M48" s="194"/>
      <c r="N48" s="194"/>
      <c r="P48" s="194"/>
      <c r="Q48" s="194"/>
      <c r="R48" s="226"/>
      <c r="S48" s="226"/>
      <c r="T48" s="194"/>
      <c r="U48" s="194"/>
      <c r="V48" s="194"/>
      <c r="W48" s="194"/>
      <c r="X48" s="194"/>
      <c r="Y48" s="194"/>
      <c r="Z48" s="8"/>
      <c r="AA48" s="8"/>
    </row>
    <row r="49" spans="1:27" ht="12.75" customHeight="1" x14ac:dyDescent="0.2">
      <c r="A49" s="326"/>
      <c r="B49" s="13" t="s">
        <v>196</v>
      </c>
      <c r="E49" s="194"/>
      <c r="F49" s="194"/>
      <c r="G49" s="194"/>
      <c r="H49" s="194"/>
      <c r="I49" s="541">
        <f>IF(switch=0,RAROC!D76,RAROC!E76)</f>
        <v>0.749413010253415</v>
      </c>
      <c r="L49" s="194"/>
      <c r="M49" s="194"/>
      <c r="N49" s="194"/>
      <c r="P49" s="194"/>
      <c r="Q49" s="194"/>
      <c r="R49" s="226"/>
      <c r="S49" s="226"/>
      <c r="T49" s="194"/>
      <c r="U49" s="194"/>
      <c r="V49" s="194"/>
      <c r="W49" s="194"/>
      <c r="X49" s="194"/>
      <c r="Y49" s="194"/>
      <c r="Z49" s="8"/>
      <c r="AA49" s="8"/>
    </row>
    <row r="50" spans="1:27" ht="12.75" customHeight="1" x14ac:dyDescent="0.2">
      <c r="Z50" s="8"/>
      <c r="AA50" s="8"/>
    </row>
    <row r="51" spans="1:27" ht="12.75" customHeight="1" x14ac:dyDescent="0.2">
      <c r="B51" s="13" t="s">
        <v>153</v>
      </c>
      <c r="C51" s="11"/>
      <c r="H51" s="543">
        <f>IF(switch=0,RAROC!D80,RAROC!E80)</f>
        <v>1.0010821615450545</v>
      </c>
      <c r="J51" s="497" t="s">
        <v>210</v>
      </c>
      <c r="M51" s="542">
        <f>IF(switch=0,RAROC!D83,RAROC!E83)</f>
        <v>0.49920552480310393</v>
      </c>
      <c r="Z51" s="8"/>
      <c r="AA51" s="8"/>
    </row>
    <row r="52" spans="1:27" ht="12.75" customHeight="1" x14ac:dyDescent="0.2">
      <c r="C52" s="11"/>
      <c r="H52" s="449"/>
      <c r="Z52" s="8"/>
      <c r="AA52" s="8"/>
    </row>
    <row r="53" spans="1:27" ht="12.75" customHeight="1" x14ac:dyDescent="0.2">
      <c r="B53" s="3" t="s">
        <v>13</v>
      </c>
      <c r="Z53" s="8"/>
      <c r="AA53" s="8"/>
    </row>
    <row r="54" spans="1:27" ht="12.75" customHeight="1" x14ac:dyDescent="0.2">
      <c r="B54" t="s">
        <v>14</v>
      </c>
      <c r="D54" s="14">
        <v>1082.9000000000001</v>
      </c>
      <c r="Z54" s="8"/>
      <c r="AA54" s="8"/>
    </row>
    <row r="55" spans="1:27" x14ac:dyDescent="0.2">
      <c r="Z55" s="8"/>
      <c r="AA55" s="8"/>
    </row>
    <row r="56" spans="1:27" ht="12.75" customHeight="1" x14ac:dyDescent="0.2">
      <c r="B56" s="13" t="s">
        <v>101</v>
      </c>
      <c r="F56" s="10">
        <v>0.17</v>
      </c>
      <c r="Z56" s="8"/>
      <c r="AA56" s="8"/>
    </row>
    <row r="57" spans="1:27" x14ac:dyDescent="0.2">
      <c r="Z57" s="8"/>
      <c r="AA57" s="8"/>
    </row>
    <row r="58" spans="1:27" x14ac:dyDescent="0.2">
      <c r="B58" s="3" t="s">
        <v>152</v>
      </c>
      <c r="Z58" s="8"/>
      <c r="AA58" s="8"/>
    </row>
    <row r="59" spans="1:27" x14ac:dyDescent="0.2">
      <c r="B59" t="s">
        <v>140</v>
      </c>
      <c r="G59" s="447">
        <v>0.2</v>
      </c>
      <c r="Z59" s="8"/>
      <c r="AA59" s="8"/>
    </row>
    <row r="60" spans="1:27" x14ac:dyDescent="0.2">
      <c r="B60" s="11" t="s">
        <v>198</v>
      </c>
      <c r="G60" s="447">
        <v>0.2</v>
      </c>
      <c r="Z60" s="8"/>
      <c r="AA60" s="8"/>
    </row>
    <row r="61" spans="1:27" x14ac:dyDescent="0.2">
      <c r="B61" s="11" t="s">
        <v>199</v>
      </c>
      <c r="G61" s="447">
        <v>0.6</v>
      </c>
      <c r="Z61" s="8"/>
      <c r="AA61" s="8"/>
    </row>
    <row r="62" spans="1:27" x14ac:dyDescent="0.2">
      <c r="Z62" s="8"/>
      <c r="AA62" s="8"/>
    </row>
    <row r="64" spans="1:27" x14ac:dyDescent="0.2">
      <c r="B64" s="3" t="s">
        <v>200</v>
      </c>
    </row>
    <row r="66" spans="3:6" x14ac:dyDescent="0.2">
      <c r="C66" s="479">
        <v>1.5</v>
      </c>
      <c r="D66">
        <v>0</v>
      </c>
      <c r="E66">
        <v>0</v>
      </c>
    </row>
    <row r="67" spans="3:6" x14ac:dyDescent="0.2">
      <c r="C67" s="479">
        <f t="shared" ref="C67:C86" si="3">C66+0.1</f>
        <v>1.6</v>
      </c>
      <c r="D67">
        <v>0</v>
      </c>
      <c r="E67">
        <v>0</v>
      </c>
      <c r="F67" s="479"/>
    </row>
    <row r="68" spans="3:6" x14ac:dyDescent="0.2">
      <c r="C68" s="479">
        <f t="shared" si="3"/>
        <v>1.7000000000000002</v>
      </c>
      <c r="D68">
        <v>0</v>
      </c>
      <c r="E68">
        <v>0</v>
      </c>
      <c r="F68" s="480"/>
    </row>
    <row r="69" spans="3:6" x14ac:dyDescent="0.2">
      <c r="C69" s="479">
        <f t="shared" si="3"/>
        <v>1.8000000000000003</v>
      </c>
      <c r="D69">
        <v>0</v>
      </c>
      <c r="E69">
        <v>0</v>
      </c>
    </row>
    <row r="70" spans="3:6" x14ac:dyDescent="0.2">
      <c r="C70" s="546">
        <f t="shared" si="3"/>
        <v>1.9000000000000004</v>
      </c>
      <c r="D70" s="547">
        <v>3</v>
      </c>
      <c r="E70" s="547">
        <v>1</v>
      </c>
    </row>
    <row r="71" spans="3:6" x14ac:dyDescent="0.2">
      <c r="C71" s="479">
        <f t="shared" si="3"/>
        <v>2.0000000000000004</v>
      </c>
      <c r="D71">
        <f>MIN(D70+2,24)</f>
        <v>5</v>
      </c>
      <c r="E71">
        <v>1</v>
      </c>
    </row>
    <row r="72" spans="3:6" x14ac:dyDescent="0.2">
      <c r="C72" s="479">
        <f t="shared" si="3"/>
        <v>2.1000000000000005</v>
      </c>
      <c r="D72">
        <f>MIN(D71+2,24)</f>
        <v>7</v>
      </c>
      <c r="E72">
        <v>1</v>
      </c>
    </row>
    <row r="73" spans="3:6" x14ac:dyDescent="0.2">
      <c r="C73" s="479">
        <f t="shared" si="3"/>
        <v>2.2000000000000006</v>
      </c>
      <c r="D73">
        <f t="shared" ref="D73:D86" si="4">MIN(D72+2,24)</f>
        <v>9</v>
      </c>
      <c r="E73">
        <v>2</v>
      </c>
    </row>
    <row r="74" spans="3:6" x14ac:dyDescent="0.2">
      <c r="C74" s="479">
        <f t="shared" si="3"/>
        <v>2.3000000000000007</v>
      </c>
      <c r="D74">
        <f t="shared" si="4"/>
        <v>11</v>
      </c>
      <c r="E74">
        <v>2</v>
      </c>
    </row>
    <row r="75" spans="3:6" x14ac:dyDescent="0.2">
      <c r="C75" s="479">
        <f t="shared" si="3"/>
        <v>2.4000000000000008</v>
      </c>
      <c r="D75">
        <f t="shared" si="4"/>
        <v>13</v>
      </c>
      <c r="E75">
        <v>2</v>
      </c>
    </row>
    <row r="76" spans="3:6" x14ac:dyDescent="0.2">
      <c r="C76" s="479">
        <f t="shared" si="3"/>
        <v>2.5000000000000009</v>
      </c>
      <c r="D76">
        <f t="shared" si="4"/>
        <v>15</v>
      </c>
      <c r="E76">
        <v>3</v>
      </c>
    </row>
    <row r="77" spans="3:6" x14ac:dyDescent="0.2">
      <c r="C77" s="479">
        <f t="shared" si="3"/>
        <v>2.600000000000001</v>
      </c>
      <c r="D77">
        <f t="shared" si="4"/>
        <v>17</v>
      </c>
      <c r="E77">
        <v>3</v>
      </c>
    </row>
    <row r="78" spans="3:6" x14ac:dyDescent="0.2">
      <c r="C78" s="479">
        <f t="shared" si="3"/>
        <v>2.7000000000000011</v>
      </c>
      <c r="D78">
        <f t="shared" si="4"/>
        <v>19</v>
      </c>
      <c r="E78">
        <v>3</v>
      </c>
    </row>
    <row r="79" spans="3:6" x14ac:dyDescent="0.2">
      <c r="C79" s="479">
        <f t="shared" si="3"/>
        <v>2.8000000000000012</v>
      </c>
      <c r="D79">
        <f t="shared" si="4"/>
        <v>21</v>
      </c>
      <c r="E79">
        <v>4</v>
      </c>
    </row>
    <row r="80" spans="3:6" x14ac:dyDescent="0.2">
      <c r="C80" s="479">
        <f t="shared" si="3"/>
        <v>2.9000000000000012</v>
      </c>
      <c r="D80">
        <f t="shared" si="4"/>
        <v>23</v>
      </c>
      <c r="E80">
        <v>4</v>
      </c>
    </row>
    <row r="81" spans="3:5" x14ac:dyDescent="0.2">
      <c r="C81" s="479">
        <f t="shared" si="3"/>
        <v>3.0000000000000013</v>
      </c>
      <c r="D81">
        <f t="shared" si="4"/>
        <v>24</v>
      </c>
      <c r="E81">
        <v>4</v>
      </c>
    </row>
    <row r="82" spans="3:5" x14ac:dyDescent="0.2">
      <c r="C82" s="479">
        <f t="shared" si="3"/>
        <v>3.1000000000000014</v>
      </c>
      <c r="D82">
        <f t="shared" si="4"/>
        <v>24</v>
      </c>
      <c r="E82">
        <v>5</v>
      </c>
    </row>
    <row r="83" spans="3:5" x14ac:dyDescent="0.2">
      <c r="C83" s="479">
        <f t="shared" si="3"/>
        <v>3.2000000000000015</v>
      </c>
      <c r="D83">
        <f t="shared" si="4"/>
        <v>24</v>
      </c>
      <c r="E83">
        <v>5</v>
      </c>
    </row>
    <row r="84" spans="3:5" x14ac:dyDescent="0.2">
      <c r="C84" s="479">
        <f t="shared" si="3"/>
        <v>3.3000000000000016</v>
      </c>
      <c r="D84">
        <f t="shared" si="4"/>
        <v>24</v>
      </c>
      <c r="E84">
        <v>5</v>
      </c>
    </row>
    <row r="85" spans="3:5" x14ac:dyDescent="0.2">
      <c r="C85" s="479">
        <f t="shared" si="3"/>
        <v>3.4000000000000017</v>
      </c>
      <c r="D85">
        <f t="shared" si="4"/>
        <v>24</v>
      </c>
      <c r="E85">
        <v>6</v>
      </c>
    </row>
    <row r="86" spans="3:5" x14ac:dyDescent="0.2">
      <c r="C86" s="479">
        <f t="shared" si="3"/>
        <v>3.5000000000000018</v>
      </c>
      <c r="D86">
        <f t="shared" si="4"/>
        <v>24</v>
      </c>
      <c r="E86">
        <v>6</v>
      </c>
    </row>
    <row r="87" spans="3:5" x14ac:dyDescent="0.2">
      <c r="C87" s="479"/>
    </row>
  </sheetData>
  <pageMargins left="0.5" right="0.5" top="0.5" bottom="0.5" header="0.4" footer="0.4"/>
  <pageSetup scale="46" orientation="landscape" r:id="rId1"/>
  <headerFooter alignWithMargins="0">
    <oddHeader xml:space="preserve">&amp;L &amp;C &amp;R </oddHeader>
    <oddFooter>&amp;L&amp;"Times New Roman,Regular"&amp;F\&amp;A&amp;C&amp;"Times New Roman,Regular"CONFIDENTIAL&amp;R&amp;"Times New Roman,Regular"&amp;P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2"/>
  <sheetViews>
    <sheetView topLeftCell="F44" zoomScale="75" workbookViewId="0">
      <selection activeCell="J64" sqref="J64"/>
    </sheetView>
  </sheetViews>
  <sheetFormatPr defaultRowHeight="12.75" x14ac:dyDescent="0.2"/>
  <cols>
    <col min="4" max="4" width="9.5703125" bestFit="1" customWidth="1"/>
    <col min="10" max="10" width="12" customWidth="1"/>
    <col min="11" max="11" width="13.28515625" bestFit="1" customWidth="1"/>
    <col min="12" max="13" width="9.28515625" bestFit="1" customWidth="1"/>
    <col min="14" max="17" width="10.7109375" bestFit="1" customWidth="1"/>
    <col min="18" max="21" width="11.42578125" bestFit="1" customWidth="1"/>
    <col min="22" max="22" width="11.140625" bestFit="1" customWidth="1"/>
    <col min="23" max="25" width="12.140625" bestFit="1" customWidth="1"/>
    <col min="26" max="26" width="11.7109375" bestFit="1" customWidth="1"/>
    <col min="27" max="28" width="12.140625" bestFit="1" customWidth="1"/>
    <col min="29" max="29" width="11.7109375" bestFit="1" customWidth="1"/>
    <col min="30" max="32" width="12.140625" bestFit="1" customWidth="1"/>
    <col min="33" max="33" width="11.7109375" bestFit="1" customWidth="1"/>
    <col min="34" max="34" width="12.140625" bestFit="1" customWidth="1"/>
    <col min="35" max="37" width="11.7109375" bestFit="1" customWidth="1"/>
    <col min="38" max="42" width="9.28515625" bestFit="1" customWidth="1"/>
  </cols>
  <sheetData>
    <row r="1" spans="1:30" ht="15.75" x14ac:dyDescent="0.25">
      <c r="A1" s="548" t="s">
        <v>401</v>
      </c>
    </row>
    <row r="2" spans="1:30" ht="15.75" x14ac:dyDescent="0.25">
      <c r="A2" s="548" t="s">
        <v>402</v>
      </c>
      <c r="L2" s="322">
        <v>2000</v>
      </c>
      <c r="M2" s="322">
        <v>2001</v>
      </c>
      <c r="N2" s="322">
        <v>2002</v>
      </c>
      <c r="O2" s="322">
        <v>2003</v>
      </c>
      <c r="P2" s="322">
        <v>2004</v>
      </c>
      <c r="Q2" s="322">
        <v>2005</v>
      </c>
      <c r="R2" s="322">
        <v>2006</v>
      </c>
      <c r="S2" s="322">
        <v>2007</v>
      </c>
      <c r="T2" s="322">
        <v>2008</v>
      </c>
      <c r="U2" s="322">
        <v>2009</v>
      </c>
      <c r="V2" s="322">
        <v>2010</v>
      </c>
      <c r="W2" s="322">
        <v>2011</v>
      </c>
      <c r="X2" s="322">
        <v>2012</v>
      </c>
      <c r="Y2" s="322">
        <v>2013</v>
      </c>
      <c r="Z2" s="322">
        <v>2014</v>
      </c>
      <c r="AA2" s="322">
        <v>2015</v>
      </c>
      <c r="AB2" s="322">
        <v>2016</v>
      </c>
      <c r="AC2" s="322">
        <v>2017</v>
      </c>
      <c r="AD2" s="322">
        <v>2018</v>
      </c>
    </row>
    <row r="3" spans="1:30" ht="15.75" x14ac:dyDescent="0.25">
      <c r="A3" s="548" t="s">
        <v>403</v>
      </c>
      <c r="I3" t="s">
        <v>408</v>
      </c>
      <c r="L3" s="549">
        <f>Elba!E200</f>
        <v>0</v>
      </c>
      <c r="M3" s="549">
        <f>Elba!F200</f>
        <v>0</v>
      </c>
      <c r="N3" s="549">
        <f>Elba!G200</f>
        <v>22286.654705142602</v>
      </c>
      <c r="O3" s="549">
        <f>Elba!H200</f>
        <v>21523.416324528898</v>
      </c>
      <c r="P3" s="549">
        <f>Elba!I200</f>
        <v>20765.986761320415</v>
      </c>
      <c r="Q3" s="549">
        <f>Elba!J200</f>
        <v>19386.329972284631</v>
      </c>
      <c r="R3" s="549">
        <f>Elba!K200</f>
        <v>18648.360387740406</v>
      </c>
      <c r="S3" s="549">
        <f>Elba!L200</f>
        <v>22187.966756945934</v>
      </c>
      <c r="T3" s="549">
        <f>Elba!M200</f>
        <v>22243.958587671459</v>
      </c>
      <c r="U3" s="549">
        <f>Elba!N200</f>
        <v>22271.489854025163</v>
      </c>
      <c r="V3" s="549">
        <f>Elba!O200</f>
        <v>23780.996057181859</v>
      </c>
      <c r="W3" s="549">
        <f>Elba!P200</f>
        <v>23837.549278398754</v>
      </c>
      <c r="X3" s="549">
        <f>Elba!Q200</f>
        <v>23910.75124428888</v>
      </c>
      <c r="Y3" s="549">
        <f>Elba!R200</f>
        <v>25452.994933258742</v>
      </c>
      <c r="Z3" s="549">
        <f>Elba!S200</f>
        <v>25525.334097794457</v>
      </c>
      <c r="AA3" s="549">
        <f>Elba!T200</f>
        <v>25608.145675292599</v>
      </c>
      <c r="AB3" s="549">
        <f>Elba!U200</f>
        <v>25704.837612946478</v>
      </c>
      <c r="AC3" s="549">
        <f>Elba!V200</f>
        <v>25788.713460871499</v>
      </c>
      <c r="AD3" s="549">
        <f>Elba!W200</f>
        <v>25861.943355236352</v>
      </c>
    </row>
    <row r="4" spans="1:30" ht="13.5" thickBot="1" x14ac:dyDescent="0.25">
      <c r="I4" t="s">
        <v>404</v>
      </c>
      <c r="L4" s="550">
        <v>1.2646359829154519E-2</v>
      </c>
      <c r="M4" s="550">
        <v>9.2350886925606224E-3</v>
      </c>
      <c r="N4" s="550">
        <v>1.0691690532440568E-2</v>
      </c>
      <c r="O4" s="550">
        <v>1.4815283896496001E-2</v>
      </c>
      <c r="P4" s="550">
        <v>1.5537764666137988E-2</v>
      </c>
      <c r="Q4" s="550">
        <v>1.3562064824405251E-2</v>
      </c>
      <c r="R4" s="550">
        <v>1.3604449976370447E-2</v>
      </c>
      <c r="S4" s="550">
        <v>1.8293128922377222E-2</v>
      </c>
      <c r="T4" s="550">
        <v>2.3272617750420888E-2</v>
      </c>
      <c r="U4" s="550">
        <v>2.6017192958197932E-2</v>
      </c>
      <c r="V4" s="550">
        <v>2.5635907555688453E-2</v>
      </c>
      <c r="W4" s="550">
        <v>2.4231647849736304E-2</v>
      </c>
      <c r="X4" s="550">
        <v>2.2531854459304834E-2</v>
      </c>
      <c r="Y4" s="550">
        <v>2.0833331277437916E-2</v>
      </c>
      <c r="Z4" s="550">
        <v>1.9186891526299488E-2</v>
      </c>
      <c r="AA4" s="550">
        <v>1.9186891526299488E-2</v>
      </c>
      <c r="AB4" s="550">
        <v>1.9186891526299488E-2</v>
      </c>
      <c r="AC4" s="550">
        <v>1.9186891526299488E-2</v>
      </c>
      <c r="AD4" s="550">
        <v>1.9186891526299488E-2</v>
      </c>
    </row>
    <row r="5" spans="1:30" ht="13.5" thickBot="1" x14ac:dyDescent="0.25">
      <c r="A5" s="5" t="s">
        <v>102</v>
      </c>
      <c r="B5" s="5"/>
      <c r="D5" s="323">
        <v>1</v>
      </c>
      <c r="I5" t="s">
        <v>405</v>
      </c>
      <c r="L5" s="551">
        <f t="shared" ref="L5:AD5" si="0">1-L4</f>
        <v>0.98735364017084548</v>
      </c>
      <c r="M5" s="551">
        <f t="shared" si="0"/>
        <v>0.99076491130743938</v>
      </c>
      <c r="N5" s="551">
        <f t="shared" si="0"/>
        <v>0.98930830946755943</v>
      </c>
      <c r="O5" s="551">
        <f t="shared" si="0"/>
        <v>0.985184716103504</v>
      </c>
      <c r="P5" s="551">
        <f t="shared" si="0"/>
        <v>0.98446223533386201</v>
      </c>
      <c r="Q5" s="551">
        <f t="shared" si="0"/>
        <v>0.98643793517559475</v>
      </c>
      <c r="R5" s="551">
        <f t="shared" si="0"/>
        <v>0.98639555002362955</v>
      </c>
      <c r="S5" s="551">
        <f t="shared" si="0"/>
        <v>0.98170687107762278</v>
      </c>
      <c r="T5" s="551">
        <f t="shared" si="0"/>
        <v>0.97672738224957911</v>
      </c>
      <c r="U5" s="551">
        <f t="shared" si="0"/>
        <v>0.97398280704180207</v>
      </c>
      <c r="V5" s="551">
        <f t="shared" si="0"/>
        <v>0.97436409244431155</v>
      </c>
      <c r="W5" s="551">
        <f t="shared" si="0"/>
        <v>0.9757683521502637</v>
      </c>
      <c r="X5" s="551">
        <f t="shared" si="0"/>
        <v>0.97746814554069517</v>
      </c>
      <c r="Y5" s="551">
        <f t="shared" si="0"/>
        <v>0.97916666872256208</v>
      </c>
      <c r="Z5" s="551">
        <f t="shared" si="0"/>
        <v>0.98081310847370051</v>
      </c>
      <c r="AA5" s="551">
        <f t="shared" si="0"/>
        <v>0.98081310847370051</v>
      </c>
      <c r="AB5" s="551">
        <f t="shared" si="0"/>
        <v>0.98081310847370051</v>
      </c>
      <c r="AC5" s="551">
        <f t="shared" si="0"/>
        <v>0.98081310847370051</v>
      </c>
      <c r="AD5" s="551">
        <f t="shared" si="0"/>
        <v>0.98081310847370051</v>
      </c>
    </row>
    <row r="6" spans="1:30" x14ac:dyDescent="0.2">
      <c r="I6" t="s">
        <v>406</v>
      </c>
      <c r="L6" s="171">
        <v>0.99199999999999999</v>
      </c>
      <c r="M6" s="171">
        <v>0.99</v>
      </c>
      <c r="N6" s="171">
        <v>0.99199999999999999</v>
      </c>
      <c r="O6" s="171">
        <v>0.98799999999999999</v>
      </c>
      <c r="P6" s="171">
        <v>0.98099999999999998</v>
      </c>
      <c r="Q6" s="171">
        <v>0.98599999999999999</v>
      </c>
      <c r="R6" s="171">
        <v>0.98</v>
      </c>
      <c r="S6" s="171">
        <v>0.98499999999999999</v>
      </c>
      <c r="T6" s="171">
        <v>0.97599999999999998</v>
      </c>
      <c r="U6" s="171">
        <v>0.96699999999999997</v>
      </c>
      <c r="V6" s="171">
        <v>0.97899999999999998</v>
      </c>
      <c r="W6" s="171">
        <v>0.97299999999999998</v>
      </c>
      <c r="X6" s="171">
        <v>0.98</v>
      </c>
      <c r="Y6" s="171">
        <v>0.98799999999999999</v>
      </c>
      <c r="Z6" s="171">
        <v>0.98699999999999999</v>
      </c>
      <c r="AA6" s="171">
        <v>0.98099999999999998</v>
      </c>
      <c r="AB6" s="171">
        <v>0.98399999999999999</v>
      </c>
      <c r="AC6" s="171">
        <v>0.98199999999999998</v>
      </c>
      <c r="AD6" s="171">
        <v>0.98399999999999999</v>
      </c>
    </row>
    <row r="7" spans="1:30" x14ac:dyDescent="0.2">
      <c r="I7" t="s">
        <v>407</v>
      </c>
      <c r="L7">
        <f t="shared" ref="L7:AD7" si="1">L6</f>
        <v>0.99199999999999999</v>
      </c>
      <c r="M7">
        <f t="shared" si="1"/>
        <v>0.99</v>
      </c>
      <c r="N7">
        <f t="shared" si="1"/>
        <v>0.99199999999999999</v>
      </c>
      <c r="O7">
        <f t="shared" si="1"/>
        <v>0.98799999999999999</v>
      </c>
      <c r="P7">
        <f t="shared" si="1"/>
        <v>0.98099999999999998</v>
      </c>
      <c r="Q7">
        <f t="shared" si="1"/>
        <v>0.98599999999999999</v>
      </c>
      <c r="R7">
        <f t="shared" si="1"/>
        <v>0.98</v>
      </c>
      <c r="S7">
        <f t="shared" si="1"/>
        <v>0.98499999999999999</v>
      </c>
      <c r="T7">
        <f t="shared" si="1"/>
        <v>0.97599999999999998</v>
      </c>
      <c r="U7">
        <f t="shared" si="1"/>
        <v>0.96699999999999997</v>
      </c>
      <c r="V7">
        <f t="shared" si="1"/>
        <v>0.97899999999999998</v>
      </c>
      <c r="W7">
        <f t="shared" si="1"/>
        <v>0.97299999999999998</v>
      </c>
      <c r="X7">
        <f t="shared" si="1"/>
        <v>0.98</v>
      </c>
      <c r="Y7">
        <f t="shared" si="1"/>
        <v>0.98799999999999999</v>
      </c>
      <c r="Z7">
        <f t="shared" si="1"/>
        <v>0.98699999999999999</v>
      </c>
      <c r="AA7">
        <f t="shared" si="1"/>
        <v>0.98099999999999998</v>
      </c>
      <c r="AB7">
        <f t="shared" si="1"/>
        <v>0.98399999999999999</v>
      </c>
      <c r="AC7">
        <f t="shared" si="1"/>
        <v>0.98199999999999998</v>
      </c>
      <c r="AD7">
        <f t="shared" si="1"/>
        <v>0.98399999999999999</v>
      </c>
    </row>
    <row r="8" spans="1:30" x14ac:dyDescent="0.2">
      <c r="D8" s="3"/>
      <c r="E8" s="3"/>
      <c r="F8" s="3"/>
      <c r="L8">
        <f t="shared" ref="L8:AD8" si="2">1-L6</f>
        <v>8.0000000000000071E-3</v>
      </c>
      <c r="M8">
        <f t="shared" si="2"/>
        <v>1.0000000000000009E-2</v>
      </c>
      <c r="N8">
        <f t="shared" si="2"/>
        <v>8.0000000000000071E-3</v>
      </c>
      <c r="O8">
        <f t="shared" si="2"/>
        <v>1.2000000000000011E-2</v>
      </c>
      <c r="P8">
        <f t="shared" si="2"/>
        <v>1.9000000000000017E-2</v>
      </c>
      <c r="Q8">
        <f t="shared" si="2"/>
        <v>1.4000000000000012E-2</v>
      </c>
      <c r="R8">
        <f t="shared" si="2"/>
        <v>2.0000000000000018E-2</v>
      </c>
      <c r="S8">
        <f t="shared" si="2"/>
        <v>1.5000000000000013E-2</v>
      </c>
      <c r="T8">
        <f t="shared" si="2"/>
        <v>2.4000000000000021E-2</v>
      </c>
      <c r="U8">
        <f t="shared" si="2"/>
        <v>3.3000000000000029E-2</v>
      </c>
      <c r="V8">
        <f t="shared" si="2"/>
        <v>2.1000000000000019E-2</v>
      </c>
      <c r="W8">
        <f t="shared" si="2"/>
        <v>2.7000000000000024E-2</v>
      </c>
      <c r="X8">
        <f t="shared" si="2"/>
        <v>2.0000000000000018E-2</v>
      </c>
      <c r="Y8">
        <f t="shared" si="2"/>
        <v>1.2000000000000011E-2</v>
      </c>
      <c r="Z8">
        <f t="shared" si="2"/>
        <v>1.3000000000000012E-2</v>
      </c>
      <c r="AA8">
        <f t="shared" si="2"/>
        <v>1.9000000000000017E-2</v>
      </c>
      <c r="AB8">
        <f t="shared" si="2"/>
        <v>1.6000000000000014E-2</v>
      </c>
      <c r="AC8">
        <f t="shared" si="2"/>
        <v>1.8000000000000016E-2</v>
      </c>
      <c r="AD8">
        <f t="shared" si="2"/>
        <v>1.6000000000000014E-2</v>
      </c>
    </row>
    <row r="9" spans="1:30" x14ac:dyDescent="0.2">
      <c r="D9" s="567" t="s">
        <v>108</v>
      </c>
      <c r="E9" s="567" t="s">
        <v>420</v>
      </c>
      <c r="F9" s="567" t="s">
        <v>105</v>
      </c>
      <c r="G9" s="568"/>
      <c r="H9" s="567" t="s">
        <v>421</v>
      </c>
      <c r="I9" s="568"/>
      <c r="J9" s="568"/>
      <c r="K9" s="567" t="s">
        <v>422</v>
      </c>
      <c r="L9" s="568"/>
      <c r="M9" s="568"/>
      <c r="N9" s="567" t="s">
        <v>423</v>
      </c>
      <c r="O9" s="568"/>
      <c r="P9" s="568"/>
      <c r="Q9" s="567" t="s">
        <v>424</v>
      </c>
    </row>
    <row r="10" spans="1:30" x14ac:dyDescent="0.2">
      <c r="A10" t="s">
        <v>104</v>
      </c>
      <c r="D10">
        <v>17</v>
      </c>
      <c r="E10" s="171">
        <v>16.500402844855106</v>
      </c>
      <c r="F10" t="s">
        <v>110</v>
      </c>
      <c r="G10">
        <v>16.5</v>
      </c>
      <c r="H10" s="171">
        <v>15.795879515787801</v>
      </c>
      <c r="I10" t="s">
        <v>110</v>
      </c>
      <c r="J10">
        <v>15.8</v>
      </c>
      <c r="K10" s="171">
        <v>15.18455592815301</v>
      </c>
      <c r="L10" t="s">
        <v>110</v>
      </c>
      <c r="M10">
        <v>15.18</v>
      </c>
      <c r="N10" s="171">
        <v>14.50880880522481</v>
      </c>
      <c r="O10" t="s">
        <v>110</v>
      </c>
      <c r="P10">
        <v>14.52</v>
      </c>
      <c r="Q10" s="171">
        <v>13.859043752134582</v>
      </c>
      <c r="R10" t="s">
        <v>110</v>
      </c>
      <c r="S10">
        <v>13.86</v>
      </c>
    </row>
    <row r="11" spans="1:30" x14ac:dyDescent="0.2">
      <c r="A11" s="11" t="s">
        <v>131</v>
      </c>
      <c r="F11" t="s">
        <v>428</v>
      </c>
      <c r="G11">
        <v>0.2</v>
      </c>
      <c r="I11" t="s">
        <v>428</v>
      </c>
      <c r="J11">
        <v>0.2</v>
      </c>
      <c r="L11" t="s">
        <v>428</v>
      </c>
      <c r="M11">
        <v>0.2</v>
      </c>
      <c r="O11" t="s">
        <v>428</v>
      </c>
      <c r="P11">
        <v>0.2</v>
      </c>
      <c r="R11" t="s">
        <v>428</v>
      </c>
      <c r="S11">
        <v>0.2</v>
      </c>
    </row>
    <row r="13" spans="1:30" x14ac:dyDescent="0.2">
      <c r="H13" s="567" t="s">
        <v>421</v>
      </c>
      <c r="I13" s="568"/>
      <c r="J13" s="568"/>
      <c r="K13" s="567" t="s">
        <v>422</v>
      </c>
      <c r="L13" s="568"/>
      <c r="M13" s="568"/>
      <c r="N13" s="567" t="s">
        <v>423</v>
      </c>
      <c r="O13" s="568"/>
      <c r="P13" s="568"/>
      <c r="Q13" s="567" t="s">
        <v>424</v>
      </c>
    </row>
    <row r="14" spans="1:30" x14ac:dyDescent="0.2">
      <c r="A14" t="s">
        <v>103</v>
      </c>
      <c r="D14">
        <v>5</v>
      </c>
      <c r="E14" s="171">
        <v>3.972</v>
      </c>
      <c r="F14" t="s">
        <v>409</v>
      </c>
      <c r="H14" s="171">
        <v>3.7879999999999998</v>
      </c>
      <c r="K14" s="171">
        <v>3.6219999999999999</v>
      </c>
      <c r="N14" s="171">
        <v>3.419</v>
      </c>
      <c r="Q14" s="171">
        <v>3.3769999999999998</v>
      </c>
    </row>
    <row r="15" spans="1:30" x14ac:dyDescent="0.2">
      <c r="A15" s="11" t="s">
        <v>131</v>
      </c>
    </row>
    <row r="16" spans="1:30" x14ac:dyDescent="0.2">
      <c r="P16" s="17"/>
    </row>
    <row r="19" spans="1:18" x14ac:dyDescent="0.2">
      <c r="A19" s="227" t="s">
        <v>188</v>
      </c>
      <c r="D19" s="8">
        <v>1.65</v>
      </c>
      <c r="E19" s="534">
        <v>1.5932972926987581</v>
      </c>
      <c r="F19" s="225" t="s">
        <v>265</v>
      </c>
      <c r="G19" t="s">
        <v>110</v>
      </c>
      <c r="H19" s="449">
        <v>1.65</v>
      </c>
    </row>
    <row r="20" spans="1:18" x14ac:dyDescent="0.2">
      <c r="D20" s="447"/>
      <c r="E20" s="447"/>
      <c r="F20" s="225"/>
      <c r="G20" s="326" t="s">
        <v>266</v>
      </c>
      <c r="H20" s="449">
        <v>0.1</v>
      </c>
    </row>
    <row r="21" spans="1:18" x14ac:dyDescent="0.2">
      <c r="H21" s="447"/>
    </row>
    <row r="22" spans="1:18" x14ac:dyDescent="0.2">
      <c r="A22" s="474" t="s">
        <v>155</v>
      </c>
    </row>
    <row r="23" spans="1:18" x14ac:dyDescent="0.2">
      <c r="D23" t="s">
        <v>6</v>
      </c>
      <c r="I23" t="s">
        <v>7</v>
      </c>
      <c r="N23" t="s">
        <v>8</v>
      </c>
    </row>
    <row r="24" spans="1:18" x14ac:dyDescent="0.2">
      <c r="B24" t="s">
        <v>106</v>
      </c>
      <c r="D24">
        <v>0.17399999999999999</v>
      </c>
      <c r="E24" s="171">
        <v>0.17837409978335145</v>
      </c>
      <c r="F24" t="s">
        <v>109</v>
      </c>
      <c r="G24" t="s">
        <v>111</v>
      </c>
      <c r="H24">
        <v>0.17399999999999999</v>
      </c>
      <c r="I24">
        <v>0.15441732766310734</v>
      </c>
      <c r="J24" s="171">
        <v>0.15667060256167228</v>
      </c>
      <c r="K24" t="s">
        <v>109</v>
      </c>
      <c r="L24" t="s">
        <v>111</v>
      </c>
      <c r="M24">
        <v>0.15441732766310734</v>
      </c>
      <c r="N24">
        <v>0.25942111047402033</v>
      </c>
      <c r="O24" s="171">
        <v>0.2614132343296714</v>
      </c>
      <c r="P24" t="s">
        <v>109</v>
      </c>
      <c r="Q24" t="s">
        <v>111</v>
      </c>
      <c r="R24">
        <v>0.25942111047402033</v>
      </c>
    </row>
    <row r="25" spans="1:18" x14ac:dyDescent="0.2">
      <c r="G25" t="s">
        <v>112</v>
      </c>
      <c r="H25">
        <v>0.01</v>
      </c>
      <c r="L25" t="s">
        <v>112</v>
      </c>
      <c r="M25">
        <v>5.0000000000000001E-3</v>
      </c>
      <c r="Q25" t="s">
        <v>112</v>
      </c>
      <c r="R25">
        <v>4.0000000000000001E-3</v>
      </c>
    </row>
    <row r="27" spans="1:18" x14ac:dyDescent="0.2">
      <c r="D27" t="s">
        <v>6</v>
      </c>
      <c r="I27" t="s">
        <v>7</v>
      </c>
      <c r="N27" t="s">
        <v>8</v>
      </c>
    </row>
    <row r="28" spans="1:18" x14ac:dyDescent="0.2">
      <c r="B28" t="s">
        <v>107</v>
      </c>
      <c r="D28">
        <v>0.76900000000000002</v>
      </c>
      <c r="E28" s="171">
        <v>0.77418858633854859</v>
      </c>
      <c r="F28" t="s">
        <v>109</v>
      </c>
      <c r="G28" t="s">
        <v>111</v>
      </c>
      <c r="H28">
        <v>0.76900000000000002</v>
      </c>
      <c r="I28">
        <v>0.21299999999999999</v>
      </c>
      <c r="J28" s="171">
        <v>0.21793959743833019</v>
      </c>
      <c r="K28" t="s">
        <v>109</v>
      </c>
      <c r="L28" t="s">
        <v>111</v>
      </c>
      <c r="M28">
        <v>0.21299999999999999</v>
      </c>
      <c r="N28">
        <v>0.47700000000000004</v>
      </c>
      <c r="O28" s="171">
        <v>0.48278567469627792</v>
      </c>
      <c r="P28" t="s">
        <v>109</v>
      </c>
      <c r="Q28" t="s">
        <v>111</v>
      </c>
      <c r="R28">
        <v>0.47700000000000004</v>
      </c>
    </row>
    <row r="29" spans="1:18" x14ac:dyDescent="0.2">
      <c r="G29" t="s">
        <v>112</v>
      </c>
      <c r="H29">
        <v>0.01</v>
      </c>
      <c r="L29" t="s">
        <v>112</v>
      </c>
      <c r="M29">
        <v>0.01</v>
      </c>
      <c r="Q29" t="s">
        <v>112</v>
      </c>
      <c r="R29">
        <v>0.01</v>
      </c>
    </row>
    <row r="31" spans="1:18" x14ac:dyDescent="0.2">
      <c r="A31" s="475" t="s">
        <v>267</v>
      </c>
    </row>
    <row r="32" spans="1:18" x14ac:dyDescent="0.2">
      <c r="D32" t="s">
        <v>6</v>
      </c>
      <c r="I32" t="s">
        <v>7</v>
      </c>
      <c r="N32" t="s">
        <v>8</v>
      </c>
    </row>
    <row r="33" spans="1:32" x14ac:dyDescent="0.2">
      <c r="B33" t="s">
        <v>106</v>
      </c>
      <c r="D33">
        <v>0.42799999999999999</v>
      </c>
      <c r="E33" s="171">
        <v>0.43051205897455336</v>
      </c>
      <c r="F33" t="s">
        <v>109</v>
      </c>
      <c r="G33" t="s">
        <v>111</v>
      </c>
      <c r="H33">
        <v>0.42799999999999999</v>
      </c>
      <c r="I33">
        <v>0.11899999999999999</v>
      </c>
      <c r="J33" s="171">
        <v>0.12398291893295681</v>
      </c>
      <c r="K33" t="s">
        <v>109</v>
      </c>
      <c r="L33" t="s">
        <v>111</v>
      </c>
      <c r="M33">
        <v>0.11899999999999999</v>
      </c>
      <c r="N33">
        <v>0.22700000000000001</v>
      </c>
      <c r="O33" s="171">
        <v>0.2294455892113656</v>
      </c>
      <c r="P33" t="s">
        <v>109</v>
      </c>
      <c r="Q33" t="s">
        <v>111</v>
      </c>
      <c r="R33">
        <v>0.22700000000000001</v>
      </c>
    </row>
    <row r="34" spans="1:32" x14ac:dyDescent="0.2">
      <c r="G34" t="s">
        <v>112</v>
      </c>
      <c r="H34">
        <v>5.0000000000000001E-3</v>
      </c>
      <c r="L34" t="s">
        <v>112</v>
      </c>
      <c r="M34">
        <v>0.01</v>
      </c>
      <c r="Q34" t="s">
        <v>112</v>
      </c>
      <c r="R34">
        <v>5.0000000000000001E-3</v>
      </c>
    </row>
    <row r="36" spans="1:32" x14ac:dyDescent="0.2">
      <c r="D36" t="s">
        <v>6</v>
      </c>
      <c r="I36" t="s">
        <v>7</v>
      </c>
      <c r="N36" t="s">
        <v>8</v>
      </c>
    </row>
    <row r="37" spans="1:32" x14ac:dyDescent="0.2">
      <c r="B37" t="s">
        <v>107</v>
      </c>
      <c r="D37">
        <v>0.91600000000000004</v>
      </c>
      <c r="E37" s="171">
        <v>0.92109021695042526</v>
      </c>
      <c r="F37" t="s">
        <v>109</v>
      </c>
      <c r="G37" t="s">
        <v>111</v>
      </c>
      <c r="H37">
        <v>0.91600000000000004</v>
      </c>
      <c r="I37">
        <v>0.254</v>
      </c>
      <c r="J37" s="171">
        <v>0.25931501276226809</v>
      </c>
      <c r="K37" t="s">
        <v>109</v>
      </c>
      <c r="L37" t="s">
        <v>111</v>
      </c>
      <c r="M37">
        <v>0.254</v>
      </c>
      <c r="N37">
        <v>0.53500000000000003</v>
      </c>
      <c r="O37" s="171">
        <v>0.5396253024872415</v>
      </c>
      <c r="P37" t="s">
        <v>109</v>
      </c>
      <c r="Q37" t="s">
        <v>111</v>
      </c>
      <c r="R37">
        <v>0.53500000000000003</v>
      </c>
    </row>
    <row r="38" spans="1:32" x14ac:dyDescent="0.2">
      <c r="G38" t="s">
        <v>112</v>
      </c>
      <c r="H38">
        <v>0.01</v>
      </c>
      <c r="L38" t="s">
        <v>112</v>
      </c>
      <c r="M38">
        <v>0.01</v>
      </c>
      <c r="Q38" t="s">
        <v>112</v>
      </c>
      <c r="R38">
        <v>0.01</v>
      </c>
    </row>
    <row r="40" spans="1:32" x14ac:dyDescent="0.2">
      <c r="A40" s="194" t="s">
        <v>3</v>
      </c>
      <c r="B40" s="194"/>
      <c r="D40" s="507">
        <v>0.02</v>
      </c>
      <c r="E40" s="508">
        <f>0.016318326471106</f>
        <v>1.6318326471105999E-2</v>
      </c>
      <c r="F40" t="s">
        <v>265</v>
      </c>
      <c r="G40" t="s">
        <v>110</v>
      </c>
      <c r="H40" s="506">
        <v>0.02</v>
      </c>
    </row>
    <row r="41" spans="1:32" x14ac:dyDescent="0.2">
      <c r="A41" s="194"/>
      <c r="B41" s="194"/>
      <c r="D41" s="8"/>
      <c r="E41" s="8"/>
      <c r="G41" t="s">
        <v>266</v>
      </c>
      <c r="H41" s="506">
        <v>5.0000000000000001E-3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32" x14ac:dyDescent="0.2">
      <c r="A42" s="475" t="s">
        <v>99</v>
      </c>
      <c r="B42" s="4"/>
      <c r="C42" s="4"/>
      <c r="L42" s="4"/>
      <c r="Y42" s="8"/>
      <c r="Z42" s="8"/>
    </row>
    <row r="43" spans="1:32" x14ac:dyDescent="0.2">
      <c r="A43" s="216" t="s">
        <v>271</v>
      </c>
      <c r="B43" s="11"/>
      <c r="C43" s="11"/>
      <c r="D43" s="12">
        <v>3.2229999999999999</v>
      </c>
      <c r="E43" s="509">
        <v>3.1837123806514342</v>
      </c>
      <c r="F43" t="s">
        <v>265</v>
      </c>
      <c r="G43" t="s">
        <v>110</v>
      </c>
      <c r="H43">
        <v>3.2229999999999999</v>
      </c>
      <c r="I43" s="216" t="s">
        <v>272</v>
      </c>
      <c r="J43" s="11"/>
      <c r="K43" s="11"/>
      <c r="L43" s="12">
        <v>2.0459999999999998</v>
      </c>
      <c r="M43" s="509">
        <v>2.0562188694596246</v>
      </c>
      <c r="N43" t="s">
        <v>265</v>
      </c>
      <c r="O43" t="s">
        <v>110</v>
      </c>
      <c r="P43">
        <v>2.0459999999999998</v>
      </c>
      <c r="Y43" s="8"/>
      <c r="Z43" s="8"/>
    </row>
    <row r="44" spans="1:32" x14ac:dyDescent="0.2">
      <c r="A44" s="194"/>
      <c r="G44" t="s">
        <v>266</v>
      </c>
      <c r="H44">
        <v>0.05</v>
      </c>
      <c r="I44" s="194"/>
      <c r="O44" t="s">
        <v>266</v>
      </c>
      <c r="P44">
        <v>0.15</v>
      </c>
      <c r="Y44" s="8"/>
      <c r="Z44" s="8"/>
    </row>
    <row r="45" spans="1:32" x14ac:dyDescent="0.2">
      <c r="A45" s="474" t="s">
        <v>5</v>
      </c>
      <c r="H45" s="13"/>
      <c r="L45" s="322" t="s">
        <v>221</v>
      </c>
      <c r="M45" s="322" t="s">
        <v>222</v>
      </c>
      <c r="N45" s="322" t="s">
        <v>223</v>
      </c>
      <c r="O45" s="322" t="s">
        <v>224</v>
      </c>
      <c r="P45" s="322" t="s">
        <v>225</v>
      </c>
      <c r="Q45" s="322" t="s">
        <v>226</v>
      </c>
      <c r="R45" s="322" t="s">
        <v>227</v>
      </c>
      <c r="S45" s="322" t="s">
        <v>228</v>
      </c>
      <c r="T45" s="322" t="s">
        <v>229</v>
      </c>
      <c r="U45" s="322" t="s">
        <v>230</v>
      </c>
      <c r="V45" s="322" t="s">
        <v>231</v>
      </c>
      <c r="W45" s="322" t="s">
        <v>232</v>
      </c>
      <c r="X45" s="322" t="s">
        <v>233</v>
      </c>
      <c r="Y45" s="322" t="s">
        <v>234</v>
      </c>
      <c r="Z45" s="322" t="s">
        <v>235</v>
      </c>
      <c r="AA45" s="322" t="s">
        <v>236</v>
      </c>
      <c r="AB45" s="322" t="s">
        <v>237</v>
      </c>
      <c r="AC45" s="322" t="s">
        <v>238</v>
      </c>
      <c r="AD45" s="322" t="s">
        <v>239</v>
      </c>
      <c r="AE45" s="322" t="s">
        <v>240</v>
      </c>
      <c r="AF45" s="322" t="s">
        <v>241</v>
      </c>
    </row>
    <row r="46" spans="1:32" x14ac:dyDescent="0.2">
      <c r="A46" s="216" t="s">
        <v>100</v>
      </c>
      <c r="D46" s="10">
        <v>0.66666666666666663</v>
      </c>
      <c r="E46" s="510">
        <v>0.66818530547428878</v>
      </c>
      <c r="F46" t="s">
        <v>265</v>
      </c>
      <c r="G46" t="s">
        <v>110</v>
      </c>
      <c r="H46">
        <v>0.66666666666666663</v>
      </c>
      <c r="J46" s="5" t="s">
        <v>242</v>
      </c>
      <c r="L46" s="521">
        <f>Elba!E201</f>
        <v>0</v>
      </c>
      <c r="M46" s="521">
        <f>Elba!F201</f>
        <v>0</v>
      </c>
      <c r="N46" s="521">
        <f>Elba!G201</f>
        <v>-16674.442864086865</v>
      </c>
      <c r="O46" s="521">
        <f>Elba!H201</f>
        <v>-16654.83280741829</v>
      </c>
      <c r="P46" s="521">
        <f>Elba!I201</f>
        <v>-16636.320799465466</v>
      </c>
      <c r="Q46" s="521">
        <f>Elba!J201</f>
        <v>-16543.684279312572</v>
      </c>
      <c r="R46" s="521">
        <f>Elba!K201</f>
        <v>-16548.658471186689</v>
      </c>
      <c r="S46" s="521">
        <f>Elba!L201</f>
        <v>0</v>
      </c>
      <c r="T46" s="521">
        <f>Elba!M201</f>
        <v>0</v>
      </c>
      <c r="U46" s="521">
        <f>Elba!N201</f>
        <v>0</v>
      </c>
      <c r="V46" s="521">
        <f>Elba!O201</f>
        <v>0</v>
      </c>
      <c r="W46" s="521">
        <f>Elba!P201</f>
        <v>0</v>
      </c>
      <c r="X46" s="521">
        <f>Elba!Q201</f>
        <v>0</v>
      </c>
      <c r="Y46" s="521">
        <f>Elba!R201</f>
        <v>0</v>
      </c>
      <c r="Z46" s="521">
        <f>Elba!S201</f>
        <v>0</v>
      </c>
      <c r="AA46" s="521">
        <f>Elba!T201</f>
        <v>0</v>
      </c>
      <c r="AB46" s="521">
        <f>Elba!U201</f>
        <v>0</v>
      </c>
      <c r="AC46" s="521">
        <f>Elba!V201</f>
        <v>0</v>
      </c>
      <c r="AD46" s="521">
        <f>Elba!W201</f>
        <v>0</v>
      </c>
      <c r="AE46" s="521">
        <f>Elba!X201</f>
        <v>0</v>
      </c>
      <c r="AF46" s="521">
        <f>Elba!Y201</f>
        <v>0</v>
      </c>
    </row>
    <row r="47" spans="1:32" x14ac:dyDescent="0.2">
      <c r="A47" s="476" t="s">
        <v>98</v>
      </c>
      <c r="B47" s="10"/>
      <c r="G47" t="s">
        <v>266</v>
      </c>
      <c r="H47">
        <v>0.05</v>
      </c>
      <c r="I47" s="358"/>
      <c r="J47" s="5"/>
      <c r="K47" s="17">
        <f>+NPV('Common Assumpt'!$F$56,RAROC!L46:AF46)</f>
        <v>-38850.198039716386</v>
      </c>
      <c r="L47" s="322" t="s">
        <v>243</v>
      </c>
      <c r="M47" s="322" t="s">
        <v>244</v>
      </c>
      <c r="N47" s="322" t="s">
        <v>245</v>
      </c>
      <c r="O47" s="322" t="s">
        <v>246</v>
      </c>
      <c r="P47" s="322" t="s">
        <v>247</v>
      </c>
      <c r="Q47" s="322" t="s">
        <v>248</v>
      </c>
      <c r="R47" s="322" t="s">
        <v>249</v>
      </c>
      <c r="S47" s="322" t="s">
        <v>250</v>
      </c>
      <c r="T47" s="322" t="s">
        <v>251</v>
      </c>
      <c r="U47" s="322" t="s">
        <v>252</v>
      </c>
      <c r="V47" s="322" t="s">
        <v>253</v>
      </c>
      <c r="W47" s="322" t="s">
        <v>254</v>
      </c>
      <c r="X47" s="322" t="s">
        <v>255</v>
      </c>
      <c r="Y47" s="322" t="s">
        <v>256</v>
      </c>
      <c r="Z47" s="322" t="s">
        <v>257</v>
      </c>
      <c r="AA47" s="322" t="s">
        <v>258</v>
      </c>
      <c r="AB47" s="322" t="s">
        <v>259</v>
      </c>
      <c r="AC47" s="322" t="s">
        <v>260</v>
      </c>
      <c r="AD47" s="322" t="s">
        <v>261</v>
      </c>
      <c r="AE47" s="322" t="s">
        <v>262</v>
      </c>
      <c r="AF47" s="322" t="s">
        <v>263</v>
      </c>
    </row>
    <row r="48" spans="1:32" x14ac:dyDescent="0.2">
      <c r="A48" s="476"/>
      <c r="B48" s="10"/>
      <c r="H48" s="18"/>
      <c r="I48" s="358"/>
      <c r="J48" s="5" t="s">
        <v>264</v>
      </c>
      <c r="L48" s="521">
        <f>L3*L7</f>
        <v>0</v>
      </c>
      <c r="M48" s="521">
        <f t="shared" ref="M48:AF48" si="3">M3*M7</f>
        <v>0</v>
      </c>
      <c r="N48" s="521">
        <f t="shared" si="3"/>
        <v>22108.361467501461</v>
      </c>
      <c r="O48" s="521">
        <f t="shared" si="3"/>
        <v>21265.135328634551</v>
      </c>
      <c r="P48" s="521">
        <f t="shared" si="3"/>
        <v>20371.433012855327</v>
      </c>
      <c r="Q48" s="521">
        <f t="shared" si="3"/>
        <v>19114.921352672645</v>
      </c>
      <c r="R48" s="521">
        <f t="shared" si="3"/>
        <v>18275.393179985596</v>
      </c>
      <c r="S48" s="521">
        <f t="shared" si="3"/>
        <v>21855.147255591746</v>
      </c>
      <c r="T48" s="521">
        <f t="shared" si="3"/>
        <v>21710.103581567342</v>
      </c>
      <c r="U48" s="521">
        <f t="shared" si="3"/>
        <v>21536.530688842333</v>
      </c>
      <c r="V48" s="521">
        <f t="shared" si="3"/>
        <v>23281.59513998104</v>
      </c>
      <c r="W48" s="521">
        <f t="shared" si="3"/>
        <v>23193.935447881988</v>
      </c>
      <c r="X48" s="521">
        <f t="shared" si="3"/>
        <v>23432.5362194031</v>
      </c>
      <c r="Y48" s="521">
        <f t="shared" si="3"/>
        <v>25147.558994059636</v>
      </c>
      <c r="Z48" s="521">
        <f t="shared" si="3"/>
        <v>25193.504754523128</v>
      </c>
      <c r="AA48" s="521">
        <f t="shared" si="3"/>
        <v>25121.590907462039</v>
      </c>
      <c r="AB48" s="521">
        <f t="shared" si="3"/>
        <v>25293.560211139335</v>
      </c>
      <c r="AC48" s="521">
        <f t="shared" si="3"/>
        <v>25324.51661857581</v>
      </c>
      <c r="AD48" s="521">
        <f t="shared" si="3"/>
        <v>25448.152261552568</v>
      </c>
      <c r="AE48" s="521">
        <f t="shared" si="3"/>
        <v>0</v>
      </c>
      <c r="AF48" s="521">
        <f t="shared" si="3"/>
        <v>0</v>
      </c>
    </row>
    <row r="49" spans="1:32" x14ac:dyDescent="0.2">
      <c r="A49" s="326"/>
      <c r="B49" s="216"/>
      <c r="C49" s="194"/>
      <c r="E49" s="219"/>
      <c r="F49" s="219"/>
      <c r="G49" s="219"/>
      <c r="H49" s="220"/>
      <c r="K49" s="17">
        <f>+NPV('Common Assumpt'!$F$56,RAROC!L48:AF48)</f>
        <v>86443.63371380631</v>
      </c>
      <c r="L49" s="322" t="s">
        <v>275</v>
      </c>
      <c r="M49" s="322" t="s">
        <v>281</v>
      </c>
      <c r="N49" s="322" t="s">
        <v>282</v>
      </c>
      <c r="O49" s="322" t="s">
        <v>283</v>
      </c>
      <c r="P49" s="322" t="s">
        <v>284</v>
      </c>
      <c r="Q49" s="322" t="s">
        <v>285</v>
      </c>
      <c r="R49" s="322" t="s">
        <v>286</v>
      </c>
      <c r="S49" s="322" t="s">
        <v>287</v>
      </c>
      <c r="T49" s="322" t="s">
        <v>288</v>
      </c>
      <c r="U49" s="322" t="s">
        <v>289</v>
      </c>
      <c r="V49" s="322" t="s">
        <v>290</v>
      </c>
      <c r="W49" s="322" t="s">
        <v>291</v>
      </c>
      <c r="X49" s="322" t="s">
        <v>292</v>
      </c>
      <c r="Y49" s="322" t="s">
        <v>293</v>
      </c>
      <c r="Z49" s="322" t="s">
        <v>294</v>
      </c>
      <c r="AA49" s="322" t="s">
        <v>295</v>
      </c>
      <c r="AB49" s="322" t="s">
        <v>296</v>
      </c>
      <c r="AC49" s="322" t="s">
        <v>297</v>
      </c>
      <c r="AD49" s="322" t="s">
        <v>298</v>
      </c>
      <c r="AE49" s="322" t="s">
        <v>299</v>
      </c>
      <c r="AF49" s="322" t="s">
        <v>300</v>
      </c>
    </row>
    <row r="50" spans="1:32" x14ac:dyDescent="0.2">
      <c r="A50" s="13" t="s">
        <v>11</v>
      </c>
      <c r="J50" s="5" t="s">
        <v>208</v>
      </c>
      <c r="L50" s="521">
        <f>Elba!E189</f>
        <v>0</v>
      </c>
      <c r="M50" s="521">
        <f>Elba!F189</f>
        <v>0</v>
      </c>
      <c r="N50" s="521">
        <f>Elba!G189</f>
        <v>22286.654705142602</v>
      </c>
      <c r="O50" s="521">
        <f>Elba!H189</f>
        <v>21523.416324528898</v>
      </c>
      <c r="P50" s="521">
        <f>Elba!I189</f>
        <v>20765.986761320415</v>
      </c>
      <c r="Q50" s="521">
        <f>Elba!J189</f>
        <v>19386.329972284631</v>
      </c>
      <c r="R50" s="521">
        <f>Elba!K189</f>
        <v>18648.360387740406</v>
      </c>
      <c r="S50" s="521">
        <f>Elba!L189</f>
        <v>0</v>
      </c>
      <c r="T50" s="521">
        <f>Elba!M189</f>
        <v>0</v>
      </c>
      <c r="U50" s="521">
        <f>Elba!N189</f>
        <v>0</v>
      </c>
      <c r="V50" s="521">
        <f>Elba!O189</f>
        <v>0</v>
      </c>
      <c r="W50" s="521">
        <f>Elba!P189</f>
        <v>0</v>
      </c>
      <c r="X50" s="521">
        <f>Elba!Q189</f>
        <v>0</v>
      </c>
      <c r="Y50" s="521">
        <f>Elba!R189</f>
        <v>0</v>
      </c>
      <c r="Z50" s="521">
        <f>Elba!S189</f>
        <v>0</v>
      </c>
      <c r="AA50" s="521">
        <f>Elba!T189</f>
        <v>0</v>
      </c>
      <c r="AB50" s="521">
        <f>Elba!U189</f>
        <v>0</v>
      </c>
      <c r="AC50" s="521">
        <f>Elba!V189</f>
        <v>0</v>
      </c>
      <c r="AD50" s="521">
        <f>Elba!W189</f>
        <v>0</v>
      </c>
      <c r="AE50" s="521">
        <f>Elba!X189</f>
        <v>0</v>
      </c>
      <c r="AF50" s="521">
        <f>Elba!Y189</f>
        <v>0</v>
      </c>
    </row>
    <row r="51" spans="1:32" x14ac:dyDescent="0.2">
      <c r="A51" s="11" t="s">
        <v>100</v>
      </c>
      <c r="D51" s="10">
        <v>0.5</v>
      </c>
      <c r="E51" s="510">
        <v>0.49882083305603736</v>
      </c>
      <c r="F51" t="s">
        <v>265</v>
      </c>
      <c r="G51" t="s">
        <v>110</v>
      </c>
      <c r="H51" s="535">
        <v>0.5</v>
      </c>
      <c r="J51" s="5"/>
      <c r="K51" s="17">
        <f>+NPV('Common Assumpt'!$F$56,RAROC!L50:AF50)</f>
        <v>48643.788365698056</v>
      </c>
      <c r="L51" s="322" t="s">
        <v>276</v>
      </c>
      <c r="M51" s="322" t="s">
        <v>301</v>
      </c>
      <c r="N51" s="322" t="s">
        <v>302</v>
      </c>
      <c r="O51" s="322" t="s">
        <v>303</v>
      </c>
      <c r="P51" s="322" t="s">
        <v>304</v>
      </c>
      <c r="Q51" s="322" t="s">
        <v>305</v>
      </c>
      <c r="R51" s="322" t="s">
        <v>306</v>
      </c>
      <c r="S51" s="322" t="s">
        <v>307</v>
      </c>
      <c r="T51" s="322" t="s">
        <v>308</v>
      </c>
      <c r="U51" s="322" t="s">
        <v>309</v>
      </c>
      <c r="V51" s="322" t="s">
        <v>310</v>
      </c>
      <c r="W51" s="322" t="s">
        <v>311</v>
      </c>
      <c r="X51" s="322" t="s">
        <v>312</v>
      </c>
      <c r="Y51" s="322" t="s">
        <v>313</v>
      </c>
      <c r="Z51" s="322" t="s">
        <v>314</v>
      </c>
      <c r="AA51" s="322" t="s">
        <v>315</v>
      </c>
      <c r="AB51" s="322" t="s">
        <v>316</v>
      </c>
      <c r="AC51" s="322" t="s">
        <v>317</v>
      </c>
      <c r="AD51" s="322" t="s">
        <v>318</v>
      </c>
      <c r="AE51" s="322" t="s">
        <v>319</v>
      </c>
      <c r="AF51" s="322" t="s">
        <v>320</v>
      </c>
    </row>
    <row r="52" spans="1:32" x14ac:dyDescent="0.2">
      <c r="E52" s="358"/>
      <c r="G52" t="s">
        <v>266</v>
      </c>
      <c r="H52" s="536">
        <v>0.05</v>
      </c>
      <c r="J52" s="5" t="s">
        <v>209</v>
      </c>
      <c r="L52" s="521">
        <f>Elba!E190</f>
        <v>0</v>
      </c>
      <c r="M52" s="521">
        <f>Elba!F190</f>
        <v>0</v>
      </c>
      <c r="N52" s="521">
        <f>Elba!G190</f>
        <v>-16674.442864086865</v>
      </c>
      <c r="O52" s="521">
        <f>Elba!H190</f>
        <v>-16654.83280741829</v>
      </c>
      <c r="P52" s="521">
        <f>Elba!I190</f>
        <v>-16636.320799465466</v>
      </c>
      <c r="Q52" s="521">
        <f>Elba!J190</f>
        <v>-16543.684279312572</v>
      </c>
      <c r="R52" s="521">
        <f>Elba!K190</f>
        <v>-16548.658471186689</v>
      </c>
      <c r="S52" s="521">
        <f>Elba!L190</f>
        <v>0</v>
      </c>
      <c r="T52" s="521">
        <f>Elba!M190</f>
        <v>0</v>
      </c>
      <c r="U52" s="521">
        <f>Elba!N190</f>
        <v>0</v>
      </c>
      <c r="V52" s="521">
        <f>Elba!O190</f>
        <v>0</v>
      </c>
      <c r="W52" s="521">
        <f>Elba!P190</f>
        <v>0</v>
      </c>
      <c r="X52" s="521">
        <f>Elba!Q190</f>
        <v>0</v>
      </c>
      <c r="Y52" s="521">
        <f>Elba!R190</f>
        <v>0</v>
      </c>
      <c r="Z52" s="521">
        <f>Elba!S190</f>
        <v>0</v>
      </c>
      <c r="AA52" s="521">
        <f>Elba!T190</f>
        <v>0</v>
      </c>
      <c r="AB52" s="521">
        <f>Elba!U190</f>
        <v>0</v>
      </c>
      <c r="AC52" s="521">
        <f>Elba!V190</f>
        <v>0</v>
      </c>
      <c r="AD52" s="521">
        <f>Elba!W190</f>
        <v>0</v>
      </c>
      <c r="AE52" s="521">
        <f>Elba!X190</f>
        <v>0</v>
      </c>
      <c r="AF52" s="521">
        <f>Elba!Y190</f>
        <v>0</v>
      </c>
    </row>
    <row r="53" spans="1:32" x14ac:dyDescent="0.2">
      <c r="E53" s="358"/>
      <c r="H53" s="536"/>
      <c r="J53" s="639">
        <f>+K53+K49</f>
        <v>47593.435674089924</v>
      </c>
      <c r="K53" s="17">
        <f>+NPV('Common Assumpt'!$F$56,RAROC!L52:AF52)</f>
        <v>-38850.198039716386</v>
      </c>
      <c r="L53" s="322" t="s">
        <v>277</v>
      </c>
      <c r="M53" s="322" t="s">
        <v>321</v>
      </c>
      <c r="N53" s="322" t="s">
        <v>322</v>
      </c>
      <c r="O53" s="322" t="s">
        <v>323</v>
      </c>
      <c r="P53" s="322" t="s">
        <v>324</v>
      </c>
      <c r="Q53" s="322" t="s">
        <v>325</v>
      </c>
      <c r="R53" s="322" t="s">
        <v>326</v>
      </c>
      <c r="S53" s="322" t="s">
        <v>327</v>
      </c>
      <c r="T53" s="322" t="s">
        <v>328</v>
      </c>
      <c r="U53" s="322" t="s">
        <v>329</v>
      </c>
      <c r="V53" s="322" t="s">
        <v>330</v>
      </c>
      <c r="W53" s="322" t="s">
        <v>331</v>
      </c>
      <c r="X53" s="322" t="s">
        <v>332</v>
      </c>
      <c r="Y53" s="322" t="s">
        <v>333</v>
      </c>
      <c r="Z53" s="322" t="s">
        <v>334</v>
      </c>
      <c r="AA53" s="322" t="s">
        <v>335</v>
      </c>
      <c r="AB53" s="322" t="s">
        <v>336</v>
      </c>
      <c r="AC53" s="322" t="s">
        <v>337</v>
      </c>
      <c r="AD53" s="322" t="s">
        <v>338</v>
      </c>
      <c r="AE53" s="322" t="s">
        <v>339</v>
      </c>
      <c r="AF53" s="322" t="s">
        <v>340</v>
      </c>
    </row>
    <row r="54" spans="1:32" x14ac:dyDescent="0.2">
      <c r="A54" s="4" t="s">
        <v>158</v>
      </c>
      <c r="D54" s="215" t="s">
        <v>151</v>
      </c>
      <c r="E54" s="215"/>
      <c r="H54" s="536"/>
      <c r="J54" s="5" t="s">
        <v>146</v>
      </c>
      <c r="L54" s="521">
        <f>Elba!E192</f>
        <v>0</v>
      </c>
      <c r="M54" s="521">
        <f>Elba!F192</f>
        <v>0</v>
      </c>
      <c r="N54" s="521">
        <f>Elba!G192</f>
        <v>0</v>
      </c>
      <c r="O54" s="521">
        <f>Elba!H192</f>
        <v>0</v>
      </c>
      <c r="P54" s="521">
        <f>Elba!I192</f>
        <v>0</v>
      </c>
      <c r="Q54" s="521">
        <f>Elba!J192</f>
        <v>0</v>
      </c>
      <c r="R54" s="521">
        <f>Elba!K192</f>
        <v>0</v>
      </c>
      <c r="S54" s="521">
        <f>Elba!L192</f>
        <v>0</v>
      </c>
      <c r="T54" s="521">
        <f>Elba!M192</f>
        <v>0</v>
      </c>
      <c r="U54" s="521">
        <f>Elba!N192</f>
        <v>0</v>
      </c>
      <c r="V54" s="521">
        <f>Elba!O192</f>
        <v>0</v>
      </c>
      <c r="W54" s="521">
        <f>Elba!P192</f>
        <v>0</v>
      </c>
      <c r="X54" s="521">
        <f>Elba!Q192</f>
        <v>0</v>
      </c>
      <c r="Y54" s="521">
        <f>Elba!R192</f>
        <v>0</v>
      </c>
      <c r="Z54" s="521">
        <f>Elba!S192</f>
        <v>0</v>
      </c>
      <c r="AA54" s="521">
        <f>Elba!T192</f>
        <v>0</v>
      </c>
      <c r="AB54" s="521">
        <f>Elba!U192</f>
        <v>0</v>
      </c>
      <c r="AC54" s="521">
        <f>Elba!V192</f>
        <v>0</v>
      </c>
      <c r="AD54" s="521">
        <f>Elba!W192</f>
        <v>0</v>
      </c>
      <c r="AE54" s="521">
        <f>Elba!X192</f>
        <v>0</v>
      </c>
      <c r="AF54" s="521">
        <f>Elba!Y192</f>
        <v>0</v>
      </c>
    </row>
    <row r="55" spans="1:32" x14ac:dyDescent="0.2">
      <c r="A55" s="456" t="s">
        <v>160</v>
      </c>
      <c r="D55" s="450">
        <v>0.25</v>
      </c>
      <c r="E55" s="514">
        <v>0.25069688731424139</v>
      </c>
      <c r="F55" t="s">
        <v>265</v>
      </c>
      <c r="G55" t="s">
        <v>110</v>
      </c>
      <c r="H55" s="535">
        <v>0.25</v>
      </c>
      <c r="J55" s="5"/>
      <c r="K55" s="17">
        <f>+NPV('Common Assumpt'!$F$56,RAROC!L54:AF54)</f>
        <v>0</v>
      </c>
      <c r="L55" s="322" t="s">
        <v>278</v>
      </c>
      <c r="M55" s="322" t="s">
        <v>341</v>
      </c>
      <c r="N55" s="322" t="s">
        <v>342</v>
      </c>
      <c r="O55" s="322" t="s">
        <v>343</v>
      </c>
      <c r="P55" s="322" t="s">
        <v>344</v>
      </c>
      <c r="Q55" s="322" t="s">
        <v>345</v>
      </c>
      <c r="R55" s="322" t="s">
        <v>346</v>
      </c>
      <c r="S55" s="322" t="s">
        <v>347</v>
      </c>
      <c r="T55" s="322" t="s">
        <v>348</v>
      </c>
      <c r="U55" s="322" t="s">
        <v>349</v>
      </c>
      <c r="V55" s="322" t="s">
        <v>350</v>
      </c>
      <c r="W55" s="322" t="s">
        <v>351</v>
      </c>
      <c r="X55" s="322" t="s">
        <v>352</v>
      </c>
      <c r="Y55" s="322" t="s">
        <v>353</v>
      </c>
      <c r="Z55" s="322" t="s">
        <v>354</v>
      </c>
      <c r="AA55" s="322" t="s">
        <v>355</v>
      </c>
      <c r="AB55" s="322" t="s">
        <v>356</v>
      </c>
      <c r="AC55" s="322" t="s">
        <v>357</v>
      </c>
      <c r="AD55" s="322" t="s">
        <v>358</v>
      </c>
      <c r="AE55" s="322" t="s">
        <v>359</v>
      </c>
      <c r="AF55" s="322" t="s">
        <v>360</v>
      </c>
    </row>
    <row r="56" spans="1:32" x14ac:dyDescent="0.2">
      <c r="E56" s="358"/>
      <c r="G56" t="s">
        <v>266</v>
      </c>
      <c r="H56" s="536">
        <v>0.02</v>
      </c>
      <c r="J56" s="5" t="s">
        <v>205</v>
      </c>
      <c r="L56" s="521">
        <f>Elba!E194</f>
        <v>0</v>
      </c>
      <c r="M56" s="521">
        <f>Elba!F194</f>
        <v>0</v>
      </c>
      <c r="N56" s="521">
        <f>Elba!G194</f>
        <v>0</v>
      </c>
      <c r="O56" s="521">
        <f>Elba!H194</f>
        <v>0</v>
      </c>
      <c r="P56" s="521">
        <f>Elba!I194</f>
        <v>0</v>
      </c>
      <c r="Q56" s="521">
        <f>Elba!J194</f>
        <v>0</v>
      </c>
      <c r="R56" s="521">
        <f>Elba!K194</f>
        <v>-63729.966698555436</v>
      </c>
      <c r="S56" s="521">
        <f>Elba!L194</f>
        <v>0</v>
      </c>
      <c r="T56" s="521">
        <f>Elba!M194</f>
        <v>0</v>
      </c>
      <c r="U56" s="521">
        <f>Elba!N194</f>
        <v>0</v>
      </c>
      <c r="V56" s="521">
        <f>Elba!O194</f>
        <v>0</v>
      </c>
      <c r="W56" s="521">
        <f>Elba!P194</f>
        <v>0</v>
      </c>
      <c r="X56" s="521">
        <f>Elba!Q194</f>
        <v>0</v>
      </c>
      <c r="Y56" s="521">
        <f>Elba!R194</f>
        <v>0</v>
      </c>
      <c r="Z56" s="521">
        <f>Elba!S194</f>
        <v>0</v>
      </c>
      <c r="AA56" s="521">
        <f>Elba!T194</f>
        <v>0</v>
      </c>
      <c r="AB56" s="521">
        <f>Elba!U194</f>
        <v>0</v>
      </c>
      <c r="AC56" s="521">
        <f>Elba!V194</f>
        <v>0</v>
      </c>
      <c r="AD56" s="521">
        <f>Elba!W194</f>
        <v>0</v>
      </c>
      <c r="AE56" s="521">
        <f>Elba!X194</f>
        <v>0</v>
      </c>
      <c r="AF56" s="521">
        <f>Elba!Y194</f>
        <v>0</v>
      </c>
    </row>
    <row r="57" spans="1:32" x14ac:dyDescent="0.2">
      <c r="E57" s="358"/>
      <c r="H57" s="536"/>
      <c r="J57" s="5"/>
      <c r="K57" s="17">
        <f>+NPV('Common Assumpt'!$F$56,RAROC!L56:AF56)</f>
        <v>-21234.530315739044</v>
      </c>
      <c r="L57" s="322" t="s">
        <v>279</v>
      </c>
      <c r="M57" s="322" t="s">
        <v>361</v>
      </c>
      <c r="N57" s="322" t="s">
        <v>362</v>
      </c>
      <c r="O57" s="322" t="s">
        <v>363</v>
      </c>
      <c r="P57" s="322" t="s">
        <v>364</v>
      </c>
      <c r="Q57" s="322" t="s">
        <v>365</v>
      </c>
      <c r="R57" s="322" t="s">
        <v>366</v>
      </c>
      <c r="S57" s="322" t="s">
        <v>367</v>
      </c>
      <c r="T57" s="322" t="s">
        <v>368</v>
      </c>
      <c r="U57" s="322" t="s">
        <v>369</v>
      </c>
      <c r="V57" s="322" t="s">
        <v>370</v>
      </c>
      <c r="W57" s="322" t="s">
        <v>371</v>
      </c>
      <c r="X57" s="322" t="s">
        <v>372</v>
      </c>
      <c r="Y57" s="322" t="s">
        <v>373</v>
      </c>
      <c r="Z57" s="322" t="s">
        <v>374</v>
      </c>
      <c r="AA57" s="322" t="s">
        <v>375</v>
      </c>
      <c r="AB57" s="322" t="s">
        <v>376</v>
      </c>
      <c r="AC57" s="322" t="s">
        <v>377</v>
      </c>
      <c r="AD57" s="322" t="s">
        <v>378</v>
      </c>
      <c r="AE57" s="322" t="s">
        <v>379</v>
      </c>
      <c r="AF57" s="322" t="s">
        <v>380</v>
      </c>
    </row>
    <row r="58" spans="1:32" x14ac:dyDescent="0.2">
      <c r="A58" s="326" t="s">
        <v>81</v>
      </c>
      <c r="D58" s="516">
        <v>1.35E-2</v>
      </c>
      <c r="E58" s="515">
        <v>1.351960472978688E-2</v>
      </c>
      <c r="F58" t="s">
        <v>265</v>
      </c>
      <c r="G58" t="s">
        <v>110</v>
      </c>
      <c r="H58" s="539">
        <v>1.35E-2</v>
      </c>
      <c r="J58" s="5" t="s">
        <v>206</v>
      </c>
      <c r="L58" s="521">
        <f>Elba!E196</f>
        <v>0</v>
      </c>
      <c r="M58" s="521">
        <f>Elba!F196</f>
        <v>0</v>
      </c>
      <c r="N58" s="521">
        <f>Elba!G196</f>
        <v>0</v>
      </c>
      <c r="O58" s="521">
        <f>Elba!H196</f>
        <v>0</v>
      </c>
      <c r="P58" s="521">
        <f>Elba!I196</f>
        <v>0</v>
      </c>
      <c r="Q58" s="521">
        <f>Elba!J196</f>
        <v>0</v>
      </c>
      <c r="R58" s="521">
        <f>Elba!K196</f>
        <v>0</v>
      </c>
      <c r="S58" s="521">
        <f>Elba!L196</f>
        <v>22187.966756945934</v>
      </c>
      <c r="T58" s="521">
        <f>Elba!M196</f>
        <v>22243.958587671459</v>
      </c>
      <c r="U58" s="521">
        <f>Elba!N196</f>
        <v>22271.489854025163</v>
      </c>
      <c r="V58" s="521">
        <f>Elba!O196</f>
        <v>23780.996057181859</v>
      </c>
      <c r="W58" s="521">
        <f>Elba!P196</f>
        <v>23837.549278398754</v>
      </c>
      <c r="X58" s="521">
        <f>Elba!Q196</f>
        <v>23910.75124428888</v>
      </c>
      <c r="Y58" s="521">
        <f>Elba!R196</f>
        <v>25452.994933258742</v>
      </c>
      <c r="Z58" s="521">
        <f>Elba!S196</f>
        <v>25525.334097794457</v>
      </c>
      <c r="AA58" s="521">
        <f>Elba!T196</f>
        <v>25608.145675292599</v>
      </c>
      <c r="AB58" s="521">
        <f>Elba!U196</f>
        <v>25704.837612946478</v>
      </c>
      <c r="AC58" s="521">
        <f>Elba!V196</f>
        <v>25788.713460871499</v>
      </c>
      <c r="AD58" s="521">
        <f>Elba!W196</f>
        <v>25861.943355236352</v>
      </c>
      <c r="AE58" s="521">
        <f>Elba!X196</f>
        <v>0</v>
      </c>
      <c r="AF58" s="521">
        <f>Elba!Y196</f>
        <v>0</v>
      </c>
    </row>
    <row r="59" spans="1:32" x14ac:dyDescent="0.2">
      <c r="A59" s="326"/>
      <c r="E59" s="451"/>
      <c r="G59" t="s">
        <v>266</v>
      </c>
      <c r="H59" s="536">
        <v>5.0000000000000001E-4</v>
      </c>
      <c r="J59" s="5"/>
      <c r="K59" s="17">
        <f>+NPV('Common Assumpt'!$F$56,RAROC!L58:AF58)</f>
        <v>39267.204084990008</v>
      </c>
      <c r="L59" s="322" t="s">
        <v>280</v>
      </c>
      <c r="M59" s="322" t="s">
        <v>381</v>
      </c>
      <c r="N59" s="322" t="s">
        <v>382</v>
      </c>
      <c r="O59" s="322" t="s">
        <v>383</v>
      </c>
      <c r="P59" s="322" t="s">
        <v>384</v>
      </c>
      <c r="Q59" s="322" t="s">
        <v>385</v>
      </c>
      <c r="R59" s="322" t="s">
        <v>386</v>
      </c>
      <c r="S59" s="322" t="s">
        <v>387</v>
      </c>
      <c r="T59" s="322" t="s">
        <v>388</v>
      </c>
      <c r="U59" s="322" t="s">
        <v>389</v>
      </c>
      <c r="V59" s="322" t="s">
        <v>390</v>
      </c>
      <c r="W59" s="322" t="s">
        <v>391</v>
      </c>
      <c r="X59" s="322" t="s">
        <v>392</v>
      </c>
      <c r="Y59" s="322" t="s">
        <v>393</v>
      </c>
      <c r="Z59" s="322" t="s">
        <v>394</v>
      </c>
      <c r="AA59" s="322" t="s">
        <v>395</v>
      </c>
      <c r="AB59" s="322" t="s">
        <v>396</v>
      </c>
      <c r="AC59" s="322" t="s">
        <v>397</v>
      </c>
      <c r="AD59" s="322" t="s">
        <v>398</v>
      </c>
      <c r="AE59" s="322" t="s">
        <v>399</v>
      </c>
      <c r="AF59" s="322" t="s">
        <v>400</v>
      </c>
    </row>
    <row r="60" spans="1:32" x14ac:dyDescent="0.2">
      <c r="E60" s="358"/>
      <c r="H60" s="536"/>
      <c r="J60" s="5" t="s">
        <v>145</v>
      </c>
      <c r="L60" s="521">
        <f>Elba!E197</f>
        <v>0</v>
      </c>
      <c r="M60" s="521">
        <f>Elba!F197</f>
        <v>0</v>
      </c>
      <c r="N60" s="521">
        <f>Elba!G197</f>
        <v>0</v>
      </c>
      <c r="O60" s="521">
        <f>Elba!H197</f>
        <v>0</v>
      </c>
      <c r="P60" s="521">
        <f>Elba!I197</f>
        <v>0</v>
      </c>
      <c r="Q60" s="521">
        <f>Elba!J197</f>
        <v>0</v>
      </c>
      <c r="R60" s="521">
        <f>Elba!K197</f>
        <v>0</v>
      </c>
      <c r="S60" s="521">
        <f>Elba!L197</f>
        <v>-16331.606107040234</v>
      </c>
      <c r="T60" s="521">
        <f>Elba!M197</f>
        <v>-16506.40955477615</v>
      </c>
      <c r="U60" s="521">
        <f>Elba!N197</f>
        <v>-16637.610634734228</v>
      </c>
      <c r="V60" s="521">
        <f>Elba!O197</f>
        <v>-17085.847043560232</v>
      </c>
      <c r="W60" s="521">
        <f>Elba!P197</f>
        <v>-17256.249227036817</v>
      </c>
      <c r="X60" s="521">
        <f>Elba!Q197</f>
        <v>-17452.489475632279</v>
      </c>
      <c r="Y60" s="521">
        <f>Elba!R197</f>
        <v>-17932.044462121972</v>
      </c>
      <c r="Z60" s="521">
        <f>Elba!S197</f>
        <v>-18125.323470983691</v>
      </c>
      <c r="AA60" s="521">
        <f>Elba!T197</f>
        <v>-18336.999082093171</v>
      </c>
      <c r="AB60" s="521">
        <f>Elba!U197</f>
        <v>-18572.695490722206</v>
      </c>
      <c r="AC60" s="521">
        <f>Elba!V197</f>
        <v>-18791.767664592287</v>
      </c>
      <c r="AD60" s="521">
        <f>Elba!W197</f>
        <v>-18997.108664820913</v>
      </c>
      <c r="AE60" s="521">
        <f>Elba!X197</f>
        <v>0</v>
      </c>
      <c r="AF60" s="521">
        <f>Elba!Y197</f>
        <v>0</v>
      </c>
    </row>
    <row r="61" spans="1:32" x14ac:dyDescent="0.2">
      <c r="A61" s="4" t="s">
        <v>157</v>
      </c>
      <c r="D61" s="256"/>
      <c r="E61" s="360"/>
      <c r="F61" s="358"/>
      <c r="H61" s="536"/>
      <c r="J61" s="639">
        <f>+K61+K59</f>
        <v>10649.287438376479</v>
      </c>
      <c r="K61" s="17">
        <f>+NPV('Common Assumpt'!$F$56,RAROC!L60:AF60)</f>
        <v>-28617.916646613528</v>
      </c>
      <c r="X61" s="8"/>
      <c r="Y61" s="8"/>
    </row>
    <row r="62" spans="1:32" x14ac:dyDescent="0.2">
      <c r="D62" s="215"/>
      <c r="H62" s="536"/>
      <c r="M62" s="194"/>
      <c r="N62" s="194"/>
      <c r="W62" s="8"/>
      <c r="X62" s="8"/>
    </row>
    <row r="63" spans="1:32" x14ac:dyDescent="0.2">
      <c r="A63" s="456" t="s">
        <v>78</v>
      </c>
      <c r="D63" s="221">
        <v>5.8222388509000007</v>
      </c>
      <c r="E63" s="511">
        <f>5.83158812337415</f>
        <v>5.83158812337415</v>
      </c>
      <c r="F63" t="s">
        <v>265</v>
      </c>
      <c r="G63" t="s">
        <v>110</v>
      </c>
      <c r="H63" s="535">
        <v>5.8222388509000007</v>
      </c>
      <c r="K63" s="17">
        <f>+NPV(0.17,L62:AF62)</f>
        <v>0</v>
      </c>
      <c r="M63" s="222"/>
      <c r="N63" s="194"/>
      <c r="W63" s="8"/>
      <c r="X63" s="8"/>
    </row>
    <row r="64" spans="1:32" x14ac:dyDescent="0.2">
      <c r="A64" s="456"/>
      <c r="D64" s="221"/>
      <c r="E64" s="512"/>
      <c r="G64" t="s">
        <v>266</v>
      </c>
      <c r="H64" s="536">
        <v>0.5</v>
      </c>
      <c r="J64" s="17">
        <f>+J53+K55*'Common Assumpt'!G59+RAROC!K57*'Common Assumpt'!G60+RAROC!J61*'Common Assumpt'!G61</f>
        <v>49736.102073968003</v>
      </c>
      <c r="K64" s="450"/>
      <c r="M64" s="222"/>
      <c r="N64" s="194"/>
      <c r="W64" s="8"/>
      <c r="X64" s="8"/>
    </row>
    <row r="65" spans="1:32" x14ac:dyDescent="0.2">
      <c r="A65" s="456"/>
      <c r="D65" s="221"/>
      <c r="E65" s="512"/>
      <c r="G65" s="456"/>
      <c r="H65" s="536"/>
      <c r="K65" s="450"/>
      <c r="M65" s="222"/>
      <c r="N65" s="194"/>
      <c r="W65" s="8"/>
      <c r="X65" s="8"/>
    </row>
    <row r="66" spans="1:32" x14ac:dyDescent="0.2">
      <c r="A66" s="326" t="s">
        <v>79</v>
      </c>
      <c r="D66" s="221">
        <v>5.5884170634999997</v>
      </c>
      <c r="E66" s="511">
        <f>5.57121260452608</f>
        <v>5.5712126045260799</v>
      </c>
      <c r="F66" t="s">
        <v>265</v>
      </c>
      <c r="G66" t="s">
        <v>110</v>
      </c>
      <c r="H66" s="535">
        <v>5.5884170634999997</v>
      </c>
      <c r="J66" t="s">
        <v>464</v>
      </c>
      <c r="L66" s="640">
        <f>+L48</f>
        <v>0</v>
      </c>
      <c r="M66" s="640">
        <f t="shared" ref="M66:R66" si="4">+M48</f>
        <v>0</v>
      </c>
      <c r="N66" s="640">
        <f t="shared" si="4"/>
        <v>22108.361467501461</v>
      </c>
      <c r="O66" s="640">
        <f t="shared" si="4"/>
        <v>21265.135328634551</v>
      </c>
      <c r="P66" s="640">
        <f t="shared" si="4"/>
        <v>20371.433012855327</v>
      </c>
      <c r="Q66" s="640">
        <f t="shared" si="4"/>
        <v>19114.921352672645</v>
      </c>
      <c r="R66" s="640">
        <f t="shared" si="4"/>
        <v>18275.393179985596</v>
      </c>
      <c r="S66" s="640">
        <v>0</v>
      </c>
      <c r="T66" s="640">
        <v>0</v>
      </c>
      <c r="U66" s="640">
        <v>0</v>
      </c>
      <c r="V66" s="640">
        <v>0</v>
      </c>
      <c r="W66" s="640">
        <v>0</v>
      </c>
      <c r="X66" s="640">
        <v>0</v>
      </c>
      <c r="Y66" s="640">
        <v>0</v>
      </c>
      <c r="Z66" s="640">
        <v>0</v>
      </c>
      <c r="AA66" s="640">
        <v>0</v>
      </c>
      <c r="AB66" s="640">
        <v>0</v>
      </c>
      <c r="AC66" s="640">
        <v>0</v>
      </c>
      <c r="AD66" s="640">
        <v>0</v>
      </c>
      <c r="AE66" s="640">
        <v>0</v>
      </c>
      <c r="AF66" s="640">
        <v>0</v>
      </c>
    </row>
    <row r="67" spans="1:32" x14ac:dyDescent="0.2">
      <c r="A67" s="326"/>
      <c r="D67" s="221"/>
      <c r="E67" s="513"/>
      <c r="G67" t="s">
        <v>266</v>
      </c>
      <c r="H67" s="536">
        <v>0.5</v>
      </c>
      <c r="J67" s="639">
        <f>+K47+K67</f>
        <v>9134.4007435403691</v>
      </c>
      <c r="K67" s="17">
        <f>+NPV('Common Assumpt'!$F$56,RAROC!L66:AF66)</f>
        <v>47984.598783256755</v>
      </c>
      <c r="M67" s="194"/>
      <c r="N67" s="194"/>
      <c r="W67" s="8"/>
      <c r="X67" s="8"/>
    </row>
    <row r="68" spans="1:32" x14ac:dyDescent="0.2">
      <c r="A68" s="326"/>
      <c r="D68" s="221"/>
      <c r="E68" s="513"/>
      <c r="H68" s="536"/>
      <c r="M68" s="194"/>
      <c r="N68" s="194"/>
      <c r="W68" s="8"/>
      <c r="X68" s="8"/>
    </row>
    <row r="69" spans="1:32" x14ac:dyDescent="0.2">
      <c r="A69" s="326" t="s">
        <v>80</v>
      </c>
      <c r="D69" s="450">
        <v>2.6615476190476189E-2</v>
      </c>
      <c r="E69" s="511">
        <v>2.6519669249769236E-2</v>
      </c>
      <c r="F69" t="s">
        <v>265</v>
      </c>
      <c r="G69" t="s">
        <v>110</v>
      </c>
      <c r="H69" s="535">
        <v>2.6615476190476189E-2</v>
      </c>
      <c r="J69" s="11" t="s">
        <v>465</v>
      </c>
      <c r="L69">
        <v>0</v>
      </c>
      <c r="M69" s="640">
        <v>0</v>
      </c>
      <c r="N69" s="640">
        <v>0</v>
      </c>
      <c r="O69" s="640">
        <v>0</v>
      </c>
      <c r="P69" s="640">
        <v>0</v>
      </c>
      <c r="Q69" s="640">
        <v>0</v>
      </c>
      <c r="R69" s="640">
        <v>0</v>
      </c>
      <c r="S69" s="640">
        <f>+S48</f>
        <v>21855.147255591746</v>
      </c>
      <c r="T69" s="640">
        <f t="shared" ref="T69:AF69" si="5">+T48</f>
        <v>21710.103581567342</v>
      </c>
      <c r="U69" s="640">
        <f t="shared" si="5"/>
        <v>21536.530688842333</v>
      </c>
      <c r="V69" s="640">
        <f t="shared" si="5"/>
        <v>23281.59513998104</v>
      </c>
      <c r="W69" s="640">
        <f t="shared" si="5"/>
        <v>23193.935447881988</v>
      </c>
      <c r="X69" s="640">
        <f t="shared" si="5"/>
        <v>23432.5362194031</v>
      </c>
      <c r="Y69" s="640">
        <f t="shared" si="5"/>
        <v>25147.558994059636</v>
      </c>
      <c r="Z69" s="640">
        <f t="shared" si="5"/>
        <v>25193.504754523128</v>
      </c>
      <c r="AA69" s="640">
        <f t="shared" si="5"/>
        <v>25121.590907462039</v>
      </c>
      <c r="AB69" s="640">
        <f t="shared" si="5"/>
        <v>25293.560211139335</v>
      </c>
      <c r="AC69" s="640">
        <f t="shared" si="5"/>
        <v>25324.51661857581</v>
      </c>
      <c r="AD69" s="640">
        <f t="shared" si="5"/>
        <v>25448.152261552568</v>
      </c>
      <c r="AE69" s="640">
        <f t="shared" si="5"/>
        <v>0</v>
      </c>
      <c r="AF69" s="640">
        <f t="shared" si="5"/>
        <v>0</v>
      </c>
    </row>
    <row r="70" spans="1:32" x14ac:dyDescent="0.2">
      <c r="A70" s="326"/>
      <c r="D70" s="450"/>
      <c r="E70" s="469"/>
      <c r="G70" t="s">
        <v>266</v>
      </c>
      <c r="H70" s="536">
        <v>4.0000000000000001E-3</v>
      </c>
      <c r="K70" s="17">
        <f>+NPV('Common Assumpt'!$F$56,RAROC!L69:AF69)</f>
        <v>38459.034930549562</v>
      </c>
      <c r="W70" s="8"/>
      <c r="X70" s="8"/>
    </row>
    <row r="71" spans="1:32" x14ac:dyDescent="0.2">
      <c r="A71" s="326"/>
      <c r="D71" s="450"/>
      <c r="E71" s="469"/>
      <c r="H71" s="536"/>
      <c r="W71" s="8"/>
      <c r="X71" s="8"/>
    </row>
    <row r="72" spans="1:32" x14ac:dyDescent="0.2">
      <c r="A72" s="326" t="s">
        <v>81</v>
      </c>
      <c r="D72" s="451">
        <v>2.5000000000000001E-2</v>
      </c>
      <c r="E72" s="510">
        <f>2.49712316964126%*IF(arb="y",0,1)</f>
        <v>2.4971231696412598E-2</v>
      </c>
      <c r="F72" s="225" t="s">
        <v>265</v>
      </c>
      <c r="G72" t="s">
        <v>110</v>
      </c>
      <c r="H72" s="536">
        <v>2.5000000000000001E-2</v>
      </c>
      <c r="J72" s="17"/>
      <c r="M72" s="194"/>
      <c r="N72" s="194"/>
      <c r="O72" s="226"/>
      <c r="P72" s="226"/>
      <c r="Q72" s="194"/>
      <c r="R72" s="194"/>
      <c r="S72" s="194"/>
      <c r="T72" s="194"/>
      <c r="U72" s="194"/>
      <c r="V72" s="194"/>
      <c r="W72" s="8"/>
      <c r="X72" s="8"/>
    </row>
    <row r="73" spans="1:32" x14ac:dyDescent="0.2">
      <c r="A73" s="326"/>
      <c r="D73" s="451"/>
      <c r="E73" s="194"/>
      <c r="F73" s="225"/>
      <c r="G73" s="326" t="s">
        <v>266</v>
      </c>
      <c r="H73" s="536">
        <v>1E-3</v>
      </c>
      <c r="K73" s="451"/>
      <c r="M73" s="194"/>
      <c r="N73" s="194"/>
      <c r="O73" s="226"/>
      <c r="P73" s="226"/>
      <c r="Q73" s="194"/>
      <c r="R73" s="194"/>
      <c r="S73" s="194"/>
      <c r="T73" s="194"/>
      <c r="U73" s="194"/>
      <c r="V73" s="194"/>
      <c r="W73" s="8"/>
      <c r="X73" s="8"/>
    </row>
    <row r="74" spans="1:32" x14ac:dyDescent="0.2">
      <c r="C74" s="194"/>
      <c r="D74" s="194"/>
      <c r="E74" s="194"/>
      <c r="F74" s="194"/>
      <c r="G74" s="194"/>
      <c r="J74" s="194"/>
      <c r="K74" s="194"/>
      <c r="L74" s="194"/>
      <c r="N74" s="194"/>
      <c r="O74" s="194"/>
      <c r="P74" s="226"/>
      <c r="Q74" s="226"/>
      <c r="R74" s="194"/>
      <c r="S74" s="194"/>
      <c r="T74" s="194"/>
      <c r="U74" s="194"/>
      <c r="V74" s="194"/>
      <c r="W74" s="194"/>
      <c r="X74" s="8"/>
      <c r="Y74" s="8"/>
    </row>
    <row r="75" spans="1:32" x14ac:dyDescent="0.2">
      <c r="A75" s="13" t="s">
        <v>196</v>
      </c>
      <c r="D75" s="194"/>
      <c r="E75" s="194"/>
      <c r="F75" s="194"/>
      <c r="G75" s="194"/>
      <c r="K75" s="194"/>
      <c r="L75" s="194"/>
      <c r="M75" s="194"/>
      <c r="O75" s="194"/>
      <c r="P75" s="194"/>
      <c r="Q75" s="226"/>
      <c r="R75" s="226"/>
      <c r="S75" s="194"/>
      <c r="T75" s="194"/>
      <c r="U75" s="194"/>
      <c r="V75" s="194"/>
      <c r="W75" s="194"/>
      <c r="X75" s="194"/>
      <c r="Y75" s="8"/>
      <c r="Z75" s="8"/>
    </row>
    <row r="76" spans="1:32" x14ac:dyDescent="0.2">
      <c r="D76" s="478">
        <v>0.75</v>
      </c>
      <c r="E76" s="510">
        <f>74.9413010253415%</f>
        <v>0.749413010253415</v>
      </c>
      <c r="F76" s="225" t="s">
        <v>265</v>
      </c>
      <c r="G76" t="s">
        <v>110</v>
      </c>
      <c r="H76" s="358">
        <v>0.75</v>
      </c>
      <c r="Y76" s="8"/>
      <c r="Z76" s="8"/>
    </row>
    <row r="77" spans="1:32" x14ac:dyDescent="0.2">
      <c r="D77" s="478"/>
      <c r="E77" s="194"/>
      <c r="F77" s="225"/>
      <c r="G77" s="326" t="s">
        <v>266</v>
      </c>
      <c r="H77">
        <v>0.05</v>
      </c>
      <c r="Y77" s="8"/>
      <c r="Z77" s="8"/>
    </row>
    <row r="78" spans="1:32" x14ac:dyDescent="0.2">
      <c r="D78" s="478"/>
      <c r="E78" s="194"/>
      <c r="F78" s="225"/>
      <c r="G78" s="326"/>
      <c r="Y78" s="8"/>
      <c r="Z78" s="8"/>
    </row>
    <row r="79" spans="1:32" x14ac:dyDescent="0.2">
      <c r="A79" s="13" t="s">
        <v>153</v>
      </c>
      <c r="B79" s="11"/>
      <c r="Y79" s="8"/>
      <c r="Z79" s="8"/>
    </row>
    <row r="80" spans="1:32" x14ac:dyDescent="0.2">
      <c r="B80" s="11"/>
      <c r="D80" s="449">
        <v>1</v>
      </c>
      <c r="E80" s="517">
        <v>1.0010821615450545</v>
      </c>
      <c r="F80" s="225" t="s">
        <v>265</v>
      </c>
      <c r="G80" t="s">
        <v>110</v>
      </c>
      <c r="H80" s="449">
        <v>1</v>
      </c>
      <c r="Y80" s="8"/>
      <c r="Z80" s="8"/>
    </row>
    <row r="81" spans="1:26" x14ac:dyDescent="0.2">
      <c r="B81" s="11"/>
      <c r="D81" s="449"/>
      <c r="E81" s="194"/>
      <c r="F81" s="225"/>
      <c r="G81" s="326" t="s">
        <v>266</v>
      </c>
      <c r="H81" s="449">
        <v>0.05</v>
      </c>
      <c r="Y81" s="8"/>
      <c r="Z81" s="8"/>
    </row>
    <row r="82" spans="1:26" x14ac:dyDescent="0.2">
      <c r="B82" s="11"/>
      <c r="D82" s="449"/>
      <c r="G82" s="449"/>
      <c r="H82" s="449"/>
      <c r="Y82" s="8"/>
      <c r="Z82" s="8"/>
    </row>
    <row r="83" spans="1:26" x14ac:dyDescent="0.2">
      <c r="A83" s="497" t="s">
        <v>210</v>
      </c>
      <c r="D83" s="224">
        <v>0.5</v>
      </c>
      <c r="E83" s="518">
        <v>0.49920552480310393</v>
      </c>
      <c r="F83" s="225" t="s">
        <v>265</v>
      </c>
      <c r="G83" t="s">
        <v>110</v>
      </c>
      <c r="H83" s="449">
        <v>0.5</v>
      </c>
      <c r="Y83" s="8"/>
      <c r="Z83" s="8"/>
    </row>
    <row r="84" spans="1:26" x14ac:dyDescent="0.2">
      <c r="B84" s="11"/>
      <c r="D84" s="449"/>
      <c r="E84" s="449"/>
      <c r="F84" s="225"/>
      <c r="G84" s="326" t="s">
        <v>266</v>
      </c>
      <c r="H84" s="449">
        <v>0.05</v>
      </c>
      <c r="Y84" s="8"/>
      <c r="Z84" s="8"/>
    </row>
    <row r="85" spans="1:26" x14ac:dyDescent="0.2">
      <c r="B85" s="11"/>
      <c r="D85" s="449"/>
      <c r="E85" s="449"/>
      <c r="F85" s="225"/>
      <c r="G85" s="326"/>
      <c r="H85" s="449"/>
      <c r="Y85" s="8"/>
      <c r="Z85" s="8"/>
    </row>
    <row r="86" spans="1:26" x14ac:dyDescent="0.2">
      <c r="A86" s="3" t="s">
        <v>152</v>
      </c>
      <c r="Y86" s="8"/>
      <c r="Z86" s="8"/>
    </row>
    <row r="87" spans="1:26" x14ac:dyDescent="0.2">
      <c r="A87" t="s">
        <v>140</v>
      </c>
      <c r="D87" s="519">
        <v>3</v>
      </c>
      <c r="E87" s="520">
        <v>2.3889999999999998</v>
      </c>
      <c r="F87" s="225" t="s">
        <v>265</v>
      </c>
      <c r="H87" s="447"/>
      <c r="Y87" s="8"/>
      <c r="Z87" s="8"/>
    </row>
    <row r="88" spans="1:26" x14ac:dyDescent="0.2">
      <c r="D88" s="447"/>
      <c r="E88" s="447"/>
      <c r="F88" s="225"/>
      <c r="H88" s="447"/>
      <c r="Y88" s="8"/>
      <c r="Z88" s="8"/>
    </row>
    <row r="89" spans="1:26" x14ac:dyDescent="0.2">
      <c r="H89" s="447"/>
    </row>
    <row r="90" spans="1:26" x14ac:dyDescent="0.2">
      <c r="A90" s="3" t="s">
        <v>425</v>
      </c>
    </row>
    <row r="91" spans="1:26" x14ac:dyDescent="0.2">
      <c r="A91" t="s">
        <v>426</v>
      </c>
      <c r="D91" s="569">
        <v>1</v>
      </c>
      <c r="E91" s="534">
        <v>1.0302104159033474</v>
      </c>
      <c r="F91" s="225" t="s">
        <v>109</v>
      </c>
      <c r="G91" s="480" t="s">
        <v>111</v>
      </c>
      <c r="H91" s="480">
        <v>1</v>
      </c>
    </row>
    <row r="92" spans="1:26" x14ac:dyDescent="0.2">
      <c r="G92" s="480" t="s">
        <v>266</v>
      </c>
      <c r="H92" s="480">
        <v>0.05</v>
      </c>
    </row>
  </sheetData>
  <pageMargins left="0.75" right="1.64" top="1" bottom="1" header="0.5" footer="0.5"/>
  <pageSetup scale="76" fitToHeight="2" orientation="portrait" r:id="rId1"/>
  <headerFooter alignWithMargins="0">
    <oddFooter>&amp;L&amp;F\&amp;A&amp;CPage &amp;P of &amp;N&amp;R&amp;D,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zoomScale="80" workbookViewId="0"/>
  </sheetViews>
  <sheetFormatPr defaultRowHeight="12.75" x14ac:dyDescent="0.2"/>
  <cols>
    <col min="2" max="2" width="21.5703125" customWidth="1"/>
    <col min="3" max="3" width="11.28515625" customWidth="1"/>
    <col min="5" max="5" width="16.7109375" customWidth="1"/>
  </cols>
  <sheetData>
    <row r="1" spans="1:9" x14ac:dyDescent="0.2">
      <c r="A1" s="5" t="s">
        <v>437</v>
      </c>
    </row>
    <row r="2" spans="1:9" x14ac:dyDescent="0.2">
      <c r="A2" s="570" t="s">
        <v>429</v>
      </c>
    </row>
    <row r="3" spans="1:9" x14ac:dyDescent="0.2">
      <c r="A3" s="11"/>
    </row>
    <row r="5" spans="1:9" x14ac:dyDescent="0.2">
      <c r="B5" s="5" t="s">
        <v>430</v>
      </c>
      <c r="C5" s="256"/>
      <c r="D5" s="256"/>
      <c r="E5" s="256"/>
      <c r="F5" s="571" t="s">
        <v>431</v>
      </c>
    </row>
    <row r="6" spans="1:9" x14ac:dyDescent="0.2">
      <c r="B6" s="256" t="s">
        <v>131</v>
      </c>
      <c r="C6" s="350">
        <v>9134.4007435403655</v>
      </c>
      <c r="D6" s="256"/>
      <c r="E6" s="256"/>
      <c r="F6" s="256"/>
    </row>
    <row r="7" spans="1:9" x14ac:dyDescent="0.2">
      <c r="B7" s="6" t="s">
        <v>412</v>
      </c>
      <c r="C7" s="350">
        <v>0</v>
      </c>
      <c r="D7" s="572">
        <v>0.2</v>
      </c>
      <c r="E7" s="256"/>
      <c r="F7" s="256"/>
    </row>
    <row r="8" spans="1:9" x14ac:dyDescent="0.2">
      <c r="B8" s="6" t="s">
        <v>413</v>
      </c>
      <c r="C8" s="350">
        <v>-21234.530315739044</v>
      </c>
      <c r="D8" s="572">
        <v>0.2</v>
      </c>
      <c r="E8" s="256"/>
      <c r="F8" s="256"/>
    </row>
    <row r="9" spans="1:9" x14ac:dyDescent="0.2">
      <c r="B9" s="340" t="s">
        <v>414</v>
      </c>
      <c r="C9" s="573">
        <v>9841.1182839360335</v>
      </c>
      <c r="D9" s="574">
        <v>0.6</v>
      </c>
      <c r="E9" s="256"/>
      <c r="F9" s="256"/>
    </row>
    <row r="10" spans="1:9" x14ac:dyDescent="0.2">
      <c r="B10" s="256" t="s">
        <v>432</v>
      </c>
      <c r="C10" s="575">
        <v>10792.165650754177</v>
      </c>
      <c r="D10" s="256"/>
      <c r="E10" s="256"/>
      <c r="F10" s="256"/>
    </row>
    <row r="11" spans="1:9" x14ac:dyDescent="0.2">
      <c r="B11" s="256"/>
      <c r="C11" s="256"/>
      <c r="D11" s="256"/>
      <c r="E11" s="256"/>
      <c r="F11" s="256"/>
    </row>
    <row r="12" spans="1:9" x14ac:dyDescent="0.2">
      <c r="A12" s="581"/>
      <c r="B12" s="582" t="s">
        <v>433</v>
      </c>
      <c r="C12" s="583"/>
      <c r="D12" s="583"/>
      <c r="E12" s="583"/>
      <c r="F12" s="583"/>
      <c r="G12" s="581"/>
      <c r="H12" s="581"/>
      <c r="I12" s="581"/>
    </row>
    <row r="13" spans="1:9" x14ac:dyDescent="0.2">
      <c r="A13" s="581"/>
      <c r="B13" s="583" t="s">
        <v>131</v>
      </c>
      <c r="C13" s="584">
        <v>9826.616290959093</v>
      </c>
      <c r="D13" s="583"/>
      <c r="E13" s="583"/>
      <c r="F13" s="583"/>
      <c r="G13" s="581"/>
      <c r="H13" s="581"/>
      <c r="I13" s="581"/>
    </row>
    <row r="14" spans="1:9" x14ac:dyDescent="0.2">
      <c r="A14" s="581"/>
      <c r="B14" s="585" t="s">
        <v>412</v>
      </c>
      <c r="C14" s="584">
        <v>0</v>
      </c>
      <c r="D14" s="586">
        <v>0.2</v>
      </c>
      <c r="E14" s="583"/>
      <c r="F14" s="583"/>
      <c r="G14" s="581"/>
      <c r="H14" s="581"/>
      <c r="I14" s="581"/>
    </row>
    <row r="15" spans="1:9" x14ac:dyDescent="0.2">
      <c r="A15" s="581"/>
      <c r="B15" s="585" t="s">
        <v>413</v>
      </c>
      <c r="C15" s="584">
        <v>-26065.791993792256</v>
      </c>
      <c r="D15" s="586">
        <v>0.2</v>
      </c>
      <c r="E15" s="583"/>
      <c r="F15" s="583"/>
      <c r="G15" s="581"/>
      <c r="H15" s="581"/>
      <c r="I15" s="581"/>
    </row>
    <row r="16" spans="1:9" x14ac:dyDescent="0.2">
      <c r="A16" s="581"/>
      <c r="B16" s="587" t="s">
        <v>414</v>
      </c>
      <c r="C16" s="588">
        <v>12128.402826497806</v>
      </c>
      <c r="D16" s="589">
        <v>0.6</v>
      </c>
      <c r="E16" s="583"/>
      <c r="F16" s="583"/>
      <c r="G16" s="581"/>
      <c r="H16" s="581"/>
      <c r="I16" s="581"/>
    </row>
    <row r="17" spans="1:9" x14ac:dyDescent="0.2">
      <c r="A17" s="581"/>
      <c r="B17" s="583" t="s">
        <v>432</v>
      </c>
      <c r="C17" s="590">
        <v>11890.499588099325</v>
      </c>
      <c r="D17" s="583"/>
      <c r="E17" s="583"/>
      <c r="F17" s="590">
        <f>+C17-$C$10</f>
        <v>1098.3339373451472</v>
      </c>
      <c r="G17" s="581"/>
      <c r="H17" s="581"/>
      <c r="I17" s="581"/>
    </row>
    <row r="18" spans="1:9" x14ac:dyDescent="0.2">
      <c r="B18" s="256"/>
      <c r="C18" s="256"/>
      <c r="D18" s="256"/>
      <c r="E18" s="256"/>
      <c r="F18" s="256"/>
    </row>
    <row r="19" spans="1:9" x14ac:dyDescent="0.2">
      <c r="B19" s="4" t="s">
        <v>434</v>
      </c>
      <c r="C19" s="256"/>
      <c r="D19" s="256"/>
      <c r="E19" s="256"/>
      <c r="F19" s="256"/>
    </row>
    <row r="20" spans="1:9" x14ac:dyDescent="0.2">
      <c r="B20" s="256" t="s">
        <v>131</v>
      </c>
      <c r="C20" s="350">
        <v>10747.17720465453</v>
      </c>
      <c r="D20" s="256"/>
      <c r="E20" s="256"/>
      <c r="F20" s="256"/>
    </row>
    <row r="21" spans="1:9" x14ac:dyDescent="0.2">
      <c r="B21" s="6" t="s">
        <v>412</v>
      </c>
      <c r="C21" s="350">
        <v>0</v>
      </c>
      <c r="D21" s="572">
        <v>0.2</v>
      </c>
      <c r="E21" s="256"/>
      <c r="F21" s="256"/>
    </row>
    <row r="22" spans="1:9" x14ac:dyDescent="0.2">
      <c r="B22" s="6" t="s">
        <v>413</v>
      </c>
      <c r="C22" s="350">
        <v>-21234.530315739044</v>
      </c>
      <c r="D22" s="572">
        <v>0.2</v>
      </c>
      <c r="E22" s="256"/>
      <c r="F22" s="256"/>
    </row>
    <row r="23" spans="1:9" x14ac:dyDescent="0.2">
      <c r="B23" s="340" t="s">
        <v>414</v>
      </c>
      <c r="C23" s="573">
        <v>11581.148067805743</v>
      </c>
      <c r="D23" s="574">
        <v>0.6</v>
      </c>
      <c r="E23" s="256"/>
      <c r="F23" s="256"/>
    </row>
    <row r="24" spans="1:9" x14ac:dyDescent="0.2">
      <c r="B24" s="256" t="s">
        <v>432</v>
      </c>
      <c r="C24" s="575">
        <v>13448.959982190168</v>
      </c>
      <c r="D24" s="256"/>
      <c r="E24" s="256"/>
      <c r="F24" s="575">
        <f>+C24-$C$10</f>
        <v>2656.7943314359909</v>
      </c>
    </row>
    <row r="25" spans="1:9" x14ac:dyDescent="0.2">
      <c r="B25" s="256"/>
      <c r="C25" s="256"/>
      <c r="D25" s="256"/>
      <c r="E25" s="256"/>
      <c r="F25" s="256"/>
    </row>
    <row r="26" spans="1:9" x14ac:dyDescent="0.2">
      <c r="A26" s="581"/>
      <c r="B26" s="582" t="s">
        <v>435</v>
      </c>
      <c r="C26" s="583"/>
      <c r="D26" s="583"/>
      <c r="E26" s="583"/>
      <c r="F26" s="583"/>
      <c r="G26" s="581"/>
      <c r="H26" s="581"/>
      <c r="I26" s="581"/>
    </row>
    <row r="27" spans="1:9" x14ac:dyDescent="0.2">
      <c r="A27" s="581"/>
      <c r="B27" s="583" t="s">
        <v>131</v>
      </c>
      <c r="C27" s="584">
        <v>3399.0205998244555</v>
      </c>
      <c r="D27" s="583"/>
      <c r="E27" s="583"/>
      <c r="F27" s="583"/>
      <c r="G27" s="581"/>
      <c r="H27" s="581"/>
      <c r="I27" s="581"/>
    </row>
    <row r="28" spans="1:9" x14ac:dyDescent="0.2">
      <c r="A28" s="581"/>
      <c r="B28" s="585" t="s">
        <v>412</v>
      </c>
      <c r="C28" s="584">
        <v>0</v>
      </c>
      <c r="D28" s="586">
        <v>0.2</v>
      </c>
      <c r="E28" s="583"/>
      <c r="F28" s="583"/>
      <c r="G28" s="581"/>
      <c r="H28" s="581"/>
      <c r="I28" s="581"/>
    </row>
    <row r="29" spans="1:9" x14ac:dyDescent="0.2">
      <c r="A29" s="581"/>
      <c r="B29" s="585" t="s">
        <v>413</v>
      </c>
      <c r="C29" s="584">
        <v>-26831.700650886556</v>
      </c>
      <c r="D29" s="586">
        <v>0.2</v>
      </c>
      <c r="E29" s="583"/>
      <c r="F29" s="583"/>
      <c r="G29" s="581"/>
      <c r="H29" s="581"/>
      <c r="I29" s="581"/>
    </row>
    <row r="30" spans="1:9" x14ac:dyDescent="0.2">
      <c r="A30" s="581"/>
      <c r="B30" s="587" t="s">
        <v>414</v>
      </c>
      <c r="C30" s="588">
        <v>5617.4674508087128</v>
      </c>
      <c r="D30" s="589">
        <v>0.6</v>
      </c>
      <c r="E30" s="583"/>
      <c r="F30" s="583"/>
      <c r="G30" s="581"/>
      <c r="H30" s="581"/>
      <c r="I30" s="581"/>
    </row>
    <row r="31" spans="1:9" x14ac:dyDescent="0.2">
      <c r="A31" s="581"/>
      <c r="B31" s="583" t="s">
        <v>432</v>
      </c>
      <c r="C31" s="590">
        <v>1403.1609401323713</v>
      </c>
      <c r="D31" s="583"/>
      <c r="E31" s="583"/>
      <c r="F31" s="590">
        <f>+C31-$C$10</f>
        <v>-9389.0047106218062</v>
      </c>
      <c r="G31" s="581"/>
      <c r="H31" s="581"/>
      <c r="I31" s="581"/>
    </row>
    <row r="32" spans="1:9" x14ac:dyDescent="0.2">
      <c r="B32" s="256"/>
      <c r="C32" s="256"/>
      <c r="D32" s="256"/>
      <c r="E32" s="256"/>
      <c r="F32" s="256"/>
    </row>
    <row r="33" spans="1:9" x14ac:dyDescent="0.2">
      <c r="B33" s="4" t="s">
        <v>439</v>
      </c>
      <c r="C33" s="249"/>
      <c r="D33" s="256"/>
      <c r="E33" s="256"/>
      <c r="F33" s="256"/>
    </row>
    <row r="34" spans="1:9" x14ac:dyDescent="0.2">
      <c r="B34" s="256" t="s">
        <v>131</v>
      </c>
      <c r="C34" s="350">
        <v>9412.6459735028257</v>
      </c>
      <c r="D34" s="256"/>
      <c r="E34" s="256"/>
      <c r="F34" s="256"/>
    </row>
    <row r="35" spans="1:9" x14ac:dyDescent="0.2">
      <c r="B35" s="6" t="s">
        <v>412</v>
      </c>
      <c r="C35" s="350">
        <v>0</v>
      </c>
      <c r="D35" s="572">
        <v>0.2</v>
      </c>
      <c r="E35" s="256"/>
      <c r="F35" s="256"/>
    </row>
    <row r="36" spans="1:9" x14ac:dyDescent="0.2">
      <c r="B36" s="6" t="s">
        <v>413</v>
      </c>
      <c r="C36" s="350">
        <v>-21234.530315739044</v>
      </c>
      <c r="D36" s="572">
        <v>0.2</v>
      </c>
      <c r="E36" s="256"/>
      <c r="F36" s="256"/>
    </row>
    <row r="37" spans="1:9" x14ac:dyDescent="0.2">
      <c r="B37" s="340" t="s">
        <v>414</v>
      </c>
      <c r="C37" s="573">
        <v>10066.665929891371</v>
      </c>
      <c r="D37" s="574">
        <v>0.6</v>
      </c>
      <c r="E37" s="256"/>
      <c r="F37" s="256"/>
    </row>
    <row r="38" spans="1:9" x14ac:dyDescent="0.2">
      <c r="B38" s="256" t="s">
        <v>432</v>
      </c>
      <c r="C38" s="575">
        <v>11205.739468289839</v>
      </c>
      <c r="D38" s="256"/>
      <c r="E38" s="256"/>
      <c r="F38" s="256"/>
    </row>
    <row r="39" spans="1:9" x14ac:dyDescent="0.2">
      <c r="B39" s="256"/>
      <c r="C39" s="256"/>
      <c r="D39" s="256"/>
      <c r="E39" s="256"/>
      <c r="F39" s="256"/>
    </row>
    <row r="40" spans="1:9" x14ac:dyDescent="0.2">
      <c r="B40" s="4" t="s">
        <v>436</v>
      </c>
      <c r="C40" s="256"/>
      <c r="D40" s="256"/>
      <c r="E40" s="256"/>
      <c r="F40" s="256"/>
    </row>
    <row r="41" spans="1:9" x14ac:dyDescent="0.2">
      <c r="B41" s="256" t="s">
        <v>131</v>
      </c>
      <c r="C41" s="350">
        <v>16970.220749722856</v>
      </c>
      <c r="D41" s="256"/>
      <c r="E41" s="256"/>
      <c r="F41" s="256"/>
    </row>
    <row r="42" spans="1:9" x14ac:dyDescent="0.2">
      <c r="B42" s="6" t="s">
        <v>412</v>
      </c>
      <c r="C42" s="350">
        <v>0</v>
      </c>
      <c r="D42" s="572">
        <v>0.2</v>
      </c>
      <c r="E42" s="256"/>
      <c r="F42" s="256"/>
    </row>
    <row r="43" spans="1:9" x14ac:dyDescent="0.2">
      <c r="B43" s="6" t="s">
        <v>413</v>
      </c>
      <c r="C43" s="350">
        <v>-21234.530315739044</v>
      </c>
      <c r="D43" s="572">
        <v>0.2</v>
      </c>
      <c r="E43" s="256"/>
      <c r="F43" s="256"/>
    </row>
    <row r="44" spans="1:9" x14ac:dyDescent="0.2">
      <c r="B44" s="340" t="s">
        <v>414</v>
      </c>
      <c r="C44" s="573">
        <v>16192.892065512166</v>
      </c>
      <c r="D44" s="574">
        <v>0.6</v>
      </c>
      <c r="E44" s="256"/>
      <c r="F44" s="256"/>
    </row>
    <row r="45" spans="1:9" x14ac:dyDescent="0.2">
      <c r="B45" s="256" t="s">
        <v>432</v>
      </c>
      <c r="C45" s="575">
        <v>22439.049925882347</v>
      </c>
      <c r="D45" s="256"/>
      <c r="E45" s="256"/>
      <c r="F45" s="575">
        <f>+C45-C38</f>
        <v>11233.310457592508</v>
      </c>
    </row>
    <row r="46" spans="1:9" x14ac:dyDescent="0.2">
      <c r="B46" s="256"/>
      <c r="C46" s="256"/>
      <c r="D46" s="256"/>
      <c r="E46" s="256"/>
      <c r="F46" s="256"/>
    </row>
    <row r="47" spans="1:9" x14ac:dyDescent="0.2">
      <c r="A47" s="581"/>
      <c r="B47" s="582" t="s">
        <v>440</v>
      </c>
      <c r="C47" s="583"/>
      <c r="D47" s="583"/>
      <c r="E47" s="583"/>
      <c r="F47" s="583"/>
      <c r="G47" s="581"/>
      <c r="H47" s="581"/>
      <c r="I47" s="581"/>
    </row>
    <row r="48" spans="1:9" x14ac:dyDescent="0.2">
      <c r="A48" s="581"/>
      <c r="B48" s="583" t="s">
        <v>131</v>
      </c>
      <c r="C48" s="584">
        <v>12769.073317640446</v>
      </c>
      <c r="D48" s="583"/>
      <c r="E48" s="583"/>
      <c r="F48" s="583"/>
      <c r="G48" s="581"/>
      <c r="H48" s="581"/>
      <c r="I48" s="581"/>
    </row>
    <row r="49" spans="1:9" x14ac:dyDescent="0.2">
      <c r="A49" s="581"/>
      <c r="B49" s="585" t="s">
        <v>412</v>
      </c>
      <c r="C49" s="584">
        <v>0</v>
      </c>
      <c r="D49" s="586">
        <v>0</v>
      </c>
      <c r="E49" s="583"/>
      <c r="F49" s="583"/>
      <c r="G49" s="581"/>
      <c r="H49" s="581"/>
      <c r="I49" s="581"/>
    </row>
    <row r="50" spans="1:9" x14ac:dyDescent="0.2">
      <c r="A50" s="581"/>
      <c r="B50" s="585" t="s">
        <v>413</v>
      </c>
      <c r="C50" s="584">
        <v>-21234.530315739044</v>
      </c>
      <c r="D50" s="586">
        <v>0</v>
      </c>
      <c r="E50" s="583"/>
      <c r="F50" s="583"/>
      <c r="G50" s="581"/>
      <c r="H50" s="581"/>
      <c r="I50" s="581"/>
    </row>
    <row r="51" spans="1:9" x14ac:dyDescent="0.2">
      <c r="A51" s="581"/>
      <c r="B51" s="587" t="s">
        <v>414</v>
      </c>
      <c r="C51" s="588">
        <v>8853.924925710051</v>
      </c>
      <c r="D51" s="589">
        <v>1</v>
      </c>
      <c r="E51" s="583"/>
      <c r="F51" s="583"/>
      <c r="G51" s="581"/>
      <c r="H51" s="581"/>
      <c r="I51" s="581"/>
    </row>
    <row r="52" spans="1:9" x14ac:dyDescent="0.2">
      <c r="A52" s="581"/>
      <c r="B52" s="583" t="s">
        <v>432</v>
      </c>
      <c r="C52" s="590">
        <v>21622.998243350499</v>
      </c>
      <c r="D52" s="583"/>
      <c r="E52" s="583"/>
      <c r="F52" s="590">
        <f>+C52-$C$10</f>
        <v>10830.832592596322</v>
      </c>
      <c r="G52" s="581"/>
      <c r="H52" s="581"/>
      <c r="I52" s="581"/>
    </row>
    <row r="53" spans="1:9" x14ac:dyDescent="0.2">
      <c r="B53" s="256"/>
      <c r="C53" s="256"/>
      <c r="D53" s="256"/>
      <c r="E53" s="256"/>
      <c r="F53" s="256"/>
    </row>
    <row r="54" spans="1:9" x14ac:dyDescent="0.2">
      <c r="B54" s="4" t="s">
        <v>441</v>
      </c>
      <c r="C54" s="256"/>
      <c r="D54" s="256"/>
      <c r="E54" s="256"/>
      <c r="F54" s="256"/>
    </row>
    <row r="55" spans="1:9" x14ac:dyDescent="0.2">
      <c r="B55" s="256" t="s">
        <v>131</v>
      </c>
      <c r="C55" s="350">
        <v>15688.246715977379</v>
      </c>
      <c r="D55" s="256"/>
      <c r="E55" s="256"/>
      <c r="F55" s="256"/>
    </row>
    <row r="56" spans="1:9" x14ac:dyDescent="0.2">
      <c r="B56" s="6" t="s">
        <v>412</v>
      </c>
      <c r="C56" s="350">
        <v>0</v>
      </c>
      <c r="D56" s="572">
        <v>0</v>
      </c>
      <c r="E56" s="256"/>
      <c r="F56" s="256"/>
    </row>
    <row r="57" spans="1:9" x14ac:dyDescent="0.2">
      <c r="B57" s="6" t="s">
        <v>413</v>
      </c>
      <c r="C57" s="350">
        <v>-35909.845013291088</v>
      </c>
      <c r="D57" s="572">
        <v>0</v>
      </c>
      <c r="E57" s="256"/>
      <c r="F57" s="256"/>
    </row>
    <row r="58" spans="1:9" x14ac:dyDescent="0.2">
      <c r="B58" s="340" t="s">
        <v>414</v>
      </c>
      <c r="C58" s="573">
        <v>14939.412927910922</v>
      </c>
      <c r="D58" s="574">
        <v>1</v>
      </c>
      <c r="E58" s="256"/>
      <c r="F58" s="256"/>
    </row>
    <row r="59" spans="1:9" x14ac:dyDescent="0.2">
      <c r="B59" s="256" t="s">
        <v>432</v>
      </c>
      <c r="C59" s="575">
        <v>30627.659643888299</v>
      </c>
      <c r="D59" s="256"/>
      <c r="E59" s="256"/>
      <c r="F59" s="575">
        <f>+C59-$C$10</f>
        <v>19835.493993134121</v>
      </c>
    </row>
    <row r="60" spans="1:9" x14ac:dyDescent="0.2">
      <c r="B60" s="256"/>
      <c r="C60" s="256"/>
      <c r="D60" s="256"/>
      <c r="E60" s="256"/>
      <c r="F60" s="256"/>
    </row>
    <row r="61" spans="1:9" x14ac:dyDescent="0.2">
      <c r="B61" s="4" t="s">
        <v>466</v>
      </c>
    </row>
    <row r="62" spans="1:9" x14ac:dyDescent="0.2">
      <c r="B62" s="256" t="s">
        <v>131</v>
      </c>
      <c r="C62" s="350">
        <v>23778.026885595915</v>
      </c>
      <c r="D62" s="256"/>
    </row>
    <row r="63" spans="1:9" x14ac:dyDescent="0.2">
      <c r="B63" s="6" t="s">
        <v>412</v>
      </c>
      <c r="C63" s="350">
        <v>0</v>
      </c>
      <c r="D63" s="572">
        <v>0</v>
      </c>
    </row>
    <row r="64" spans="1:9" x14ac:dyDescent="0.2">
      <c r="B64" s="6" t="s">
        <v>413</v>
      </c>
      <c r="C64" s="350">
        <v>-35909.845013291088</v>
      </c>
      <c r="D64" s="572">
        <v>0</v>
      </c>
    </row>
    <row r="65" spans="2:7" x14ac:dyDescent="0.2">
      <c r="B65" s="340" t="s">
        <v>414</v>
      </c>
      <c r="C65" s="573">
        <v>22775.687110965617</v>
      </c>
      <c r="D65" s="574">
        <v>1</v>
      </c>
    </row>
    <row r="66" spans="2:7" x14ac:dyDescent="0.2">
      <c r="B66" s="256" t="s">
        <v>432</v>
      </c>
      <c r="C66" s="575">
        <v>46553.713996561535</v>
      </c>
      <c r="D66" s="256"/>
      <c r="F66" s="575">
        <f>+C66-$C$10</f>
        <v>35761.548345807358</v>
      </c>
      <c r="G66" s="349">
        <f>+F66-F59</f>
        <v>15926.054352673236</v>
      </c>
    </row>
  </sheetData>
  <pageMargins left="0.5" right="0.5" top="0.5" bottom="0.5" header="0.5" footer="0.5"/>
  <pageSetup scale="93" orientation="portrait" r:id="rId1"/>
  <headerFooter alignWithMargins="0">
    <oddFooter>&amp;L&amp;F &amp;A&amp;R&amp;D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A214"/>
  <sheetViews>
    <sheetView topLeftCell="A197" zoomScale="80" zoomScaleNormal="80" workbookViewId="0">
      <selection activeCell="B215" sqref="B215"/>
    </sheetView>
  </sheetViews>
  <sheetFormatPr defaultRowHeight="12.75" x14ac:dyDescent="0.2"/>
  <cols>
    <col min="1" max="1" width="39.42578125" customWidth="1"/>
    <col min="2" max="3" width="11" customWidth="1"/>
    <col min="4" max="4" width="10.28515625" customWidth="1"/>
    <col min="5" max="5" width="9.7109375" customWidth="1"/>
    <col min="6" max="6" width="11.28515625" customWidth="1"/>
    <col min="7" max="7" width="10.7109375" customWidth="1"/>
    <col min="8" max="9" width="9.7109375" customWidth="1"/>
    <col min="10" max="10" width="11.5703125" customWidth="1"/>
    <col min="11" max="11" width="12.42578125" customWidth="1"/>
    <col min="12" max="12" width="9.7109375" customWidth="1"/>
    <col min="13" max="13" width="10.85546875" customWidth="1"/>
    <col min="14" max="15" width="9.7109375" customWidth="1"/>
    <col min="16" max="17" width="10.7109375" customWidth="1"/>
    <col min="18" max="19" width="10" customWidth="1"/>
    <col min="20" max="26" width="10.7109375" customWidth="1"/>
    <col min="27" max="27" width="11.28515625" bestFit="1" customWidth="1"/>
  </cols>
  <sheetData>
    <row r="1" spans="1:27" ht="18" customHeight="1" x14ac:dyDescent="0.25">
      <c r="A1" s="1" t="s">
        <v>126</v>
      </c>
      <c r="B1" s="174"/>
      <c r="C1" s="174"/>
      <c r="E1" s="175"/>
    </row>
    <row r="2" spans="1:27" ht="12.75" customHeight="1" x14ac:dyDescent="0.2">
      <c r="A2" s="2" t="s">
        <v>137</v>
      </c>
      <c r="E2" s="175"/>
    </row>
    <row r="3" spans="1:27" ht="13.5" customHeight="1" thickBot="1" x14ac:dyDescent="0.25">
      <c r="A3" s="2"/>
      <c r="E3" s="175"/>
    </row>
    <row r="4" spans="1:27" ht="12.75" customHeight="1" x14ac:dyDescent="0.2">
      <c r="A4" s="176" t="s">
        <v>69</v>
      </c>
      <c r="B4" s="177"/>
      <c r="C4" s="177"/>
      <c r="D4" s="178">
        <f t="shared" ref="D4:AA4" si="0">+D27</f>
        <v>1999</v>
      </c>
      <c r="E4" s="178">
        <f t="shared" si="0"/>
        <v>2000</v>
      </c>
      <c r="F4" s="178">
        <f t="shared" si="0"/>
        <v>2001</v>
      </c>
      <c r="G4" s="178">
        <f t="shared" si="0"/>
        <v>2002</v>
      </c>
      <c r="H4" s="178">
        <f t="shared" si="0"/>
        <v>2003</v>
      </c>
      <c r="I4" s="178">
        <f t="shared" si="0"/>
        <v>2004</v>
      </c>
      <c r="J4" s="178">
        <f t="shared" si="0"/>
        <v>2005</v>
      </c>
      <c r="K4" s="178">
        <f t="shared" si="0"/>
        <v>2006</v>
      </c>
      <c r="L4" s="178">
        <f t="shared" si="0"/>
        <v>2007</v>
      </c>
      <c r="M4" s="178">
        <f t="shared" si="0"/>
        <v>2008</v>
      </c>
      <c r="N4" s="178">
        <f t="shared" si="0"/>
        <v>2009</v>
      </c>
      <c r="O4" s="178">
        <f t="shared" si="0"/>
        <v>2010</v>
      </c>
      <c r="P4" s="178">
        <f t="shared" si="0"/>
        <v>2011</v>
      </c>
      <c r="Q4" s="178">
        <f t="shared" si="0"/>
        <v>2012</v>
      </c>
      <c r="R4" s="178">
        <f t="shared" si="0"/>
        <v>2013</v>
      </c>
      <c r="S4" s="178">
        <f t="shared" si="0"/>
        <v>2014</v>
      </c>
      <c r="T4" s="178">
        <f t="shared" si="0"/>
        <v>2015</v>
      </c>
      <c r="U4" s="178">
        <f t="shared" si="0"/>
        <v>2016</v>
      </c>
      <c r="V4" s="178">
        <f t="shared" si="0"/>
        <v>2017</v>
      </c>
      <c r="W4" s="178">
        <f t="shared" si="0"/>
        <v>2018</v>
      </c>
      <c r="X4" s="178">
        <f t="shared" si="0"/>
        <v>2019</v>
      </c>
      <c r="Y4" s="178">
        <f t="shared" si="0"/>
        <v>2020</v>
      </c>
      <c r="Z4" s="178">
        <f t="shared" si="0"/>
        <v>2021</v>
      </c>
      <c r="AA4" s="179">
        <f t="shared" si="0"/>
        <v>2022</v>
      </c>
    </row>
    <row r="5" spans="1:27" ht="12.75" customHeight="1" x14ac:dyDescent="0.2">
      <c r="A5" s="180" t="s">
        <v>142</v>
      </c>
      <c r="B5" s="181"/>
      <c r="C5" s="181"/>
      <c r="D5" s="182"/>
      <c r="E5" s="182"/>
      <c r="F5" s="361">
        <v>0</v>
      </c>
      <c r="G5" s="361">
        <f>MIN(F5+1,17)</f>
        <v>1</v>
      </c>
      <c r="H5" s="361">
        <f t="shared" ref="H5:Z5" si="1">MIN(G5+1,17)</f>
        <v>2</v>
      </c>
      <c r="I5" s="361">
        <f t="shared" si="1"/>
        <v>3</v>
      </c>
      <c r="J5" s="361">
        <f t="shared" si="1"/>
        <v>4</v>
      </c>
      <c r="K5" s="361">
        <f t="shared" si="1"/>
        <v>5</v>
      </c>
      <c r="L5" s="361">
        <f t="shared" si="1"/>
        <v>6</v>
      </c>
      <c r="M5" s="361">
        <f t="shared" si="1"/>
        <v>7</v>
      </c>
      <c r="N5" s="361">
        <f t="shared" si="1"/>
        <v>8</v>
      </c>
      <c r="O5" s="361">
        <f t="shared" si="1"/>
        <v>9</v>
      </c>
      <c r="P5" s="361">
        <f t="shared" si="1"/>
        <v>10</v>
      </c>
      <c r="Q5" s="361">
        <f t="shared" si="1"/>
        <v>11</v>
      </c>
      <c r="R5" s="361">
        <f t="shared" si="1"/>
        <v>12</v>
      </c>
      <c r="S5" s="361">
        <f t="shared" si="1"/>
        <v>13</v>
      </c>
      <c r="T5" s="361">
        <f t="shared" si="1"/>
        <v>14</v>
      </c>
      <c r="U5" s="361">
        <f t="shared" si="1"/>
        <v>15</v>
      </c>
      <c r="V5" s="361">
        <f t="shared" si="1"/>
        <v>16</v>
      </c>
      <c r="W5" s="361">
        <f t="shared" si="1"/>
        <v>17</v>
      </c>
      <c r="X5" s="361">
        <f t="shared" si="1"/>
        <v>17</v>
      </c>
      <c r="Y5" s="361">
        <f t="shared" si="1"/>
        <v>17</v>
      </c>
      <c r="Z5" s="361">
        <f t="shared" si="1"/>
        <v>17</v>
      </c>
      <c r="AA5" s="183"/>
    </row>
    <row r="6" spans="1:27" ht="12.75" customHeight="1" x14ac:dyDescent="0.2">
      <c r="A6" s="184" t="s">
        <v>70</v>
      </c>
      <c r="B6" s="181"/>
      <c r="C6" s="181"/>
      <c r="D6" s="182"/>
      <c r="E6" s="182"/>
      <c r="F6" s="185">
        <f t="shared" ref="F6:Z6" si="2">+(F5-E5)*12</f>
        <v>0</v>
      </c>
      <c r="G6" s="185">
        <f t="shared" si="2"/>
        <v>12</v>
      </c>
      <c r="H6" s="185">
        <f t="shared" si="2"/>
        <v>12</v>
      </c>
      <c r="I6" s="185">
        <f t="shared" si="2"/>
        <v>12</v>
      </c>
      <c r="J6" s="185">
        <f t="shared" si="2"/>
        <v>12</v>
      </c>
      <c r="K6" s="185">
        <f t="shared" si="2"/>
        <v>12</v>
      </c>
      <c r="L6" s="185">
        <f t="shared" si="2"/>
        <v>12</v>
      </c>
      <c r="M6" s="185">
        <f t="shared" si="2"/>
        <v>12</v>
      </c>
      <c r="N6" s="185">
        <f t="shared" si="2"/>
        <v>12</v>
      </c>
      <c r="O6" s="185">
        <f t="shared" si="2"/>
        <v>12</v>
      </c>
      <c r="P6" s="185">
        <f t="shared" si="2"/>
        <v>12</v>
      </c>
      <c r="Q6" s="185">
        <f t="shared" si="2"/>
        <v>12</v>
      </c>
      <c r="R6" s="185">
        <f t="shared" si="2"/>
        <v>12</v>
      </c>
      <c r="S6" s="185">
        <f t="shared" si="2"/>
        <v>12</v>
      </c>
      <c r="T6" s="185">
        <f t="shared" si="2"/>
        <v>12</v>
      </c>
      <c r="U6" s="185">
        <f t="shared" si="2"/>
        <v>12</v>
      </c>
      <c r="V6" s="185">
        <f t="shared" si="2"/>
        <v>12</v>
      </c>
      <c r="W6" s="185">
        <f t="shared" si="2"/>
        <v>12</v>
      </c>
      <c r="X6" s="185">
        <f t="shared" si="2"/>
        <v>0</v>
      </c>
      <c r="Y6" s="185">
        <f t="shared" si="2"/>
        <v>0</v>
      </c>
      <c r="Z6" s="185">
        <f t="shared" si="2"/>
        <v>0</v>
      </c>
      <c r="AA6" s="183"/>
    </row>
    <row r="7" spans="1:27" ht="12.75" customHeight="1" x14ac:dyDescent="0.2">
      <c r="A7" s="186" t="s">
        <v>71</v>
      </c>
      <c r="B7" s="187"/>
      <c r="C7" s="187"/>
      <c r="D7" s="188">
        <v>0</v>
      </c>
      <c r="E7" s="188">
        <v>0</v>
      </c>
      <c r="F7" s="189">
        <f>+Elba!F$6/12</f>
        <v>0</v>
      </c>
      <c r="G7" s="189">
        <f>+Elba!G$6/12</f>
        <v>1</v>
      </c>
      <c r="H7" s="189">
        <f>+Elba!H$6/12</f>
        <v>1</v>
      </c>
      <c r="I7" s="189">
        <f>+Elba!I$6/12</f>
        <v>1</v>
      </c>
      <c r="J7" s="189">
        <f>+Elba!J$6/12</f>
        <v>1</v>
      </c>
      <c r="K7" s="189">
        <f>+Elba!K$6/12</f>
        <v>1</v>
      </c>
      <c r="L7" s="189">
        <f>+Elba!L$6/12</f>
        <v>1</v>
      </c>
      <c r="M7" s="189">
        <f>+Elba!M$6/12</f>
        <v>1</v>
      </c>
      <c r="N7" s="189">
        <f>+Elba!N$6/12</f>
        <v>1</v>
      </c>
      <c r="O7" s="189">
        <f>+Elba!O$6/12</f>
        <v>1</v>
      </c>
      <c r="P7" s="189">
        <f>+Elba!P$6/12</f>
        <v>1</v>
      </c>
      <c r="Q7" s="189">
        <f>+Elba!Q$6/12</f>
        <v>1</v>
      </c>
      <c r="R7" s="189">
        <f>+Elba!R$6/12</f>
        <v>1</v>
      </c>
      <c r="S7" s="189">
        <f>+Elba!S$6/12</f>
        <v>1</v>
      </c>
      <c r="T7" s="189">
        <f>+Elba!T$6/12</f>
        <v>1</v>
      </c>
      <c r="U7" s="189">
        <f>+Elba!U$6/12</f>
        <v>1</v>
      </c>
      <c r="V7" s="189">
        <f>+Elba!V$6/12</f>
        <v>1</v>
      </c>
      <c r="W7" s="189">
        <f>+Elba!W$6/12</f>
        <v>1</v>
      </c>
      <c r="X7" s="189">
        <f>+Elba!X$6/12</f>
        <v>0</v>
      </c>
      <c r="Y7" s="189">
        <f>+Elba!Y$6/12</f>
        <v>0</v>
      </c>
      <c r="Z7" s="189">
        <f>+Elba!Z$6/12</f>
        <v>0</v>
      </c>
      <c r="AA7" s="190">
        <v>0</v>
      </c>
    </row>
    <row r="8" spans="1:27" ht="12.75" customHeight="1" x14ac:dyDescent="0.2">
      <c r="A8" s="186" t="s">
        <v>72</v>
      </c>
      <c r="B8" s="187"/>
      <c r="C8" s="187"/>
      <c r="D8" s="188">
        <v>0</v>
      </c>
      <c r="E8" s="188">
        <v>0</v>
      </c>
      <c r="F8" s="189">
        <f>IF(SUM(F11:F12)=0,0,1)*$F$7</f>
        <v>0</v>
      </c>
      <c r="G8" s="189">
        <f>(IF(SUM(G11:G12)=0,0,1)*(1-$F$7)+IF(SUM(F11:F12)=0,0,1)*$F$7)</f>
        <v>1</v>
      </c>
      <c r="H8" s="189">
        <f>(IF(SUM(H11:H12)=0,0,1)*(1-$F$7)+IF(SUM(G11:G12)=0,0,1)*$F$7)</f>
        <v>1</v>
      </c>
      <c r="I8" s="189">
        <f>(IF(SUM(I11:I12)=0,0,1)*(1-$F$7)+IF(SUM(H11:H12)=0,0,1)*$F$7)</f>
        <v>1</v>
      </c>
      <c r="J8" s="189">
        <f>(IF(SUM(J11:J12)=0,0,1)*(1-$F$7)+IF(SUM(I11:I12)=0,0,1)*$F$7)</f>
        <v>1</v>
      </c>
      <c r="K8" s="353">
        <f>IF(SUM(RAROC!$I$12,RAROC!$I$16)&gt;0,(IF(SUM(K11:K12)=0,0,1)*(1-$F$7)+IF(SUM(J11:J12)=0,0,1)*$F$7),1-(IF(SUM(K11:K12)=0,0,1)*(1-$F$7)+IF(SUM(J11:J12)=0,0,1)*$F$7))</f>
        <v>1</v>
      </c>
      <c r="L8" s="189">
        <f t="shared" ref="L8:Z8" si="3">(IF(SUM(L11:L12)=0,0,1)*(1-$F$7)+IF(SUM(K11:K12)=0,0,1)*$F$7)</f>
        <v>0</v>
      </c>
      <c r="M8" s="189">
        <f t="shared" si="3"/>
        <v>0</v>
      </c>
      <c r="N8" s="189">
        <f t="shared" si="3"/>
        <v>0</v>
      </c>
      <c r="O8" s="189">
        <f t="shared" si="3"/>
        <v>0</v>
      </c>
      <c r="P8" s="189">
        <f t="shared" si="3"/>
        <v>0</v>
      </c>
      <c r="Q8" s="189">
        <f t="shared" si="3"/>
        <v>0</v>
      </c>
      <c r="R8" s="189">
        <f t="shared" si="3"/>
        <v>0</v>
      </c>
      <c r="S8" s="189">
        <f t="shared" si="3"/>
        <v>0</v>
      </c>
      <c r="T8" s="189">
        <f t="shared" si="3"/>
        <v>0</v>
      </c>
      <c r="U8" s="189">
        <f t="shared" si="3"/>
        <v>0</v>
      </c>
      <c r="V8" s="189">
        <f t="shared" si="3"/>
        <v>0</v>
      </c>
      <c r="W8" s="189">
        <f t="shared" si="3"/>
        <v>0</v>
      </c>
      <c r="X8" s="189">
        <f t="shared" si="3"/>
        <v>0</v>
      </c>
      <c r="Y8" s="189">
        <f t="shared" si="3"/>
        <v>0</v>
      </c>
      <c r="Z8" s="189">
        <f t="shared" si="3"/>
        <v>0</v>
      </c>
      <c r="AA8" s="190">
        <v>0</v>
      </c>
    </row>
    <row r="9" spans="1:27" ht="12.75" customHeight="1" x14ac:dyDescent="0.2">
      <c r="A9" s="186"/>
      <c r="B9" s="187"/>
      <c r="C9" s="187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91"/>
    </row>
    <row r="10" spans="1:27" ht="12.75" customHeight="1" x14ac:dyDescent="0.2">
      <c r="A10" s="192" t="s">
        <v>118</v>
      </c>
      <c r="B10" s="193"/>
      <c r="C10" s="193"/>
      <c r="D10" s="194"/>
      <c r="E10" s="195" t="s">
        <v>73</v>
      </c>
      <c r="F10" s="196">
        <v>1</v>
      </c>
      <c r="G10" s="196">
        <f t="shared" ref="G10:Y10" si="4">+F10+1</f>
        <v>2</v>
      </c>
      <c r="H10" s="196">
        <f t="shared" si="4"/>
        <v>3</v>
      </c>
      <c r="I10" s="196">
        <f t="shared" si="4"/>
        <v>4</v>
      </c>
      <c r="J10" s="196">
        <f t="shared" si="4"/>
        <v>5</v>
      </c>
      <c r="K10" s="196">
        <f t="shared" si="4"/>
        <v>6</v>
      </c>
      <c r="L10" s="196">
        <f t="shared" si="4"/>
        <v>7</v>
      </c>
      <c r="M10" s="196">
        <f t="shared" si="4"/>
        <v>8</v>
      </c>
      <c r="N10" s="196">
        <f t="shared" si="4"/>
        <v>9</v>
      </c>
      <c r="O10" s="196">
        <f t="shared" si="4"/>
        <v>10</v>
      </c>
      <c r="P10" s="196">
        <f t="shared" si="4"/>
        <v>11</v>
      </c>
      <c r="Q10" s="196">
        <f t="shared" si="4"/>
        <v>12</v>
      </c>
      <c r="R10" s="196">
        <f t="shared" si="4"/>
        <v>13</v>
      </c>
      <c r="S10" s="196">
        <f t="shared" si="4"/>
        <v>14</v>
      </c>
      <c r="T10" s="196">
        <f t="shared" si="4"/>
        <v>15</v>
      </c>
      <c r="U10" s="196">
        <f t="shared" si="4"/>
        <v>16</v>
      </c>
      <c r="V10" s="196">
        <f t="shared" si="4"/>
        <v>17</v>
      </c>
      <c r="W10" s="196">
        <f t="shared" si="4"/>
        <v>18</v>
      </c>
      <c r="X10" s="196">
        <f t="shared" si="4"/>
        <v>19</v>
      </c>
      <c r="Y10" s="196">
        <f t="shared" si="4"/>
        <v>20</v>
      </c>
      <c r="Z10" s="196">
        <f>+Y10+1</f>
        <v>21</v>
      </c>
      <c r="AA10" s="198"/>
    </row>
    <row r="11" spans="1:27" ht="12.75" customHeight="1" x14ac:dyDescent="0.2">
      <c r="A11" s="199" t="s">
        <v>75</v>
      </c>
      <c r="B11" s="200"/>
      <c r="C11" s="200"/>
      <c r="D11" s="194"/>
      <c r="E11" s="194" t="s">
        <v>74</v>
      </c>
      <c r="F11" s="347">
        <f>IF(switch=0,ROUND(RAROC!$D10,),ROUND(RAROC!$E10,))</f>
        <v>17</v>
      </c>
      <c r="G11" s="347">
        <f>IF(switch=0,ROUND(RAROC!$D10,),ROUND(RAROC!$H10,))</f>
        <v>16</v>
      </c>
      <c r="H11" s="347">
        <f>IF(switch=0,ROUND(RAROC!$D10,),ROUND(RAROC!$K10,))</f>
        <v>15</v>
      </c>
      <c r="I11" s="347">
        <f>IF(switch=0,ROUND(RAROC!$D10,),ROUND(RAROC!$N10,))</f>
        <v>15</v>
      </c>
      <c r="J11" s="347">
        <f>IF(switch=0,ROUND(RAROC!$D10,),ROUND(RAROC!$Q10,))</f>
        <v>14</v>
      </c>
      <c r="K11" s="347">
        <f>RAROC!$I$12</f>
        <v>0</v>
      </c>
      <c r="L11" s="347">
        <f>RAROC!$I$12</f>
        <v>0</v>
      </c>
      <c r="M11" s="347">
        <f>RAROC!$I$12</f>
        <v>0</v>
      </c>
      <c r="N11" s="347">
        <f>RAROC!$I$12</f>
        <v>0</v>
      </c>
      <c r="O11" s="347">
        <f>RAROC!$I$12</f>
        <v>0</v>
      </c>
      <c r="P11" s="347">
        <f>RAROC!$I$12</f>
        <v>0</v>
      </c>
      <c r="Q11" s="347">
        <f>RAROC!$I$12</f>
        <v>0</v>
      </c>
      <c r="R11" s="347">
        <f>RAROC!$I$12</f>
        <v>0</v>
      </c>
      <c r="S11" s="347">
        <f>RAROC!$I$12</f>
        <v>0</v>
      </c>
      <c r="T11" s="347">
        <f>RAROC!$I$12</f>
        <v>0</v>
      </c>
      <c r="U11" s="347">
        <f>RAROC!$I$12</f>
        <v>0</v>
      </c>
      <c r="V11" s="347">
        <f>RAROC!$I$12</f>
        <v>0</v>
      </c>
      <c r="W11" s="347">
        <f>RAROC!$I$12</f>
        <v>0</v>
      </c>
      <c r="X11" s="347">
        <f>RAROC!$I$12</f>
        <v>0</v>
      </c>
      <c r="Y11" s="347">
        <f>RAROC!$I$12</f>
        <v>0</v>
      </c>
      <c r="Z11" s="347">
        <v>0</v>
      </c>
      <c r="AA11" s="202"/>
    </row>
    <row r="12" spans="1:27" ht="12.75" customHeight="1" x14ac:dyDescent="0.2">
      <c r="A12" s="203" t="s">
        <v>76</v>
      </c>
      <c r="B12" s="200"/>
      <c r="C12" s="200"/>
      <c r="D12" s="194"/>
      <c r="E12" s="194" t="s">
        <v>74</v>
      </c>
      <c r="F12" s="347">
        <f>IF(switch=0,ROUND(RAROC!$D14,),ROUND(RAROC!$E14,))</f>
        <v>4</v>
      </c>
      <c r="G12" s="347">
        <f>IF(switch=0,ROUND(RAROC!$D14,),ROUND(RAROC!$H14,))</f>
        <v>4</v>
      </c>
      <c r="H12" s="347">
        <f>IF(switch=0,ROUND(RAROC!$D14,),ROUND(RAROC!$K14,))</f>
        <v>4</v>
      </c>
      <c r="I12" s="347">
        <f>IF(switch=0,ROUND(RAROC!$D14,),ROUND(RAROC!$N14,))</f>
        <v>3</v>
      </c>
      <c r="J12" s="347">
        <f>IF(switch=0,ROUND(RAROC!$D14,),ROUND(RAROC!$Q14,))</f>
        <v>3</v>
      </c>
      <c r="K12" s="347">
        <f>RAROC!$I$16</f>
        <v>0</v>
      </c>
      <c r="L12" s="347">
        <f>RAROC!$I$16</f>
        <v>0</v>
      </c>
      <c r="M12" s="347">
        <f>RAROC!$I$16</f>
        <v>0</v>
      </c>
      <c r="N12" s="347">
        <f>RAROC!$I$16</f>
        <v>0</v>
      </c>
      <c r="O12" s="347">
        <f>RAROC!$I$16</f>
        <v>0</v>
      </c>
      <c r="P12" s="347">
        <f>RAROC!$I$16</f>
        <v>0</v>
      </c>
      <c r="Q12" s="347">
        <f>RAROC!$I$16</f>
        <v>0</v>
      </c>
      <c r="R12" s="347">
        <f>RAROC!$I$16</f>
        <v>0</v>
      </c>
      <c r="S12" s="347">
        <f>RAROC!$I$16</f>
        <v>0</v>
      </c>
      <c r="T12" s="347">
        <f>RAROC!$I$16</f>
        <v>0</v>
      </c>
      <c r="U12" s="347">
        <f>RAROC!$I$16</f>
        <v>0</v>
      </c>
      <c r="V12" s="347">
        <f>RAROC!$I$16</f>
        <v>0</v>
      </c>
      <c r="W12" s="347">
        <f>RAROC!$I$16</f>
        <v>0</v>
      </c>
      <c r="X12" s="347">
        <f>RAROC!$I$16</f>
        <v>0</v>
      </c>
      <c r="Y12" s="347">
        <f>RAROC!$I$16</f>
        <v>0</v>
      </c>
      <c r="Z12" s="347">
        <v>0</v>
      </c>
      <c r="AA12" s="202"/>
    </row>
    <row r="13" spans="1:27" ht="12.75" customHeight="1" x14ac:dyDescent="0.2">
      <c r="A13" s="203"/>
      <c r="B13" s="200"/>
      <c r="C13" s="200"/>
      <c r="D13" s="194"/>
      <c r="E13" s="194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2"/>
    </row>
    <row r="14" spans="1:27" ht="12.75" customHeight="1" x14ac:dyDescent="0.2">
      <c r="A14" s="203"/>
      <c r="B14" s="200"/>
      <c r="C14" s="200"/>
      <c r="D14" s="194"/>
      <c r="E14" s="204" t="s">
        <v>77</v>
      </c>
      <c r="F14" s="196">
        <f t="shared" ref="F14:Y14" si="5">+F10</f>
        <v>1</v>
      </c>
      <c r="G14" s="196">
        <f t="shared" si="5"/>
        <v>2</v>
      </c>
      <c r="H14" s="196">
        <f t="shared" si="5"/>
        <v>3</v>
      </c>
      <c r="I14" s="196">
        <f t="shared" si="5"/>
        <v>4</v>
      </c>
      <c r="J14" s="196">
        <f t="shared" si="5"/>
        <v>5</v>
      </c>
      <c r="K14" s="196">
        <f t="shared" si="5"/>
        <v>6</v>
      </c>
      <c r="L14" s="196">
        <f t="shared" si="5"/>
        <v>7</v>
      </c>
      <c r="M14" s="196">
        <f t="shared" si="5"/>
        <v>8</v>
      </c>
      <c r="N14" s="196">
        <f t="shared" si="5"/>
        <v>9</v>
      </c>
      <c r="O14" s="196">
        <f t="shared" si="5"/>
        <v>10</v>
      </c>
      <c r="P14" s="196">
        <f t="shared" si="5"/>
        <v>11</v>
      </c>
      <c r="Q14" s="196">
        <f t="shared" si="5"/>
        <v>12</v>
      </c>
      <c r="R14" s="196">
        <f t="shared" si="5"/>
        <v>13</v>
      </c>
      <c r="S14" s="196">
        <f t="shared" si="5"/>
        <v>14</v>
      </c>
      <c r="T14" s="196">
        <f t="shared" si="5"/>
        <v>15</v>
      </c>
      <c r="U14" s="196">
        <f t="shared" si="5"/>
        <v>16</v>
      </c>
      <c r="V14" s="196">
        <f t="shared" si="5"/>
        <v>17</v>
      </c>
      <c r="W14" s="196">
        <f t="shared" si="5"/>
        <v>18</v>
      </c>
      <c r="X14" s="196">
        <f t="shared" si="5"/>
        <v>19</v>
      </c>
      <c r="Y14" s="196">
        <f t="shared" si="5"/>
        <v>20</v>
      </c>
      <c r="Z14" s="196">
        <f>+Z10</f>
        <v>21</v>
      </c>
      <c r="AA14" s="202"/>
    </row>
    <row r="15" spans="1:27" ht="12.75" customHeight="1" x14ac:dyDescent="0.2">
      <c r="A15" s="199" t="s">
        <v>75</v>
      </c>
      <c r="B15" s="193"/>
      <c r="C15" s="193"/>
      <c r="D15" s="205"/>
      <c r="E15" s="205" t="s">
        <v>74</v>
      </c>
      <c r="F15" s="206">
        <f>+F11*Elba!F$7</f>
        <v>0</v>
      </c>
      <c r="G15" s="206">
        <f>IF(arb="Y",17,G11*Elba!$F$7+F11*(1-Elba!$F$7))</f>
        <v>17</v>
      </c>
      <c r="H15" s="206">
        <f>IF(arb="Y",17,H11*Elba!$F$7+G11*(1-Elba!$F$7))</f>
        <v>16</v>
      </c>
      <c r="I15" s="206">
        <f>IF(arb="Y",17,I11*Elba!$F$7+H11*(1-Elba!$F$7))</f>
        <v>15</v>
      </c>
      <c r="J15" s="206">
        <f>IF(arb="Y",17,J11*Elba!$F$7+I11*(1-Elba!$F$7))</f>
        <v>15</v>
      </c>
      <c r="K15" s="206">
        <f>IF(arb="Y",17,K11*Elba!$F$7+J11*(1-Elba!$F$7))</f>
        <v>14</v>
      </c>
      <c r="L15" s="206">
        <f>+L11*Elba!$F$7+K11*(1-Elba!$F$7)</f>
        <v>0</v>
      </c>
      <c r="M15" s="206">
        <f>+M11*Elba!$F$7+L11*(1-Elba!$F$7)</f>
        <v>0</v>
      </c>
      <c r="N15" s="206">
        <f>+N11*Elba!$F$7+M11*(1-Elba!$F$7)</f>
        <v>0</v>
      </c>
      <c r="O15" s="206">
        <f>+O11*Elba!$F$7+N11*(1-Elba!$F$7)</f>
        <v>0</v>
      </c>
      <c r="P15" s="206">
        <f>+P11*Elba!$F$7+O11*(1-Elba!$F$7)</f>
        <v>0</v>
      </c>
      <c r="Q15" s="206">
        <f>+Q11*Elba!$F$7+P11*(1-Elba!$F$7)</f>
        <v>0</v>
      </c>
      <c r="R15" s="206">
        <f>+R11*Elba!$F$7+Q11*(1-Elba!$F$7)</f>
        <v>0</v>
      </c>
      <c r="S15" s="206">
        <f>+S11*Elba!$F$7+R11*(1-Elba!$F$7)</f>
        <v>0</v>
      </c>
      <c r="T15" s="206">
        <f>+T11*Elba!$F$7+S11*(1-Elba!$F$7)</f>
        <v>0</v>
      </c>
      <c r="U15" s="206">
        <f>+U11*Elba!$F$7+T11*(1-Elba!$F$7)</f>
        <v>0</v>
      </c>
      <c r="V15" s="206">
        <f>+V11*Elba!$F$7+U11*(1-Elba!$F$7)</f>
        <v>0</v>
      </c>
      <c r="W15" s="206">
        <f>+W11*Elba!$F$7+V11*(1-Elba!$F$7)</f>
        <v>0</v>
      </c>
      <c r="X15" s="206">
        <f>+X11*Elba!$F$7+W11*(1-Elba!$F$7)</f>
        <v>0</v>
      </c>
      <c r="Y15" s="206">
        <f>+Y11*Elba!$F$7+X11*(1-Elba!$F$7)</f>
        <v>0</v>
      </c>
      <c r="Z15" s="206">
        <f>+Z11*Elba!$F$7+Y11*(1-Elba!$F$7)</f>
        <v>0</v>
      </c>
      <c r="AA15" s="207"/>
    </row>
    <row r="16" spans="1:27" s="15" customFormat="1" ht="12.75" customHeight="1" x14ac:dyDescent="0.2">
      <c r="A16" s="484" t="s">
        <v>76</v>
      </c>
      <c r="B16" s="211"/>
      <c r="C16" s="211"/>
      <c r="D16" s="211"/>
      <c r="E16" s="211" t="s">
        <v>74</v>
      </c>
      <c r="F16" s="485">
        <f>+F12*Elba!F$7</f>
        <v>0</v>
      </c>
      <c r="G16" s="485">
        <f>IF(arb="Y",7,G12*Elba!$F$7+F12*(1-Elba!$F$7))</f>
        <v>4</v>
      </c>
      <c r="H16" s="485">
        <f>IF(arb="Y",7,H12*Elba!$F$7+G12*(1-Elba!$F$7))</f>
        <v>4</v>
      </c>
      <c r="I16" s="485">
        <f>IF(arb="Y",7,I12*Elba!$F$7+H12*(1-Elba!$F$7))</f>
        <v>4</v>
      </c>
      <c r="J16" s="485">
        <f>IF(arb="Y",7,J12*Elba!$F$7+I12*(1-Elba!$F$7))</f>
        <v>3</v>
      </c>
      <c r="K16" s="485">
        <f>IF(arb="Y",7,K12*Elba!$F$7+J12*(1-Elba!$F$7))</f>
        <v>3</v>
      </c>
      <c r="L16" s="485">
        <f>+L12*Elba!$F$7+K12*(1-Elba!$F$7)</f>
        <v>0</v>
      </c>
      <c r="M16" s="485">
        <f>+M12*Elba!$F$7+L12*(1-Elba!$F$7)</f>
        <v>0</v>
      </c>
      <c r="N16" s="485">
        <f>+N12*Elba!$F$7+M12*(1-Elba!$F$7)</f>
        <v>0</v>
      </c>
      <c r="O16" s="485">
        <f>+O12*Elba!$F$7+N12*(1-Elba!$F$7)</f>
        <v>0</v>
      </c>
      <c r="P16" s="485">
        <f>+P12*Elba!$F$7+O12*(1-Elba!$F$7)</f>
        <v>0</v>
      </c>
      <c r="Q16" s="485">
        <f>+Q12*Elba!$F$7+P12*(1-Elba!$F$7)</f>
        <v>0</v>
      </c>
      <c r="R16" s="485">
        <f>+R12*Elba!$F$7+Q12*(1-Elba!$F$7)</f>
        <v>0</v>
      </c>
      <c r="S16" s="485">
        <f>+S12*Elba!$F$7+R12*(1-Elba!$F$7)</f>
        <v>0</v>
      </c>
      <c r="T16" s="485">
        <f>+T12*Elba!$F$7+S12*(1-Elba!$F$7)</f>
        <v>0</v>
      </c>
      <c r="U16" s="485">
        <f>+U12*Elba!$F$7+T12*(1-Elba!$F$7)</f>
        <v>0</v>
      </c>
      <c r="V16" s="485">
        <f>+V12*Elba!$F$7+U12*(1-Elba!$F$7)</f>
        <v>0</v>
      </c>
      <c r="W16" s="485">
        <f>+W12*Elba!$F$7+V12*(1-Elba!$F$7)</f>
        <v>0</v>
      </c>
      <c r="X16" s="485">
        <f>+X12*Elba!$F$7+W12*(1-Elba!$F$7)</f>
        <v>0</v>
      </c>
      <c r="Y16" s="485">
        <f>+Y12*Elba!$F$7+X12*(1-Elba!$F$7)</f>
        <v>0</v>
      </c>
      <c r="Z16" s="485">
        <f>+Z12*Elba!$F$7+Y12*(1-Elba!$F$7)</f>
        <v>0</v>
      </c>
      <c r="AA16" s="486"/>
    </row>
    <row r="17" spans="1:27" s="256" customFormat="1" ht="12.75" customHeight="1" x14ac:dyDescent="0.2">
      <c r="A17" s="483" t="s">
        <v>202</v>
      </c>
      <c r="B17" s="193"/>
      <c r="C17" s="193"/>
      <c r="D17" s="205"/>
      <c r="E17" s="205" t="s">
        <v>74</v>
      </c>
      <c r="F17" s="206">
        <f>SUM(F15:F16)</f>
        <v>0</v>
      </c>
      <c r="G17" s="206">
        <f t="shared" ref="G17:Z17" si="6">SUM(G15:G16)</f>
        <v>21</v>
      </c>
      <c r="H17" s="206">
        <f t="shared" si="6"/>
        <v>20</v>
      </c>
      <c r="I17" s="206">
        <f t="shared" si="6"/>
        <v>19</v>
      </c>
      <c r="J17" s="206">
        <f t="shared" si="6"/>
        <v>18</v>
      </c>
      <c r="K17" s="206">
        <f t="shared" si="6"/>
        <v>17</v>
      </c>
      <c r="L17" s="206">
        <f t="shared" si="6"/>
        <v>0</v>
      </c>
      <c r="M17" s="206">
        <f t="shared" si="6"/>
        <v>0</v>
      </c>
      <c r="N17" s="206">
        <f t="shared" si="6"/>
        <v>0</v>
      </c>
      <c r="O17" s="206">
        <f t="shared" si="6"/>
        <v>0</v>
      </c>
      <c r="P17" s="206">
        <f t="shared" si="6"/>
        <v>0</v>
      </c>
      <c r="Q17" s="206">
        <f t="shared" si="6"/>
        <v>0</v>
      </c>
      <c r="R17" s="206">
        <f t="shared" si="6"/>
        <v>0</v>
      </c>
      <c r="S17" s="206">
        <f t="shared" si="6"/>
        <v>0</v>
      </c>
      <c r="T17" s="206">
        <f t="shared" si="6"/>
        <v>0</v>
      </c>
      <c r="U17" s="206">
        <f t="shared" si="6"/>
        <v>0</v>
      </c>
      <c r="V17" s="206">
        <f t="shared" si="6"/>
        <v>0</v>
      </c>
      <c r="W17" s="206">
        <f t="shared" si="6"/>
        <v>0</v>
      </c>
      <c r="X17" s="206">
        <f t="shared" si="6"/>
        <v>0</v>
      </c>
      <c r="Y17" s="206">
        <f t="shared" si="6"/>
        <v>0</v>
      </c>
      <c r="Z17" s="206">
        <f t="shared" si="6"/>
        <v>0</v>
      </c>
      <c r="AA17" s="207"/>
    </row>
    <row r="18" spans="1:27" s="256" customFormat="1" ht="12.75" customHeight="1" x14ac:dyDescent="0.2">
      <c r="A18" s="483" t="s">
        <v>269</v>
      </c>
      <c r="B18" s="193"/>
      <c r="C18" s="193"/>
      <c r="D18" s="205"/>
      <c r="E18" s="205" t="s">
        <v>270</v>
      </c>
      <c r="F18" s="206">
        <f>+F15*ML+F16*NB</f>
        <v>0</v>
      </c>
      <c r="G18" s="206">
        <f t="shared" ref="G18:Z18" si="7">+G15*ML+G16*NB</f>
        <v>47.550557466155574</v>
      </c>
      <c r="H18" s="206">
        <f t="shared" si="7"/>
        <v>45.502574645946758</v>
      </c>
      <c r="I18" s="206">
        <f t="shared" si="7"/>
        <v>43.454591825737943</v>
      </c>
      <c r="J18" s="206">
        <f t="shared" si="7"/>
        <v>40.270879445086507</v>
      </c>
      <c r="K18" s="206">
        <f t="shared" si="7"/>
        <v>38.222896624877698</v>
      </c>
      <c r="L18" s="206">
        <f t="shared" si="7"/>
        <v>0</v>
      </c>
      <c r="M18" s="206">
        <f t="shared" si="7"/>
        <v>0</v>
      </c>
      <c r="N18" s="206">
        <f t="shared" si="7"/>
        <v>0</v>
      </c>
      <c r="O18" s="206">
        <f t="shared" si="7"/>
        <v>0</v>
      </c>
      <c r="P18" s="206">
        <f t="shared" si="7"/>
        <v>0</v>
      </c>
      <c r="Q18" s="206">
        <f t="shared" si="7"/>
        <v>0</v>
      </c>
      <c r="R18" s="206">
        <f t="shared" si="7"/>
        <v>0</v>
      </c>
      <c r="S18" s="206">
        <f t="shared" si="7"/>
        <v>0</v>
      </c>
      <c r="T18" s="206">
        <f t="shared" si="7"/>
        <v>0</v>
      </c>
      <c r="U18" s="206">
        <f t="shared" si="7"/>
        <v>0</v>
      </c>
      <c r="V18" s="206">
        <f t="shared" si="7"/>
        <v>0</v>
      </c>
      <c r="W18" s="206">
        <f t="shared" si="7"/>
        <v>0</v>
      </c>
      <c r="X18" s="206">
        <f t="shared" si="7"/>
        <v>0</v>
      </c>
      <c r="Y18" s="206">
        <f t="shared" si="7"/>
        <v>0</v>
      </c>
      <c r="Z18" s="206">
        <f t="shared" si="7"/>
        <v>0</v>
      </c>
      <c r="AA18" s="207"/>
    </row>
    <row r="19" spans="1:27" ht="12.75" customHeight="1" x14ac:dyDescent="0.2">
      <c r="A19" s="208"/>
      <c r="B19" s="194"/>
      <c r="C19" s="194"/>
      <c r="D19" s="194"/>
      <c r="E19" s="197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209"/>
    </row>
    <row r="20" spans="1:27" ht="12.75" customHeight="1" x14ac:dyDescent="0.2">
      <c r="A20" s="192" t="s">
        <v>201</v>
      </c>
      <c r="B20" s="193"/>
      <c r="C20" s="193"/>
      <c r="D20" s="194"/>
      <c r="E20" s="204" t="s">
        <v>77</v>
      </c>
      <c r="F20" s="196">
        <v>1</v>
      </c>
      <c r="G20" s="196">
        <f t="shared" ref="G20:Y20" si="8">+F20+1</f>
        <v>2</v>
      </c>
      <c r="H20" s="196">
        <f t="shared" si="8"/>
        <v>3</v>
      </c>
      <c r="I20" s="196">
        <f t="shared" si="8"/>
        <v>4</v>
      </c>
      <c r="J20" s="196">
        <f t="shared" si="8"/>
        <v>5</v>
      </c>
      <c r="K20" s="196">
        <f t="shared" si="8"/>
        <v>6</v>
      </c>
      <c r="L20" s="196">
        <f t="shared" si="8"/>
        <v>7</v>
      </c>
      <c r="M20" s="196">
        <f t="shared" si="8"/>
        <v>8</v>
      </c>
      <c r="N20" s="196">
        <f t="shared" si="8"/>
        <v>9</v>
      </c>
      <c r="O20" s="196">
        <f t="shared" si="8"/>
        <v>10</v>
      </c>
      <c r="P20" s="196">
        <f t="shared" si="8"/>
        <v>11</v>
      </c>
      <c r="Q20" s="196">
        <f t="shared" si="8"/>
        <v>12</v>
      </c>
      <c r="R20" s="196">
        <f t="shared" si="8"/>
        <v>13</v>
      </c>
      <c r="S20" s="196">
        <f t="shared" si="8"/>
        <v>14</v>
      </c>
      <c r="T20" s="196">
        <f t="shared" si="8"/>
        <v>15</v>
      </c>
      <c r="U20" s="196">
        <f t="shared" si="8"/>
        <v>16</v>
      </c>
      <c r="V20" s="196">
        <f t="shared" si="8"/>
        <v>17</v>
      </c>
      <c r="W20" s="196">
        <f t="shared" si="8"/>
        <v>18</v>
      </c>
      <c r="X20" s="196">
        <f t="shared" si="8"/>
        <v>19</v>
      </c>
      <c r="Y20" s="196">
        <f t="shared" si="8"/>
        <v>20</v>
      </c>
      <c r="Z20" s="196">
        <f>+Y20+1</f>
        <v>21</v>
      </c>
      <c r="AA20" s="198"/>
    </row>
    <row r="21" spans="1:27" ht="12.75" customHeight="1" x14ac:dyDescent="0.2">
      <c r="A21" s="199" t="s">
        <v>75</v>
      </c>
      <c r="B21" s="200"/>
      <c r="C21" s="200"/>
      <c r="D21" s="194"/>
      <c r="E21" s="194" t="s">
        <v>74</v>
      </c>
      <c r="F21" s="347">
        <v>0</v>
      </c>
      <c r="G21" s="347">
        <v>0</v>
      </c>
      <c r="H21" s="347">
        <v>0</v>
      </c>
      <c r="I21" s="347">
        <v>0</v>
      </c>
      <c r="J21" s="347">
        <v>0</v>
      </c>
      <c r="K21" s="347">
        <v>0</v>
      </c>
      <c r="L21" s="347">
        <f>IF(arb="Y",17,IF(switch=0,RAROC!$D10,ROUND(RAROC!$E10,)))</f>
        <v>17</v>
      </c>
      <c r="M21" s="347">
        <f>IF(arb="Y",17,IF(switch=0,RAROC!$D10,ROUND(RAROC!$E10,)))</f>
        <v>17</v>
      </c>
      <c r="N21" s="347">
        <f>IF(arb="Y",17,IF(switch=0,RAROC!$D10,ROUND(RAROC!$E10,)))</f>
        <v>17</v>
      </c>
      <c r="O21" s="347">
        <f>IF(arb="Y",17,IF(switch=0,RAROC!$D10,ROUND(RAROC!$E10,)))</f>
        <v>17</v>
      </c>
      <c r="P21" s="347">
        <f>IF(arb="Y",17,IF(switch=0,RAROC!$D10,ROUND(RAROC!$E10,)))</f>
        <v>17</v>
      </c>
      <c r="Q21" s="347">
        <f>IF(arb="Y",17,IF(switch=0,RAROC!$D10,ROUND(RAROC!$E10,)))</f>
        <v>17</v>
      </c>
      <c r="R21" s="347">
        <f>IF(arb="Y",17,IF(switch=0,RAROC!$D10,ROUND(RAROC!$E10,)))</f>
        <v>17</v>
      </c>
      <c r="S21" s="347">
        <f>IF(arb="Y",17,IF(switch=0,RAROC!$D10,ROUND(RAROC!$E10,)))</f>
        <v>17</v>
      </c>
      <c r="T21" s="347">
        <f>IF(arb="Y",17,IF(switch=0,RAROC!$D10,ROUND(RAROC!$E10,)))</f>
        <v>17</v>
      </c>
      <c r="U21" s="347">
        <f>IF(arb="Y",17,IF(switch=0,RAROC!$D10,ROUND(RAROC!$E10,)))</f>
        <v>17</v>
      </c>
      <c r="V21" s="347">
        <f>IF(arb="Y",17,IF(switch=0,RAROC!$D10,ROUND(RAROC!$E10,)))</f>
        <v>17</v>
      </c>
      <c r="W21" s="347">
        <f>IF(arb="Y",17,IF(switch=0,RAROC!$D10,ROUND(RAROC!$E10,)))</f>
        <v>17</v>
      </c>
      <c r="X21" s="347">
        <f>ROUND(RAROC!$D$10/SUM(RAROC!$D$10,RAROC!$D$14)*Elba!X$23,)</f>
        <v>0</v>
      </c>
      <c r="Y21" s="347">
        <f>ROUND(RAROC!$D$10/SUM(RAROC!$D$10,RAROC!$D$14)*Elba!Y$23,)</f>
        <v>0</v>
      </c>
      <c r="Z21" s="347">
        <f>ROUND(RAROC!$D$10/SUM(RAROC!$D$10,RAROC!$D$14)*Elba!Z$23,)</f>
        <v>0</v>
      </c>
      <c r="AA21" s="202"/>
    </row>
    <row r="22" spans="1:27" s="15" customFormat="1" ht="12.75" customHeight="1" x14ac:dyDescent="0.2">
      <c r="A22" s="484" t="s">
        <v>76</v>
      </c>
      <c r="B22" s="487"/>
      <c r="C22" s="487"/>
      <c r="D22" s="211"/>
      <c r="E22" s="211" t="s">
        <v>74</v>
      </c>
      <c r="F22" s="488">
        <v>0</v>
      </c>
      <c r="G22" s="488">
        <v>0</v>
      </c>
      <c r="H22" s="488">
        <v>0</v>
      </c>
      <c r="I22" s="488">
        <v>0</v>
      </c>
      <c r="J22" s="488">
        <v>0</v>
      </c>
      <c r="K22" s="488">
        <v>0</v>
      </c>
      <c r="L22" s="488">
        <f>IF(arb="Y",7,IF(ISERROR(VLOOKUP(L$28,'Common Assumpt'!$C$66:$E$86,3)),0,VLOOKUP(L$28,'Common Assumpt'!$C$66:$E$86,3))*L$7)</f>
        <v>4</v>
      </c>
      <c r="M22" s="488">
        <f>IF(arb="Y",7,IF(ISERROR(VLOOKUP(M$28,'Common Assumpt'!$C$66:$E$86,3)),0,VLOOKUP(M$28,'Common Assumpt'!$C$66:$E$86,3))*M$7)</f>
        <v>4</v>
      </c>
      <c r="N22" s="488">
        <f>IF(arb="Y",7,IF(ISERROR(VLOOKUP(N$28,'Common Assumpt'!$C$66:$E$86,3)),0,VLOOKUP(N$28,'Common Assumpt'!$C$66:$E$86,3))*N$7)</f>
        <v>4</v>
      </c>
      <c r="O22" s="488">
        <f>IF(arb="Y",7,IF(ISERROR(VLOOKUP(O$28,'Common Assumpt'!$C$66:$E$86,3)),0,VLOOKUP(O$28,'Common Assumpt'!$C$66:$E$86,3))*O$7)</f>
        <v>5</v>
      </c>
      <c r="P22" s="488">
        <f>IF(arb="Y",7,IF(ISERROR(VLOOKUP(P$28,'Common Assumpt'!$C$66:$E$86,3)),0,VLOOKUP(P$28,'Common Assumpt'!$C$66:$E$86,3))*P$7)</f>
        <v>5</v>
      </c>
      <c r="Q22" s="488">
        <f>IF(arb="Y",7,IF(ISERROR(VLOOKUP(Q$28,'Common Assumpt'!$C$66:$E$86,3)),0,VLOOKUP(Q$28,'Common Assumpt'!$C$66:$E$86,3))*Q$7)</f>
        <v>5</v>
      </c>
      <c r="R22" s="488">
        <f>IF(arb="Y",7,IF(ISERROR(VLOOKUP(R$28,'Common Assumpt'!$C$66:$E$86,3)),0,VLOOKUP(R$28,'Common Assumpt'!$C$66:$E$86,3))*R$7)</f>
        <v>6</v>
      </c>
      <c r="S22" s="488">
        <f>IF(arb="Y",7,IF(ISERROR(VLOOKUP(S$28,'Common Assumpt'!$C$66:$E$86,3)),0,VLOOKUP(S$28,'Common Assumpt'!$C$66:$E$86,3))*S$7)</f>
        <v>6</v>
      </c>
      <c r="T22" s="488">
        <f>IF(arb="Y",7,IF(ISERROR(VLOOKUP(T$28,'Common Assumpt'!$C$66:$E$86,3)),0,VLOOKUP(T$28,'Common Assumpt'!$C$66:$E$86,3))*T$7)</f>
        <v>6</v>
      </c>
      <c r="U22" s="488">
        <f>IF(arb="Y",7,IF(ISERROR(VLOOKUP(U$28,'Common Assumpt'!$C$66:$E$86,3)),0,VLOOKUP(U$28,'Common Assumpt'!$C$66:$E$86,3))*U$7)</f>
        <v>6</v>
      </c>
      <c r="V22" s="488">
        <f>IF(arb="Y",7,IF(ISERROR(VLOOKUP(V$28,'Common Assumpt'!$C$66:$E$86,3)),0,VLOOKUP(V$28,'Common Assumpt'!$C$66:$E$86,3))*V$7)</f>
        <v>6</v>
      </c>
      <c r="W22" s="488">
        <f>IF(arb="Y",7,IF(ISERROR(VLOOKUP(W$28,'Common Assumpt'!$C$66:$E$86,3)),0,VLOOKUP(W$28,'Common Assumpt'!$C$66:$E$86,3))*W$7)</f>
        <v>6</v>
      </c>
      <c r="X22" s="488">
        <f>ROUND(RAROC!$D$14/SUM(RAROC!$D$10,RAROC!$D$14)*Elba!X$23,)</f>
        <v>0</v>
      </c>
      <c r="Y22" s="488">
        <f>ROUND(RAROC!$D$14/SUM(RAROC!$D$10,RAROC!$D$14)*Elba!Y$23,)</f>
        <v>0</v>
      </c>
      <c r="Z22" s="488">
        <f>ROUND(RAROC!$D$14/SUM(RAROC!$D$10,RAROC!$D$14)*Elba!Z$23,)</f>
        <v>0</v>
      </c>
      <c r="AA22" s="489"/>
    </row>
    <row r="23" spans="1:27" ht="12.75" customHeight="1" x14ac:dyDescent="0.2">
      <c r="A23" s="203" t="s">
        <v>202</v>
      </c>
      <c r="B23" s="200"/>
      <c r="C23" s="200"/>
      <c r="D23" s="194"/>
      <c r="E23" s="194" t="s">
        <v>74</v>
      </c>
      <c r="F23" s="201">
        <v>0</v>
      </c>
      <c r="G23" s="201">
        <v>0</v>
      </c>
      <c r="H23" s="201">
        <v>0</v>
      </c>
      <c r="I23" s="201">
        <v>0</v>
      </c>
      <c r="J23" s="201">
        <v>0</v>
      </c>
      <c r="K23" s="201">
        <v>0</v>
      </c>
      <c r="L23" s="481"/>
      <c r="M23" s="481"/>
      <c r="N23" s="481"/>
      <c r="O23" s="481"/>
      <c r="P23" s="481"/>
      <c r="Q23" s="481"/>
      <c r="R23" s="481"/>
      <c r="S23" s="481"/>
      <c r="T23" s="481"/>
      <c r="U23" s="481"/>
      <c r="V23" s="481"/>
      <c r="W23" s="481"/>
      <c r="X23" s="481"/>
      <c r="Y23" s="481"/>
      <c r="Z23" s="481"/>
      <c r="AA23" s="202"/>
    </row>
    <row r="24" spans="1:27" s="256" customFormat="1" ht="12.75" customHeight="1" x14ac:dyDescent="0.2">
      <c r="A24" s="483" t="s">
        <v>269</v>
      </c>
      <c r="B24" s="193"/>
      <c r="C24" s="193"/>
      <c r="D24" s="205"/>
      <c r="E24" s="205" t="s">
        <v>270</v>
      </c>
      <c r="F24" s="206">
        <f>+F21*ML+F22*NB</f>
        <v>0</v>
      </c>
      <c r="G24" s="206">
        <f t="shared" ref="G24:Z24" si="9">+G21*ML+G22*NB</f>
        <v>0</v>
      </c>
      <c r="H24" s="206">
        <f t="shared" si="9"/>
        <v>0</v>
      </c>
      <c r="I24" s="206">
        <f t="shared" si="9"/>
        <v>0</v>
      </c>
      <c r="J24" s="206">
        <f t="shared" si="9"/>
        <v>0</v>
      </c>
      <c r="K24" s="206">
        <f t="shared" si="9"/>
        <v>0</v>
      </c>
      <c r="L24" s="206">
        <f t="shared" si="9"/>
        <v>47.550557466155574</v>
      </c>
      <c r="M24" s="206">
        <f t="shared" si="9"/>
        <v>47.550557466155574</v>
      </c>
      <c r="N24" s="206">
        <f t="shared" si="9"/>
        <v>47.550557466155574</v>
      </c>
      <c r="O24" s="206">
        <f t="shared" si="9"/>
        <v>50.73426984680701</v>
      </c>
      <c r="P24" s="206">
        <f t="shared" si="9"/>
        <v>50.73426984680701</v>
      </c>
      <c r="Q24" s="206">
        <f t="shared" si="9"/>
        <v>50.73426984680701</v>
      </c>
      <c r="R24" s="206">
        <f t="shared" si="9"/>
        <v>53.917982227458445</v>
      </c>
      <c r="S24" s="206">
        <f t="shared" si="9"/>
        <v>53.917982227458445</v>
      </c>
      <c r="T24" s="206">
        <f t="shared" si="9"/>
        <v>53.917982227458445</v>
      </c>
      <c r="U24" s="206">
        <f t="shared" si="9"/>
        <v>53.917982227458445</v>
      </c>
      <c r="V24" s="206">
        <f t="shared" si="9"/>
        <v>53.917982227458445</v>
      </c>
      <c r="W24" s="206">
        <f t="shared" si="9"/>
        <v>53.917982227458445</v>
      </c>
      <c r="X24" s="206">
        <f t="shared" si="9"/>
        <v>0</v>
      </c>
      <c r="Y24" s="206">
        <f t="shared" si="9"/>
        <v>0</v>
      </c>
      <c r="Z24" s="206">
        <f t="shared" si="9"/>
        <v>0</v>
      </c>
      <c r="AA24" s="207"/>
    </row>
    <row r="25" spans="1:27" ht="12.75" customHeight="1" x14ac:dyDescent="0.2">
      <c r="A25" s="203"/>
      <c r="B25" s="200"/>
      <c r="C25" s="200"/>
      <c r="D25" s="194"/>
      <c r="E25" s="194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2"/>
    </row>
    <row r="26" spans="1:27" ht="12.75" customHeight="1" x14ac:dyDescent="0.2">
      <c r="A26" s="210"/>
      <c r="B26" s="194"/>
      <c r="C26" s="194"/>
      <c r="D26" s="194"/>
      <c r="E26" s="225"/>
      <c r="F26" s="194"/>
      <c r="G26" s="194"/>
      <c r="H26" s="201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209"/>
    </row>
    <row r="27" spans="1:27" ht="12.75" customHeight="1" x14ac:dyDescent="0.2">
      <c r="A27" s="192" t="s">
        <v>84</v>
      </c>
      <c r="B27" s="227"/>
      <c r="C27" s="227"/>
      <c r="D27" s="228">
        <f>+'Common Assumpt'!C$4</f>
        <v>1999</v>
      </c>
      <c r="E27" s="228">
        <f>+'Common Assumpt'!D$4</f>
        <v>2000</v>
      </c>
      <c r="F27" s="228">
        <f>+'Common Assumpt'!E$4</f>
        <v>2001</v>
      </c>
      <c r="G27" s="228">
        <f>+'Common Assumpt'!F$4</f>
        <v>2002</v>
      </c>
      <c r="H27" s="228">
        <f>+'Common Assumpt'!G$4</f>
        <v>2003</v>
      </c>
      <c r="I27" s="228">
        <f>+'Common Assumpt'!H$4</f>
        <v>2004</v>
      </c>
      <c r="J27" s="228">
        <f>+'Common Assumpt'!I$4</f>
        <v>2005</v>
      </c>
      <c r="K27" s="228">
        <f>+'Common Assumpt'!J$4</f>
        <v>2006</v>
      </c>
      <c r="L27" s="228">
        <f>+'Common Assumpt'!K$4</f>
        <v>2007</v>
      </c>
      <c r="M27" s="228">
        <f>+'Common Assumpt'!L$4</f>
        <v>2008</v>
      </c>
      <c r="N27" s="228">
        <f>+'Common Assumpt'!M$4</f>
        <v>2009</v>
      </c>
      <c r="O27" s="228">
        <f>+'Common Assumpt'!N$4</f>
        <v>2010</v>
      </c>
      <c r="P27" s="228">
        <f>+'Common Assumpt'!O$4</f>
        <v>2011</v>
      </c>
      <c r="Q27" s="228">
        <f>+'Common Assumpt'!P$4</f>
        <v>2012</v>
      </c>
      <c r="R27" s="228">
        <f>+'Common Assumpt'!Q$4</f>
        <v>2013</v>
      </c>
      <c r="S27" s="228">
        <f>+'Common Assumpt'!R$4</f>
        <v>2014</v>
      </c>
      <c r="T27" s="228">
        <f>+'Common Assumpt'!S$4</f>
        <v>2015</v>
      </c>
      <c r="U27" s="228">
        <f>+'Common Assumpt'!T$4</f>
        <v>2016</v>
      </c>
      <c r="V27" s="228">
        <f>+'Common Assumpt'!U$4</f>
        <v>2017</v>
      </c>
      <c r="W27" s="228">
        <f>+'Common Assumpt'!V$4</f>
        <v>2018</v>
      </c>
      <c r="X27" s="228">
        <f>+'Common Assumpt'!W$4</f>
        <v>2019</v>
      </c>
      <c r="Y27" s="228">
        <f>+'Common Assumpt'!X$4</f>
        <v>2020</v>
      </c>
      <c r="Z27" s="228">
        <f>+'Common Assumpt'!Y$4</f>
        <v>2021</v>
      </c>
      <c r="AA27" s="229">
        <f>+'Common Assumpt'!Z$4</f>
        <v>2022</v>
      </c>
    </row>
    <row r="28" spans="1:27" ht="12.75" customHeight="1" x14ac:dyDescent="0.2">
      <c r="A28" s="457" t="s">
        <v>83</v>
      </c>
      <c r="B28" s="7"/>
      <c r="C28" s="7"/>
      <c r="D28" s="230">
        <f>+'Common Assumpt'!C$5</f>
        <v>2.2758333333333334</v>
      </c>
      <c r="E28" s="230">
        <f>+'Common Assumpt'!D$5</f>
        <v>2.8247917881046067</v>
      </c>
      <c r="F28" s="230">
        <f>+'Common Assumpt'!E$5</f>
        <v>2.8035582543088018</v>
      </c>
      <c r="G28" s="230">
        <f>+'Common Assumpt'!F$5</f>
        <v>2.7476317857430446</v>
      </c>
      <c r="H28" s="230">
        <f>+'Common Assumpt'!G$5</f>
        <v>2.764410966272191</v>
      </c>
      <c r="I28" s="230">
        <f>+'Common Assumpt'!H$5</f>
        <v>2.7880856580080597</v>
      </c>
      <c r="J28" s="230">
        <f>+'Common Assumpt'!I$5</f>
        <v>2.837871278959808</v>
      </c>
      <c r="K28" s="230">
        <f>+'Common Assumpt'!J$5</f>
        <v>2.9118056177749216</v>
      </c>
      <c r="L28" s="230">
        <f>+'Common Assumpt'!K$5</f>
        <v>2.959272063385868</v>
      </c>
      <c r="M28" s="230">
        <f>+'Common Assumpt'!L$5</f>
        <v>3.044883950378491</v>
      </c>
      <c r="N28" s="230">
        <f>+'Common Assumpt'!M$5</f>
        <v>3.0785328085180041</v>
      </c>
      <c r="O28" s="230">
        <f>+'Common Assumpt'!N$5</f>
        <v>3.1634924224136838</v>
      </c>
      <c r="P28" s="230">
        <f>+'Common Assumpt'!O$5</f>
        <v>3.2379933772990568</v>
      </c>
      <c r="Q28" s="230">
        <f>+'Common Assumpt'!P$5</f>
        <v>3.3410846234479799</v>
      </c>
      <c r="R28" s="230">
        <f>+'Common Assumpt'!Q$5</f>
        <v>3.4310919673019931</v>
      </c>
      <c r="S28" s="230">
        <f>+'Common Assumpt'!R$5</f>
        <v>3.5188379993231749</v>
      </c>
      <c r="T28" s="230">
        <f>+'Common Assumpt'!S$5</f>
        <v>3.6227454064444227</v>
      </c>
      <c r="U28" s="230">
        <f>+'Common Assumpt'!T$5</f>
        <v>3.7481789813050437</v>
      </c>
      <c r="V28" s="230">
        <f>+'Common Assumpt'!U$5</f>
        <v>3.8519840950692905</v>
      </c>
      <c r="W28" s="230">
        <f>+'Common Assumpt'!V$5</f>
        <v>3.9378206826128754</v>
      </c>
      <c r="X28" s="230">
        <f>+'Common Assumpt'!W$5</f>
        <v>4.0769793214244894</v>
      </c>
      <c r="Y28" s="230">
        <f>+'Common Assumpt'!X$5</f>
        <v>4.0769793214244894</v>
      </c>
      <c r="Z28" s="230">
        <f>+'Common Assumpt'!Y$5</f>
        <v>4.0769793214244894</v>
      </c>
      <c r="AA28" s="231">
        <f>+'Common Assumpt'!Z$5</f>
        <v>4.0769793214244894</v>
      </c>
    </row>
    <row r="29" spans="1:27" ht="12.75" customHeight="1" x14ac:dyDescent="0.2">
      <c r="A29" s="457"/>
      <c r="B29" s="7"/>
      <c r="C29" s="7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1"/>
    </row>
    <row r="30" spans="1:27" ht="12.75" customHeight="1" x14ac:dyDescent="0.2">
      <c r="A30" s="459" t="s">
        <v>163</v>
      </c>
      <c r="B30" s="211"/>
      <c r="C30" s="211"/>
      <c r="D30" s="232">
        <f>+'Common Assumpt'!C$7</f>
        <v>1.6318326471105999E-2</v>
      </c>
      <c r="E30" s="232">
        <f>+'Common Assumpt'!D$7</f>
        <v>1.6318326471105999E-2</v>
      </c>
      <c r="F30" s="232">
        <f>+'Common Assumpt'!E$7</f>
        <v>1.6318326471105999E-2</v>
      </c>
      <c r="G30" s="232">
        <f>+'Common Assumpt'!F$7</f>
        <v>1.6318326471105999E-2</v>
      </c>
      <c r="H30" s="232">
        <f>+'Common Assumpt'!G$7</f>
        <v>1.6318326471105999E-2</v>
      </c>
      <c r="I30" s="232">
        <f>+'Common Assumpt'!H$7</f>
        <v>1.6318326471105999E-2</v>
      </c>
      <c r="J30" s="232">
        <f>+'Common Assumpt'!I$7</f>
        <v>1.6318326471105999E-2</v>
      </c>
      <c r="K30" s="232">
        <f>+'Common Assumpt'!J$7</f>
        <v>1.6318326471105999E-2</v>
      </c>
      <c r="L30" s="232">
        <f>+'Common Assumpt'!K$7</f>
        <v>1.6318326471105999E-2</v>
      </c>
      <c r="M30" s="232">
        <f>+'Common Assumpt'!L$7</f>
        <v>1.6318326471105999E-2</v>
      </c>
      <c r="N30" s="232">
        <f>+'Common Assumpt'!M$7</f>
        <v>1.6318326471105999E-2</v>
      </c>
      <c r="O30" s="232">
        <f>+'Common Assumpt'!N$7</f>
        <v>1.6318326471105999E-2</v>
      </c>
      <c r="P30" s="232">
        <f>+'Common Assumpt'!O$7</f>
        <v>1.6318326471105999E-2</v>
      </c>
      <c r="Q30" s="232">
        <f>+'Common Assumpt'!P$7</f>
        <v>1.6318326471105999E-2</v>
      </c>
      <c r="R30" s="232">
        <f>+'Common Assumpt'!Q$7</f>
        <v>1.6318326471105999E-2</v>
      </c>
      <c r="S30" s="232">
        <f>+'Common Assumpt'!R$7</f>
        <v>1.6318326471105999E-2</v>
      </c>
      <c r="T30" s="232">
        <f>+'Common Assumpt'!S$7</f>
        <v>1.6318326471105999E-2</v>
      </c>
      <c r="U30" s="232">
        <f>+'Common Assumpt'!T$7</f>
        <v>1.6318326471105999E-2</v>
      </c>
      <c r="V30" s="232">
        <f>+'Common Assumpt'!U$7</f>
        <v>1.6318326471105999E-2</v>
      </c>
      <c r="W30" s="232">
        <f>+'Common Assumpt'!V$7</f>
        <v>1.6318326471105999E-2</v>
      </c>
      <c r="X30" s="232">
        <f>+'Common Assumpt'!W$7</f>
        <v>1.6318326471105999E-2</v>
      </c>
      <c r="Y30" s="232">
        <f>+'Common Assumpt'!X$7</f>
        <v>1.6318326471105999E-2</v>
      </c>
      <c r="Z30" s="232">
        <f>+'Common Assumpt'!Y$7</f>
        <v>1.6318326471105999E-2</v>
      </c>
      <c r="AA30" s="233">
        <f>+'Common Assumpt'!Z$7</f>
        <v>1.6318326471105999E-2</v>
      </c>
    </row>
    <row r="31" spans="1:27" ht="12.75" customHeight="1" x14ac:dyDescent="0.2">
      <c r="A31" s="458" t="s">
        <v>143</v>
      </c>
      <c r="B31" s="216"/>
      <c r="C31" s="216"/>
      <c r="D31" s="235">
        <f>+D28+D30</f>
        <v>2.2921516598044396</v>
      </c>
      <c r="E31" s="235">
        <f t="shared" ref="E31:AA31" si="10">+E28+E30</f>
        <v>2.8411101145757129</v>
      </c>
      <c r="F31" s="235">
        <f t="shared" si="10"/>
        <v>2.819876580779908</v>
      </c>
      <c r="G31" s="235">
        <f t="shared" si="10"/>
        <v>2.7639501122141508</v>
      </c>
      <c r="H31" s="235">
        <f t="shared" si="10"/>
        <v>2.7807292927432972</v>
      </c>
      <c r="I31" s="235">
        <f t="shared" si="10"/>
        <v>2.8044039844791659</v>
      </c>
      <c r="J31" s="235">
        <f t="shared" si="10"/>
        <v>2.8541896054309142</v>
      </c>
      <c r="K31" s="235">
        <f t="shared" si="10"/>
        <v>2.9281239442460278</v>
      </c>
      <c r="L31" s="235">
        <f t="shared" si="10"/>
        <v>2.9755903898569742</v>
      </c>
      <c r="M31" s="235">
        <f t="shared" si="10"/>
        <v>3.0612022768495972</v>
      </c>
      <c r="N31" s="235">
        <f t="shared" si="10"/>
        <v>3.0948511349891104</v>
      </c>
      <c r="O31" s="235">
        <f t="shared" si="10"/>
        <v>3.17981074888479</v>
      </c>
      <c r="P31" s="235">
        <f t="shared" si="10"/>
        <v>3.254311703770163</v>
      </c>
      <c r="Q31" s="235">
        <f t="shared" si="10"/>
        <v>3.3574029499190861</v>
      </c>
      <c r="R31" s="235">
        <f t="shared" si="10"/>
        <v>3.4474102937730993</v>
      </c>
      <c r="S31" s="235">
        <f t="shared" si="10"/>
        <v>3.5351563257942811</v>
      </c>
      <c r="T31" s="235">
        <f t="shared" si="10"/>
        <v>3.6390637329155289</v>
      </c>
      <c r="U31" s="235">
        <f t="shared" si="10"/>
        <v>3.7644973077761499</v>
      </c>
      <c r="V31" s="235">
        <f t="shared" si="10"/>
        <v>3.8683024215403967</v>
      </c>
      <c r="W31" s="235">
        <f t="shared" si="10"/>
        <v>3.9541390090839816</v>
      </c>
      <c r="X31" s="235">
        <f t="shared" si="10"/>
        <v>4.0932976478955956</v>
      </c>
      <c r="Y31" s="235">
        <f t="shared" si="10"/>
        <v>4.0932976478955956</v>
      </c>
      <c r="Z31" s="235">
        <f t="shared" si="10"/>
        <v>4.0932976478955956</v>
      </c>
      <c r="AA31" s="236">
        <f t="shared" si="10"/>
        <v>4.0932976478955956</v>
      </c>
    </row>
    <row r="32" spans="1:27" ht="12.75" customHeight="1" x14ac:dyDescent="0.2">
      <c r="A32" s="234"/>
      <c r="B32" s="216"/>
      <c r="C32" s="216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6"/>
    </row>
    <row r="33" spans="1:27" ht="12.75" customHeight="1" x14ac:dyDescent="0.2">
      <c r="A33" s="459" t="s">
        <v>164</v>
      </c>
      <c r="B33" s="211"/>
      <c r="C33" s="211"/>
      <c r="D33" s="232">
        <f>+'Common Assumpt'!C$6</f>
        <v>-7.0000000000000007E-2</v>
      </c>
      <c r="E33" s="232">
        <f>+'Common Assumpt'!D$6</f>
        <v>-7.0000000000000007E-2</v>
      </c>
      <c r="F33" s="232">
        <f>+'Common Assumpt'!E$6</f>
        <v>-7.0000000000000007E-2</v>
      </c>
      <c r="G33" s="232">
        <f>+'Common Assumpt'!F$6</f>
        <v>-7.0000000000000007E-2</v>
      </c>
      <c r="H33" s="232">
        <f>+'Common Assumpt'!G$6</f>
        <v>-7.0000000000000007E-2</v>
      </c>
      <c r="I33" s="232">
        <f>+'Common Assumpt'!H$6</f>
        <v>-7.0000000000000007E-2</v>
      </c>
      <c r="J33" s="232">
        <f>+'Common Assumpt'!I$6</f>
        <v>-7.0000000000000007E-2</v>
      </c>
      <c r="K33" s="232">
        <f>+'Common Assumpt'!J$6</f>
        <v>-7.0000000000000007E-2</v>
      </c>
      <c r="L33" s="232">
        <f>+'Common Assumpt'!K$6</f>
        <v>-7.0000000000000007E-2</v>
      </c>
      <c r="M33" s="232">
        <f>+'Common Assumpt'!L$6</f>
        <v>-7.0000000000000007E-2</v>
      </c>
      <c r="N33" s="232">
        <f>+'Common Assumpt'!M$6</f>
        <v>-7.0000000000000007E-2</v>
      </c>
      <c r="O33" s="232">
        <f>+'Common Assumpt'!N$6</f>
        <v>-7.0000000000000007E-2</v>
      </c>
      <c r="P33" s="232">
        <f>+'Common Assumpt'!O$6</f>
        <v>-7.0000000000000007E-2</v>
      </c>
      <c r="Q33" s="232">
        <f>+'Common Assumpt'!P$6</f>
        <v>-7.0000000000000007E-2</v>
      </c>
      <c r="R33" s="232">
        <f>+'Common Assumpt'!Q$6</f>
        <v>-7.0000000000000007E-2</v>
      </c>
      <c r="S33" s="232">
        <f>+'Common Assumpt'!R$6</f>
        <v>-7.0000000000000007E-2</v>
      </c>
      <c r="T33" s="232">
        <f>+'Common Assumpt'!S$6</f>
        <v>-7.0000000000000007E-2</v>
      </c>
      <c r="U33" s="232">
        <f>+'Common Assumpt'!T$6</f>
        <v>-7.0000000000000007E-2</v>
      </c>
      <c r="V33" s="232">
        <f>+'Common Assumpt'!U$6</f>
        <v>-7.0000000000000007E-2</v>
      </c>
      <c r="W33" s="232">
        <f>+'Common Assumpt'!V$6</f>
        <v>-7.0000000000000007E-2</v>
      </c>
      <c r="X33" s="232">
        <f>+'Common Assumpt'!W$6</f>
        <v>-7.0000000000000007E-2</v>
      </c>
      <c r="Y33" s="232">
        <f>+'Common Assumpt'!X$6</f>
        <v>-7.0000000000000007E-2</v>
      </c>
      <c r="Z33" s="232">
        <f>+'Common Assumpt'!Y$6</f>
        <v>-7.0000000000000007E-2</v>
      </c>
      <c r="AA33" s="233">
        <f>+'Common Assumpt'!Z$6</f>
        <v>-7.0000000000000007E-2</v>
      </c>
    </row>
    <row r="34" spans="1:27" ht="12.75" customHeight="1" x14ac:dyDescent="0.2">
      <c r="A34" s="458" t="s">
        <v>165</v>
      </c>
      <c r="B34" s="216"/>
      <c r="C34" s="216"/>
      <c r="D34" s="235">
        <f>+D28+D33</f>
        <v>2.2058333333333335</v>
      </c>
      <c r="E34" s="235">
        <f t="shared" ref="E34:AA34" si="11">+E28+E33</f>
        <v>2.7547917881046069</v>
      </c>
      <c r="F34" s="235">
        <f t="shared" si="11"/>
        <v>2.7335582543088019</v>
      </c>
      <c r="G34" s="235">
        <f t="shared" si="11"/>
        <v>2.6776317857430447</v>
      </c>
      <c r="H34" s="235">
        <f t="shared" si="11"/>
        <v>2.6944109662721911</v>
      </c>
      <c r="I34" s="235">
        <f t="shared" si="11"/>
        <v>2.7180856580080599</v>
      </c>
      <c r="J34" s="235">
        <f t="shared" si="11"/>
        <v>2.7678712789598081</v>
      </c>
      <c r="K34" s="235">
        <f t="shared" si="11"/>
        <v>2.8418056177749218</v>
      </c>
      <c r="L34" s="235">
        <f t="shared" si="11"/>
        <v>2.8892720633858682</v>
      </c>
      <c r="M34" s="235">
        <f t="shared" si="11"/>
        <v>2.9748839503784912</v>
      </c>
      <c r="N34" s="235">
        <f t="shared" si="11"/>
        <v>3.0085328085180043</v>
      </c>
      <c r="O34" s="235">
        <f t="shared" si="11"/>
        <v>3.0934924224136839</v>
      </c>
      <c r="P34" s="235">
        <f t="shared" si="11"/>
        <v>3.1679933772990569</v>
      </c>
      <c r="Q34" s="235">
        <f t="shared" si="11"/>
        <v>3.27108462344798</v>
      </c>
      <c r="R34" s="235">
        <f t="shared" si="11"/>
        <v>3.3610919673019932</v>
      </c>
      <c r="S34" s="235">
        <f t="shared" si="11"/>
        <v>3.448837999323175</v>
      </c>
      <c r="T34" s="235">
        <f t="shared" si="11"/>
        <v>3.5527454064444228</v>
      </c>
      <c r="U34" s="235">
        <f t="shared" si="11"/>
        <v>3.6781789813050438</v>
      </c>
      <c r="V34" s="235">
        <f t="shared" si="11"/>
        <v>3.7819840950692907</v>
      </c>
      <c r="W34" s="235">
        <f t="shared" si="11"/>
        <v>3.8678206826128756</v>
      </c>
      <c r="X34" s="235">
        <f t="shared" si="11"/>
        <v>4.0069793214244891</v>
      </c>
      <c r="Y34" s="235">
        <f t="shared" si="11"/>
        <v>4.0069793214244891</v>
      </c>
      <c r="Z34" s="235">
        <f t="shared" si="11"/>
        <v>4.0069793214244891</v>
      </c>
      <c r="AA34" s="236">
        <f t="shared" si="11"/>
        <v>4.0069793214244891</v>
      </c>
    </row>
    <row r="35" spans="1:27" ht="12.75" customHeight="1" x14ac:dyDescent="0.2">
      <c r="A35" s="458"/>
      <c r="B35" s="216"/>
      <c r="C35" s="216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6"/>
    </row>
    <row r="36" spans="1:27" ht="12.75" customHeight="1" x14ac:dyDescent="0.2">
      <c r="A36" s="458" t="s">
        <v>169</v>
      </c>
      <c r="B36" s="216"/>
      <c r="C36" s="216"/>
      <c r="D36" s="235">
        <f>+D30-D33</f>
        <v>8.6318326471106002E-2</v>
      </c>
      <c r="E36" s="235">
        <f t="shared" ref="E36:AA36" si="12">+E30-E33</f>
        <v>8.6318326471106002E-2</v>
      </c>
      <c r="F36" s="235">
        <f t="shared" si="12"/>
        <v>8.6318326471106002E-2</v>
      </c>
      <c r="G36" s="235">
        <f t="shared" si="12"/>
        <v>8.6318326471106002E-2</v>
      </c>
      <c r="H36" s="235">
        <f t="shared" si="12"/>
        <v>8.6318326471106002E-2</v>
      </c>
      <c r="I36" s="235">
        <f t="shared" si="12"/>
        <v>8.6318326471106002E-2</v>
      </c>
      <c r="J36" s="235">
        <f t="shared" si="12"/>
        <v>8.6318326471106002E-2</v>
      </c>
      <c r="K36" s="235">
        <f t="shared" si="12"/>
        <v>8.6318326471106002E-2</v>
      </c>
      <c r="L36" s="235">
        <f t="shared" si="12"/>
        <v>8.6318326471106002E-2</v>
      </c>
      <c r="M36" s="235">
        <f t="shared" si="12"/>
        <v>8.6318326471106002E-2</v>
      </c>
      <c r="N36" s="235">
        <f t="shared" si="12"/>
        <v>8.6318326471106002E-2</v>
      </c>
      <c r="O36" s="235">
        <f t="shared" si="12"/>
        <v>8.6318326471106002E-2</v>
      </c>
      <c r="P36" s="235">
        <f t="shared" si="12"/>
        <v>8.6318326471106002E-2</v>
      </c>
      <c r="Q36" s="235">
        <f t="shared" si="12"/>
        <v>8.6318326471106002E-2</v>
      </c>
      <c r="R36" s="235">
        <f t="shared" si="12"/>
        <v>8.6318326471106002E-2</v>
      </c>
      <c r="S36" s="235">
        <f t="shared" si="12"/>
        <v>8.6318326471106002E-2</v>
      </c>
      <c r="T36" s="235">
        <f t="shared" si="12"/>
        <v>8.6318326471106002E-2</v>
      </c>
      <c r="U36" s="235">
        <f t="shared" si="12"/>
        <v>8.6318326471106002E-2</v>
      </c>
      <c r="V36" s="235">
        <f t="shared" si="12"/>
        <v>8.6318326471106002E-2</v>
      </c>
      <c r="W36" s="235">
        <f t="shared" si="12"/>
        <v>8.6318326471106002E-2</v>
      </c>
      <c r="X36" s="235">
        <f t="shared" si="12"/>
        <v>8.6318326471106002E-2</v>
      </c>
      <c r="Y36" s="235">
        <f t="shared" si="12"/>
        <v>8.6318326471106002E-2</v>
      </c>
      <c r="Z36" s="235">
        <f t="shared" si="12"/>
        <v>8.6318326471106002E-2</v>
      </c>
      <c r="AA36" s="236">
        <f t="shared" si="12"/>
        <v>8.6318326471106002E-2</v>
      </c>
    </row>
    <row r="37" spans="1:27" ht="13.5" customHeight="1" thickBot="1" x14ac:dyDescent="0.25">
      <c r="A37" s="237"/>
      <c r="B37" s="238"/>
      <c r="C37" s="238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40"/>
    </row>
    <row r="38" spans="1:27" s="194" customFormat="1" ht="12.75" customHeight="1" x14ac:dyDescent="0.2"/>
    <row r="39" spans="1:27" ht="12.75" customHeight="1" x14ac:dyDescent="0.2">
      <c r="A39" s="263" t="s">
        <v>173</v>
      </c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6"/>
    </row>
    <row r="40" spans="1:27" ht="12.75" customHeight="1" x14ac:dyDescent="0.2">
      <c r="A40" s="494"/>
      <c r="B40" s="495"/>
      <c r="C40" s="495"/>
      <c r="D40" s="495"/>
      <c r="E40" s="495"/>
      <c r="F40" s="495"/>
      <c r="G40" s="495"/>
      <c r="H40" s="495"/>
      <c r="I40" s="495"/>
      <c r="J40" s="495"/>
      <c r="K40" s="495"/>
      <c r="L40" s="495"/>
      <c r="M40" s="495"/>
      <c r="N40" s="495"/>
      <c r="O40" s="495"/>
      <c r="P40" s="495"/>
      <c r="Q40" s="495"/>
      <c r="R40" s="495"/>
      <c r="S40" s="495"/>
      <c r="T40" s="495"/>
      <c r="U40" s="495"/>
      <c r="V40" s="495"/>
      <c r="W40" s="495"/>
      <c r="X40" s="495"/>
      <c r="Y40" s="495"/>
      <c r="Z40" s="495"/>
      <c r="AA40" s="496"/>
    </row>
    <row r="41" spans="1:27" s="254" customFormat="1" ht="12.75" customHeight="1" x14ac:dyDescent="0.2">
      <c r="A41" s="357" t="s">
        <v>193</v>
      </c>
      <c r="B41" s="217"/>
      <c r="C41" s="217"/>
      <c r="D41" s="448">
        <f>'Common Assumpt'!$G$43</f>
        <v>5.5712126045260799</v>
      </c>
      <c r="E41" s="317">
        <f>+D41*(1+HLOOKUP(E$4,USInf97!$M$2:$AY$3,2)*'Common Assumpt'!$D$38)</f>
        <v>5.6565107026032626</v>
      </c>
      <c r="F41" s="317">
        <f>+E41*(1+HLOOKUP(F$4,USInf97!$M$2:$AY$3,2)*'Common Assumpt'!$D$38)</f>
        <v>5.7491242184443578</v>
      </c>
      <c r="G41" s="317">
        <f>+F41*(1+HLOOKUP(G$4,USInf97!$M$2:$AY$3,2)*'Common Assumpt'!$D$38)</f>
        <v>5.8364448877003081</v>
      </c>
      <c r="H41" s="317">
        <f>+G41*(1+HLOOKUP(H$4,USInf97!$M$2:$AY$3,2)*'Common Assumpt'!$D$38)</f>
        <v>5.9221805146882192</v>
      </c>
      <c r="I41" s="317">
        <f>+H41*(1+HLOOKUP(I$4,USInf97!$M$2:$AY$3,2)*'Common Assumpt'!$D$38)</f>
        <v>6.0070216447718856</v>
      </c>
      <c r="J41" s="317">
        <f>+I41*(1+HLOOKUP(J$4,USInf97!$M$2:$AY$3,2)*'Common Assumpt'!$D$38)</f>
        <v>6.0915800084406824</v>
      </c>
      <c r="K41" s="317">
        <f>+J41*(1+HLOOKUP(K$4,USInf97!$M$2:$AY$3,2)*'Common Assumpt'!$D$38)</f>
        <v>6.1753155588628834</v>
      </c>
      <c r="L41" s="317">
        <f>+K41*(1+HLOOKUP(L$4,USInf97!$M$2:$AY$3,2)*'Common Assumpt'!$D$38)</f>
        <v>6.2582384743019839</v>
      </c>
      <c r="M41" s="317">
        <f>+L41*(1+HLOOKUP(M$4,USInf97!$M$2:$AY$3,2)*'Common Assumpt'!$D$38)</f>
        <v>6.3407140335343852</v>
      </c>
      <c r="N41" s="317">
        <f>+M41*(1+HLOOKUP(N$4,USInf97!$M$2:$AY$3,2)*'Common Assumpt'!$D$38)</f>
        <v>6.4228664218452556</v>
      </c>
      <c r="O41" s="317">
        <f>+N41*(1+HLOOKUP(O$4,USInf97!$M$2:$AY$3,2)*'Common Assumpt'!$D$38)</f>
        <v>6.5048016715867192</v>
      </c>
      <c r="P41" s="317">
        <f>+O41*(1+HLOOKUP(P$4,USInf97!$M$2:$AY$3,2)*'Common Assumpt'!$D$38)</f>
        <v>6.5868357979037526</v>
      </c>
      <c r="Q41" s="317">
        <f>+P41*(1+HLOOKUP(Q$4,USInf97!$M$2:$AY$3,2)*'Common Assumpt'!$D$38)</f>
        <v>6.6692473585660217</v>
      </c>
      <c r="R41" s="317">
        <f>+Q41*(1+HLOOKUP(R$4,USInf97!$M$2:$AY$3,2)*'Common Assumpt'!$D$38)</f>
        <v>6.7529256526226087</v>
      </c>
      <c r="S41" s="317">
        <f>+R41*(1+HLOOKUP(S$4,USInf97!$M$2:$AY$3,2)*'Common Assumpt'!$D$38)</f>
        <v>6.8388468387574539</v>
      </c>
      <c r="T41" s="317">
        <f>+S41*(1+HLOOKUP(T$4,USInf97!$M$2:$AY$3,2)*'Common Assumpt'!$D$38)</f>
        <v>6.9272257785908256</v>
      </c>
      <c r="U41" s="317">
        <f>+T41*(1+HLOOKUP(U$4,USInf97!$M$2:$AY$3,2)*'Common Assumpt'!$D$38)</f>
        <v>7.0185033198907378</v>
      </c>
      <c r="V41" s="317">
        <f>+U41*(1+HLOOKUP(V$4,USInf97!$M$2:$AY$3,2)*'Common Assumpt'!$D$38)</f>
        <v>7.1127049177306656</v>
      </c>
      <c r="W41" s="317">
        <f>+V41*(1+HLOOKUP(W$4,USInf97!$M$2:$AY$3,2)*'Common Assumpt'!$D$38)</f>
        <v>7.2093978827559777</v>
      </c>
      <c r="X41" s="317">
        <f>+W41*(1+HLOOKUP(X$4,USInf97!$M$2:$AY$3,2)*'Common Assumpt'!$D$38)</f>
        <v>7.3094580619171339</v>
      </c>
      <c r="Y41" s="317">
        <f>+X41*(1+HLOOKUP(Y$4,USInf97!$M$2:$AY$3,2)*'Common Assumpt'!$D$38)</f>
        <v>7.4138238507212426</v>
      </c>
      <c r="Z41" s="317">
        <f>+Y41*(1+HLOOKUP(Z$4,USInf97!$M$2:$AY$3,2)*'Common Assumpt'!$D$38)</f>
        <v>7.5240402729123268</v>
      </c>
      <c r="AA41" s="318">
        <f>+Z41*(1+HLOOKUP(AA$4,USInf97!$M$2:$AY$3,2)*'Common Assumpt'!$D$38)</f>
        <v>7.6396955224471368</v>
      </c>
    </row>
    <row r="42" spans="1:27" s="254" customFormat="1" ht="12.75" customHeight="1" x14ac:dyDescent="0.2">
      <c r="A42" s="288" t="s">
        <v>194</v>
      </c>
      <c r="B42" s="217"/>
      <c r="C42" s="217"/>
      <c r="D42" s="448">
        <f>'Common Assumpt'!$G$44*IF(arb="y",0,1)</f>
        <v>2.6519669249769236E-2</v>
      </c>
      <c r="E42" s="317">
        <f>+D42*(1+HLOOKUP(E$4,USInf97!$M$2:$AY$3,2)*'Common Assumpt'!$D$38)</f>
        <v>2.692569887190276E-2</v>
      </c>
      <c r="F42" s="317">
        <f>+E42*(1+HLOOKUP(F$4,USInf97!$M$2:$AY$3,2)*'Common Assumpt'!$D$38)</f>
        <v>2.7366550798136696E-2</v>
      </c>
      <c r="G42" s="317">
        <f>+F42*(1+HLOOKUP(G$4,USInf97!$M$2:$AY$3,2)*'Common Assumpt'!$D$38)</f>
        <v>2.7782208112211371E-2</v>
      </c>
      <c r="H42" s="317">
        <f>+G42*(1+HLOOKUP(H$4,USInf97!$M$2:$AY$3,2)*'Common Assumpt'!$D$38)</f>
        <v>2.8190320426717885E-2</v>
      </c>
      <c r="I42" s="317">
        <f>+H42*(1+HLOOKUP(I$4,USInf97!$M$2:$AY$3,2)*'Common Assumpt'!$D$38)</f>
        <v>2.8594174824011501E-2</v>
      </c>
      <c r="J42" s="317">
        <f>+I42*(1+HLOOKUP(J$4,USInf97!$M$2:$AY$3,2)*'Common Assumpt'!$D$38)</f>
        <v>2.8996683217781361E-2</v>
      </c>
      <c r="K42" s="317">
        <f>+J42*(1+HLOOKUP(K$4,USInf97!$M$2:$AY$3,2)*'Common Assumpt'!$D$38)</f>
        <v>2.9395274917520139E-2</v>
      </c>
      <c r="L42" s="317">
        <f>+K42*(1+HLOOKUP(L$4,USInf97!$M$2:$AY$3,2)*'Common Assumpt'!$D$38)</f>
        <v>2.9789998373035906E-2</v>
      </c>
      <c r="M42" s="317">
        <f>+L42*(1+HLOOKUP(M$4,USInf97!$M$2:$AY$3,2)*'Common Assumpt'!$D$38)</f>
        <v>3.0182592357019953E-2</v>
      </c>
      <c r="N42" s="317">
        <f>+M42*(1+HLOOKUP(N$4,USInf97!$M$2:$AY$3,2)*'Common Assumpt'!$D$38)</f>
        <v>3.0573648006971803E-2</v>
      </c>
      <c r="O42" s="317">
        <f>+N42*(1+HLOOKUP(O$4,USInf97!$M$2:$AY$3,2)*'Common Assumpt'!$D$38)</f>
        <v>3.0963670050157804E-2</v>
      </c>
      <c r="P42" s="317">
        <f>+O42*(1+HLOOKUP(P$4,USInf97!$M$2:$AY$3,2)*'Common Assumpt'!$D$38)</f>
        <v>3.1354162758218188E-2</v>
      </c>
      <c r="Q42" s="317">
        <f>+P42*(1+HLOOKUP(Q$4,USInf97!$M$2:$AY$3,2)*'Common Assumpt'!$D$38)</f>
        <v>3.1746452100998815E-2</v>
      </c>
      <c r="R42" s="317">
        <f>+Q42*(1+HLOOKUP(R$4,USInf97!$M$2:$AY$3,2)*'Common Assumpt'!$D$38)</f>
        <v>3.2144771253271483E-2</v>
      </c>
      <c r="S42" s="317">
        <f>+R42*(1+HLOOKUP(S$4,USInf97!$M$2:$AY$3,2)*'Common Assumpt'!$D$38)</f>
        <v>3.2553766852540626E-2</v>
      </c>
      <c r="T42" s="317">
        <f>+S42*(1+HLOOKUP(T$4,USInf97!$M$2:$AY$3,2)*'Common Assumpt'!$D$38)</f>
        <v>3.2974461667009236E-2</v>
      </c>
      <c r="U42" s="317">
        <f>+T42*(1+HLOOKUP(U$4,USInf97!$M$2:$AY$3,2)*'Common Assumpt'!$D$38)</f>
        <v>3.3408954187226343E-2</v>
      </c>
      <c r="V42" s="317">
        <f>+U42*(1+HLOOKUP(V$4,USInf97!$M$2:$AY$3,2)*'Common Assumpt'!$D$38)</f>
        <v>3.385736558252745E-2</v>
      </c>
      <c r="W42" s="317">
        <f>+V42*(1+HLOOKUP(W$4,USInf97!$M$2:$AY$3,2)*'Common Assumpt'!$D$38)</f>
        <v>3.4317636197432284E-2</v>
      </c>
      <c r="X42" s="317">
        <f>+W42*(1+HLOOKUP(X$4,USInf97!$M$2:$AY$3,2)*'Common Assumpt'!$D$38)</f>
        <v>3.4793935173039629E-2</v>
      </c>
      <c r="Y42" s="317">
        <f>+X42*(1+HLOOKUP(Y$4,USInf97!$M$2:$AY$3,2)*'Common Assumpt'!$D$38)</f>
        <v>3.5290729389406049E-2</v>
      </c>
      <c r="Z42" s="317">
        <f>+Y42*(1+HLOOKUP(Z$4,USInf97!$M$2:$AY$3,2)*'Common Assumpt'!$D$38)</f>
        <v>3.5815373352916957E-2</v>
      </c>
      <c r="AA42" s="318">
        <f>+Z42*(1+HLOOKUP(AA$4,USInf97!$M$2:$AY$3,2)*'Common Assumpt'!$D$38)</f>
        <v>3.636590681526785E-2</v>
      </c>
    </row>
    <row r="43" spans="1:27" s="254" customFormat="1" ht="12.75" customHeight="1" x14ac:dyDescent="0.2">
      <c r="A43" s="288" t="s">
        <v>124</v>
      </c>
      <c r="B43" s="217"/>
      <c r="C43" s="217"/>
      <c r="D43" s="448">
        <f>'Common Assumpt'!$H$51*IF(arb="y",0,1)</f>
        <v>1.0010821615450545</v>
      </c>
      <c r="E43" s="477">
        <f>D$43*(1+HLOOKUP(E$27,USInf97!$M$2:$AY$3,2)*'Common Assumpt'!$M$51)</f>
        <v>1.0164210587899858</v>
      </c>
      <c r="F43" s="317">
        <f>E$43*(1+HLOOKUP(F$27,USInf97!$M$2:$AY$3,2)*'Common Assumpt'!$M$51)</f>
        <v>1.0330756590175094</v>
      </c>
      <c r="G43" s="317">
        <f>F$43*(1+HLOOKUP(G$27,USInf97!$M$2:$AY$3,2)*'Common Assumpt'!$M$51)</f>
        <v>1.0487786467737501</v>
      </c>
      <c r="H43" s="317">
        <f>G$43*(1+HLOOKUP(H$27,USInf97!$M$2:$AY$3,2)*'Common Assumpt'!$M$51)</f>
        <v>1.0641967722443755</v>
      </c>
      <c r="I43" s="317">
        <f>H$43*(1+HLOOKUP(I$27,USInf97!$M$2:$AY$3,2)*'Common Assumpt'!$M$51)</f>
        <v>1.0794542076785447</v>
      </c>
      <c r="J43" s="317">
        <f>I$43*(1+HLOOKUP(J$27,USInf97!$M$2:$AY$3,2)*'Common Assumpt'!$M$51)</f>
        <v>1.0946609573449511</v>
      </c>
      <c r="K43" s="317">
        <f>J$43*(1+HLOOKUP(K$27,USInf97!$M$2:$AY$3,2)*'Common Assumpt'!$M$51)</f>
        <v>1.1097198956879311</v>
      </c>
      <c r="L43" s="317">
        <f>K$43*(1+HLOOKUP(L$27,USInf97!$M$2:$AY$3,2)*'Common Assumpt'!$M$51)</f>
        <v>1.1246328463147555</v>
      </c>
      <c r="M43" s="317">
        <f>L$43*(1+HLOOKUP(M$27,USInf97!$M$2:$AY$3,2)*'Common Assumpt'!$M$51)</f>
        <v>1.139465495464002</v>
      </c>
      <c r="N43" s="317">
        <f>M$43*(1+HLOOKUP(N$27,USInf97!$M$2:$AY$3,2)*'Common Assumpt'!$M$51)</f>
        <v>1.1542401728034835</v>
      </c>
      <c r="O43" s="317">
        <f>N$43*(1+HLOOKUP(O$27,USInf97!$M$2:$AY$3,2)*'Common Assumpt'!$M$51)</f>
        <v>1.1689759442614012</v>
      </c>
      <c r="P43" s="317">
        <f>O$43*(1+HLOOKUP(P$27,USInf97!$M$2:$AY$3,2)*'Common Assumpt'!$M$51)</f>
        <v>1.1837296416479735</v>
      </c>
      <c r="Q43" s="317">
        <f>P$43*(1+HLOOKUP(Q$27,USInf97!$M$2:$AY$3,2)*'Common Assumpt'!$M$51)</f>
        <v>1.1985513623138739</v>
      </c>
      <c r="R43" s="317">
        <f>Q$43*(1+HLOOKUP(R$27,USInf97!$M$2:$AY$3,2)*'Common Assumpt'!$M$51)</f>
        <v>1.2136010484212527</v>
      </c>
      <c r="S43" s="317">
        <f>R$43*(1+HLOOKUP(S$27,USInf97!$M$2:$AY$3,2)*'Common Assumpt'!$M$51)</f>
        <v>1.2290542702273353</v>
      </c>
      <c r="T43" s="317">
        <f>S$43*(1+HLOOKUP(T$27,USInf97!$M$2:$AY$3,2)*'Common Assumpt'!$M$51)</f>
        <v>1.2449496815283549</v>
      </c>
      <c r="U43" s="317">
        <f>T$43*(1+HLOOKUP(U$27,USInf97!$M$2:$AY$3,2)*'Common Assumpt'!$M$51)</f>
        <v>1.2613665828830514</v>
      </c>
      <c r="V43" s="317">
        <f>U$43*(1+HLOOKUP(V$27,USInf97!$M$2:$AY$3,2)*'Common Assumpt'!$M$51)</f>
        <v>1.2783095660974824</v>
      </c>
      <c r="W43" s="317">
        <f>V$43*(1+HLOOKUP(W$27,USInf97!$M$2:$AY$3,2)*'Common Assumpt'!$M$51)</f>
        <v>1.2957008211722183</v>
      </c>
      <c r="X43" s="317">
        <f>W$43*(1+HLOOKUP(X$27,USInf97!$M$2:$AY$3,2)*'Common Assumpt'!$M$51)</f>
        <v>1.3136978915639594</v>
      </c>
      <c r="Y43" s="317">
        <f>X$43*(1+HLOOKUP(Y$27,USInf97!$M$2:$AY$3,2)*'Common Assumpt'!$M$51)</f>
        <v>1.3324695776883055</v>
      </c>
      <c r="Z43" s="317">
        <f>Y$43*(1+HLOOKUP(Z$27,USInf97!$M$2:$AY$3,2)*'Common Assumpt'!$M$51)</f>
        <v>1.3522937994765896</v>
      </c>
      <c r="AA43" s="318">
        <f>Z$43*(1+HLOOKUP(AA$27,USInf97!$M$2:$AY$3,2)*'Common Assumpt'!$M$51)</f>
        <v>1.373096518106725</v>
      </c>
    </row>
    <row r="44" spans="1:27" ht="12.75" customHeight="1" x14ac:dyDescent="0.2">
      <c r="A44" s="277"/>
      <c r="B44" s="552" t="s">
        <v>113</v>
      </c>
      <c r="C44" s="552" t="s">
        <v>113</v>
      </c>
      <c r="D44" s="319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278"/>
    </row>
    <row r="45" spans="1:27" ht="12.75" customHeight="1" x14ac:dyDescent="0.2">
      <c r="A45" s="279" t="s">
        <v>86</v>
      </c>
      <c r="B45" s="553">
        <f>NPV('Common Assumpt'!$F$56,E45:AA45)</f>
        <v>24.026685929025415</v>
      </c>
      <c r="C45" s="553">
        <f>NPV('Common Assumpt'!$F$56,G45:AA45)</f>
        <v>32.8901303682429</v>
      </c>
      <c r="D45" s="280">
        <f>IF(switch=0,RAROC!$D91,RAROC!$E91)*('Common Assumpt'!$G$42)*(+D$7)</f>
        <v>0</v>
      </c>
      <c r="E45" s="280">
        <f>IF(switch=0,RAROC!$D91,RAROC!$E91)*('Common Assumpt'!$G$42)*(+E$7)</f>
        <v>0</v>
      </c>
      <c r="F45" s="280">
        <f>IF(switch=0,RAROC!$D91,RAROC!$E91)*('Common Assumpt'!$G$42)*(+F$7)</f>
        <v>0</v>
      </c>
      <c r="G45" s="280">
        <f>IF(switch=0,RAROC!$D91,RAROC!$E91)*('Common Assumpt'!$G$42)*(+G$7)</f>
        <v>6.007762825958304</v>
      </c>
      <c r="H45" s="280">
        <f>IF(switch=0,RAROC!$D91,RAROC!$E91)*('Common Assumpt'!$G$42)*(+H$7)</f>
        <v>6.007762825958304</v>
      </c>
      <c r="I45" s="280">
        <f>IF(switch=0,RAROC!$D91,RAROC!$E91)*('Common Assumpt'!$G$42)*(+I$7)</f>
        <v>6.007762825958304</v>
      </c>
      <c r="J45" s="280">
        <f>IF(switch=0,RAROC!$D91,RAROC!$E91)*('Common Assumpt'!$G$42)*(+J$7)</f>
        <v>6.007762825958304</v>
      </c>
      <c r="K45" s="280">
        <f>IF(switch=0,RAROC!$D91,RAROC!$E91)*('Common Assumpt'!$G$42)*(+K$7)</f>
        <v>6.007762825958304</v>
      </c>
      <c r="L45" s="280">
        <f>IF(switch=0,RAROC!$D91,RAROC!$E91)*('Common Assumpt'!$G$42)*(+L$7)</f>
        <v>6.007762825958304</v>
      </c>
      <c r="M45" s="280">
        <f>IF(switch=0,RAROC!$D91,RAROC!$E91)*('Common Assumpt'!$G$42)*(+M$7)</f>
        <v>6.007762825958304</v>
      </c>
      <c r="N45" s="280">
        <f>IF(switch=0,RAROC!$D91,RAROC!$E91)*('Common Assumpt'!$G$42)*(+N$7)</f>
        <v>6.007762825958304</v>
      </c>
      <c r="O45" s="280">
        <f>IF(switch=0,RAROC!$D91,RAROC!$E91)*('Common Assumpt'!$G$42)*(+O$7)</f>
        <v>6.007762825958304</v>
      </c>
      <c r="P45" s="280">
        <f>IF(switch=0,RAROC!$D91,RAROC!$E91)*('Common Assumpt'!$G$42)*(+P$7)</f>
        <v>6.007762825958304</v>
      </c>
      <c r="Q45" s="280">
        <f>IF(switch=0,RAROC!$D91,RAROC!$E91)*('Common Assumpt'!$G$42)*(+Q$7)</f>
        <v>6.007762825958304</v>
      </c>
      <c r="R45" s="280">
        <f>IF(switch=0,RAROC!$D91,RAROC!$E91)*('Common Assumpt'!$G$42)*(+R$7)</f>
        <v>6.007762825958304</v>
      </c>
      <c r="S45" s="280">
        <f>IF(switch=0,RAROC!$D91,RAROC!$E91)*('Common Assumpt'!$G$42)*(+S$7)</f>
        <v>6.007762825958304</v>
      </c>
      <c r="T45" s="280">
        <f>IF(switch=0,RAROC!$D91,RAROC!$E91)*('Common Assumpt'!$G$42)*(+T$7)</f>
        <v>6.007762825958304</v>
      </c>
      <c r="U45" s="280">
        <f>IF(switch=0,RAROC!$D91,RAROC!$E91)*('Common Assumpt'!$G$42)*(+U$7)</f>
        <v>6.007762825958304</v>
      </c>
      <c r="V45" s="280">
        <f>IF(switch=0,RAROC!$D91,RAROC!$E91)*('Common Assumpt'!$G$42)*(+V$7)</f>
        <v>6.007762825958304</v>
      </c>
      <c r="W45" s="280">
        <f>IF(switch=0,RAROC!$D91,RAROC!$E91)*('Common Assumpt'!$G$42)*(+W$7)</f>
        <v>6.007762825958304</v>
      </c>
      <c r="X45" s="280">
        <f>('Common Assumpt'!$G$42)*(+X$7)</f>
        <v>0</v>
      </c>
      <c r="Y45" s="280">
        <f>('Common Assumpt'!$G$42)*(+Y$7)</f>
        <v>0</v>
      </c>
      <c r="Z45" s="280">
        <f>('Common Assumpt'!$G$42)*(+Z$7)</f>
        <v>0</v>
      </c>
      <c r="AA45" s="281">
        <f>('Common Assumpt'!$G$42)*(+AA$7)</f>
        <v>0</v>
      </c>
    </row>
    <row r="46" spans="1:27" ht="12.75" customHeight="1" x14ac:dyDescent="0.2">
      <c r="A46" s="279" t="s">
        <v>87</v>
      </c>
      <c r="B46" s="553">
        <f>NPV('Common Assumpt'!$F$56,E46:AA46)</f>
        <v>25.647888024857142</v>
      </c>
      <c r="C46" s="553">
        <f>NPV('Common Assumpt'!$F$56,G46:AA46)</f>
        <v>35.109393917226946</v>
      </c>
      <c r="D46" s="280">
        <f>IF(switch=0,RAROC!$D91,RAROC!$E91)*D$41*(+D$7)</f>
        <v>0</v>
      </c>
      <c r="E46" s="280">
        <f>IF(switch=0,RAROC!$D91,RAROC!$E91)*E$41*(+E$7)</f>
        <v>0</v>
      </c>
      <c r="F46" s="280">
        <f>IF(switch=0,RAROC!$D91,RAROC!$E91)*F$41*(+F$7)</f>
        <v>0</v>
      </c>
      <c r="G46" s="280">
        <f>IF(switch=0,RAROC!$D91,RAROC!$E91)*G$41*(+G$7)</f>
        <v>6.0127663151546997</v>
      </c>
      <c r="H46" s="280">
        <f>IF(switch=0,RAROC!$D91,RAROC!$E91)*H$41*(+H$7)</f>
        <v>6.1010920510916504</v>
      </c>
      <c r="I46" s="280">
        <f>IF(switch=0,RAROC!$D91,RAROC!$E91)*I$41*(+I$7)</f>
        <v>6.1884962670008541</v>
      </c>
      <c r="J46" s="280">
        <f>IF(switch=0,RAROC!$D91,RAROC!$E91)*J$41*(+J$7)</f>
        <v>6.2756091740041917</v>
      </c>
      <c r="K46" s="280">
        <f>IF(switch=0,RAROC!$D91,RAROC!$E91)*K$41*(+K$7)</f>
        <v>6.3618744102305431</v>
      </c>
      <c r="L46" s="280">
        <f>IF(switch=0,RAROC!$D91,RAROC!$E91)*L$41*(+L$7)</f>
        <v>6.4473024614329768</v>
      </c>
      <c r="M46" s="280">
        <f>IF(switch=0,RAROC!$D91,RAROC!$E91)*M$41*(+M$7)</f>
        <v>6.5322696416116504</v>
      </c>
      <c r="N46" s="280">
        <f>IF(switch=0,RAROC!$D91,RAROC!$E91)*N$41*(+N$7)</f>
        <v>6.616903887740845</v>
      </c>
      <c r="O46" s="280">
        <f>IF(switch=0,RAROC!$D91,RAROC!$E91)*O$41*(+O$7)</f>
        <v>6.701314435454143</v>
      </c>
      <c r="P46" s="280">
        <f>IF(switch=0,RAROC!$D91,RAROC!$E91)*P$41*(+P$7)</f>
        <v>6.7858268468454819</v>
      </c>
      <c r="Q46" s="280">
        <f>IF(switch=0,RAROC!$D91,RAROC!$E91)*Q$41*(+Q$7)</f>
        <v>6.8707280950306018</v>
      </c>
      <c r="R46" s="280">
        <f>IF(switch=0,RAROC!$D91,RAROC!$E91)*R$41*(+R$7)</f>
        <v>6.956934345152721</v>
      </c>
      <c r="S46" s="280">
        <f>IF(switch=0,RAROC!$D91,RAROC!$E91)*S$41*(+S$7)</f>
        <v>7.0454512460556087</v>
      </c>
      <c r="T46" s="280">
        <f>IF(switch=0,RAROC!$D91,RAROC!$E91)*T$41*(+T$7)</f>
        <v>7.1365001504184438</v>
      </c>
      <c r="U46" s="280">
        <f>IF(switch=0,RAROC!$D91,RAROC!$E91)*U$41*(+U$7)</f>
        <v>7.2305352242036616</v>
      </c>
      <c r="V46" s="280">
        <f>IF(switch=0,RAROC!$D91,RAROC!$E91)*V$41*(+V$7)</f>
        <v>7.3275826914930935</v>
      </c>
      <c r="W46" s="280">
        <f>IF(switch=0,RAROC!$D91,RAROC!$E91)*W$41*(+W$7)</f>
        <v>7.4271967912067476</v>
      </c>
      <c r="X46" s="280">
        <f>X$41*(+X$7)</f>
        <v>0</v>
      </c>
      <c r="Y46" s="280">
        <f>Y$41*(+Y$7)</f>
        <v>0</v>
      </c>
      <c r="Z46" s="280">
        <f>Z$41*(+Z$7)</f>
        <v>0</v>
      </c>
      <c r="AA46" s="281">
        <f>AA$41*(+AA$7)</f>
        <v>0</v>
      </c>
    </row>
    <row r="47" spans="1:27" ht="12.75" customHeight="1" x14ac:dyDescent="0.2">
      <c r="A47" s="279" t="s">
        <v>124</v>
      </c>
      <c r="B47" s="552"/>
      <c r="C47" s="552"/>
      <c r="D47" s="280">
        <v>0</v>
      </c>
      <c r="E47" s="280">
        <v>0</v>
      </c>
      <c r="F47" s="280">
        <f>F$43*IF(SUM(F$17,F$23)&gt;0,1,0)</f>
        <v>0</v>
      </c>
      <c r="G47" s="280">
        <f t="shared" ref="G47:AA47" si="13">G$43*IF(SUM(G$17,G$23)&gt;0,1,0)</f>
        <v>1.0487786467737501</v>
      </c>
      <c r="H47" s="280">
        <f t="shared" si="13"/>
        <v>1.0641967722443755</v>
      </c>
      <c r="I47" s="280">
        <f t="shared" si="13"/>
        <v>1.0794542076785447</v>
      </c>
      <c r="J47" s="280">
        <f t="shared" si="13"/>
        <v>1.0946609573449511</v>
      </c>
      <c r="K47" s="280">
        <f t="shared" si="13"/>
        <v>1.1097198956879311</v>
      </c>
      <c r="L47" s="280">
        <f t="shared" si="13"/>
        <v>0</v>
      </c>
      <c r="M47" s="280">
        <f t="shared" si="13"/>
        <v>0</v>
      </c>
      <c r="N47" s="280">
        <f t="shared" si="13"/>
        <v>0</v>
      </c>
      <c r="O47" s="280">
        <f t="shared" si="13"/>
        <v>0</v>
      </c>
      <c r="P47" s="280">
        <f t="shared" si="13"/>
        <v>0</v>
      </c>
      <c r="Q47" s="280">
        <f t="shared" si="13"/>
        <v>0</v>
      </c>
      <c r="R47" s="280">
        <f t="shared" si="13"/>
        <v>0</v>
      </c>
      <c r="S47" s="280">
        <f t="shared" si="13"/>
        <v>0</v>
      </c>
      <c r="T47" s="280">
        <f t="shared" si="13"/>
        <v>0</v>
      </c>
      <c r="U47" s="280">
        <f t="shared" si="13"/>
        <v>0</v>
      </c>
      <c r="V47" s="280">
        <f t="shared" si="13"/>
        <v>0</v>
      </c>
      <c r="W47" s="280">
        <f t="shared" si="13"/>
        <v>0</v>
      </c>
      <c r="X47" s="280">
        <f t="shared" si="13"/>
        <v>0</v>
      </c>
      <c r="Y47" s="280">
        <f t="shared" si="13"/>
        <v>0</v>
      </c>
      <c r="Z47" s="280">
        <f t="shared" si="13"/>
        <v>0</v>
      </c>
      <c r="AA47" s="281">
        <f t="shared" si="13"/>
        <v>0</v>
      </c>
    </row>
    <row r="48" spans="1:27" s="256" customFormat="1" ht="12.75" customHeight="1" x14ac:dyDescent="0.2">
      <c r="A48" s="279" t="s">
        <v>121</v>
      </c>
      <c r="B48" s="552"/>
      <c r="C48" s="552"/>
      <c r="D48" s="280">
        <v>0</v>
      </c>
      <c r="E48" s="280">
        <v>0</v>
      </c>
      <c r="F48" s="280">
        <f>F$42*SUM(F$18,F$24)</f>
        <v>0</v>
      </c>
      <c r="G48" s="280">
        <f t="shared" ref="G48:AA48" si="14">G$42*SUM(G$18,G$24)</f>
        <v>1.3210594833764004</v>
      </c>
      <c r="H48" s="280">
        <f t="shared" si="14"/>
        <v>1.2827321595098882</v>
      </c>
      <c r="I48" s="280">
        <f t="shared" si="14"/>
        <v>1.2425481955712119</v>
      </c>
      <c r="J48" s="280">
        <f t="shared" si="14"/>
        <v>1.1677219341706362</v>
      </c>
      <c r="K48" s="280">
        <f t="shared" si="14"/>
        <v>1.1235725544322326</v>
      </c>
      <c r="L48" s="280">
        <f t="shared" si="14"/>
        <v>1.416531029553725</v>
      </c>
      <c r="M48" s="354">
        <f t="shared" si="14"/>
        <v>1.4351990923500253</v>
      </c>
      <c r="N48" s="354">
        <f t="shared" si="14"/>
        <v>1.4537940065055255</v>
      </c>
      <c r="O48" s="354">
        <f t="shared" si="14"/>
        <v>1.5709191917722023</v>
      </c>
      <c r="P48" s="354">
        <f t="shared" si="14"/>
        <v>1.5907305541961483</v>
      </c>
      <c r="Q48" s="354">
        <f t="shared" si="14"/>
        <v>1.6106330675708072</v>
      </c>
      <c r="R48" s="354">
        <f t="shared" si="14"/>
        <v>1.7331812051396089</v>
      </c>
      <c r="S48" s="354">
        <f t="shared" si="14"/>
        <v>1.7552334225921113</v>
      </c>
      <c r="T48" s="354">
        <f t="shared" si="14"/>
        <v>1.7779164381218138</v>
      </c>
      <c r="U48" s="354">
        <f t="shared" si="14"/>
        <v>1.8013433981048435</v>
      </c>
      <c r="V48" s="354">
        <f t="shared" si="14"/>
        <v>1.8255208357472783</v>
      </c>
      <c r="W48" s="354">
        <f t="shared" si="14"/>
        <v>1.8503376985815385</v>
      </c>
      <c r="X48" s="354">
        <f t="shared" si="14"/>
        <v>0</v>
      </c>
      <c r="Y48" s="354">
        <f t="shared" si="14"/>
        <v>0</v>
      </c>
      <c r="Z48" s="354">
        <f t="shared" si="14"/>
        <v>0</v>
      </c>
      <c r="AA48" s="281">
        <f t="shared" si="14"/>
        <v>0</v>
      </c>
    </row>
    <row r="49" spans="1:27" ht="12.75" customHeight="1" x14ac:dyDescent="0.2">
      <c r="A49" s="282" t="s">
        <v>122</v>
      </c>
      <c r="B49" s="552"/>
      <c r="C49" s="552"/>
      <c r="D49" s="283">
        <v>0</v>
      </c>
      <c r="E49" s="283">
        <v>0</v>
      </c>
      <c r="F49" s="283">
        <f>+'Common Assumpt'!E$9*'Common Assumpt'!$G$45*SUM(F$18,F$24)</f>
        <v>0</v>
      </c>
      <c r="G49" s="283">
        <f>+'Common Assumpt'!F$9*'Common Assumpt'!$G$45*SUM(G$18,G$24)</f>
        <v>2.2840755928237111</v>
      </c>
      <c r="H49" s="283">
        <f>+'Common Assumpt'!G$9*'Common Assumpt'!$G$45*SUM(H$18,H$24)</f>
        <v>2.1990489986140731</v>
      </c>
      <c r="I49" s="283">
        <f>+'Common Assumpt'!H$9*'Common Assumpt'!$G$45*SUM(I$18,I$24)</f>
        <v>2.1180593032565507</v>
      </c>
      <c r="J49" s="283">
        <f>+'Common Assumpt'!I$9*'Common Assumpt'!$G$45*SUM(J$18,J$24)</f>
        <v>1.9979293878344908</v>
      </c>
      <c r="K49" s="283">
        <f>+'Common Assumpt'!J$9*'Common Assumpt'!$G$45*SUM(K$18,K$24)</f>
        <v>1.9457287848776754</v>
      </c>
      <c r="L49" s="283">
        <f>+'Common Assumpt'!K$9*'Common Assumpt'!$G$45*SUM(L$18,L$24)</f>
        <v>2.4600097900952278</v>
      </c>
      <c r="M49" s="283">
        <f>+'Common Assumpt'!L$9*'Common Assumpt'!$G$45*SUM(M$18,M$24)</f>
        <v>2.531177994856169</v>
      </c>
      <c r="N49" s="283">
        <f>+'Common Assumpt'!M$9*'Common Assumpt'!$G$45*SUM(N$18,N$24)</f>
        <v>2.5591499145295562</v>
      </c>
      <c r="O49" s="283">
        <f>+'Common Assumpt'!N$9*'Common Assumpt'!$G$45*SUM(O$18,O$24)</f>
        <v>2.8058505903755848</v>
      </c>
      <c r="P49" s="283">
        <f>+'Common Assumpt'!O$9*'Common Assumpt'!$G$45*SUM(P$18,P$24)</f>
        <v>2.8719290000368844</v>
      </c>
      <c r="Q49" s="283">
        <f>+'Common Assumpt'!P$9*'Common Assumpt'!$G$45*SUM(Q$18,Q$24)</f>
        <v>2.9633654870725681</v>
      </c>
      <c r="R49" s="283">
        <f>+'Common Assumpt'!Q$9*'Common Assumpt'!$G$45*SUM(R$18,R$24)</f>
        <v>3.234166085871339</v>
      </c>
      <c r="S49" s="283">
        <f>+'Common Assumpt'!R$9*'Common Assumpt'!$G$45*SUM(S$18,S$24)</f>
        <v>3.3168759763776667</v>
      </c>
      <c r="T49" s="283">
        <f>+'Common Assumpt'!S$9*'Common Assumpt'!$G$45*SUM(T$18,T$24)</f>
        <v>3.4148196675946108</v>
      </c>
      <c r="U49" s="283">
        <f>+'Common Assumpt'!T$9*'Common Assumpt'!$G$45*SUM(U$18,U$24)</f>
        <v>3.5330540424553991</v>
      </c>
      <c r="V49" s="283">
        <f>+'Common Assumpt'!U$9*'Common Assumpt'!$G$45*SUM(V$18,V$24)</f>
        <v>3.6309013113936128</v>
      </c>
      <c r="W49" s="283">
        <f>+'Common Assumpt'!V$9*'Common Assumpt'!$G$45*SUM(W$18,W$24)</f>
        <v>3.7118113490743232</v>
      </c>
      <c r="X49" s="283">
        <f>+'Common Assumpt'!W$9*'Common Assumpt'!$G$45*SUM(X$18,X$24)</f>
        <v>0</v>
      </c>
      <c r="Y49" s="283">
        <f>+'Common Assumpt'!X$9*'Common Assumpt'!$G$45*SUM(Y$18,Y$24)</f>
        <v>0</v>
      </c>
      <c r="Z49" s="283">
        <f>+'Common Assumpt'!Y$9*'Common Assumpt'!$G$45*SUM(Z$18,Z$24)</f>
        <v>0</v>
      </c>
      <c r="AA49" s="284">
        <f>+'Common Assumpt'!Z$9*'Common Assumpt'!$G$45*SUM(AA$18,AA$24)</f>
        <v>0</v>
      </c>
    </row>
    <row r="50" spans="1:27" ht="12.75" customHeight="1" x14ac:dyDescent="0.2">
      <c r="A50" s="285" t="s">
        <v>88</v>
      </c>
      <c r="B50" s="553">
        <f>SUM(B45:B46)</f>
        <v>49.674573953882557</v>
      </c>
      <c r="C50" s="553">
        <f>SUM(C45:C46)</f>
        <v>67.999524285469846</v>
      </c>
      <c r="D50" s="280">
        <f>+SUM(D45:D49)</f>
        <v>0</v>
      </c>
      <c r="E50" s="280">
        <f t="shared" ref="E50:AA50" si="15">+SUM(E45:E49)</f>
        <v>0</v>
      </c>
      <c r="F50" s="280">
        <f t="shared" si="15"/>
        <v>0</v>
      </c>
      <c r="G50" s="280">
        <f t="shared" si="15"/>
        <v>16.674442864086863</v>
      </c>
      <c r="H50" s="280">
        <f t="shared" si="15"/>
        <v>16.654832807418291</v>
      </c>
      <c r="I50" s="280">
        <f t="shared" si="15"/>
        <v>16.636320799465466</v>
      </c>
      <c r="J50" s="280">
        <f t="shared" si="15"/>
        <v>16.543684279312572</v>
      </c>
      <c r="K50" s="280">
        <f t="shared" si="15"/>
        <v>16.548658471186688</v>
      </c>
      <c r="L50" s="280">
        <f t="shared" si="15"/>
        <v>16.331606107040237</v>
      </c>
      <c r="M50" s="280">
        <f t="shared" si="15"/>
        <v>16.506409554776148</v>
      </c>
      <c r="N50" s="280">
        <f t="shared" si="15"/>
        <v>16.63761063473423</v>
      </c>
      <c r="O50" s="280">
        <f t="shared" si="15"/>
        <v>17.085847043560232</v>
      </c>
      <c r="P50" s="280">
        <f t="shared" si="15"/>
        <v>17.256249227036822</v>
      </c>
      <c r="Q50" s="280">
        <f t="shared" si="15"/>
        <v>17.45248947563228</v>
      </c>
      <c r="R50" s="280">
        <f t="shared" si="15"/>
        <v>17.932044462121972</v>
      </c>
      <c r="S50" s="280">
        <f t="shared" si="15"/>
        <v>18.125323470983691</v>
      </c>
      <c r="T50" s="280">
        <f t="shared" si="15"/>
        <v>18.336999082093172</v>
      </c>
      <c r="U50" s="280">
        <f t="shared" si="15"/>
        <v>18.572695490722211</v>
      </c>
      <c r="V50" s="280">
        <f t="shared" si="15"/>
        <v>18.791767664592289</v>
      </c>
      <c r="W50" s="280">
        <f t="shared" si="15"/>
        <v>18.997108664820914</v>
      </c>
      <c r="X50" s="280">
        <f t="shared" si="15"/>
        <v>0</v>
      </c>
      <c r="Y50" s="280">
        <f t="shared" si="15"/>
        <v>0</v>
      </c>
      <c r="Z50" s="280">
        <f t="shared" si="15"/>
        <v>0</v>
      </c>
      <c r="AA50" s="281">
        <f t="shared" si="15"/>
        <v>0</v>
      </c>
    </row>
    <row r="51" spans="1:27" s="564" customFormat="1" ht="12.75" customHeight="1" x14ac:dyDescent="0.2">
      <c r="A51" s="561" t="s">
        <v>415</v>
      </c>
      <c r="B51" s="562"/>
      <c r="C51" s="562"/>
      <c r="D51" s="562">
        <v>0</v>
      </c>
      <c r="E51" s="562">
        <v>0</v>
      </c>
      <c r="F51" s="562">
        <f>+IF(SUM(F$18,F$24)=0,0,F50/SUM(F$18,F$24))</f>
        <v>0</v>
      </c>
      <c r="G51" s="562">
        <f t="shared" ref="G51:AA51" si="16">+IF(SUM(G$18,G$24)=0,0,G50/SUM(G$18,G$24))</f>
        <v>0.35066766306483388</v>
      </c>
      <c r="H51" s="562">
        <f t="shared" si="16"/>
        <v>0.3660195700355135</v>
      </c>
      <c r="I51" s="562">
        <f t="shared" si="16"/>
        <v>0.38284379395808416</v>
      </c>
      <c r="J51" s="562">
        <f t="shared" si="16"/>
        <v>0.4108101066397517</v>
      </c>
      <c r="K51" s="562">
        <f t="shared" si="16"/>
        <v>0.4329514488029631</v>
      </c>
      <c r="L51" s="562">
        <f t="shared" si="16"/>
        <v>0.34345772115635798</v>
      </c>
      <c r="M51" s="562">
        <f t="shared" si="16"/>
        <v>0.34713388095449133</v>
      </c>
      <c r="N51" s="562">
        <f t="shared" si="16"/>
        <v>0.34989307215958848</v>
      </c>
      <c r="O51" s="562">
        <f t="shared" si="16"/>
        <v>0.33677132035508223</v>
      </c>
      <c r="P51" s="562">
        <f t="shared" si="16"/>
        <v>0.34013003989497353</v>
      </c>
      <c r="Q51" s="562">
        <f t="shared" si="16"/>
        <v>0.34399804172466397</v>
      </c>
      <c r="R51" s="562">
        <f t="shared" si="16"/>
        <v>0.33258003584915019</v>
      </c>
      <c r="S51" s="562">
        <f t="shared" si="16"/>
        <v>0.33616472134510128</v>
      </c>
      <c r="T51" s="562">
        <f t="shared" si="16"/>
        <v>0.34009060288526177</v>
      </c>
      <c r="U51" s="562">
        <f t="shared" si="16"/>
        <v>0.34446199066521854</v>
      </c>
      <c r="V51" s="562">
        <f t="shared" si="16"/>
        <v>0.34852505394800054</v>
      </c>
      <c r="W51" s="562">
        <f t="shared" si="16"/>
        <v>0.35233344943584305</v>
      </c>
      <c r="X51" s="562">
        <f t="shared" si="16"/>
        <v>0</v>
      </c>
      <c r="Y51" s="562">
        <f t="shared" si="16"/>
        <v>0</v>
      </c>
      <c r="Z51" s="562">
        <f t="shared" si="16"/>
        <v>0</v>
      </c>
      <c r="AA51" s="563">
        <f t="shared" si="16"/>
        <v>0</v>
      </c>
    </row>
    <row r="52" spans="1:27" ht="12.75" customHeight="1" x14ac:dyDescent="0.2">
      <c r="A52" s="277"/>
      <c r="B52" s="194"/>
      <c r="C52" s="194"/>
      <c r="D52" s="194"/>
      <c r="E52" s="194"/>
      <c r="F52" s="355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278"/>
    </row>
    <row r="53" spans="1:27" ht="12.75" customHeight="1" x14ac:dyDescent="0.2">
      <c r="A53" s="286" t="s">
        <v>212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87"/>
    </row>
    <row r="54" spans="1:27" ht="12.75" customHeight="1" x14ac:dyDescent="0.2">
      <c r="A54" s="288" t="s">
        <v>86</v>
      </c>
      <c r="B54" s="217"/>
      <c r="C54" s="217"/>
      <c r="D54" s="289">
        <f t="shared" ref="D54:AA54" si="17">IF(D$7&gt;0,D45*D$8/D$7,0)</f>
        <v>0</v>
      </c>
      <c r="E54" s="289">
        <f t="shared" si="17"/>
        <v>0</v>
      </c>
      <c r="F54" s="289">
        <f t="shared" si="17"/>
        <v>0</v>
      </c>
      <c r="G54" s="289">
        <f t="shared" si="17"/>
        <v>6.007762825958304</v>
      </c>
      <c r="H54" s="289">
        <f t="shared" si="17"/>
        <v>6.007762825958304</v>
      </c>
      <c r="I54" s="289">
        <f t="shared" si="17"/>
        <v>6.007762825958304</v>
      </c>
      <c r="J54" s="289">
        <f t="shared" si="17"/>
        <v>6.007762825958304</v>
      </c>
      <c r="K54" s="289">
        <f t="shared" si="17"/>
        <v>6.007762825958304</v>
      </c>
      <c r="L54" s="289">
        <f t="shared" si="17"/>
        <v>0</v>
      </c>
      <c r="M54" s="289">
        <f t="shared" si="17"/>
        <v>0</v>
      </c>
      <c r="N54" s="289">
        <f t="shared" si="17"/>
        <v>0</v>
      </c>
      <c r="O54" s="289">
        <f t="shared" si="17"/>
        <v>0</v>
      </c>
      <c r="P54" s="289">
        <f t="shared" si="17"/>
        <v>0</v>
      </c>
      <c r="Q54" s="289">
        <f t="shared" si="17"/>
        <v>0</v>
      </c>
      <c r="R54" s="289">
        <f t="shared" si="17"/>
        <v>0</v>
      </c>
      <c r="S54" s="289">
        <f t="shared" si="17"/>
        <v>0</v>
      </c>
      <c r="T54" s="289">
        <f t="shared" si="17"/>
        <v>0</v>
      </c>
      <c r="U54" s="289">
        <f t="shared" si="17"/>
        <v>0</v>
      </c>
      <c r="V54" s="289">
        <f t="shared" si="17"/>
        <v>0</v>
      </c>
      <c r="W54" s="289">
        <f t="shared" si="17"/>
        <v>0</v>
      </c>
      <c r="X54" s="289">
        <f t="shared" si="17"/>
        <v>0</v>
      </c>
      <c r="Y54" s="289">
        <f t="shared" si="17"/>
        <v>0</v>
      </c>
      <c r="Z54" s="289">
        <f t="shared" si="17"/>
        <v>0</v>
      </c>
      <c r="AA54" s="290">
        <f t="shared" si="17"/>
        <v>0</v>
      </c>
    </row>
    <row r="55" spans="1:27" s="256" customFormat="1" ht="12.75" customHeight="1" x14ac:dyDescent="0.2">
      <c r="A55" s="288" t="s">
        <v>87</v>
      </c>
      <c r="B55" s="217"/>
      <c r="C55" s="217"/>
      <c r="D55" s="289">
        <f t="shared" ref="D55:AA55" si="18">IF(D$7&gt;0,D46*D$8/D$7,0)</f>
        <v>0</v>
      </c>
      <c r="E55" s="289">
        <f t="shared" si="18"/>
        <v>0</v>
      </c>
      <c r="F55" s="289">
        <f t="shared" si="18"/>
        <v>0</v>
      </c>
      <c r="G55" s="289">
        <f t="shared" si="18"/>
        <v>6.0127663151546997</v>
      </c>
      <c r="H55" s="289">
        <f t="shared" si="18"/>
        <v>6.1010920510916504</v>
      </c>
      <c r="I55" s="289">
        <f t="shared" si="18"/>
        <v>6.1884962670008541</v>
      </c>
      <c r="J55" s="289">
        <f t="shared" si="18"/>
        <v>6.2756091740041917</v>
      </c>
      <c r="K55" s="289">
        <f t="shared" si="18"/>
        <v>6.3618744102305431</v>
      </c>
      <c r="L55" s="289">
        <f t="shared" si="18"/>
        <v>0</v>
      </c>
      <c r="M55" s="289">
        <f t="shared" si="18"/>
        <v>0</v>
      </c>
      <c r="N55" s="289">
        <f t="shared" si="18"/>
        <v>0</v>
      </c>
      <c r="O55" s="289">
        <f t="shared" si="18"/>
        <v>0</v>
      </c>
      <c r="P55" s="289">
        <f t="shared" si="18"/>
        <v>0</v>
      </c>
      <c r="Q55" s="289">
        <f t="shared" si="18"/>
        <v>0</v>
      </c>
      <c r="R55" s="289">
        <f t="shared" si="18"/>
        <v>0</v>
      </c>
      <c r="S55" s="289">
        <f t="shared" si="18"/>
        <v>0</v>
      </c>
      <c r="T55" s="289">
        <f t="shared" si="18"/>
        <v>0</v>
      </c>
      <c r="U55" s="289">
        <f t="shared" si="18"/>
        <v>0</v>
      </c>
      <c r="V55" s="289">
        <f t="shared" si="18"/>
        <v>0</v>
      </c>
      <c r="W55" s="289">
        <f t="shared" si="18"/>
        <v>0</v>
      </c>
      <c r="X55" s="289">
        <f t="shared" si="18"/>
        <v>0</v>
      </c>
      <c r="Y55" s="289">
        <f t="shared" si="18"/>
        <v>0</v>
      </c>
      <c r="Z55" s="289">
        <f t="shared" si="18"/>
        <v>0</v>
      </c>
      <c r="AA55" s="290">
        <f t="shared" si="18"/>
        <v>0</v>
      </c>
    </row>
    <row r="56" spans="1:27" s="256" customFormat="1" ht="12.75" customHeight="1" x14ac:dyDescent="0.2">
      <c r="A56" s="357" t="s">
        <v>124</v>
      </c>
      <c r="B56" s="217"/>
      <c r="C56" s="217"/>
      <c r="D56" s="289">
        <f>IF(D$7&gt;0,D47*D$8/D$7,0)</f>
        <v>0</v>
      </c>
      <c r="E56" s="289">
        <f t="shared" ref="E56:AA56" si="19">IF(E$7&gt;0,E47*E$8/E$7,0)</f>
        <v>0</v>
      </c>
      <c r="F56" s="289">
        <f t="shared" si="19"/>
        <v>0</v>
      </c>
      <c r="G56" s="289">
        <f t="shared" si="19"/>
        <v>1.0487786467737501</v>
      </c>
      <c r="H56" s="289">
        <f t="shared" si="19"/>
        <v>1.0641967722443755</v>
      </c>
      <c r="I56" s="289">
        <f t="shared" si="19"/>
        <v>1.0794542076785447</v>
      </c>
      <c r="J56" s="289">
        <f t="shared" si="19"/>
        <v>1.0946609573449511</v>
      </c>
      <c r="K56" s="289">
        <f t="shared" si="19"/>
        <v>1.1097198956879311</v>
      </c>
      <c r="L56" s="289">
        <f t="shared" si="19"/>
        <v>0</v>
      </c>
      <c r="M56" s="289">
        <f t="shared" si="19"/>
        <v>0</v>
      </c>
      <c r="N56" s="289">
        <f t="shared" si="19"/>
        <v>0</v>
      </c>
      <c r="O56" s="289">
        <f t="shared" si="19"/>
        <v>0</v>
      </c>
      <c r="P56" s="289">
        <f t="shared" si="19"/>
        <v>0</v>
      </c>
      <c r="Q56" s="289">
        <f t="shared" si="19"/>
        <v>0</v>
      </c>
      <c r="R56" s="289">
        <f t="shared" si="19"/>
        <v>0</v>
      </c>
      <c r="S56" s="289">
        <f t="shared" si="19"/>
        <v>0</v>
      </c>
      <c r="T56" s="289">
        <f t="shared" si="19"/>
        <v>0</v>
      </c>
      <c r="U56" s="289">
        <f t="shared" si="19"/>
        <v>0</v>
      </c>
      <c r="V56" s="289">
        <f t="shared" si="19"/>
        <v>0</v>
      </c>
      <c r="W56" s="289">
        <f t="shared" si="19"/>
        <v>0</v>
      </c>
      <c r="X56" s="289">
        <f t="shared" si="19"/>
        <v>0</v>
      </c>
      <c r="Y56" s="289">
        <f t="shared" si="19"/>
        <v>0</v>
      </c>
      <c r="Z56" s="289">
        <f t="shared" si="19"/>
        <v>0</v>
      </c>
      <c r="AA56" s="290">
        <f t="shared" si="19"/>
        <v>0</v>
      </c>
    </row>
    <row r="57" spans="1:27" ht="12.75" customHeight="1" x14ac:dyDescent="0.2">
      <c r="A57" s="356" t="s">
        <v>123</v>
      </c>
      <c r="B57" s="292"/>
      <c r="C57" s="292"/>
      <c r="D57" s="293">
        <v>0</v>
      </c>
      <c r="E57" s="293">
        <v>0</v>
      </c>
      <c r="F57" s="293">
        <f>+SUM(F48:F49)*IF(SUM(F$17,F$23)&gt;0,F$17/SUM(F$17,F$23),0)</f>
        <v>0</v>
      </c>
      <c r="G57" s="293">
        <f t="shared" ref="G57:AA57" si="20">+SUM(G48:G49)*IF(SUM(G$17,G$23)&gt;0,G$17/SUM(G$17,G$23),0)</f>
        <v>3.6051350762001118</v>
      </c>
      <c r="H57" s="293">
        <f t="shared" si="20"/>
        <v>3.4817811581239613</v>
      </c>
      <c r="I57" s="293">
        <f t="shared" si="20"/>
        <v>3.3606074988277626</v>
      </c>
      <c r="J57" s="293">
        <f t="shared" si="20"/>
        <v>3.165651322005127</v>
      </c>
      <c r="K57" s="293">
        <f t="shared" si="20"/>
        <v>3.069301339309908</v>
      </c>
      <c r="L57" s="293">
        <f t="shared" si="20"/>
        <v>0</v>
      </c>
      <c r="M57" s="293">
        <f t="shared" si="20"/>
        <v>0</v>
      </c>
      <c r="N57" s="293">
        <f t="shared" si="20"/>
        <v>0</v>
      </c>
      <c r="O57" s="293">
        <f t="shared" si="20"/>
        <v>0</v>
      </c>
      <c r="P57" s="293">
        <f t="shared" si="20"/>
        <v>0</v>
      </c>
      <c r="Q57" s="293">
        <f t="shared" si="20"/>
        <v>0</v>
      </c>
      <c r="R57" s="293">
        <f t="shared" si="20"/>
        <v>0</v>
      </c>
      <c r="S57" s="293">
        <f t="shared" si="20"/>
        <v>0</v>
      </c>
      <c r="T57" s="293">
        <f t="shared" si="20"/>
        <v>0</v>
      </c>
      <c r="U57" s="293">
        <f t="shared" si="20"/>
        <v>0</v>
      </c>
      <c r="V57" s="293">
        <f t="shared" si="20"/>
        <v>0</v>
      </c>
      <c r="W57" s="293">
        <f t="shared" si="20"/>
        <v>0</v>
      </c>
      <c r="X57" s="293">
        <f t="shared" si="20"/>
        <v>0</v>
      </c>
      <c r="Y57" s="293">
        <f t="shared" si="20"/>
        <v>0</v>
      </c>
      <c r="Z57" s="293">
        <f t="shared" si="20"/>
        <v>0</v>
      </c>
      <c r="AA57" s="294">
        <f t="shared" si="20"/>
        <v>0</v>
      </c>
    </row>
    <row r="58" spans="1:27" ht="12.75" customHeight="1" x14ac:dyDescent="0.2">
      <c r="A58" s="288" t="s">
        <v>88</v>
      </c>
      <c r="B58" s="482"/>
      <c r="C58" s="482"/>
      <c r="D58" s="295">
        <f>+SUM(D54:D57)</f>
        <v>0</v>
      </c>
      <c r="E58" s="295">
        <f t="shared" ref="E58:AA58" si="21">+SUM(E54:E57)</f>
        <v>0</v>
      </c>
      <c r="F58" s="295">
        <f t="shared" si="21"/>
        <v>0</v>
      </c>
      <c r="G58" s="295">
        <f t="shared" si="21"/>
        <v>16.674442864086863</v>
      </c>
      <c r="H58" s="295">
        <f t="shared" si="21"/>
        <v>16.654832807418291</v>
      </c>
      <c r="I58" s="295">
        <f t="shared" si="21"/>
        <v>16.636320799465466</v>
      </c>
      <c r="J58" s="295">
        <f t="shared" si="21"/>
        <v>16.543684279312572</v>
      </c>
      <c r="K58" s="295">
        <f t="shared" si="21"/>
        <v>16.548658471186688</v>
      </c>
      <c r="L58" s="295">
        <f t="shared" si="21"/>
        <v>0</v>
      </c>
      <c r="M58" s="295">
        <f t="shared" si="21"/>
        <v>0</v>
      </c>
      <c r="N58" s="295">
        <f t="shared" si="21"/>
        <v>0</v>
      </c>
      <c r="O58" s="295">
        <f t="shared" si="21"/>
        <v>0</v>
      </c>
      <c r="P58" s="295">
        <f t="shared" si="21"/>
        <v>0</v>
      </c>
      <c r="Q58" s="295">
        <f t="shared" si="21"/>
        <v>0</v>
      </c>
      <c r="R58" s="295">
        <f t="shared" si="21"/>
        <v>0</v>
      </c>
      <c r="S58" s="295">
        <f t="shared" si="21"/>
        <v>0</v>
      </c>
      <c r="T58" s="295">
        <f t="shared" si="21"/>
        <v>0</v>
      </c>
      <c r="U58" s="295">
        <f t="shared" si="21"/>
        <v>0</v>
      </c>
      <c r="V58" s="295">
        <f t="shared" si="21"/>
        <v>0</v>
      </c>
      <c r="W58" s="295">
        <f t="shared" si="21"/>
        <v>0</v>
      </c>
      <c r="X58" s="295">
        <f t="shared" si="21"/>
        <v>0</v>
      </c>
      <c r="Y58" s="295">
        <f t="shared" si="21"/>
        <v>0</v>
      </c>
      <c r="Z58" s="295">
        <f t="shared" si="21"/>
        <v>0</v>
      </c>
      <c r="AA58" s="296">
        <f t="shared" si="21"/>
        <v>0</v>
      </c>
    </row>
    <row r="59" spans="1:27" ht="12.75" customHeight="1" x14ac:dyDescent="0.2">
      <c r="A59" s="288"/>
      <c r="B59" s="482"/>
      <c r="C59" s="482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6"/>
    </row>
    <row r="60" spans="1:27" ht="12.75" customHeight="1" x14ac:dyDescent="0.2">
      <c r="A60" s="498" t="s">
        <v>211</v>
      </c>
      <c r="B60" s="482"/>
      <c r="C60" s="482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6"/>
    </row>
    <row r="61" spans="1:27" ht="12.75" customHeight="1" x14ac:dyDescent="0.2">
      <c r="A61" s="288" t="s">
        <v>86</v>
      </c>
      <c r="B61" s="217"/>
      <c r="C61" s="217"/>
      <c r="D61" s="289">
        <f>D45-D54</f>
        <v>0</v>
      </c>
      <c r="E61" s="289">
        <f t="shared" ref="E61:AA61" si="22">E45-E54</f>
        <v>0</v>
      </c>
      <c r="F61" s="289">
        <f t="shared" si="22"/>
        <v>0</v>
      </c>
      <c r="G61" s="289">
        <f t="shared" si="22"/>
        <v>0</v>
      </c>
      <c r="H61" s="289">
        <f t="shared" si="22"/>
        <v>0</v>
      </c>
      <c r="I61" s="289">
        <f t="shared" si="22"/>
        <v>0</v>
      </c>
      <c r="J61" s="289">
        <f t="shared" si="22"/>
        <v>0</v>
      </c>
      <c r="K61" s="289">
        <f t="shared" si="22"/>
        <v>0</v>
      </c>
      <c r="L61" s="289">
        <f t="shared" si="22"/>
        <v>6.007762825958304</v>
      </c>
      <c r="M61" s="289">
        <f t="shared" si="22"/>
        <v>6.007762825958304</v>
      </c>
      <c r="N61" s="289">
        <f t="shared" si="22"/>
        <v>6.007762825958304</v>
      </c>
      <c r="O61" s="289">
        <f t="shared" si="22"/>
        <v>6.007762825958304</v>
      </c>
      <c r="P61" s="289">
        <f t="shared" si="22"/>
        <v>6.007762825958304</v>
      </c>
      <c r="Q61" s="289">
        <f t="shared" si="22"/>
        <v>6.007762825958304</v>
      </c>
      <c r="R61" s="289">
        <f t="shared" si="22"/>
        <v>6.007762825958304</v>
      </c>
      <c r="S61" s="289">
        <f t="shared" si="22"/>
        <v>6.007762825958304</v>
      </c>
      <c r="T61" s="289">
        <f t="shared" si="22"/>
        <v>6.007762825958304</v>
      </c>
      <c r="U61" s="289">
        <f t="shared" si="22"/>
        <v>6.007762825958304</v>
      </c>
      <c r="V61" s="289">
        <f t="shared" si="22"/>
        <v>6.007762825958304</v>
      </c>
      <c r="W61" s="289">
        <f t="shared" si="22"/>
        <v>6.007762825958304</v>
      </c>
      <c r="X61" s="289">
        <f t="shared" si="22"/>
        <v>0</v>
      </c>
      <c r="Y61" s="289">
        <f t="shared" si="22"/>
        <v>0</v>
      </c>
      <c r="Z61" s="289">
        <f t="shared" si="22"/>
        <v>0</v>
      </c>
      <c r="AA61" s="290">
        <f t="shared" si="22"/>
        <v>0</v>
      </c>
    </row>
    <row r="62" spans="1:27" s="256" customFormat="1" ht="12.75" customHeight="1" x14ac:dyDescent="0.2">
      <c r="A62" s="288" t="s">
        <v>87</v>
      </c>
      <c r="B62" s="217"/>
      <c r="C62" s="217"/>
      <c r="D62" s="289">
        <f>D46-D55</f>
        <v>0</v>
      </c>
      <c r="E62" s="289">
        <f t="shared" ref="E62:AA62" si="23">E46-E55</f>
        <v>0</v>
      </c>
      <c r="F62" s="289">
        <f t="shared" si="23"/>
        <v>0</v>
      </c>
      <c r="G62" s="289">
        <f t="shared" si="23"/>
        <v>0</v>
      </c>
      <c r="H62" s="289">
        <f t="shared" si="23"/>
        <v>0</v>
      </c>
      <c r="I62" s="289">
        <f t="shared" si="23"/>
        <v>0</v>
      </c>
      <c r="J62" s="289">
        <f t="shared" si="23"/>
        <v>0</v>
      </c>
      <c r="K62" s="289">
        <f t="shared" si="23"/>
        <v>0</v>
      </c>
      <c r="L62" s="289">
        <f t="shared" si="23"/>
        <v>6.4473024614329768</v>
      </c>
      <c r="M62" s="289">
        <f t="shared" si="23"/>
        <v>6.5322696416116504</v>
      </c>
      <c r="N62" s="289">
        <f t="shared" si="23"/>
        <v>6.616903887740845</v>
      </c>
      <c r="O62" s="289">
        <f t="shared" si="23"/>
        <v>6.701314435454143</v>
      </c>
      <c r="P62" s="289">
        <f t="shared" si="23"/>
        <v>6.7858268468454819</v>
      </c>
      <c r="Q62" s="289">
        <f t="shared" si="23"/>
        <v>6.8707280950306018</v>
      </c>
      <c r="R62" s="289">
        <f t="shared" si="23"/>
        <v>6.956934345152721</v>
      </c>
      <c r="S62" s="289">
        <f t="shared" si="23"/>
        <v>7.0454512460556087</v>
      </c>
      <c r="T62" s="289">
        <f t="shared" si="23"/>
        <v>7.1365001504184438</v>
      </c>
      <c r="U62" s="289">
        <f t="shared" si="23"/>
        <v>7.2305352242036616</v>
      </c>
      <c r="V62" s="289">
        <f t="shared" si="23"/>
        <v>7.3275826914930935</v>
      </c>
      <c r="W62" s="289">
        <f t="shared" si="23"/>
        <v>7.4271967912067476</v>
      </c>
      <c r="X62" s="289">
        <f t="shared" si="23"/>
        <v>0</v>
      </c>
      <c r="Y62" s="289">
        <f t="shared" si="23"/>
        <v>0</v>
      </c>
      <c r="Z62" s="289">
        <f t="shared" si="23"/>
        <v>0</v>
      </c>
      <c r="AA62" s="290">
        <f t="shared" si="23"/>
        <v>0</v>
      </c>
    </row>
    <row r="63" spans="1:27" s="256" customFormat="1" ht="12.75" customHeight="1" x14ac:dyDescent="0.2">
      <c r="A63" s="357" t="s">
        <v>124</v>
      </c>
      <c r="B63" s="217"/>
      <c r="C63" s="217"/>
      <c r="D63" s="289">
        <f>D47-D56</f>
        <v>0</v>
      </c>
      <c r="E63" s="289">
        <f t="shared" ref="E63:AA63" si="24">E47-E56</f>
        <v>0</v>
      </c>
      <c r="F63" s="289">
        <f t="shared" si="24"/>
        <v>0</v>
      </c>
      <c r="G63" s="289">
        <f t="shared" si="24"/>
        <v>0</v>
      </c>
      <c r="H63" s="289">
        <f t="shared" si="24"/>
        <v>0</v>
      </c>
      <c r="I63" s="289">
        <f t="shared" si="24"/>
        <v>0</v>
      </c>
      <c r="J63" s="289">
        <f t="shared" si="24"/>
        <v>0</v>
      </c>
      <c r="K63" s="289">
        <f t="shared" si="24"/>
        <v>0</v>
      </c>
      <c r="L63" s="289">
        <f t="shared" si="24"/>
        <v>0</v>
      </c>
      <c r="M63" s="289">
        <f t="shared" si="24"/>
        <v>0</v>
      </c>
      <c r="N63" s="289">
        <f t="shared" si="24"/>
        <v>0</v>
      </c>
      <c r="O63" s="289">
        <f t="shared" si="24"/>
        <v>0</v>
      </c>
      <c r="P63" s="289">
        <f t="shared" si="24"/>
        <v>0</v>
      </c>
      <c r="Q63" s="289">
        <f t="shared" si="24"/>
        <v>0</v>
      </c>
      <c r="R63" s="289">
        <f t="shared" si="24"/>
        <v>0</v>
      </c>
      <c r="S63" s="289">
        <f t="shared" si="24"/>
        <v>0</v>
      </c>
      <c r="T63" s="289">
        <f t="shared" si="24"/>
        <v>0</v>
      </c>
      <c r="U63" s="289">
        <f t="shared" si="24"/>
        <v>0</v>
      </c>
      <c r="V63" s="289">
        <f t="shared" si="24"/>
        <v>0</v>
      </c>
      <c r="W63" s="289">
        <f t="shared" si="24"/>
        <v>0</v>
      </c>
      <c r="X63" s="289">
        <f t="shared" si="24"/>
        <v>0</v>
      </c>
      <c r="Y63" s="289">
        <f t="shared" si="24"/>
        <v>0</v>
      </c>
      <c r="Z63" s="289">
        <f t="shared" si="24"/>
        <v>0</v>
      </c>
      <c r="AA63" s="290">
        <f t="shared" si="24"/>
        <v>0</v>
      </c>
    </row>
    <row r="64" spans="1:27" ht="12.75" customHeight="1" x14ac:dyDescent="0.2">
      <c r="A64" s="356" t="s">
        <v>123</v>
      </c>
      <c r="B64" s="292"/>
      <c r="C64" s="292"/>
      <c r="D64" s="293">
        <f>SUM(D$48:D$49)-D57</f>
        <v>0</v>
      </c>
      <c r="E64" s="293">
        <f t="shared" ref="E64:AA64" si="25">SUM(E$48:E$49)-E57</f>
        <v>0</v>
      </c>
      <c r="F64" s="293">
        <f t="shared" si="25"/>
        <v>0</v>
      </c>
      <c r="G64" s="293">
        <f t="shared" si="25"/>
        <v>0</v>
      </c>
      <c r="H64" s="293">
        <f t="shared" si="25"/>
        <v>0</v>
      </c>
      <c r="I64" s="293">
        <f t="shared" si="25"/>
        <v>0</v>
      </c>
      <c r="J64" s="293">
        <f t="shared" si="25"/>
        <v>0</v>
      </c>
      <c r="K64" s="293">
        <f t="shared" si="25"/>
        <v>0</v>
      </c>
      <c r="L64" s="293">
        <f t="shared" si="25"/>
        <v>3.8765408196489526</v>
      </c>
      <c r="M64" s="293">
        <f t="shared" si="25"/>
        <v>3.9663770872061943</v>
      </c>
      <c r="N64" s="293">
        <f t="shared" si="25"/>
        <v>4.0129439210350819</v>
      </c>
      <c r="O64" s="293">
        <f t="shared" si="25"/>
        <v>4.3767697821477869</v>
      </c>
      <c r="P64" s="293">
        <f t="shared" si="25"/>
        <v>4.4626595542330332</v>
      </c>
      <c r="Q64" s="293">
        <f t="shared" si="25"/>
        <v>4.5739985546433752</v>
      </c>
      <c r="R64" s="293">
        <f t="shared" si="25"/>
        <v>4.967347291010948</v>
      </c>
      <c r="S64" s="293">
        <f t="shared" si="25"/>
        <v>5.0721093989697783</v>
      </c>
      <c r="T64" s="293">
        <f t="shared" si="25"/>
        <v>5.1927361057164241</v>
      </c>
      <c r="U64" s="293">
        <f t="shared" si="25"/>
        <v>5.3343974405602426</v>
      </c>
      <c r="V64" s="293">
        <f t="shared" si="25"/>
        <v>5.4564221471408914</v>
      </c>
      <c r="W64" s="293">
        <f t="shared" si="25"/>
        <v>5.5621490476558613</v>
      </c>
      <c r="X64" s="293">
        <f t="shared" si="25"/>
        <v>0</v>
      </c>
      <c r="Y64" s="293">
        <f t="shared" si="25"/>
        <v>0</v>
      </c>
      <c r="Z64" s="293">
        <f t="shared" si="25"/>
        <v>0</v>
      </c>
      <c r="AA64" s="294">
        <f t="shared" si="25"/>
        <v>0</v>
      </c>
    </row>
    <row r="65" spans="1:27" ht="12.75" customHeight="1" x14ac:dyDescent="0.2">
      <c r="A65" s="297" t="s">
        <v>88</v>
      </c>
      <c r="B65" s="325"/>
      <c r="C65" s="325"/>
      <c r="D65" s="298">
        <f>+SUM(D61:D64)</f>
        <v>0</v>
      </c>
      <c r="E65" s="298">
        <f t="shared" ref="E65:AA65" si="26">+SUM(E61:E64)</f>
        <v>0</v>
      </c>
      <c r="F65" s="298">
        <f t="shared" si="26"/>
        <v>0</v>
      </c>
      <c r="G65" s="298">
        <f t="shared" si="26"/>
        <v>0</v>
      </c>
      <c r="H65" s="298">
        <f t="shared" si="26"/>
        <v>0</v>
      </c>
      <c r="I65" s="298">
        <f t="shared" si="26"/>
        <v>0</v>
      </c>
      <c r="J65" s="298">
        <f t="shared" si="26"/>
        <v>0</v>
      </c>
      <c r="K65" s="298">
        <f t="shared" si="26"/>
        <v>0</v>
      </c>
      <c r="L65" s="298">
        <f t="shared" si="26"/>
        <v>16.331606107040233</v>
      </c>
      <c r="M65" s="298">
        <f t="shared" si="26"/>
        <v>16.506409554776148</v>
      </c>
      <c r="N65" s="298">
        <f t="shared" si="26"/>
        <v>16.63761063473423</v>
      </c>
      <c r="O65" s="298">
        <f t="shared" si="26"/>
        <v>17.085847043560232</v>
      </c>
      <c r="P65" s="298">
        <f t="shared" si="26"/>
        <v>17.256249227036818</v>
      </c>
      <c r="Q65" s="298">
        <f t="shared" si="26"/>
        <v>17.45248947563228</v>
      </c>
      <c r="R65" s="298">
        <f t="shared" si="26"/>
        <v>17.932044462121972</v>
      </c>
      <c r="S65" s="298">
        <f t="shared" si="26"/>
        <v>18.125323470983691</v>
      </c>
      <c r="T65" s="298">
        <f t="shared" si="26"/>
        <v>18.336999082093172</v>
      </c>
      <c r="U65" s="298">
        <f t="shared" si="26"/>
        <v>18.572695490722207</v>
      </c>
      <c r="V65" s="298">
        <f t="shared" si="26"/>
        <v>18.791767664592289</v>
      </c>
      <c r="W65" s="298">
        <f t="shared" si="26"/>
        <v>18.997108664820914</v>
      </c>
      <c r="X65" s="298">
        <f t="shared" si="26"/>
        <v>0</v>
      </c>
      <c r="Y65" s="298">
        <f t="shared" si="26"/>
        <v>0</v>
      </c>
      <c r="Z65" s="298">
        <f t="shared" si="26"/>
        <v>0</v>
      </c>
      <c r="AA65" s="299">
        <f t="shared" si="26"/>
        <v>0</v>
      </c>
    </row>
    <row r="66" spans="1:27" s="194" customFormat="1" ht="12.75" customHeight="1" x14ac:dyDescent="0.2">
      <c r="A66" s="326"/>
    </row>
    <row r="67" spans="1:27" ht="12.75" customHeight="1" x14ac:dyDescent="0.2">
      <c r="A67" s="263" t="s">
        <v>174</v>
      </c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6"/>
    </row>
    <row r="68" spans="1:27" ht="12.75" customHeight="1" x14ac:dyDescent="0.2">
      <c r="A68" s="277"/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278"/>
    </row>
    <row r="69" spans="1:27" s="254" customFormat="1" ht="12.75" customHeight="1" x14ac:dyDescent="0.2">
      <c r="A69" s="288" t="s">
        <v>175</v>
      </c>
      <c r="B69" s="217"/>
      <c r="C69" s="217"/>
      <c r="D69" s="448">
        <f>+'Common Assumpt'!$N$42</f>
        <v>0.25069688731424139</v>
      </c>
      <c r="E69" s="317">
        <f>+'Common Assumpt'!$N$42</f>
        <v>0.25069688731424139</v>
      </c>
      <c r="F69" s="317">
        <f>+'Common Assumpt'!$N$42</f>
        <v>0.25069688731424139</v>
      </c>
      <c r="G69" s="317">
        <f>+'Common Assumpt'!$N$42</f>
        <v>0.25069688731424139</v>
      </c>
      <c r="H69" s="317">
        <f>+'Common Assumpt'!$N$42</f>
        <v>0.25069688731424139</v>
      </c>
      <c r="I69" s="317">
        <f>+'Common Assumpt'!$N$42</f>
        <v>0.25069688731424139</v>
      </c>
      <c r="J69" s="317">
        <f>+'Common Assumpt'!$N$42</f>
        <v>0.25069688731424139</v>
      </c>
      <c r="K69" s="317">
        <f>+'Common Assumpt'!$N$42</f>
        <v>0.25069688731424139</v>
      </c>
      <c r="L69" s="317">
        <f>+'Common Assumpt'!$N$42</f>
        <v>0.25069688731424139</v>
      </c>
      <c r="M69" s="317">
        <f>+'Common Assumpt'!$N$42</f>
        <v>0.25069688731424139</v>
      </c>
      <c r="N69" s="317">
        <f>+'Common Assumpt'!$N$42</f>
        <v>0.25069688731424139</v>
      </c>
      <c r="O69" s="317">
        <f>+'Common Assumpt'!$N$42</f>
        <v>0.25069688731424139</v>
      </c>
      <c r="P69" s="317">
        <f>+'Common Assumpt'!$N$42</f>
        <v>0.25069688731424139</v>
      </c>
      <c r="Q69" s="317">
        <f>+'Common Assumpt'!$N$42</f>
        <v>0.25069688731424139</v>
      </c>
      <c r="R69" s="317">
        <f>+'Common Assumpt'!$N$42</f>
        <v>0.25069688731424139</v>
      </c>
      <c r="S69" s="317">
        <f>+'Common Assumpt'!$N$42</f>
        <v>0.25069688731424139</v>
      </c>
      <c r="T69" s="317">
        <f>+'Common Assumpt'!$N$42</f>
        <v>0.25069688731424139</v>
      </c>
      <c r="U69" s="317">
        <f>+'Common Assumpt'!$N$42</f>
        <v>0.25069688731424139</v>
      </c>
      <c r="V69" s="317">
        <f>+'Common Assumpt'!$N$42</f>
        <v>0.25069688731424139</v>
      </c>
      <c r="W69" s="317">
        <f>+'Common Assumpt'!$N$42</f>
        <v>0.25069688731424139</v>
      </c>
      <c r="X69" s="317">
        <f>+'Common Assumpt'!$N$42</f>
        <v>0.25069688731424139</v>
      </c>
      <c r="Y69" s="317">
        <f>+'Common Assumpt'!$N$42</f>
        <v>0.25069688731424139</v>
      </c>
      <c r="Z69" s="317">
        <f>+'Common Assumpt'!$N$42</f>
        <v>0.25069688731424139</v>
      </c>
      <c r="AA69" s="318">
        <f>+'Common Assumpt'!$N$42</f>
        <v>0.25069688731424139</v>
      </c>
    </row>
    <row r="70" spans="1:27" s="465" customFormat="1" ht="12.75" customHeight="1" x14ac:dyDescent="0.2">
      <c r="A70" s="291" t="s">
        <v>139</v>
      </c>
      <c r="B70" s="292"/>
      <c r="C70" s="292"/>
      <c r="D70" s="462">
        <f>+'Common Assumpt'!C$9*'Common Assumpt'!$N$43</f>
        <v>2.1540749614326761E-2</v>
      </c>
      <c r="E70" s="463">
        <f>+'Common Assumpt'!D$9*'Common Assumpt'!$N$43</f>
        <v>2.6736638280557029E-2</v>
      </c>
      <c r="F70" s="463">
        <f>+'Common Assumpt'!E$9*'Common Assumpt'!$N$43</f>
        <v>2.6535663003403116E-2</v>
      </c>
      <c r="G70" s="463">
        <f>+'Common Assumpt'!F$9*'Common Assumpt'!$N$43</f>
        <v>2.6006319295081553E-2</v>
      </c>
      <c r="H70" s="463">
        <f>+'Common Assumpt'!G$9*'Common Assumpt'!$N$43</f>
        <v>2.6165134143786909E-2</v>
      </c>
      <c r="I70" s="463">
        <f>+'Common Assumpt'!H$9*'Common Assumpt'!$N$43</f>
        <v>2.638921496702179E-2</v>
      </c>
      <c r="J70" s="463">
        <f>+'Common Assumpt'!I$9*'Common Assumpt'!$N$43</f>
        <v>2.6860435587445979E-2</v>
      </c>
      <c r="K70" s="463">
        <f>+'Common Assumpt'!J$9*'Common Assumpt'!$N$43</f>
        <v>2.7560223685717894E-2</v>
      </c>
      <c r="L70" s="463">
        <f>+'Common Assumpt'!K$9*'Common Assumpt'!$N$43</f>
        <v>2.8009493324672469E-2</v>
      </c>
      <c r="M70" s="463">
        <f>+'Common Assumpt'!L$9*'Common Assumpt'!$N$43</f>
        <v>2.8819809350326721E-2</v>
      </c>
      <c r="N70" s="463">
        <f>+'Common Assumpt'!M$9*'Common Assumpt'!$N$43</f>
        <v>2.9138295602098782E-2</v>
      </c>
      <c r="O70" s="463">
        <f>+'Common Assumpt'!N$9*'Common Assumpt'!$N$43</f>
        <v>2.9942437866583609E-2</v>
      </c>
      <c r="P70" s="463">
        <f>+'Common Assumpt'!O$9*'Common Assumpt'!$N$43</f>
        <v>3.0647588982752369E-2</v>
      </c>
      <c r="Q70" s="463">
        <f>+'Common Assumpt'!P$9*'Common Assumpt'!$N$43</f>
        <v>3.1623347043853604E-2</v>
      </c>
      <c r="R70" s="463">
        <f>+'Common Assumpt'!Q$9*'Common Assumpt'!$N$43</f>
        <v>3.2475266043814018E-2</v>
      </c>
      <c r="S70" s="463">
        <f>+'Common Assumpt'!R$9*'Common Assumpt'!$N$43</f>
        <v>3.3305781740080136E-2</v>
      </c>
      <c r="T70" s="463">
        <f>+'Common Assumpt'!S$9*'Common Assumpt'!$N$43</f>
        <v>3.4289264760163349E-2</v>
      </c>
      <c r="U70" s="463">
        <f>+'Common Assumpt'!T$9*'Common Assumpt'!$N$43</f>
        <v>3.547649283601946E-2</v>
      </c>
      <c r="V70" s="463">
        <f>+'Common Assumpt'!U$9*'Common Assumpt'!$N$43</f>
        <v>3.6459007650057842E-2</v>
      </c>
      <c r="W70" s="463">
        <f>+'Common Assumpt'!V$9*'Common Assumpt'!$N$43</f>
        <v>3.7271450465154697E-2</v>
      </c>
      <c r="X70" s="463">
        <f>+'Common Assumpt'!W$9*'Common Assumpt'!$N$43</f>
        <v>3.8588586193596223E-2</v>
      </c>
      <c r="Y70" s="463">
        <f>+'Common Assumpt'!X$9*'Common Assumpt'!$N$43</f>
        <v>3.8588586193596223E-2</v>
      </c>
      <c r="Z70" s="463">
        <f>+'Common Assumpt'!Y$9*'Common Assumpt'!$N$43</f>
        <v>3.8588586193596223E-2</v>
      </c>
      <c r="AA70" s="464">
        <f>+'Common Assumpt'!Z$9*'Common Assumpt'!$N$43</f>
        <v>3.8588586193596223E-2</v>
      </c>
    </row>
    <row r="71" spans="1:27" s="254" customFormat="1" ht="12.75" customHeight="1" x14ac:dyDescent="0.2">
      <c r="A71" s="288" t="s">
        <v>176</v>
      </c>
      <c r="B71" s="217"/>
      <c r="C71" s="217"/>
      <c r="D71" s="448">
        <f>+SUM(D69:D70)</f>
        <v>0.27223763692856817</v>
      </c>
      <c r="E71" s="317">
        <f t="shared" ref="E71:AA71" si="27">+SUM(E69:E70)</f>
        <v>0.27743352559479839</v>
      </c>
      <c r="F71" s="317">
        <f t="shared" si="27"/>
        <v>0.27723255031764449</v>
      </c>
      <c r="G71" s="317">
        <f t="shared" si="27"/>
        <v>0.27670320660932296</v>
      </c>
      <c r="H71" s="317">
        <f t="shared" si="27"/>
        <v>0.2768620214580283</v>
      </c>
      <c r="I71" s="317">
        <f t="shared" si="27"/>
        <v>0.27708610228126318</v>
      </c>
      <c r="J71" s="317">
        <f t="shared" si="27"/>
        <v>0.27755732290168739</v>
      </c>
      <c r="K71" s="317">
        <f t="shared" si="27"/>
        <v>0.27825711099995931</v>
      </c>
      <c r="L71" s="317">
        <f t="shared" si="27"/>
        <v>0.27870638063891384</v>
      </c>
      <c r="M71" s="317">
        <f t="shared" si="27"/>
        <v>0.27951669666456813</v>
      </c>
      <c r="N71" s="317">
        <f t="shared" si="27"/>
        <v>0.27983518291634019</v>
      </c>
      <c r="O71" s="317">
        <f t="shared" si="27"/>
        <v>0.28063932518082502</v>
      </c>
      <c r="P71" s="317">
        <f t="shared" si="27"/>
        <v>0.28134447629699377</v>
      </c>
      <c r="Q71" s="317">
        <f t="shared" si="27"/>
        <v>0.282320234358095</v>
      </c>
      <c r="R71" s="317">
        <f t="shared" si="27"/>
        <v>0.2831721533580554</v>
      </c>
      <c r="S71" s="317">
        <f t="shared" si="27"/>
        <v>0.28400266905432153</v>
      </c>
      <c r="T71" s="317">
        <f t="shared" si="27"/>
        <v>0.28498615207440475</v>
      </c>
      <c r="U71" s="317">
        <f t="shared" si="27"/>
        <v>0.28617338015026084</v>
      </c>
      <c r="V71" s="317">
        <f t="shared" si="27"/>
        <v>0.28715589496429922</v>
      </c>
      <c r="W71" s="317">
        <f t="shared" si="27"/>
        <v>0.28796833777939607</v>
      </c>
      <c r="X71" s="317">
        <f t="shared" si="27"/>
        <v>0.28928547350783762</v>
      </c>
      <c r="Y71" s="317">
        <f t="shared" si="27"/>
        <v>0.28928547350783762</v>
      </c>
      <c r="Z71" s="317">
        <f t="shared" si="27"/>
        <v>0.28928547350783762</v>
      </c>
      <c r="AA71" s="318">
        <f t="shared" si="27"/>
        <v>0.28928547350783762</v>
      </c>
    </row>
    <row r="72" spans="1:27" s="254" customFormat="1" ht="12.75" customHeight="1" x14ac:dyDescent="0.2">
      <c r="A72" s="288"/>
      <c r="B72" s="217"/>
      <c r="C72" s="217"/>
      <c r="D72" s="448"/>
      <c r="E72" s="317"/>
      <c r="F72" s="317"/>
      <c r="G72" s="317"/>
      <c r="H72" s="317"/>
      <c r="I72" s="317"/>
      <c r="J72" s="317"/>
      <c r="K72" s="317"/>
      <c r="L72" s="317"/>
      <c r="M72" s="317"/>
      <c r="N72" s="317"/>
      <c r="O72" s="317"/>
      <c r="P72" s="317"/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8"/>
    </row>
    <row r="73" spans="1:27" s="254" customFormat="1" ht="12.75" customHeight="1" x14ac:dyDescent="0.2">
      <c r="A73" s="499" t="s">
        <v>177</v>
      </c>
      <c r="B73" s="500"/>
      <c r="C73" s="500"/>
      <c r="D73" s="501">
        <f>+'Common Assumpt'!$F$35</f>
        <v>0.02</v>
      </c>
      <c r="E73" s="502">
        <f>+'Common Assumpt'!$F$35</f>
        <v>0.02</v>
      </c>
      <c r="F73" s="502">
        <f>+'Common Assumpt'!$F$35</f>
        <v>0.02</v>
      </c>
      <c r="G73" s="502">
        <f>+'Common Assumpt'!$F$35</f>
        <v>0.02</v>
      </c>
      <c r="H73" s="502">
        <f>+'Common Assumpt'!$F$35</f>
        <v>0.02</v>
      </c>
      <c r="I73" s="502">
        <f>+'Common Assumpt'!$F$35</f>
        <v>0.02</v>
      </c>
      <c r="J73" s="502">
        <f>+'Common Assumpt'!$F$35</f>
        <v>0.02</v>
      </c>
      <c r="K73" s="502">
        <f>+'Common Assumpt'!$F$35</f>
        <v>0.02</v>
      </c>
      <c r="L73" s="502">
        <f>+'Common Assumpt'!$F$35</f>
        <v>0.02</v>
      </c>
      <c r="M73" s="502">
        <f>+'Common Assumpt'!$F$35</f>
        <v>0.02</v>
      </c>
      <c r="N73" s="502">
        <f>+'Common Assumpt'!$F$35</f>
        <v>0.02</v>
      </c>
      <c r="O73" s="502">
        <f>+'Common Assumpt'!$F$35</f>
        <v>0.02</v>
      </c>
      <c r="P73" s="502">
        <f>+'Common Assumpt'!$F$35</f>
        <v>0.02</v>
      </c>
      <c r="Q73" s="502">
        <f>+'Common Assumpt'!$F$35</f>
        <v>0.02</v>
      </c>
      <c r="R73" s="502">
        <f>+'Common Assumpt'!$F$35</f>
        <v>0.02</v>
      </c>
      <c r="S73" s="502">
        <f>+'Common Assumpt'!$F$35</f>
        <v>0.02</v>
      </c>
      <c r="T73" s="502">
        <f>+'Common Assumpt'!$F$35</f>
        <v>0.02</v>
      </c>
      <c r="U73" s="502">
        <f>+'Common Assumpt'!$F$35</f>
        <v>0.02</v>
      </c>
      <c r="V73" s="502">
        <f>+'Common Assumpt'!$F$35</f>
        <v>0.02</v>
      </c>
      <c r="W73" s="502">
        <f>+'Common Assumpt'!$F$35</f>
        <v>0.02</v>
      </c>
      <c r="X73" s="502">
        <f>+'Common Assumpt'!$F$35</f>
        <v>0.02</v>
      </c>
      <c r="Y73" s="502">
        <f>+'Common Assumpt'!$F$35</f>
        <v>0.02</v>
      </c>
      <c r="Z73" s="502">
        <f>+'Common Assumpt'!$F$35</f>
        <v>0.02</v>
      </c>
      <c r="AA73" s="503">
        <f>+'Common Assumpt'!$F$35</f>
        <v>0.02</v>
      </c>
    </row>
    <row r="74" spans="1:27" s="194" customFormat="1" ht="12.75" customHeight="1" x14ac:dyDescent="0.2">
      <c r="A74" s="326"/>
    </row>
    <row r="75" spans="1:27" ht="12.75" customHeight="1" x14ac:dyDescent="0.2">
      <c r="A75" s="241" t="s">
        <v>191</v>
      </c>
      <c r="B75" s="242"/>
      <c r="C75" s="242"/>
      <c r="D75" s="243"/>
      <c r="E75" s="243"/>
      <c r="F75" s="243"/>
      <c r="G75" s="243"/>
      <c r="H75" s="243"/>
      <c r="I75" s="243"/>
      <c r="J75" s="243"/>
      <c r="K75" s="244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5"/>
    </row>
    <row r="76" spans="1:27" ht="12.75" customHeight="1" x14ac:dyDescent="0.2">
      <c r="A76" s="4"/>
      <c r="B76" s="4"/>
      <c r="C76" s="4"/>
    </row>
    <row r="77" spans="1:27" ht="12.75" customHeight="1" x14ac:dyDescent="0.2">
      <c r="A77" s="4" t="s">
        <v>85</v>
      </c>
      <c r="B77" s="4"/>
      <c r="C77" s="4"/>
      <c r="D77" s="246">
        <v>0</v>
      </c>
      <c r="E77" s="246">
        <v>0</v>
      </c>
      <c r="F77" s="247">
        <f>+SUM(F$15,F$21)*ML</f>
        <v>0</v>
      </c>
      <c r="G77" s="247">
        <f>+SUM(G$15,G$21)*ML</f>
        <v>34.815707943549839</v>
      </c>
      <c r="H77" s="247">
        <f t="shared" ref="H77:AA77" si="28">+SUM(H$15,H$21)*ML</f>
        <v>32.767725123341023</v>
      </c>
      <c r="I77" s="247">
        <f t="shared" si="28"/>
        <v>30.719742303132207</v>
      </c>
      <c r="J77" s="247">
        <f t="shared" si="28"/>
        <v>30.719742303132207</v>
      </c>
      <c r="K77" s="247">
        <f t="shared" si="28"/>
        <v>28.671759482923395</v>
      </c>
      <c r="L77" s="247">
        <f t="shared" si="28"/>
        <v>34.815707943549839</v>
      </c>
      <c r="M77" s="247">
        <f t="shared" si="28"/>
        <v>34.815707943549839</v>
      </c>
      <c r="N77" s="247">
        <f t="shared" si="28"/>
        <v>34.815707943549839</v>
      </c>
      <c r="O77" s="247">
        <f t="shared" si="28"/>
        <v>34.815707943549839</v>
      </c>
      <c r="P77" s="247">
        <f t="shared" si="28"/>
        <v>34.815707943549839</v>
      </c>
      <c r="Q77" s="247">
        <f t="shared" si="28"/>
        <v>34.815707943549839</v>
      </c>
      <c r="R77" s="247">
        <f t="shared" si="28"/>
        <v>34.815707943549839</v>
      </c>
      <c r="S77" s="247">
        <f t="shared" si="28"/>
        <v>34.815707943549839</v>
      </c>
      <c r="T77" s="247">
        <f t="shared" si="28"/>
        <v>34.815707943549839</v>
      </c>
      <c r="U77" s="247">
        <f t="shared" si="28"/>
        <v>34.815707943549839</v>
      </c>
      <c r="V77" s="247">
        <f t="shared" si="28"/>
        <v>34.815707943549839</v>
      </c>
      <c r="W77" s="247">
        <f t="shared" si="28"/>
        <v>34.815707943549839</v>
      </c>
      <c r="X77" s="247">
        <f t="shared" si="28"/>
        <v>0</v>
      </c>
      <c r="Y77" s="247">
        <f t="shared" si="28"/>
        <v>0</v>
      </c>
      <c r="Z77" s="247">
        <f t="shared" si="28"/>
        <v>0</v>
      </c>
      <c r="AA77" s="247">
        <f t="shared" si="28"/>
        <v>0</v>
      </c>
    </row>
    <row r="78" spans="1:27" s="256" customFormat="1" ht="12.75" customHeight="1" x14ac:dyDescent="0.2">
      <c r="A78" s="467" t="s">
        <v>457</v>
      </c>
      <c r="B78" s="6"/>
      <c r="C78" s="6"/>
      <c r="D78" s="629"/>
      <c r="E78" s="629"/>
      <c r="F78" s="630">
        <f>+SUM(F$15)*ML</f>
        <v>0</v>
      </c>
      <c r="G78" s="630">
        <f>+SUM(G$15)*ML</f>
        <v>34.815707943549839</v>
      </c>
      <c r="H78" s="630">
        <f t="shared" ref="H78:AA78" si="29">+SUM(H$15)*ML</f>
        <v>32.767725123341023</v>
      </c>
      <c r="I78" s="630">
        <f t="shared" si="29"/>
        <v>30.719742303132207</v>
      </c>
      <c r="J78" s="630">
        <f t="shared" si="29"/>
        <v>30.719742303132207</v>
      </c>
      <c r="K78" s="630">
        <f t="shared" si="29"/>
        <v>28.671759482923395</v>
      </c>
      <c r="L78" s="630">
        <f t="shared" si="29"/>
        <v>0</v>
      </c>
      <c r="M78" s="630">
        <f t="shared" si="29"/>
        <v>0</v>
      </c>
      <c r="N78" s="630">
        <f t="shared" si="29"/>
        <v>0</v>
      </c>
      <c r="O78" s="630">
        <f t="shared" si="29"/>
        <v>0</v>
      </c>
      <c r="P78" s="630">
        <f t="shared" si="29"/>
        <v>0</v>
      </c>
      <c r="Q78" s="630">
        <f t="shared" si="29"/>
        <v>0</v>
      </c>
      <c r="R78" s="630">
        <f t="shared" si="29"/>
        <v>0</v>
      </c>
      <c r="S78" s="630">
        <f t="shared" si="29"/>
        <v>0</v>
      </c>
      <c r="T78" s="630">
        <f t="shared" si="29"/>
        <v>0</v>
      </c>
      <c r="U78" s="630">
        <f t="shared" si="29"/>
        <v>0</v>
      </c>
      <c r="V78" s="630">
        <f t="shared" si="29"/>
        <v>0</v>
      </c>
      <c r="W78" s="630">
        <f t="shared" si="29"/>
        <v>0</v>
      </c>
      <c r="X78" s="630">
        <f t="shared" si="29"/>
        <v>0</v>
      </c>
      <c r="Y78" s="630">
        <f t="shared" si="29"/>
        <v>0</v>
      </c>
      <c r="Z78" s="630">
        <f t="shared" si="29"/>
        <v>0</v>
      </c>
      <c r="AA78" s="630">
        <f t="shared" si="29"/>
        <v>0</v>
      </c>
    </row>
    <row r="79" spans="1:27" s="256" customFormat="1" ht="12.75" customHeight="1" x14ac:dyDescent="0.2">
      <c r="A79" s="467" t="s">
        <v>458</v>
      </c>
      <c r="B79" s="6"/>
      <c r="C79" s="6"/>
      <c r="D79" s="629"/>
      <c r="E79" s="629"/>
      <c r="F79" s="630">
        <f>+SUM(F$21)*ML</f>
        <v>0</v>
      </c>
      <c r="G79" s="630">
        <f>+SUM(G$21)*ML</f>
        <v>0</v>
      </c>
      <c r="H79" s="630">
        <f t="shared" ref="H79:AA79" si="30">+SUM(H$21)*ML</f>
        <v>0</v>
      </c>
      <c r="I79" s="630">
        <f t="shared" si="30"/>
        <v>0</v>
      </c>
      <c r="J79" s="630">
        <f t="shared" si="30"/>
        <v>0</v>
      </c>
      <c r="K79" s="630">
        <f t="shared" si="30"/>
        <v>0</v>
      </c>
      <c r="L79" s="630">
        <f t="shared" si="30"/>
        <v>34.815707943549839</v>
      </c>
      <c r="M79" s="630">
        <f t="shared" si="30"/>
        <v>34.815707943549839</v>
      </c>
      <c r="N79" s="630">
        <f t="shared" si="30"/>
        <v>34.815707943549839</v>
      </c>
      <c r="O79" s="630">
        <f t="shared" si="30"/>
        <v>34.815707943549839</v>
      </c>
      <c r="P79" s="630">
        <f t="shared" si="30"/>
        <v>34.815707943549839</v>
      </c>
      <c r="Q79" s="630">
        <f t="shared" si="30"/>
        <v>34.815707943549839</v>
      </c>
      <c r="R79" s="630">
        <f t="shared" si="30"/>
        <v>34.815707943549839</v>
      </c>
      <c r="S79" s="630">
        <f t="shared" si="30"/>
        <v>34.815707943549839</v>
      </c>
      <c r="T79" s="630">
        <f t="shared" si="30"/>
        <v>34.815707943549839</v>
      </c>
      <c r="U79" s="630">
        <f t="shared" si="30"/>
        <v>34.815707943549839</v>
      </c>
      <c r="V79" s="630">
        <f t="shared" si="30"/>
        <v>34.815707943549839</v>
      </c>
      <c r="W79" s="630">
        <f t="shared" si="30"/>
        <v>34.815707943549839</v>
      </c>
      <c r="X79" s="630">
        <f t="shared" si="30"/>
        <v>0</v>
      </c>
      <c r="Y79" s="630">
        <f t="shared" si="30"/>
        <v>0</v>
      </c>
      <c r="Z79" s="630">
        <f t="shared" si="30"/>
        <v>0</v>
      </c>
      <c r="AA79" s="630">
        <f t="shared" si="30"/>
        <v>0</v>
      </c>
    </row>
    <row r="80" spans="1:27" ht="12.75" customHeight="1" x14ac:dyDescent="0.2"/>
    <row r="81" spans="1:27" ht="12.75" customHeight="1" x14ac:dyDescent="0.2">
      <c r="A81" s="5" t="s">
        <v>167</v>
      </c>
    </row>
    <row r="82" spans="1:27" ht="12.75" customHeight="1" x14ac:dyDescent="0.2">
      <c r="A82" s="253" t="s">
        <v>6</v>
      </c>
      <c r="B82" s="253"/>
      <c r="C82" s="253"/>
      <c r="D82" s="249">
        <f>+$H82</f>
        <v>0.17837409978335145</v>
      </c>
      <c r="E82" s="249">
        <f>+$H82</f>
        <v>0.17837409978335145</v>
      </c>
      <c r="F82" s="249">
        <f>+$H82</f>
        <v>0.17837409978335145</v>
      </c>
      <c r="G82" s="249">
        <f>+$H82</f>
        <v>0.17837409978335145</v>
      </c>
      <c r="H82" s="320">
        <f>('Common Assumpt'!$G$25)</f>
        <v>0.17837409978335145</v>
      </c>
      <c r="I82" s="249">
        <f t="shared" ref="I82:AA82" si="31">+$H82</f>
        <v>0.17837409978335145</v>
      </c>
      <c r="J82" s="249">
        <f t="shared" si="31"/>
        <v>0.17837409978335145</v>
      </c>
      <c r="K82" s="249">
        <f t="shared" si="31"/>
        <v>0.17837409978335145</v>
      </c>
      <c r="L82" s="249">
        <f t="shared" si="31"/>
        <v>0.17837409978335145</v>
      </c>
      <c r="M82" s="249">
        <f t="shared" si="31"/>
        <v>0.17837409978335145</v>
      </c>
      <c r="N82" s="249">
        <f t="shared" si="31"/>
        <v>0.17837409978335145</v>
      </c>
      <c r="O82" s="249">
        <f t="shared" si="31"/>
        <v>0.17837409978335145</v>
      </c>
      <c r="P82" s="249">
        <f t="shared" si="31"/>
        <v>0.17837409978335145</v>
      </c>
      <c r="Q82" s="249">
        <f t="shared" si="31"/>
        <v>0.17837409978335145</v>
      </c>
      <c r="R82" s="249">
        <f t="shared" si="31"/>
        <v>0.17837409978335145</v>
      </c>
      <c r="S82" s="249">
        <f t="shared" si="31"/>
        <v>0.17837409978335145</v>
      </c>
      <c r="T82" s="249">
        <f t="shared" si="31"/>
        <v>0.17837409978335145</v>
      </c>
      <c r="U82" s="249">
        <f t="shared" si="31"/>
        <v>0.17837409978335145</v>
      </c>
      <c r="V82" s="249">
        <f t="shared" si="31"/>
        <v>0.17837409978335145</v>
      </c>
      <c r="W82" s="249">
        <f t="shared" si="31"/>
        <v>0.17837409978335145</v>
      </c>
      <c r="X82" s="249">
        <f t="shared" si="31"/>
        <v>0.17837409978335145</v>
      </c>
      <c r="Y82" s="249">
        <f t="shared" si="31"/>
        <v>0.17837409978335145</v>
      </c>
      <c r="Z82" s="249">
        <f t="shared" si="31"/>
        <v>0.17837409978335145</v>
      </c>
      <c r="AA82" s="249">
        <f t="shared" si="31"/>
        <v>0.17837409978335145</v>
      </c>
    </row>
    <row r="83" spans="1:27" ht="12.75" customHeight="1" x14ac:dyDescent="0.2">
      <c r="A83" s="248" t="s">
        <v>89</v>
      </c>
      <c r="B83" s="248"/>
      <c r="C83" s="248"/>
      <c r="D83" s="249">
        <f>E83/(1+HLOOKUP(E$27,USInf97!$M$2:$AY$3,2)*'Common Assumpt'!$D$21)</f>
        <v>0.14864267636127715</v>
      </c>
      <c r="E83" s="249">
        <f>F83/(1+HLOOKUP(F$27,USInf97!$M$2:$AY$3,2)*'Common Assumpt'!$D$21)</f>
        <v>0.15169117123599368</v>
      </c>
      <c r="F83" s="249">
        <f>G83/(1+HLOOKUP(G$27,USInf97!$M$2:$AY$3,2)*'Common Assumpt'!$D$21)</f>
        <v>0.15501806091758299</v>
      </c>
      <c r="G83" s="249">
        <f>H83/(1+HLOOKUP(H$27,USInf97!$M$2:$AY$3,2)*'Common Assumpt'!$D$21)</f>
        <v>0.15817197603363925</v>
      </c>
      <c r="H83" s="320">
        <f>'Common Assumpt'!$H$25</f>
        <v>0.16128437180628141</v>
      </c>
      <c r="I83" s="249">
        <f>H83*(1+HLOOKUP(I$27,USInf97!$M$2:$AY$3,2)*'Common Assumpt'!$D$21)</f>
        <v>0.16437943433841049</v>
      </c>
      <c r="J83" s="249">
        <f>I83*(1+HLOOKUP(J$27,USInf97!$M$2:$AY$3,2)*'Common Assumpt'!$D$21)</f>
        <v>0.16747897395866132</v>
      </c>
      <c r="K83" s="249">
        <f>J83*(1+HLOOKUP(K$27,USInf97!$M$2:$AY$3,2)*'Common Assumpt'!$D$21)</f>
        <v>0.1705628190583699</v>
      </c>
      <c r="L83" s="249">
        <f>K83*(1+HLOOKUP(L$27,USInf97!$M$2:$AY$3,2)*'Common Assumpt'!$D$21)</f>
        <v>0.17363079613602697</v>
      </c>
      <c r="M83" s="249">
        <f>L83*(1+HLOOKUP(M$27,USInf97!$M$2:$AY$3,2)*'Common Assumpt'!$D$21)</f>
        <v>0.17669594982050013</v>
      </c>
      <c r="N83" s="249">
        <f>M83*(1+HLOOKUP(N$27,USInf97!$M$2:$AY$3,2)*'Common Assumpt'!$D$21)</f>
        <v>0.17976257684643066</v>
      </c>
      <c r="O83" s="249">
        <f>N83*(1+HLOOKUP(O$27,USInf97!$M$2:$AY$3,2)*'Common Assumpt'!$D$21)</f>
        <v>0.18283438093417742</v>
      </c>
      <c r="P83" s="249">
        <f>O83*(1+HLOOKUP(P$27,USInf97!$M$2:$AY$3,2)*'Common Assumpt'!$D$21)</f>
        <v>0.18592304517660996</v>
      </c>
      <c r="Q83" s="249">
        <f>P83*(1+HLOOKUP(Q$27,USInf97!$M$2:$AY$3,2)*'Common Assumpt'!$D$21)</f>
        <v>0.18903904096976426</v>
      </c>
      <c r="R83" s="249">
        <f>Q83*(1+HLOOKUP(R$27,USInf97!$M$2:$AY$3,2)*'Common Assumpt'!$D$21)</f>
        <v>0.19221620644638157</v>
      </c>
      <c r="S83" s="249">
        <f>R83*(1+HLOOKUP(S$27,USInf97!$M$2:$AY$3,2)*'Common Assumpt'!$D$21)</f>
        <v>0.19549225729917488</v>
      </c>
      <c r="T83" s="249">
        <f>S83*(1+HLOOKUP(T$27,USInf97!$M$2:$AY$3,2)*'Common Assumpt'!$D$21)</f>
        <v>0.198876393304798</v>
      </c>
      <c r="U83" s="249">
        <f>T83*(1+HLOOKUP(U$27,USInf97!$M$2:$AY$3,2)*'Common Assumpt'!$D$21)</f>
        <v>0.20238666039850656</v>
      </c>
      <c r="V83" s="249">
        <f>U83*(1+HLOOKUP(V$27,USInf97!$M$2:$AY$3,2)*'Common Assumpt'!$D$21)</f>
        <v>0.20602537489496014</v>
      </c>
      <c r="W83" s="249">
        <f>V83*(1+HLOOKUP(W$27,USInf97!$M$2:$AY$3,2)*'Common Assumpt'!$D$21)</f>
        <v>0.20977711837460872</v>
      </c>
      <c r="X83" s="249">
        <f>W83*(1+HLOOKUP(X$27,USInf97!$M$2:$AY$3,2)*'Common Assumpt'!$D$21)</f>
        <v>0.21367719135710414</v>
      </c>
      <c r="Y83" s="249">
        <f>X83*(1+HLOOKUP(Y$27,USInf97!$M$2:$AY$3,2)*'Common Assumpt'!$D$21)</f>
        <v>0.21776399230055046</v>
      </c>
      <c r="Z83" s="249">
        <f>Y83*(1+HLOOKUP(Z$27,USInf97!$M$2:$AY$3,2)*'Common Assumpt'!$D$21)</f>
        <v>0.22210052327697988</v>
      </c>
      <c r="AA83" s="249">
        <f>Z83*(1+HLOOKUP(AA$27,USInf97!$M$2:$AY$3,2)*'Common Assumpt'!$D$21)</f>
        <v>0.22667368076313849</v>
      </c>
    </row>
    <row r="84" spans="1:27" ht="12.75" customHeight="1" x14ac:dyDescent="0.2">
      <c r="A84" s="250" t="s">
        <v>8</v>
      </c>
      <c r="B84" s="250"/>
      <c r="C84" s="250"/>
      <c r="D84" s="251">
        <f>E84/(1+HLOOKUP(E$27,USInf97!$M$2:$AY$3,2)*'Common Assumpt'!$D$21)</f>
        <v>0.24801821242580729</v>
      </c>
      <c r="E84" s="251">
        <f>F84/(1+HLOOKUP(F$27,USInf97!$M$2:$AY$3,2)*'Common Assumpt'!$D$21)</f>
        <v>0.25310478828628741</v>
      </c>
      <c r="F84" s="251">
        <f>G84/(1+HLOOKUP(G$27,USInf97!$M$2:$AY$3,2)*'Common Assumpt'!$D$21)</f>
        <v>0.2586558806910027</v>
      </c>
      <c r="G84" s="251">
        <f>H84/(1+HLOOKUP(H$27,USInf97!$M$2:$AY$3,2)*'Common Assumpt'!$D$21)</f>
        <v>0.26391835583189555</v>
      </c>
      <c r="H84" s="321">
        <f>'Common Assumpt'!$I$25</f>
        <v>0.26911155373971685</v>
      </c>
      <c r="I84" s="251">
        <f>H84*(1+HLOOKUP(I$27,USInf97!$M$2:$AY$3,2)*'Common Assumpt'!$D$21)</f>
        <v>0.27427583021371554</v>
      </c>
      <c r="J84" s="251">
        <f>I84*(1+HLOOKUP(J$27,USInf97!$M$2:$AY$3,2)*'Common Assumpt'!$D$21)</f>
        <v>0.27944757694740013</v>
      </c>
      <c r="K84" s="251">
        <f>J84*(1+HLOOKUP(K$27,USInf97!$M$2:$AY$3,2)*'Common Assumpt'!$D$21)</f>
        <v>0.28459313653870377</v>
      </c>
      <c r="L84" s="251">
        <f>K84*(1+HLOOKUP(L$27,USInf97!$M$2:$AY$3,2)*'Common Assumpt'!$D$21)</f>
        <v>0.28971221949112891</v>
      </c>
      <c r="M84" s="251">
        <f>L84*(1+HLOOKUP(M$27,USInf97!$M$2:$AY$3,2)*'Common Assumpt'!$D$21)</f>
        <v>0.29482659146183876</v>
      </c>
      <c r="N84" s="251">
        <f>M84*(1+HLOOKUP(N$27,USInf97!$M$2:$AY$3,2)*'Common Assumpt'!$D$21)</f>
        <v>0.2999434217811433</v>
      </c>
      <c r="O84" s="251">
        <f>N84*(1+HLOOKUP(O$27,USInf97!$M$2:$AY$3,2)*'Common Assumpt'!$D$21)</f>
        <v>0.3050688903034775</v>
      </c>
      <c r="P84" s="251">
        <f>O84*(1+HLOOKUP(P$27,USInf97!$M$2:$AY$3,2)*'Common Assumpt'!$D$21)</f>
        <v>0.31022249089076609</v>
      </c>
      <c r="Q84" s="251">
        <f>P84*(1+HLOOKUP(Q$27,USInf97!$M$2:$AY$3,2)*'Common Assumpt'!$D$21)</f>
        <v>0.31542169562431188</v>
      </c>
      <c r="R84" s="251">
        <f>Q84*(1+HLOOKUP(R$27,USInf97!$M$2:$AY$3,2)*'Common Assumpt'!$D$21)</f>
        <v>0.32072296522858346</v>
      </c>
      <c r="S84" s="251">
        <f>R84*(1+HLOOKUP(S$27,USInf97!$M$2:$AY$3,2)*'Common Assumpt'!$D$21)</f>
        <v>0.32618923034312569</v>
      </c>
      <c r="T84" s="251">
        <f>S84*(1+HLOOKUP(T$27,USInf97!$M$2:$AY$3,2)*'Common Assumpt'!$D$21)</f>
        <v>0.33183584128465948</v>
      </c>
      <c r="U84" s="251">
        <f>T84*(1+HLOOKUP(U$27,USInf97!$M$2:$AY$3,2)*'Common Assumpt'!$D$21)</f>
        <v>0.33769290865609664</v>
      </c>
      <c r="V84" s="251">
        <f>U84*(1+HLOOKUP(V$27,USInf97!$M$2:$AY$3,2)*'Common Assumpt'!$D$21)</f>
        <v>0.34376429735166103</v>
      </c>
      <c r="W84" s="251">
        <f>V84*(1+HLOOKUP(W$27,USInf97!$M$2:$AY$3,2)*'Common Assumpt'!$D$21)</f>
        <v>0.35002428091816401</v>
      </c>
      <c r="X84" s="251">
        <f>W84*(1+HLOOKUP(X$27,USInf97!$M$2:$AY$3,2)*'Common Assumpt'!$D$21)</f>
        <v>0.35653176015042498</v>
      </c>
      <c r="Y84" s="251">
        <f>X84*(1+HLOOKUP(Y$27,USInf97!$M$2:$AY$3,2)*'Common Assumpt'!$D$21)</f>
        <v>0.36335080491836291</v>
      </c>
      <c r="Z84" s="251">
        <f>Y84*(1+HLOOKUP(Z$27,USInf97!$M$2:$AY$3,2)*'Common Assumpt'!$D$21)</f>
        <v>0.37058653753050358</v>
      </c>
      <c r="AA84" s="251">
        <f>Z84*(1+HLOOKUP(AA$27,USInf97!$M$2:$AY$3,2)*'Common Assumpt'!$D$21)</f>
        <v>0.37821709406126736</v>
      </c>
    </row>
    <row r="85" spans="1:27" ht="12.75" customHeight="1" x14ac:dyDescent="0.2">
      <c r="A85" s="16" t="s">
        <v>219</v>
      </c>
      <c r="B85" s="16"/>
      <c r="C85" s="16"/>
      <c r="D85" s="17">
        <f t="shared" ref="D85:T85" si="32">+SUM(D82:D84)</f>
        <v>0.57503498857043589</v>
      </c>
      <c r="E85" s="17">
        <f t="shared" si="32"/>
        <v>0.58317005930563259</v>
      </c>
      <c r="F85" s="17">
        <f t="shared" si="32"/>
        <v>0.59204804139193712</v>
      </c>
      <c r="G85" s="17">
        <f t="shared" si="32"/>
        <v>0.6004644316488863</v>
      </c>
      <c r="H85" s="17">
        <f t="shared" si="32"/>
        <v>0.60877002532934976</v>
      </c>
      <c r="I85" s="17">
        <f t="shared" si="32"/>
        <v>0.61702936433547739</v>
      </c>
      <c r="J85" s="17">
        <f t="shared" si="32"/>
        <v>0.62530065068941298</v>
      </c>
      <c r="K85" s="17">
        <f t="shared" si="32"/>
        <v>0.63353005538042506</v>
      </c>
      <c r="L85" s="17">
        <f t="shared" si="32"/>
        <v>0.64171711541050735</v>
      </c>
      <c r="M85" s="17">
        <f t="shared" si="32"/>
        <v>0.64989664106569034</v>
      </c>
      <c r="N85" s="17">
        <f t="shared" si="32"/>
        <v>0.65808009841092541</v>
      </c>
      <c r="O85" s="17">
        <f t="shared" si="32"/>
        <v>0.66627737102100637</v>
      </c>
      <c r="P85" s="17">
        <f t="shared" si="32"/>
        <v>0.67451963585072749</v>
      </c>
      <c r="Q85" s="17">
        <f t="shared" si="32"/>
        <v>0.68283483637742759</v>
      </c>
      <c r="R85" s="17">
        <f t="shared" si="32"/>
        <v>0.69131327145831645</v>
      </c>
      <c r="S85" s="17">
        <f t="shared" si="32"/>
        <v>0.70005558742565199</v>
      </c>
      <c r="T85" s="17">
        <f t="shared" si="32"/>
        <v>0.70908633437280888</v>
      </c>
      <c r="U85" s="17">
        <f t="shared" ref="U85:AA85" si="33">+SUM(U82:U84)</f>
        <v>0.71845366883795458</v>
      </c>
      <c r="V85" s="17">
        <f t="shared" si="33"/>
        <v>0.72816377202997262</v>
      </c>
      <c r="W85" s="17">
        <f t="shared" si="33"/>
        <v>0.73817549907612423</v>
      </c>
      <c r="X85" s="17">
        <f t="shared" si="33"/>
        <v>0.74858305129088054</v>
      </c>
      <c r="Y85" s="17">
        <f t="shared" si="33"/>
        <v>0.75948889700226485</v>
      </c>
      <c r="Z85" s="17">
        <f t="shared" si="33"/>
        <v>0.77106116059083485</v>
      </c>
      <c r="AA85" s="17">
        <f t="shared" si="33"/>
        <v>0.78326487460775729</v>
      </c>
    </row>
    <row r="86" spans="1:27" ht="12.75" customHeight="1" x14ac:dyDescent="0.2"/>
    <row r="87" spans="1:27" ht="12.75" customHeight="1" x14ac:dyDescent="0.2">
      <c r="A87" s="5" t="s">
        <v>168</v>
      </c>
    </row>
    <row r="88" spans="1:27" ht="12.75" customHeight="1" x14ac:dyDescent="0.2">
      <c r="A88" s="253" t="s">
        <v>6</v>
      </c>
      <c r="B88" s="253"/>
      <c r="C88" s="253"/>
      <c r="D88" s="249">
        <f>+$H88</f>
        <v>0.43051205897455336</v>
      </c>
      <c r="E88" s="249">
        <f>+$H88</f>
        <v>0.43051205897455336</v>
      </c>
      <c r="F88" s="249">
        <f>+$H88</f>
        <v>0.43051205897455336</v>
      </c>
      <c r="G88" s="249">
        <f>+$H88</f>
        <v>0.43051205897455336</v>
      </c>
      <c r="H88" s="320">
        <f>+'Common Assumpt'!$G$30</f>
        <v>0.43051205897455336</v>
      </c>
      <c r="I88" s="249">
        <f t="shared" ref="I88:AA88" si="34">+$H88</f>
        <v>0.43051205897455336</v>
      </c>
      <c r="J88" s="249">
        <f t="shared" si="34"/>
        <v>0.43051205897455336</v>
      </c>
      <c r="K88" s="249">
        <f t="shared" si="34"/>
        <v>0.43051205897455336</v>
      </c>
      <c r="L88" s="249">
        <f t="shared" si="34"/>
        <v>0.43051205897455336</v>
      </c>
      <c r="M88" s="249">
        <f t="shared" si="34"/>
        <v>0.43051205897455336</v>
      </c>
      <c r="N88" s="249">
        <f t="shared" si="34"/>
        <v>0.43051205897455336</v>
      </c>
      <c r="O88" s="249">
        <f t="shared" si="34"/>
        <v>0.43051205897455336</v>
      </c>
      <c r="P88" s="249">
        <f t="shared" si="34"/>
        <v>0.43051205897455336</v>
      </c>
      <c r="Q88" s="249">
        <f t="shared" si="34"/>
        <v>0.43051205897455336</v>
      </c>
      <c r="R88" s="249">
        <f t="shared" si="34"/>
        <v>0.43051205897455336</v>
      </c>
      <c r="S88" s="249">
        <f t="shared" si="34"/>
        <v>0.43051205897455336</v>
      </c>
      <c r="T88" s="249">
        <f t="shared" si="34"/>
        <v>0.43051205897455336</v>
      </c>
      <c r="U88" s="249">
        <f t="shared" si="34"/>
        <v>0.43051205897455336</v>
      </c>
      <c r="V88" s="249">
        <f t="shared" si="34"/>
        <v>0.43051205897455336</v>
      </c>
      <c r="W88" s="249">
        <f t="shared" si="34"/>
        <v>0.43051205897455336</v>
      </c>
      <c r="X88" s="249">
        <f t="shared" si="34"/>
        <v>0.43051205897455336</v>
      </c>
      <c r="Y88" s="249">
        <f t="shared" si="34"/>
        <v>0.43051205897455336</v>
      </c>
      <c r="Z88" s="249">
        <f t="shared" si="34"/>
        <v>0.43051205897455336</v>
      </c>
      <c r="AA88" s="249">
        <f t="shared" si="34"/>
        <v>0.43051205897455336</v>
      </c>
    </row>
    <row r="89" spans="1:27" ht="12.75" customHeight="1" x14ac:dyDescent="0.2">
      <c r="A89" s="248" t="s">
        <v>89</v>
      </c>
      <c r="B89" s="248"/>
      <c r="C89" s="248"/>
      <c r="D89" s="249">
        <f>E89/(1+HLOOKUP(E$27,USInf97!$M$2:$AY$3,2)*'Common Assumpt'!$D$21)</f>
        <v>0.11426496372142744</v>
      </c>
      <c r="E89" s="249">
        <f>F89/(1+HLOOKUP(F$27,USInf97!$M$2:$AY$3,2)*'Common Assumpt'!$D$21)</f>
        <v>0.11660841019851999</v>
      </c>
      <c r="F89" s="249">
        <f>G89/(1+HLOOKUP(G$27,USInf97!$M$2:$AY$3,2)*'Common Assumpt'!$D$21)</f>
        <v>0.11916586501619324</v>
      </c>
      <c r="G89" s="249">
        <f>H89/(1+HLOOKUP(H$27,USInf97!$M$2:$AY$3,2)*'Common Assumpt'!$D$21)</f>
        <v>0.12159035040046282</v>
      </c>
      <c r="H89" s="320">
        <f>'Common Assumpt'!$H$30</f>
        <v>0.12398291893295681</v>
      </c>
      <c r="I89" s="249">
        <f>H89*(1+HLOOKUP(I$27,USInf97!$M$2:$AY$3,2)*'Common Assumpt'!$D$21)</f>
        <v>0.12636216301417688</v>
      </c>
      <c r="J89" s="249">
        <f>I89*(1+HLOOKUP(J$27,USInf97!$M$2:$AY$3,2)*'Common Assumpt'!$D$21)</f>
        <v>0.12874484873358816</v>
      </c>
      <c r="K89" s="249">
        <f>J89*(1+HLOOKUP(K$27,USInf97!$M$2:$AY$3,2)*'Common Assumpt'!$D$21)</f>
        <v>0.13111546972257151</v>
      </c>
      <c r="L89" s="249">
        <f>K89*(1+HLOOKUP(L$27,USInf97!$M$2:$AY$3,2)*'Common Assumpt'!$D$21)</f>
        <v>0.13347389260662007</v>
      </c>
      <c r="M89" s="249">
        <f>L89*(1+HLOOKUP(M$27,USInf97!$M$2:$AY$3,2)*'Common Assumpt'!$D$21)</f>
        <v>0.13583014508491686</v>
      </c>
      <c r="N89" s="249">
        <f>M89*(1+HLOOKUP(N$27,USInf97!$M$2:$AY$3,2)*'Common Assumpt'!$D$21)</f>
        <v>0.13818753015388205</v>
      </c>
      <c r="O89" s="249">
        <f>N89*(1+HLOOKUP(O$27,USInf97!$M$2:$AY$3,2)*'Common Assumpt'!$D$21)</f>
        <v>0.1405488949465383</v>
      </c>
      <c r="P89" s="249">
        <f>O89*(1+HLOOKUP(P$27,USInf97!$M$2:$AY$3,2)*'Common Assumpt'!$D$21)</f>
        <v>0.14292322051876788</v>
      </c>
      <c r="Q89" s="249">
        <f>P89*(1+HLOOKUP(Q$27,USInf97!$M$2:$AY$3,2)*'Common Assumpt'!$D$21)</f>
        <v>0.1453185564678833</v>
      </c>
      <c r="R89" s="249">
        <f>Q89*(1+HLOOKUP(R$27,USInf97!$M$2:$AY$3,2)*'Common Assumpt'!$D$21)</f>
        <v>0.14776091492650176</v>
      </c>
      <c r="S89" s="249">
        <f>R89*(1+HLOOKUP(S$27,USInf97!$M$2:$AY$3,2)*'Common Assumpt'!$D$21)</f>
        <v>0.15027928879467772</v>
      </c>
      <c r="T89" s="249">
        <f>S89*(1+HLOOKUP(T$27,USInf97!$M$2:$AY$3,2)*'Common Assumpt'!$D$21)</f>
        <v>0.15288075014734506</v>
      </c>
      <c r="U89" s="249">
        <f>T89*(1+HLOOKUP(U$27,USInf97!$M$2:$AY$3,2)*'Common Assumpt'!$D$21)</f>
        <v>0.15557917130023288</v>
      </c>
      <c r="V89" s="249">
        <f>U89*(1+HLOOKUP(V$27,USInf97!$M$2:$AY$3,2)*'Common Assumpt'!$D$21)</f>
        <v>0.1583763328564427</v>
      </c>
      <c r="W89" s="249">
        <f>V89*(1+HLOOKUP(W$27,USInf97!$M$2:$AY$3,2)*'Common Assumpt'!$D$21)</f>
        <v>0.16126038233058029</v>
      </c>
      <c r="X89" s="249">
        <f>W89*(1+HLOOKUP(X$27,USInf97!$M$2:$AY$3,2)*'Common Assumpt'!$D$21)</f>
        <v>0.16425845602492511</v>
      </c>
      <c r="Y89" s="249">
        <f>X89*(1+HLOOKUP(Y$27,USInf97!$M$2:$AY$3,2)*'Common Assumpt'!$D$21)</f>
        <v>0.16740007169662222</v>
      </c>
      <c r="Z89" s="249">
        <f>Y89*(1+HLOOKUP(Z$27,USInf97!$M$2:$AY$3,2)*'Common Assumpt'!$D$21)</f>
        <v>0.17073366045342181</v>
      </c>
      <c r="AA89" s="249">
        <f>Z89*(1+HLOOKUP(AA$27,USInf97!$M$2:$AY$3,2)*'Common Assumpt'!$D$21)</f>
        <v>0.17424914932270333</v>
      </c>
    </row>
    <row r="90" spans="1:27" ht="12.75" customHeight="1" x14ac:dyDescent="0.2">
      <c r="A90" s="250" t="s">
        <v>8</v>
      </c>
      <c r="B90" s="250"/>
      <c r="C90" s="250"/>
      <c r="D90" s="251">
        <f>E90/(1+HLOOKUP(E$27,USInf97!$M$2:$AY$3,2)*'Common Assumpt'!$D$21)</f>
        <v>0.21146132187334027</v>
      </c>
      <c r="E90" s="251">
        <f>F90/(1+HLOOKUP(F$27,USInf97!$M$2:$AY$3,2)*'Common Assumpt'!$D$21)</f>
        <v>0.2157981568369739</v>
      </c>
      <c r="F90" s="251">
        <f>G90/(1+HLOOKUP(G$27,USInf97!$M$2:$AY$3,2)*'Common Assumpt'!$D$21)</f>
        <v>0.2205310404678214</v>
      </c>
      <c r="G90" s="251">
        <f>H90/(1+HLOOKUP(H$27,USInf97!$M$2:$AY$3,2)*'Common Assumpt'!$D$21)</f>
        <v>0.2250178478628698</v>
      </c>
      <c r="H90" s="321">
        <f>'Common Assumpt'!$I$30</f>
        <v>0.2294455892113656</v>
      </c>
      <c r="I90" s="251">
        <f>H90*(1+HLOOKUP(I$27,USInf97!$M$2:$AY$3,2)*'Common Assumpt'!$D$21)</f>
        <v>0.23384867202947854</v>
      </c>
      <c r="J90" s="251">
        <f>I90*(1+HLOOKUP(J$27,USInf97!$M$2:$AY$3,2)*'Common Assumpt'!$D$21)</f>
        <v>0.23825812402093755</v>
      </c>
      <c r="K90" s="251">
        <f>J90*(1+HLOOKUP(K$27,USInf97!$M$2:$AY$3,2)*'Common Assumpt'!$D$21)</f>
        <v>0.24264524874985477</v>
      </c>
      <c r="L90" s="251">
        <f>K90*(1+HLOOKUP(L$27,USInf97!$M$2:$AY$3,2)*'Common Assumpt'!$D$21)</f>
        <v>0.2470097993903563</v>
      </c>
      <c r="M90" s="251">
        <f>L90*(1+HLOOKUP(M$27,USInf97!$M$2:$AY$3,2)*'Common Assumpt'!$D$21)</f>
        <v>0.25137033342896764</v>
      </c>
      <c r="N90" s="251">
        <f>M90*(1+HLOOKUP(N$27,USInf97!$M$2:$AY$3,2)*'Common Assumpt'!$D$21)</f>
        <v>0.25573296346544289</v>
      </c>
      <c r="O90" s="251">
        <f>N90*(1+HLOOKUP(O$27,USInf97!$M$2:$AY$3,2)*'Common Assumpt'!$D$21)</f>
        <v>0.26010295846843973</v>
      </c>
      <c r="P90" s="251">
        <f>O90*(1+HLOOKUP(P$27,USInf97!$M$2:$AY$3,2)*'Common Assumpt'!$D$21)</f>
        <v>0.26449693898275889</v>
      </c>
      <c r="Q90" s="251">
        <f>P90*(1+HLOOKUP(Q$27,USInf97!$M$2:$AY$3,2)*'Common Assumpt'!$D$21)</f>
        <v>0.26892980177494036</v>
      </c>
      <c r="R90" s="251">
        <f>Q90*(1+HLOOKUP(R$27,USInf97!$M$2:$AY$3,2)*'Common Assumpt'!$D$21)</f>
        <v>0.27344968548493837</v>
      </c>
      <c r="S90" s="251">
        <f>R90*(1+HLOOKUP(S$27,USInf97!$M$2:$AY$3,2)*'Common Assumpt'!$D$21)</f>
        <v>0.27811024502822995</v>
      </c>
      <c r="T90" s="251">
        <f>S90*(1+HLOOKUP(T$27,USInf97!$M$2:$AY$3,2)*'Common Assumpt'!$D$21)</f>
        <v>0.28292456814636952</v>
      </c>
      <c r="U90" s="251">
        <f>T90*(1+HLOOKUP(U$27,USInf97!$M$2:$AY$3,2)*'Common Assumpt'!$D$21)</f>
        <v>0.28791832726007094</v>
      </c>
      <c r="V90" s="251">
        <f>U90*(1+HLOOKUP(V$27,USInf97!$M$2:$AY$3,2)*'Common Assumpt'!$D$21)</f>
        <v>0.29309481759363848</v>
      </c>
      <c r="W90" s="251">
        <f>V90*(1+HLOOKUP(W$27,USInf97!$M$2:$AY$3,2)*'Common Assumpt'!$D$21)</f>
        <v>0.2984321046699821</v>
      </c>
      <c r="X90" s="251">
        <f>W90*(1+HLOOKUP(X$27,USInf97!$M$2:$AY$3,2)*'Common Assumpt'!$D$21)</f>
        <v>0.30398040754281591</v>
      </c>
      <c r="Y90" s="251">
        <f>X90*(1+HLOOKUP(Y$27,USInf97!$M$2:$AY$3,2)*'Common Assumpt'!$D$21)</f>
        <v>0.30979435243999959</v>
      </c>
      <c r="Z90" s="251">
        <f>Y90*(1+HLOOKUP(Z$27,USInf97!$M$2:$AY$3,2)*'Common Assumpt'!$D$21)</f>
        <v>0.31596356706307094</v>
      </c>
      <c r="AA90" s="251">
        <f>Z90*(1+HLOOKUP(AA$27,USInf97!$M$2:$AY$3,2)*'Common Assumpt'!$D$21)</f>
        <v>0.3224694101414588</v>
      </c>
    </row>
    <row r="91" spans="1:27" ht="12.75" customHeight="1" x14ac:dyDescent="0.2">
      <c r="A91" s="16" t="s">
        <v>219</v>
      </c>
      <c r="B91" s="16"/>
      <c r="C91" s="16"/>
      <c r="D91" s="17">
        <f t="shared" ref="D91:AA91" si="35">+SUM(D88:D90)</f>
        <v>0.75623834456932104</v>
      </c>
      <c r="E91" s="17">
        <f t="shared" si="35"/>
        <v>0.76291862601004723</v>
      </c>
      <c r="F91" s="17">
        <f t="shared" si="35"/>
        <v>0.7702089644585679</v>
      </c>
      <c r="G91" s="17">
        <f t="shared" si="35"/>
        <v>0.77712025723788603</v>
      </c>
      <c r="H91" s="17">
        <f t="shared" si="35"/>
        <v>0.78394056711887572</v>
      </c>
      <c r="I91" s="17">
        <f t="shared" si="35"/>
        <v>0.79072289401820883</v>
      </c>
      <c r="J91" s="17">
        <f t="shared" si="35"/>
        <v>0.79751503172907912</v>
      </c>
      <c r="K91" s="17">
        <f t="shared" si="35"/>
        <v>0.80427277744697956</v>
      </c>
      <c r="L91" s="17">
        <f t="shared" si="35"/>
        <v>0.81099575097152965</v>
      </c>
      <c r="M91" s="17">
        <f t="shared" si="35"/>
        <v>0.81771253748843786</v>
      </c>
      <c r="N91" s="17">
        <f t="shared" si="35"/>
        <v>0.82443255259387827</v>
      </c>
      <c r="O91" s="17">
        <f t="shared" si="35"/>
        <v>0.83116391238953136</v>
      </c>
      <c r="P91" s="17">
        <f t="shared" si="35"/>
        <v>0.83793221847608024</v>
      </c>
      <c r="Q91" s="17">
        <f t="shared" si="35"/>
        <v>0.84476041721737705</v>
      </c>
      <c r="R91" s="17">
        <f t="shared" si="35"/>
        <v>0.85172265938599345</v>
      </c>
      <c r="S91" s="17">
        <f t="shared" si="35"/>
        <v>0.85890159279746103</v>
      </c>
      <c r="T91" s="17">
        <f t="shared" si="35"/>
        <v>0.86631737726826796</v>
      </c>
      <c r="U91" s="17">
        <f t="shared" si="35"/>
        <v>0.87400955753485721</v>
      </c>
      <c r="V91" s="17">
        <f t="shared" si="35"/>
        <v>0.88198320942463448</v>
      </c>
      <c r="W91" s="17">
        <f t="shared" si="35"/>
        <v>0.89020454597511578</v>
      </c>
      <c r="X91" s="17">
        <f t="shared" si="35"/>
        <v>0.89875092254229427</v>
      </c>
      <c r="Y91" s="17">
        <f t="shared" si="35"/>
        <v>0.90770648311117519</v>
      </c>
      <c r="Z91" s="17">
        <f t="shared" si="35"/>
        <v>0.91720928649104616</v>
      </c>
      <c r="AA91" s="17">
        <f t="shared" si="35"/>
        <v>0.92723061843871546</v>
      </c>
    </row>
    <row r="92" spans="1:27" ht="12.75" customHeight="1" x14ac:dyDescent="0.2"/>
    <row r="93" spans="1:27" ht="12.75" customHeight="1" x14ac:dyDescent="0.2">
      <c r="A93" s="252" t="s">
        <v>171</v>
      </c>
      <c r="C93" s="460">
        <f>+'Common Assumpt'!$J$23</f>
        <v>0.66666666666666663</v>
      </c>
      <c r="D93" s="17">
        <f>+D91-D85</f>
        <v>0.18120335599888515</v>
      </c>
      <c r="E93" s="17">
        <f t="shared" ref="E93:AA93" si="36">+E91-E85</f>
        <v>0.17974856670441464</v>
      </c>
      <c r="F93" s="17">
        <f t="shared" si="36"/>
        <v>0.17816092306663078</v>
      </c>
      <c r="G93" s="17">
        <f t="shared" si="36"/>
        <v>0.17665582558899973</v>
      </c>
      <c r="H93" s="17">
        <f t="shared" si="36"/>
        <v>0.17517054178952596</v>
      </c>
      <c r="I93" s="17">
        <f t="shared" si="36"/>
        <v>0.17369352968273144</v>
      </c>
      <c r="J93" s="17">
        <f t="shared" si="36"/>
        <v>0.17221438103966613</v>
      </c>
      <c r="K93" s="17">
        <f t="shared" si="36"/>
        <v>0.1707427220665545</v>
      </c>
      <c r="L93" s="17">
        <f t="shared" si="36"/>
        <v>0.16927863556102229</v>
      </c>
      <c r="M93" s="17">
        <f t="shared" si="36"/>
        <v>0.16781589642274752</v>
      </c>
      <c r="N93" s="17">
        <f t="shared" si="36"/>
        <v>0.16635245418295286</v>
      </c>
      <c r="O93" s="17">
        <f t="shared" si="36"/>
        <v>0.16488654136852499</v>
      </c>
      <c r="P93" s="17">
        <f t="shared" si="36"/>
        <v>0.16341258262535274</v>
      </c>
      <c r="Q93" s="17">
        <f t="shared" si="36"/>
        <v>0.16192558083994946</v>
      </c>
      <c r="R93" s="17">
        <f t="shared" si="36"/>
        <v>0.16040938792767701</v>
      </c>
      <c r="S93" s="17">
        <f t="shared" si="36"/>
        <v>0.15884600537180904</v>
      </c>
      <c r="T93" s="17">
        <f t="shared" si="36"/>
        <v>0.15723104289545908</v>
      </c>
      <c r="U93" s="17">
        <f t="shared" si="36"/>
        <v>0.15555588869690262</v>
      </c>
      <c r="V93" s="17">
        <f t="shared" si="36"/>
        <v>0.15381943739466186</v>
      </c>
      <c r="W93" s="17">
        <f t="shared" si="36"/>
        <v>0.15202904689899155</v>
      </c>
      <c r="X93" s="17">
        <f t="shared" si="36"/>
        <v>0.15016787125141373</v>
      </c>
      <c r="Y93" s="17">
        <f t="shared" si="36"/>
        <v>0.14821758610891034</v>
      </c>
      <c r="Z93" s="17">
        <f t="shared" si="36"/>
        <v>0.14614812590021131</v>
      </c>
      <c r="AA93" s="17">
        <f t="shared" si="36"/>
        <v>0.14396574383095817</v>
      </c>
    </row>
    <row r="94" spans="1:27" s="15" customFormat="1" ht="12.75" customHeight="1" x14ac:dyDescent="0.2">
      <c r="A94" s="257" t="s">
        <v>170</v>
      </c>
      <c r="C94" s="461">
        <f>+'Common Assumpt'!$K$23</f>
        <v>0.33333333333333337</v>
      </c>
      <c r="D94" s="251">
        <f>+D90-D84</f>
        <v>-3.6556890552467025E-2</v>
      </c>
      <c r="E94" s="251">
        <f t="shared" ref="E94:AA94" si="37">+E90-E84</f>
        <v>-3.730663144931351E-2</v>
      </c>
      <c r="F94" s="251">
        <f t="shared" si="37"/>
        <v>-3.81248402231813E-2</v>
      </c>
      <c r="G94" s="251">
        <f t="shared" si="37"/>
        <v>-3.8900507969025749E-2</v>
      </c>
      <c r="H94" s="251">
        <f>+H90-H84</f>
        <v>-3.966596452835125E-2</v>
      </c>
      <c r="I94" s="251">
        <f t="shared" si="37"/>
        <v>-4.0427158184237005E-2</v>
      </c>
      <c r="J94" s="251">
        <f t="shared" si="37"/>
        <v>-4.1189452926462589E-2</v>
      </c>
      <c r="K94" s="251">
        <f t="shared" si="37"/>
        <v>-4.1947887788849003E-2</v>
      </c>
      <c r="L94" s="251">
        <f t="shared" si="37"/>
        <v>-4.2702420100772603E-2</v>
      </c>
      <c r="M94" s="251">
        <f t="shared" si="37"/>
        <v>-4.345625803287112E-2</v>
      </c>
      <c r="N94" s="251">
        <f t="shared" si="37"/>
        <v>-4.4210458315700418E-2</v>
      </c>
      <c r="O94" s="251">
        <f t="shared" si="37"/>
        <v>-4.4965931835037776E-2</v>
      </c>
      <c r="P94" s="251">
        <f t="shared" si="37"/>
        <v>-4.57255519080072E-2</v>
      </c>
      <c r="Q94" s="251">
        <f t="shared" si="37"/>
        <v>-4.6491893849371524E-2</v>
      </c>
      <c r="R94" s="251">
        <f t="shared" si="37"/>
        <v>-4.7273279743645091E-2</v>
      </c>
      <c r="S94" s="251">
        <f t="shared" si="37"/>
        <v>-4.8078985314895739E-2</v>
      </c>
      <c r="T94" s="251">
        <f t="shared" si="37"/>
        <v>-4.8911273138289968E-2</v>
      </c>
      <c r="U94" s="251">
        <f t="shared" si="37"/>
        <v>-4.9774581396025697E-2</v>
      </c>
      <c r="V94" s="251">
        <f t="shared" si="37"/>
        <v>-5.0669479758022551E-2</v>
      </c>
      <c r="W94" s="251">
        <f t="shared" si="37"/>
        <v>-5.1592176248181909E-2</v>
      </c>
      <c r="X94" s="251">
        <f t="shared" si="37"/>
        <v>-5.255135260760907E-2</v>
      </c>
      <c r="Y94" s="251">
        <f t="shared" si="37"/>
        <v>-5.3556452478363326E-2</v>
      </c>
      <c r="Z94" s="251">
        <f t="shared" si="37"/>
        <v>-5.4622970467432641E-2</v>
      </c>
      <c r="AA94" s="251">
        <f t="shared" si="37"/>
        <v>-5.5747683919808555E-2</v>
      </c>
    </row>
    <row r="95" spans="1:27" ht="12.75" customHeight="1" x14ac:dyDescent="0.2">
      <c r="A95" s="16" t="s">
        <v>172</v>
      </c>
      <c r="C95" s="460">
        <f>+SUM(C93:C94)</f>
        <v>1</v>
      </c>
      <c r="D95" s="17">
        <f>+D93*$C$93+D94*$C$94</f>
        <v>0.10861660714843442</v>
      </c>
      <c r="E95" s="17">
        <f t="shared" ref="E95:AA95" si="38">+E93*$C$93+E94*$C$94</f>
        <v>0.10739683398650525</v>
      </c>
      <c r="F95" s="17">
        <f t="shared" si="38"/>
        <v>0.10606566863669341</v>
      </c>
      <c r="G95" s="17">
        <f t="shared" si="38"/>
        <v>0.10480371440299123</v>
      </c>
      <c r="H95" s="17">
        <f t="shared" si="38"/>
        <v>0.10355837301690021</v>
      </c>
      <c r="I95" s="17">
        <f t="shared" si="38"/>
        <v>0.10231996706040861</v>
      </c>
      <c r="J95" s="17">
        <f t="shared" si="38"/>
        <v>0.10107976971762322</v>
      </c>
      <c r="K95" s="17">
        <f t="shared" si="38"/>
        <v>9.9845852114753317E-2</v>
      </c>
      <c r="L95" s="17">
        <f t="shared" si="38"/>
        <v>9.8618283673757315E-2</v>
      </c>
      <c r="M95" s="17">
        <f t="shared" si="38"/>
        <v>9.73918449375413E-2</v>
      </c>
      <c r="N95" s="17">
        <f t="shared" si="38"/>
        <v>9.6164816683401766E-2</v>
      </c>
      <c r="O95" s="17">
        <f t="shared" si="38"/>
        <v>9.4935716967337394E-2</v>
      </c>
      <c r="P95" s="17">
        <f t="shared" si="38"/>
        <v>9.3699871114232752E-2</v>
      </c>
      <c r="Q95" s="17">
        <f t="shared" si="38"/>
        <v>9.2453089276842454E-2</v>
      </c>
      <c r="R95" s="17">
        <f t="shared" si="38"/>
        <v>9.1181832037236302E-2</v>
      </c>
      <c r="S95" s="17">
        <f t="shared" si="38"/>
        <v>8.9871008476240771E-2</v>
      </c>
      <c r="T95" s="17">
        <f t="shared" si="38"/>
        <v>8.8516937550876057E-2</v>
      </c>
      <c r="U95" s="17">
        <f t="shared" si="38"/>
        <v>8.7112398665926516E-2</v>
      </c>
      <c r="V95" s="17">
        <f t="shared" si="38"/>
        <v>8.5656465010433724E-2</v>
      </c>
      <c r="W95" s="17">
        <f t="shared" si="38"/>
        <v>8.415530584993372E-2</v>
      </c>
      <c r="X95" s="17">
        <f t="shared" si="38"/>
        <v>8.2594796631739451E-2</v>
      </c>
      <c r="Y95" s="17">
        <f t="shared" si="38"/>
        <v>8.0959573246485769E-2</v>
      </c>
      <c r="Z95" s="17">
        <f t="shared" si="38"/>
        <v>7.9224427110996656E-2</v>
      </c>
      <c r="AA95" s="17">
        <f t="shared" si="38"/>
        <v>7.7394601247369257E-2</v>
      </c>
    </row>
    <row r="96" spans="1:27" ht="12.75" customHeight="1" x14ac:dyDescent="0.2"/>
    <row r="97" spans="1:27" ht="12.75" customHeight="1" x14ac:dyDescent="0.2">
      <c r="A97" s="241" t="s">
        <v>192</v>
      </c>
      <c r="B97" s="242"/>
      <c r="C97" s="242"/>
      <c r="D97" s="243"/>
      <c r="E97" s="243"/>
      <c r="F97" s="243"/>
      <c r="G97" s="243"/>
      <c r="H97" s="243"/>
      <c r="I97" s="243"/>
      <c r="J97" s="243"/>
      <c r="K97" s="244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5"/>
    </row>
    <row r="98" spans="1:27" ht="12.75" customHeight="1" x14ac:dyDescent="0.2">
      <c r="A98" s="4"/>
      <c r="B98" s="4"/>
      <c r="C98" s="4"/>
    </row>
    <row r="99" spans="1:27" ht="12.75" customHeight="1" x14ac:dyDescent="0.2">
      <c r="A99" s="4" t="s">
        <v>85</v>
      </c>
      <c r="B99" s="4"/>
      <c r="C99" s="4"/>
      <c r="D99" s="246">
        <v>0</v>
      </c>
      <c r="E99" s="246">
        <v>0</v>
      </c>
      <c r="F99" s="247">
        <f>+SUM(F$16,F$22)*NB</f>
        <v>0</v>
      </c>
      <c r="G99" s="247">
        <f>+SUM(G$16,G$22)*NB</f>
        <v>12.734849522605737</v>
      </c>
      <c r="H99" s="247">
        <f t="shared" ref="H99:AA99" si="39">+SUM(H$16,H$22)*NB</f>
        <v>12.734849522605737</v>
      </c>
      <c r="I99" s="247">
        <f t="shared" si="39"/>
        <v>12.734849522605737</v>
      </c>
      <c r="J99" s="247">
        <f t="shared" si="39"/>
        <v>9.5511371419543032</v>
      </c>
      <c r="K99" s="247">
        <f t="shared" si="39"/>
        <v>9.5511371419543032</v>
      </c>
      <c r="L99" s="247">
        <f t="shared" si="39"/>
        <v>12.734849522605737</v>
      </c>
      <c r="M99" s="247">
        <f t="shared" si="39"/>
        <v>12.734849522605737</v>
      </c>
      <c r="N99" s="247">
        <f t="shared" si="39"/>
        <v>12.734849522605737</v>
      </c>
      <c r="O99" s="247">
        <f t="shared" si="39"/>
        <v>15.918561903257171</v>
      </c>
      <c r="P99" s="247">
        <f t="shared" si="39"/>
        <v>15.918561903257171</v>
      </c>
      <c r="Q99" s="247">
        <f t="shared" si="39"/>
        <v>15.918561903257171</v>
      </c>
      <c r="R99" s="247">
        <f t="shared" si="39"/>
        <v>19.102274283908606</v>
      </c>
      <c r="S99" s="247">
        <f t="shared" si="39"/>
        <v>19.102274283908606</v>
      </c>
      <c r="T99" s="247">
        <f t="shared" si="39"/>
        <v>19.102274283908606</v>
      </c>
      <c r="U99" s="247">
        <f t="shared" si="39"/>
        <v>19.102274283908606</v>
      </c>
      <c r="V99" s="247">
        <f t="shared" si="39"/>
        <v>19.102274283908606</v>
      </c>
      <c r="W99" s="247">
        <f t="shared" si="39"/>
        <v>19.102274283908606</v>
      </c>
      <c r="X99" s="247">
        <f t="shared" si="39"/>
        <v>0</v>
      </c>
      <c r="Y99" s="247">
        <f t="shared" si="39"/>
        <v>0</v>
      </c>
      <c r="Z99" s="247">
        <f t="shared" si="39"/>
        <v>0</v>
      </c>
      <c r="AA99" s="247">
        <f t="shared" si="39"/>
        <v>0</v>
      </c>
    </row>
    <row r="100" spans="1:27" s="256" customFormat="1" ht="12.75" customHeight="1" x14ac:dyDescent="0.2">
      <c r="A100" s="467" t="s">
        <v>457</v>
      </c>
      <c r="B100" s="6"/>
      <c r="C100" s="6"/>
      <c r="D100" s="629"/>
      <c r="E100" s="629"/>
      <c r="F100" s="630">
        <f>+SUM(F$16)*NB</f>
        <v>0</v>
      </c>
      <c r="G100" s="630">
        <f>+SUM(G$16)*NB</f>
        <v>12.734849522605737</v>
      </c>
      <c r="H100" s="630">
        <f t="shared" ref="H100:AA100" si="40">+SUM(H$16)*NB</f>
        <v>12.734849522605737</v>
      </c>
      <c r="I100" s="630">
        <f t="shared" si="40"/>
        <v>12.734849522605737</v>
      </c>
      <c r="J100" s="630">
        <f t="shared" si="40"/>
        <v>9.5511371419543032</v>
      </c>
      <c r="K100" s="630">
        <f t="shared" si="40"/>
        <v>9.5511371419543032</v>
      </c>
      <c r="L100" s="630">
        <f t="shared" si="40"/>
        <v>0</v>
      </c>
      <c r="M100" s="630">
        <f t="shared" si="40"/>
        <v>0</v>
      </c>
      <c r="N100" s="630">
        <f t="shared" si="40"/>
        <v>0</v>
      </c>
      <c r="O100" s="630">
        <f t="shared" si="40"/>
        <v>0</v>
      </c>
      <c r="P100" s="630">
        <f t="shared" si="40"/>
        <v>0</v>
      </c>
      <c r="Q100" s="630">
        <f t="shared" si="40"/>
        <v>0</v>
      </c>
      <c r="R100" s="630">
        <f t="shared" si="40"/>
        <v>0</v>
      </c>
      <c r="S100" s="630">
        <f t="shared" si="40"/>
        <v>0</v>
      </c>
      <c r="T100" s="630">
        <f t="shared" si="40"/>
        <v>0</v>
      </c>
      <c r="U100" s="630">
        <f t="shared" si="40"/>
        <v>0</v>
      </c>
      <c r="V100" s="630">
        <f t="shared" si="40"/>
        <v>0</v>
      </c>
      <c r="W100" s="630">
        <f t="shared" si="40"/>
        <v>0</v>
      </c>
      <c r="X100" s="630">
        <f t="shared" si="40"/>
        <v>0</v>
      </c>
      <c r="Y100" s="630">
        <f t="shared" si="40"/>
        <v>0</v>
      </c>
      <c r="Z100" s="630">
        <f t="shared" si="40"/>
        <v>0</v>
      </c>
      <c r="AA100" s="630">
        <f t="shared" si="40"/>
        <v>0</v>
      </c>
    </row>
    <row r="101" spans="1:27" s="256" customFormat="1" ht="12.75" customHeight="1" x14ac:dyDescent="0.2">
      <c r="A101" s="467" t="s">
        <v>458</v>
      </c>
      <c r="B101" s="6"/>
      <c r="C101" s="6"/>
      <c r="D101" s="629"/>
      <c r="E101" s="629"/>
      <c r="F101" s="630">
        <f>+SUM(F$22)*NB</f>
        <v>0</v>
      </c>
      <c r="G101" s="630">
        <f>+SUM(G$22)*NB</f>
        <v>0</v>
      </c>
      <c r="H101" s="630">
        <f t="shared" ref="H101:AA101" si="41">+SUM(H$22)*NB</f>
        <v>0</v>
      </c>
      <c r="I101" s="630">
        <f t="shared" si="41"/>
        <v>0</v>
      </c>
      <c r="J101" s="630">
        <f t="shared" si="41"/>
        <v>0</v>
      </c>
      <c r="K101" s="630">
        <f t="shared" si="41"/>
        <v>0</v>
      </c>
      <c r="L101" s="630">
        <f t="shared" si="41"/>
        <v>12.734849522605737</v>
      </c>
      <c r="M101" s="630">
        <f t="shared" si="41"/>
        <v>12.734849522605737</v>
      </c>
      <c r="N101" s="630">
        <f t="shared" si="41"/>
        <v>12.734849522605737</v>
      </c>
      <c r="O101" s="630">
        <f t="shared" si="41"/>
        <v>15.918561903257171</v>
      </c>
      <c r="P101" s="630">
        <f t="shared" si="41"/>
        <v>15.918561903257171</v>
      </c>
      <c r="Q101" s="630">
        <f t="shared" si="41"/>
        <v>15.918561903257171</v>
      </c>
      <c r="R101" s="630">
        <f t="shared" si="41"/>
        <v>19.102274283908606</v>
      </c>
      <c r="S101" s="630">
        <f t="shared" si="41"/>
        <v>19.102274283908606</v>
      </c>
      <c r="T101" s="630">
        <f t="shared" si="41"/>
        <v>19.102274283908606</v>
      </c>
      <c r="U101" s="630">
        <f t="shared" si="41"/>
        <v>19.102274283908606</v>
      </c>
      <c r="V101" s="630">
        <f t="shared" si="41"/>
        <v>19.102274283908606</v>
      </c>
      <c r="W101" s="630">
        <f t="shared" si="41"/>
        <v>19.102274283908606</v>
      </c>
      <c r="X101" s="630">
        <f t="shared" si="41"/>
        <v>0</v>
      </c>
      <c r="Y101" s="630">
        <f t="shared" si="41"/>
        <v>0</v>
      </c>
      <c r="Z101" s="630">
        <f t="shared" si="41"/>
        <v>0</v>
      </c>
      <c r="AA101" s="630">
        <f t="shared" si="41"/>
        <v>0</v>
      </c>
    </row>
    <row r="102" spans="1:27" ht="12.75" customHeight="1" x14ac:dyDescent="0.2">
      <c r="A102" s="4"/>
      <c r="B102" s="4"/>
      <c r="C102" s="4"/>
    </row>
    <row r="103" spans="1:27" ht="12.75" customHeight="1" x14ac:dyDescent="0.2">
      <c r="A103" s="5" t="s">
        <v>167</v>
      </c>
    </row>
    <row r="104" spans="1:27" ht="12.75" customHeight="1" x14ac:dyDescent="0.2">
      <c r="A104" s="253" t="s">
        <v>6</v>
      </c>
      <c r="B104" s="253"/>
      <c r="C104" s="253"/>
      <c r="D104" s="249">
        <f>+$H104</f>
        <v>0.77418858633854859</v>
      </c>
      <c r="E104" s="249">
        <f>+$H104</f>
        <v>0.77418858633854859</v>
      </c>
      <c r="F104" s="249">
        <f>+$H104</f>
        <v>0.77418858633854859</v>
      </c>
      <c r="G104" s="249">
        <f>+$H104</f>
        <v>0.77418858633854859</v>
      </c>
      <c r="H104" s="320">
        <f>('Common Assumpt'!$G$26)</f>
        <v>0.77418858633854859</v>
      </c>
      <c r="I104" s="249">
        <f t="shared" ref="I104:AA104" si="42">+$H104</f>
        <v>0.77418858633854859</v>
      </c>
      <c r="J104" s="249">
        <f t="shared" si="42"/>
        <v>0.77418858633854859</v>
      </c>
      <c r="K104" s="249">
        <f t="shared" si="42"/>
        <v>0.77418858633854859</v>
      </c>
      <c r="L104" s="249">
        <f t="shared" si="42"/>
        <v>0.77418858633854859</v>
      </c>
      <c r="M104" s="249">
        <f t="shared" si="42"/>
        <v>0.77418858633854859</v>
      </c>
      <c r="N104" s="249">
        <f t="shared" si="42"/>
        <v>0.77418858633854859</v>
      </c>
      <c r="O104" s="249">
        <f t="shared" si="42"/>
        <v>0.77418858633854859</v>
      </c>
      <c r="P104" s="249">
        <f t="shared" si="42"/>
        <v>0.77418858633854859</v>
      </c>
      <c r="Q104" s="249">
        <f t="shared" si="42"/>
        <v>0.77418858633854859</v>
      </c>
      <c r="R104" s="249">
        <f t="shared" si="42"/>
        <v>0.77418858633854859</v>
      </c>
      <c r="S104" s="249">
        <f t="shared" si="42"/>
        <v>0.77418858633854859</v>
      </c>
      <c r="T104" s="249">
        <f t="shared" si="42"/>
        <v>0.77418858633854859</v>
      </c>
      <c r="U104" s="249">
        <f t="shared" si="42"/>
        <v>0.77418858633854859</v>
      </c>
      <c r="V104" s="249">
        <f t="shared" si="42"/>
        <v>0.77418858633854859</v>
      </c>
      <c r="W104" s="249">
        <f t="shared" si="42"/>
        <v>0.77418858633854859</v>
      </c>
      <c r="X104" s="249">
        <f t="shared" si="42"/>
        <v>0.77418858633854859</v>
      </c>
      <c r="Y104" s="249">
        <f t="shared" si="42"/>
        <v>0.77418858633854859</v>
      </c>
      <c r="Z104" s="249">
        <f t="shared" si="42"/>
        <v>0.77418858633854859</v>
      </c>
      <c r="AA104" s="249">
        <f t="shared" si="42"/>
        <v>0.77418858633854859</v>
      </c>
    </row>
    <row r="105" spans="1:27" ht="12.75" customHeight="1" x14ac:dyDescent="0.2">
      <c r="A105" s="248" t="s">
        <v>89</v>
      </c>
      <c r="B105" s="248"/>
      <c r="C105" s="248"/>
      <c r="D105" s="249">
        <f>E105/(1+HLOOKUP(E$27,USInf97!$M$2:$AY$3,2)*'Common Assumpt'!$D$21)</f>
        <v>0.20085718588557677</v>
      </c>
      <c r="E105" s="249">
        <f>F105/(1+HLOOKUP(F$27,USInf97!$M$2:$AY$3,2)*'Common Assumpt'!$D$21)</f>
        <v>0.20497654189228603</v>
      </c>
      <c r="F105" s="249">
        <f>G105/(1+HLOOKUP(G$27,USInf97!$M$2:$AY$3,2)*'Common Assumpt'!$D$21)</f>
        <v>0.20947208594163869</v>
      </c>
      <c r="G105" s="249">
        <f>H105/(1+HLOOKUP(H$27,USInf97!$M$2:$AY$3,2)*'Common Assumpt'!$D$21)</f>
        <v>0.21373389372282628</v>
      </c>
      <c r="H105" s="320">
        <f>'Common Assumpt'!$H$26</f>
        <v>0.21793959743833019</v>
      </c>
      <c r="I105" s="249">
        <f>H105*(1+HLOOKUP(I27,USInf97!$M$2:$AY$3,2)*'Common Assumpt'!$D$21)</f>
        <v>0.2221218791730345</v>
      </c>
      <c r="J105" s="249">
        <f>I105*(1+HLOOKUP(J27,USInf97!$M$2:$AY$3,2)*'Common Assumpt'!$D$21)</f>
        <v>0.22631021068659848</v>
      </c>
      <c r="K105" s="249">
        <f>J105*(1+HLOOKUP(K27,USInf97!$M$2:$AY$3,2)*'Common Assumpt'!$D$21)</f>
        <v>0.23047733458128003</v>
      </c>
      <c r="L105" s="249">
        <f>K105*(1+HLOOKUP(L27,USInf97!$M$2:$AY$3,2)*'Common Assumpt'!$D$21)</f>
        <v>0.23462301640876487</v>
      </c>
      <c r="M105" s="249">
        <f>L105*(1+HLOOKUP(M27,USInf97!$M$2:$AY$3,2)*'Common Assumpt'!$D$21)</f>
        <v>0.23876488305461108</v>
      </c>
      <c r="N105" s="249">
        <f>M105*(1+HLOOKUP(N27,USInf97!$M$2:$AY$3,2)*'Common Assumpt'!$D$21)</f>
        <v>0.24290874059046424</v>
      </c>
      <c r="O105" s="249">
        <f>N105*(1+HLOOKUP(O27,USInf97!$M$2:$AY$3,2)*'Common Assumpt'!$D$21)</f>
        <v>0.24705959376238251</v>
      </c>
      <c r="P105" s="249">
        <f>O105*(1+HLOOKUP(P27,USInf97!$M$2:$AY$3,2)*'Common Assumpt'!$D$21)</f>
        <v>0.25123322964587919</v>
      </c>
      <c r="Q105" s="249">
        <f>P105*(1+HLOOKUP(Q27,USInf97!$M$2:$AY$3,2)*'Common Assumpt'!$D$21)</f>
        <v>0.25544379798039363</v>
      </c>
      <c r="R105" s="249">
        <f>Q105*(1+HLOOKUP(R27,USInf97!$M$2:$AY$3,2)*'Common Assumpt'!$D$21)</f>
        <v>0.25973702340089883</v>
      </c>
      <c r="S105" s="249">
        <f>R105*(1+HLOOKUP(S27,USInf97!$M$2:$AY$3,2)*'Common Assumpt'!$D$21)</f>
        <v>0.26416387019361121</v>
      </c>
      <c r="T105" s="249">
        <f>S105*(1+HLOOKUP(T27,USInf97!$M$2:$AY$3,2)*'Common Assumpt'!$D$21)</f>
        <v>0.26873676979003286</v>
      </c>
      <c r="U105" s="249">
        <f>T105*(1+HLOOKUP(U27,USInf97!$M$2:$AY$3,2)*'Common Assumpt'!$D$21)</f>
        <v>0.27348010721780752</v>
      </c>
      <c r="V105" s="249">
        <f>U105*(1+HLOOKUP(V27,USInf97!$M$2:$AY$3,2)*'Common Assumpt'!$D$21)</f>
        <v>0.27839701245585879</v>
      </c>
      <c r="W105" s="249">
        <f>V105*(1+HLOOKUP(W27,USInf97!$M$2:$AY$3,2)*'Common Assumpt'!$D$21)</f>
        <v>0.28346665097377155</v>
      </c>
      <c r="X105" s="249">
        <f>W105*(1+HLOOKUP(X27,USInf97!$M$2:$AY$3,2)*'Common Assumpt'!$D$21)</f>
        <v>0.28873672349391671</v>
      </c>
      <c r="Y105" s="249">
        <f>X105*(1+HLOOKUP(Y27,USInf97!$M$2:$AY$3,2)*'Common Assumpt'!$D$21)</f>
        <v>0.29425911690655976</v>
      </c>
      <c r="Z105" s="249">
        <f>Y105*(1+HLOOKUP(Z27,USInf97!$M$2:$AY$3,2)*'Common Assumpt'!$D$21)</f>
        <v>0.30011896435921337</v>
      </c>
      <c r="AA105" s="249">
        <f>Z105*(1+HLOOKUP(AA27,USInf97!$M$2:$AY$3,2)*'Common Assumpt'!$D$21)</f>
        <v>0.30629855938378642</v>
      </c>
    </row>
    <row r="106" spans="1:27" ht="12.75" customHeight="1" x14ac:dyDescent="0.2">
      <c r="A106" s="250" t="s">
        <v>8</v>
      </c>
      <c r="B106" s="250"/>
      <c r="C106" s="250"/>
      <c r="D106" s="251">
        <f>E106/(1+HLOOKUP(E$27,USInf97!$M$2:$AY$3,2)*'Common Assumpt'!$D$21)</f>
        <v>0.44494425586338671</v>
      </c>
      <c r="E106" s="251">
        <f>F106/(1+HLOOKUP(F$27,USInf97!$M$2:$AY$3,2)*'Common Assumpt'!$D$21)</f>
        <v>0.45406956440019841</v>
      </c>
      <c r="F106" s="251">
        <f>G106/(1+HLOOKUP(G$27,USInf97!$M$2:$AY$3,2)*'Common Assumpt'!$D$21)</f>
        <v>0.46402821483593532</v>
      </c>
      <c r="G106" s="251">
        <f>H106/(1+HLOOKUP(H$27,USInf97!$M$2:$AY$3,2)*'Common Assumpt'!$D$21)</f>
        <v>0.47346908638590102</v>
      </c>
      <c r="H106" s="321">
        <f>'Common Assumpt'!$I$26</f>
        <v>0.48278567469627792</v>
      </c>
      <c r="I106" s="251">
        <f>H106*(1+HLOOKUP(I27,USInf97!$M$2:$AY$3,2)*'Common Assumpt'!$D$21)</f>
        <v>0.49205037800303014</v>
      </c>
      <c r="J106" s="251">
        <f>I106*(1+HLOOKUP(J27,USInf97!$M$2:$AY$3,2)*'Common Assumpt'!$D$21)</f>
        <v>0.50132848294309207</v>
      </c>
      <c r="K106" s="251">
        <f>J106*(1+HLOOKUP(K27,USInf97!$M$2:$AY$3,2)*'Common Assumpt'!$D$21)</f>
        <v>0.51055960819377577</v>
      </c>
      <c r="L106" s="251">
        <f>K106*(1+HLOOKUP(L27,USInf97!$M$2:$AY$3,2)*'Common Assumpt'!$D$21)</f>
        <v>0.51974323439885184</v>
      </c>
      <c r="M106" s="251">
        <f>L106*(1+HLOOKUP(M27,USInf97!$M$2:$AY$3,2)*'Common Assumpt'!$D$21)</f>
        <v>0.52891840911065569</v>
      </c>
      <c r="N106" s="251">
        <f>M106*(1+HLOOKUP(N27,USInf97!$M$2:$AY$3,2)*'Common Assumpt'!$D$21)</f>
        <v>0.53809799409570291</v>
      </c>
      <c r="O106" s="251">
        <f>N106*(1+HLOOKUP(O27,USInf97!$M$2:$AY$3,2)*'Common Assumpt'!$D$21)</f>
        <v>0.54729307600245369</v>
      </c>
      <c r="P106" s="251">
        <f>O106*(1+HLOOKUP(P27,USInf97!$M$2:$AY$3,2)*'Common Assumpt'!$D$21)</f>
        <v>0.55653862678640753</v>
      </c>
      <c r="Q106" s="251">
        <f>P106*(1+HLOOKUP(Q27,USInf97!$M$2:$AY$3,2)*'Common Assumpt'!$D$21)</f>
        <v>0.56586599133202919</v>
      </c>
      <c r="R106" s="251">
        <f>Q106*(1+HLOOKUP(R27,USInf97!$M$2:$AY$3,2)*'Common Assumpt'!$D$21)</f>
        <v>0.57537646008403431</v>
      </c>
      <c r="S106" s="251">
        <f>R106*(1+HLOOKUP(S27,USInf97!$M$2:$AY$3,2)*'Common Assumpt'!$D$21)</f>
        <v>0.58518293050390136</v>
      </c>
      <c r="T106" s="251">
        <f>S106*(1+HLOOKUP(T27,USInf97!$M$2:$AY$3,2)*'Common Assumpt'!$D$21)</f>
        <v>0.59531294103400467</v>
      </c>
      <c r="U106" s="251">
        <f>T106*(1+HLOOKUP(U27,USInf97!$M$2:$AY$3,2)*'Common Assumpt'!$D$21)</f>
        <v>0.60582051004531434</v>
      </c>
      <c r="V106" s="251">
        <f>U106*(1+HLOOKUP(V27,USInf97!$M$2:$AY$3,2)*'Common Assumpt'!$D$21)</f>
        <v>0.6167125711515663</v>
      </c>
      <c r="W106" s="251">
        <f>V106*(1+HLOOKUP(W27,USInf97!$M$2:$AY$3,2)*'Common Assumpt'!$D$21)</f>
        <v>0.62794297113901854</v>
      </c>
      <c r="X106" s="251">
        <f>W106*(1+HLOOKUP(X27,USInf97!$M$2:$AY$3,2)*'Common Assumpt'!$D$21)</f>
        <v>0.63961737793449114</v>
      </c>
      <c r="Y106" s="251">
        <f>X106*(1+HLOOKUP(Y27,USInf97!$M$2:$AY$3,2)*'Common Assumpt'!$D$21)</f>
        <v>0.65185073277683714</v>
      </c>
      <c r="Z106" s="251">
        <f>Y106*(1+HLOOKUP(Z27,USInf97!$M$2:$AY$3,2)*'Common Assumpt'!$D$21)</f>
        <v>0.66483162491071002</v>
      </c>
      <c r="AA106" s="251">
        <f>Z106*(1+HLOOKUP(AA27,USInf97!$M$2:$AY$3,2)*'Common Assumpt'!$D$21)</f>
        <v>0.67852083049040046</v>
      </c>
    </row>
    <row r="107" spans="1:27" ht="12.75" customHeight="1" x14ac:dyDescent="0.2">
      <c r="A107" s="16" t="s">
        <v>220</v>
      </c>
      <c r="B107" s="16"/>
      <c r="C107" s="16"/>
      <c r="D107" s="17">
        <f t="shared" ref="D107:T107" si="43">+SUM(D104:D106)</f>
        <v>1.4199900280875122</v>
      </c>
      <c r="E107" s="17">
        <f t="shared" si="43"/>
        <v>1.4332346926310331</v>
      </c>
      <c r="F107" s="17">
        <f t="shared" si="43"/>
        <v>1.4476888871161226</v>
      </c>
      <c r="G107" s="17">
        <f t="shared" si="43"/>
        <v>1.4613915664472759</v>
      </c>
      <c r="H107" s="17">
        <f t="shared" si="43"/>
        <v>1.4749138584731567</v>
      </c>
      <c r="I107" s="17">
        <f t="shared" si="43"/>
        <v>1.4883608435146132</v>
      </c>
      <c r="J107" s="17">
        <f t="shared" si="43"/>
        <v>1.5018272799682393</v>
      </c>
      <c r="K107" s="17">
        <f t="shared" si="43"/>
        <v>1.5152255291136043</v>
      </c>
      <c r="L107" s="17">
        <f t="shared" si="43"/>
        <v>1.5285548371461655</v>
      </c>
      <c r="M107" s="17">
        <f t="shared" si="43"/>
        <v>1.5418718785038155</v>
      </c>
      <c r="N107" s="17">
        <f t="shared" si="43"/>
        <v>1.5551953210247158</v>
      </c>
      <c r="O107" s="17">
        <f t="shared" si="43"/>
        <v>1.5685412561033847</v>
      </c>
      <c r="P107" s="17">
        <f t="shared" si="43"/>
        <v>1.5819604427708351</v>
      </c>
      <c r="Q107" s="17">
        <f t="shared" si="43"/>
        <v>1.5954983756509715</v>
      </c>
      <c r="R107" s="17">
        <f t="shared" si="43"/>
        <v>1.6093020698234817</v>
      </c>
      <c r="S107" s="17">
        <f t="shared" si="43"/>
        <v>1.6235353870360612</v>
      </c>
      <c r="T107" s="17">
        <f t="shared" si="43"/>
        <v>1.638238297162586</v>
      </c>
      <c r="U107" s="17">
        <f t="shared" ref="U107:AA107" si="44">+SUM(U104:U106)</f>
        <v>1.6534892036016706</v>
      </c>
      <c r="V107" s="17">
        <f t="shared" si="44"/>
        <v>1.6692981699459737</v>
      </c>
      <c r="W107" s="17">
        <f t="shared" si="44"/>
        <v>1.6855982084513386</v>
      </c>
      <c r="X107" s="17">
        <f t="shared" si="44"/>
        <v>1.7025426877669565</v>
      </c>
      <c r="Y107" s="17">
        <f t="shared" si="44"/>
        <v>1.7202984360219453</v>
      </c>
      <c r="Z107" s="17">
        <f t="shared" si="44"/>
        <v>1.739139175608472</v>
      </c>
      <c r="AA107" s="17">
        <f t="shared" si="44"/>
        <v>1.7590079762127355</v>
      </c>
    </row>
    <row r="108" spans="1:27" ht="12.75" customHeight="1" x14ac:dyDescent="0.2">
      <c r="A108" s="16"/>
      <c r="B108" s="16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2.75" customHeight="1" x14ac:dyDescent="0.2">
      <c r="A109" s="5" t="s">
        <v>168</v>
      </c>
    </row>
    <row r="110" spans="1:27" ht="12.75" customHeight="1" x14ac:dyDescent="0.2">
      <c r="A110" s="253" t="s">
        <v>6</v>
      </c>
      <c r="B110" s="253"/>
      <c r="C110" s="253"/>
      <c r="D110" s="249">
        <f>+$H110</f>
        <v>0.92109021695042526</v>
      </c>
      <c r="E110" s="249">
        <f>+$H110</f>
        <v>0.92109021695042526</v>
      </c>
      <c r="F110" s="249">
        <f>+$H110</f>
        <v>0.92109021695042526</v>
      </c>
      <c r="G110" s="249">
        <f>+$H110</f>
        <v>0.92109021695042526</v>
      </c>
      <c r="H110" s="320">
        <f>+'Common Assumpt'!$G$31</f>
        <v>0.92109021695042526</v>
      </c>
      <c r="I110" s="249">
        <f t="shared" ref="I110:AA110" si="45">+$H110</f>
        <v>0.92109021695042526</v>
      </c>
      <c r="J110" s="249">
        <f t="shared" si="45"/>
        <v>0.92109021695042526</v>
      </c>
      <c r="K110" s="249">
        <f t="shared" si="45"/>
        <v>0.92109021695042526</v>
      </c>
      <c r="L110" s="249">
        <f t="shared" si="45"/>
        <v>0.92109021695042526</v>
      </c>
      <c r="M110" s="249">
        <f t="shared" si="45"/>
        <v>0.92109021695042526</v>
      </c>
      <c r="N110" s="249">
        <f t="shared" si="45"/>
        <v>0.92109021695042526</v>
      </c>
      <c r="O110" s="249">
        <f t="shared" si="45"/>
        <v>0.92109021695042526</v>
      </c>
      <c r="P110" s="249">
        <f t="shared" si="45"/>
        <v>0.92109021695042526</v>
      </c>
      <c r="Q110" s="249">
        <f t="shared" si="45"/>
        <v>0.92109021695042526</v>
      </c>
      <c r="R110" s="249">
        <f t="shared" si="45"/>
        <v>0.92109021695042526</v>
      </c>
      <c r="S110" s="249">
        <f t="shared" si="45"/>
        <v>0.92109021695042526</v>
      </c>
      <c r="T110" s="249">
        <f t="shared" si="45"/>
        <v>0.92109021695042526</v>
      </c>
      <c r="U110" s="249">
        <f t="shared" si="45"/>
        <v>0.92109021695042526</v>
      </c>
      <c r="V110" s="249">
        <f t="shared" si="45"/>
        <v>0.92109021695042526</v>
      </c>
      <c r="W110" s="249">
        <f t="shared" si="45"/>
        <v>0.92109021695042526</v>
      </c>
      <c r="X110" s="249">
        <f t="shared" si="45"/>
        <v>0.92109021695042526</v>
      </c>
      <c r="Y110" s="249">
        <f t="shared" si="45"/>
        <v>0.92109021695042526</v>
      </c>
      <c r="Z110" s="249">
        <f t="shared" si="45"/>
        <v>0.92109021695042526</v>
      </c>
      <c r="AA110" s="249">
        <f t="shared" si="45"/>
        <v>0.92109021695042526</v>
      </c>
    </row>
    <row r="111" spans="1:27" ht="12.75" customHeight="1" x14ac:dyDescent="0.2">
      <c r="A111" s="248" t="s">
        <v>89</v>
      </c>
      <c r="B111" s="248"/>
      <c r="C111" s="248"/>
      <c r="D111" s="249">
        <f>E111/(1+HLOOKUP(E$27,USInf97!$M$2:$AY$3,2)*'Common Assumpt'!$D$21)</f>
        <v>0.23898953808084389</v>
      </c>
      <c r="E111" s="249">
        <f>F111/(1+HLOOKUP(F$27,USInf97!$M$2:$AY$3,2)*'Common Assumpt'!$D$21)</f>
        <v>0.24389094593883723</v>
      </c>
      <c r="F111" s="249">
        <f>G111/(1+HLOOKUP(G$27,USInf97!$M$2:$AY$3,2)*'Common Assumpt'!$D$21)</f>
        <v>0.24923996041915025</v>
      </c>
      <c r="G111" s="249">
        <f>H111/(1+HLOOKUP(H$27,USInf97!$M$2:$AY$3,2)*'Common Assumpt'!$D$21)</f>
        <v>0.25431086424827987</v>
      </c>
      <c r="H111" s="320">
        <f>'Common Assumpt'!$H$31</f>
        <v>0.25931501276226809</v>
      </c>
      <c r="I111" s="249">
        <f>H111*(1+HLOOKUP(I$27,USInf97!$M$2:$AY$3,2)*'Common Assumpt'!$D$21)</f>
        <v>0.26429129267724377</v>
      </c>
      <c r="J111" s="249">
        <f>I111*(1+HLOOKUP(J$27,USInf97!$M$2:$AY$3,2)*'Common Assumpt'!$D$21)</f>
        <v>0.26927477091001323</v>
      </c>
      <c r="K111" s="249">
        <f>J111*(1+HLOOKUP(K$27,USInf97!$M$2:$AY$3,2)*'Common Assumpt'!$D$21)</f>
        <v>0.27423301529805783</v>
      </c>
      <c r="L111" s="249">
        <f>K111*(1+HLOOKUP(L$27,USInf97!$M$2:$AY$3,2)*'Common Assumpt'!$D$21)</f>
        <v>0.27916574688349971</v>
      </c>
      <c r="M111" s="249">
        <f>L111*(1+HLOOKUP(M$27,USInf97!$M$2:$AY$3,2)*'Common Assumpt'!$D$21)</f>
        <v>0.28409393898237312</v>
      </c>
      <c r="N111" s="249">
        <f>M111*(1+HLOOKUP(N$27,USInf97!$M$2:$AY$3,2)*'Common Assumpt'!$D$21)</f>
        <v>0.28902449993790968</v>
      </c>
      <c r="O111" s="249">
        <f>N111*(1+HLOOKUP(O$27,USInf97!$M$2:$AY$3,2)*'Common Assumpt'!$D$21)</f>
        <v>0.293963384637625</v>
      </c>
      <c r="P111" s="249">
        <f>O111*(1+HLOOKUP(P$27,USInf97!$M$2:$AY$3,2)*'Common Assumpt'!$D$21)</f>
        <v>0.29892937730309393</v>
      </c>
      <c r="Q111" s="249">
        <f>P111*(1+HLOOKUP(Q$27,USInf97!$M$2:$AY$3,2)*'Common Assumpt'!$D$21)</f>
        <v>0.30393931397469842</v>
      </c>
      <c r="R111" s="249">
        <f>Q111*(1+HLOOKUP(R$27,USInf97!$M$2:$AY$3,2)*'Common Assumpt'!$D$21)</f>
        <v>0.30904760002182041</v>
      </c>
      <c r="S111" s="249">
        <f>R111*(1+HLOOKUP(S$27,USInf97!$M$2:$AY$3,2)*'Common Assumpt'!$D$21)</f>
        <v>0.31431487520284235</v>
      </c>
      <c r="T111" s="249">
        <f>S111*(1+HLOOKUP(T$27,USInf97!$M$2:$AY$3,2)*'Common Assumpt'!$D$21)</f>
        <v>0.31975593103273664</v>
      </c>
      <c r="U111" s="249">
        <f>T111*(1+HLOOKUP(U$27,USInf97!$M$2:$AY$3,2)*'Common Assumpt'!$D$21)</f>
        <v>0.32539978198995972</v>
      </c>
      <c r="V111" s="249">
        <f>U111*(1+HLOOKUP(V$27,USInf97!$M$2:$AY$3,2)*'Common Assumpt'!$D$21)</f>
        <v>0.33125015227394133</v>
      </c>
      <c r="W111" s="249">
        <f>V111*(1+HLOOKUP(W$27,USInf97!$M$2:$AY$3,2)*'Common Assumpt'!$D$21)</f>
        <v>0.33728225195855527</v>
      </c>
      <c r="X111" s="249">
        <f>W111*(1+HLOOKUP(X$27,USInf97!$M$2:$AY$3,2)*'Common Assumpt'!$D$21)</f>
        <v>0.34355283765699046</v>
      </c>
      <c r="Y111" s="249">
        <f>X111*(1+HLOOKUP(Y$27,USInf97!$M$2:$AY$3,2)*'Common Assumpt'!$D$21)</f>
        <v>0.35012364688629083</v>
      </c>
      <c r="Z111" s="249">
        <f>Y111*(1+HLOOKUP(Z$27,USInf97!$M$2:$AY$3,2)*'Common Assumpt'!$D$21)</f>
        <v>0.35709597515903529</v>
      </c>
      <c r="AA111" s="249">
        <f>Z111*(1+HLOOKUP(AA$27,USInf97!$M$2:$AY$3,2)*'Common Assumpt'!$D$21)</f>
        <v>0.36444875446806502</v>
      </c>
    </row>
    <row r="112" spans="1:27" ht="12.75" customHeight="1" x14ac:dyDescent="0.2">
      <c r="A112" s="250" t="s">
        <v>8</v>
      </c>
      <c r="B112" s="250"/>
      <c r="C112" s="250"/>
      <c r="D112" s="251">
        <f>E112/(1+HLOOKUP(E$27,USInf97!$M$2:$AY$3,2)*'Common Assumpt'!$D$21)</f>
        <v>0.49732871384655392</v>
      </c>
      <c r="E112" s="251">
        <f>F112/(1+HLOOKUP(F$27,USInf97!$M$2:$AY$3,2)*'Common Assumpt'!$D$21)</f>
        <v>0.5075283689679787</v>
      </c>
      <c r="F112" s="251">
        <f>G112/(1+HLOOKUP(G$27,USInf97!$M$2:$AY$3,2)*'Common Assumpt'!$D$21)</f>
        <v>0.51865947752278407</v>
      </c>
      <c r="G112" s="251">
        <f>H112/(1+HLOOKUP(H$27,USInf97!$M$2:$AY$3,2)*'Common Assumpt'!$D$21)</f>
        <v>0.52921184772121299</v>
      </c>
      <c r="H112" s="321">
        <f>'Common Assumpt'!$I$31</f>
        <v>0.5396253024872415</v>
      </c>
      <c r="I112" s="251">
        <f>H112*(1+HLOOKUP(I$27,USInf97!$M$2:$AY$3,2)*'Common Assumpt'!$D$21)</f>
        <v>0.54998076369164839</v>
      </c>
      <c r="J112" s="251">
        <f>I112*(1+HLOOKUP(J$27,USInf97!$M$2:$AY$3,2)*'Common Assumpt'!$D$21)</f>
        <v>0.56035120433891694</v>
      </c>
      <c r="K112" s="251">
        <f>J112*(1+HLOOKUP(K$27,USInf97!$M$2:$AY$3,2)*'Common Assumpt'!$D$21)</f>
        <v>0.5706691342543635</v>
      </c>
      <c r="L112" s="251">
        <f>K112*(1+HLOOKUP(L$27,USInf97!$M$2:$AY$3,2)*'Common Assumpt'!$D$21)</f>
        <v>0.58093397293658322</v>
      </c>
      <c r="M112" s="251">
        <f>L112*(1+HLOOKUP(M$27,USInf97!$M$2:$AY$3,2)*'Common Assumpt'!$D$21)</f>
        <v>0.59118936510899023</v>
      </c>
      <c r="N112" s="251">
        <f>M112*(1+HLOOKUP(N$27,USInf97!$M$2:$AY$3,2)*'Common Assumpt'!$D$21)</f>
        <v>0.60144968678771382</v>
      </c>
      <c r="O112" s="251">
        <f>N112*(1+HLOOKUP(O$27,USInf97!$M$2:$AY$3,2)*'Common Assumpt'!$D$21)</f>
        <v>0.6117273298815088</v>
      </c>
      <c r="P112" s="251">
        <f>O112*(1+HLOOKUP(P$27,USInf97!$M$2:$AY$3,2)*'Common Assumpt'!$D$21)</f>
        <v>0.622061383686214</v>
      </c>
      <c r="Q112" s="251">
        <f>P112*(1+HLOOKUP(Q$27,USInf97!$M$2:$AY$3,2)*'Common Assumpt'!$D$21)</f>
        <v>0.63248688340201709</v>
      </c>
      <c r="R112" s="251">
        <f>Q112*(1+HLOOKUP(R$27,USInf97!$M$2:$AY$3,2)*'Common Assumpt'!$D$21)</f>
        <v>0.64311704466420627</v>
      </c>
      <c r="S112" s="251">
        <f>R112*(1+HLOOKUP(S$27,USInf97!$M$2:$AY$3,2)*'Common Assumpt'!$D$21)</f>
        <v>0.65407805664945629</v>
      </c>
      <c r="T112" s="251">
        <f>S112*(1+HLOOKUP(T$27,USInf97!$M$2:$AY$3,2)*'Common Assumpt'!$D$21)</f>
        <v>0.66540069997342166</v>
      </c>
      <c r="U112" s="251">
        <f>T112*(1+HLOOKUP(U$27,USInf97!$M$2:$AY$3,2)*'Common Assumpt'!$D$21)</f>
        <v>0.67714535273202026</v>
      </c>
      <c r="V112" s="251">
        <f>U112*(1+HLOOKUP(V$27,USInf97!$M$2:$AY$3,2)*'Common Assumpt'!$D$21)</f>
        <v>0.68931976485157698</v>
      </c>
      <c r="W112" s="251">
        <f>V112*(1+HLOOKUP(W$27,USInf97!$M$2:$AY$3,2)*'Common Assumpt'!$D$21)</f>
        <v>0.70187234937905718</v>
      </c>
      <c r="X112" s="251">
        <f>W112*(1+HLOOKUP(X$27,USInf97!$M$2:$AY$3,2)*'Common Assumpt'!$D$21)</f>
        <v>0.71492121480433979</v>
      </c>
      <c r="Y112" s="251">
        <f>X112*(1+HLOOKUP(Y$27,USInf97!$M$2:$AY$3,2)*'Common Assumpt'!$D$21)</f>
        <v>0.72859483470076225</v>
      </c>
      <c r="Z112" s="251">
        <f>Y112*(1+HLOOKUP(Z$27,USInf97!$M$2:$AY$3,2)*'Common Assumpt'!$D$21)</f>
        <v>0.74310400142096822</v>
      </c>
      <c r="AA112" s="251">
        <f>Z112*(1+HLOOKUP(AA$27,USInf97!$M$2:$AY$3,2)*'Common Assumpt'!$D$21)</f>
        <v>0.75840487319268701</v>
      </c>
    </row>
    <row r="113" spans="1:27" ht="12.75" customHeight="1" x14ac:dyDescent="0.2">
      <c r="A113" s="16" t="s">
        <v>220</v>
      </c>
      <c r="B113" s="16"/>
      <c r="C113" s="16"/>
      <c r="D113" s="17">
        <f t="shared" ref="D113:AA113" si="46">+SUM(D110:D112)</f>
        <v>1.657408468877823</v>
      </c>
      <c r="E113" s="17">
        <f t="shared" si="46"/>
        <v>1.6725095318572412</v>
      </c>
      <c r="F113" s="17">
        <f t="shared" si="46"/>
        <v>1.6889896548923597</v>
      </c>
      <c r="G113" s="17">
        <f t="shared" si="46"/>
        <v>1.7046129289199179</v>
      </c>
      <c r="H113" s="17">
        <f t="shared" si="46"/>
        <v>1.7200305321999347</v>
      </c>
      <c r="I113" s="17">
        <f t="shared" si="46"/>
        <v>1.7353622733193173</v>
      </c>
      <c r="J113" s="17">
        <f t="shared" si="46"/>
        <v>1.7507161921993555</v>
      </c>
      <c r="K113" s="17">
        <f t="shared" si="46"/>
        <v>1.7659923665028465</v>
      </c>
      <c r="L113" s="17">
        <f t="shared" si="46"/>
        <v>1.7811899367705082</v>
      </c>
      <c r="M113" s="17">
        <f t="shared" si="46"/>
        <v>1.7963735210417884</v>
      </c>
      <c r="N113" s="17">
        <f t="shared" si="46"/>
        <v>1.8115644036760488</v>
      </c>
      <c r="O113" s="17">
        <f t="shared" si="46"/>
        <v>1.8267809314695591</v>
      </c>
      <c r="P113" s="17">
        <f t="shared" si="46"/>
        <v>1.8420809779397334</v>
      </c>
      <c r="Q113" s="17">
        <f t="shared" si="46"/>
        <v>1.8575164143271405</v>
      </c>
      <c r="R113" s="17">
        <f t="shared" si="46"/>
        <v>1.8732548616364519</v>
      </c>
      <c r="S113" s="17">
        <f t="shared" si="46"/>
        <v>1.8894831488027237</v>
      </c>
      <c r="T113" s="17">
        <f t="shared" si="46"/>
        <v>1.9062468479565835</v>
      </c>
      <c r="U113" s="17">
        <f t="shared" si="46"/>
        <v>1.9236353516724054</v>
      </c>
      <c r="V113" s="17">
        <f t="shared" si="46"/>
        <v>1.9416601340759436</v>
      </c>
      <c r="W113" s="17">
        <f t="shared" si="46"/>
        <v>1.9602448182880376</v>
      </c>
      <c r="X113" s="17">
        <f t="shared" si="46"/>
        <v>1.9795642694117555</v>
      </c>
      <c r="Y113" s="17">
        <f t="shared" si="46"/>
        <v>1.9998086985374783</v>
      </c>
      <c r="Z113" s="17">
        <f t="shared" si="46"/>
        <v>2.0212901935304286</v>
      </c>
      <c r="AA113" s="17">
        <f t="shared" si="46"/>
        <v>2.0439438446111775</v>
      </c>
    </row>
    <row r="114" spans="1:27" ht="12.75" customHeight="1" x14ac:dyDescent="0.2"/>
    <row r="115" spans="1:27" ht="12.75" customHeight="1" x14ac:dyDescent="0.2">
      <c r="A115" s="252" t="s">
        <v>171</v>
      </c>
      <c r="C115" s="460">
        <f>+'Common Assumpt'!$J$23</f>
        <v>0.66666666666666663</v>
      </c>
      <c r="D115" s="17">
        <f>+D113-D107</f>
        <v>0.23741844079031083</v>
      </c>
      <c r="E115" s="17">
        <f t="shared" ref="E115:AA115" si="47">+E113-E107</f>
        <v>0.23927483922620807</v>
      </c>
      <c r="F115" s="17">
        <f t="shared" si="47"/>
        <v>0.2413007677762371</v>
      </c>
      <c r="G115" s="17">
        <f t="shared" si="47"/>
        <v>0.24322136247264203</v>
      </c>
      <c r="H115" s="17">
        <f t="shared" si="47"/>
        <v>0.24511667372677803</v>
      </c>
      <c r="I115" s="17">
        <f t="shared" si="47"/>
        <v>0.24700142980470408</v>
      </c>
      <c r="J115" s="17">
        <f t="shared" si="47"/>
        <v>0.2488889122311162</v>
      </c>
      <c r="K115" s="17">
        <f t="shared" si="47"/>
        <v>0.25076683738924221</v>
      </c>
      <c r="L115" s="17">
        <f t="shared" si="47"/>
        <v>0.25263509962434272</v>
      </c>
      <c r="M115" s="17">
        <f t="shared" si="47"/>
        <v>0.25450164253797292</v>
      </c>
      <c r="N115" s="17">
        <f t="shared" si="47"/>
        <v>0.25636908265133296</v>
      </c>
      <c r="O115" s="17">
        <f t="shared" si="47"/>
        <v>0.25823967536617443</v>
      </c>
      <c r="P115" s="17">
        <f t="shared" si="47"/>
        <v>0.26012053516889821</v>
      </c>
      <c r="Q115" s="17">
        <f t="shared" si="47"/>
        <v>0.26201803867616902</v>
      </c>
      <c r="R115" s="17">
        <f t="shared" si="47"/>
        <v>0.26395279181297027</v>
      </c>
      <c r="S115" s="17">
        <f t="shared" si="47"/>
        <v>0.26594776176666257</v>
      </c>
      <c r="T115" s="17">
        <f t="shared" si="47"/>
        <v>0.26800855079399755</v>
      </c>
      <c r="U115" s="17">
        <f t="shared" si="47"/>
        <v>0.27014614807073478</v>
      </c>
      <c r="V115" s="17">
        <f t="shared" si="47"/>
        <v>0.27236196412996994</v>
      </c>
      <c r="W115" s="17">
        <f t="shared" si="47"/>
        <v>0.27464660983669908</v>
      </c>
      <c r="X115" s="17">
        <f t="shared" si="47"/>
        <v>0.27702158164479895</v>
      </c>
      <c r="Y115" s="17">
        <f t="shared" si="47"/>
        <v>0.27951026251553301</v>
      </c>
      <c r="Z115" s="17">
        <f t="shared" si="47"/>
        <v>0.28215101792195663</v>
      </c>
      <c r="AA115" s="17">
        <f t="shared" si="47"/>
        <v>0.28493586839844198</v>
      </c>
    </row>
    <row r="116" spans="1:27" s="15" customFormat="1" ht="12.75" customHeight="1" x14ac:dyDescent="0.2">
      <c r="A116" s="257" t="s">
        <v>170</v>
      </c>
      <c r="C116" s="461">
        <f>+'Common Assumpt'!$K$23</f>
        <v>0.33333333333333337</v>
      </c>
      <c r="D116" s="251">
        <f>+D112-D106</f>
        <v>5.238445798316721E-2</v>
      </c>
      <c r="E116" s="251">
        <f t="shared" ref="E116:AA116" si="48">+E112-E106</f>
        <v>5.3458804567780294E-2</v>
      </c>
      <c r="F116" s="251">
        <f t="shared" si="48"/>
        <v>5.4631262686848758E-2</v>
      </c>
      <c r="G116" s="251">
        <f t="shared" si="48"/>
        <v>5.5742761335311974E-2</v>
      </c>
      <c r="H116" s="251">
        <f t="shared" si="48"/>
        <v>5.6839627790963576E-2</v>
      </c>
      <c r="I116" s="251">
        <f t="shared" si="48"/>
        <v>5.7930385688618247E-2</v>
      </c>
      <c r="J116" s="251">
        <f t="shared" si="48"/>
        <v>5.9022721395824873E-2</v>
      </c>
      <c r="K116" s="251">
        <f t="shared" si="48"/>
        <v>6.0109526060587726E-2</v>
      </c>
      <c r="L116" s="251">
        <f t="shared" si="48"/>
        <v>6.1190738537731382E-2</v>
      </c>
      <c r="M116" s="251">
        <f t="shared" si="48"/>
        <v>6.2270955998334543E-2</v>
      </c>
      <c r="N116" s="251">
        <f t="shared" si="48"/>
        <v>6.3351692692010908E-2</v>
      </c>
      <c r="O116" s="251">
        <f t="shared" si="48"/>
        <v>6.4434253879055103E-2</v>
      </c>
      <c r="P116" s="251">
        <f t="shared" si="48"/>
        <v>6.5522756899806467E-2</v>
      </c>
      <c r="Q116" s="251">
        <f t="shared" si="48"/>
        <v>6.6620892069987891E-2</v>
      </c>
      <c r="R116" s="251">
        <f t="shared" si="48"/>
        <v>6.7740584580171959E-2</v>
      </c>
      <c r="S116" s="251">
        <f t="shared" si="48"/>
        <v>6.889512614555493E-2</v>
      </c>
      <c r="T116" s="251">
        <f t="shared" si="48"/>
        <v>7.0087758939416989E-2</v>
      </c>
      <c r="U116" s="251">
        <f t="shared" si="48"/>
        <v>7.1324842686705914E-2</v>
      </c>
      <c r="V116" s="251">
        <f t="shared" si="48"/>
        <v>7.2607193700010675E-2</v>
      </c>
      <c r="W116" s="251">
        <f t="shared" si="48"/>
        <v>7.3929378240038646E-2</v>
      </c>
      <c r="X116" s="251">
        <f t="shared" si="48"/>
        <v>7.530383686984865E-2</v>
      </c>
      <c r="Y116" s="251">
        <f t="shared" si="48"/>
        <v>7.6744101923925112E-2</v>
      </c>
      <c r="Z116" s="251">
        <f t="shared" si="48"/>
        <v>7.8272376510258201E-2</v>
      </c>
      <c r="AA116" s="251">
        <f t="shared" si="48"/>
        <v>7.9884042702286551E-2</v>
      </c>
    </row>
    <row r="117" spans="1:27" ht="12.75" customHeight="1" x14ac:dyDescent="0.2">
      <c r="A117" s="16" t="s">
        <v>172</v>
      </c>
      <c r="C117" s="460">
        <f>+SUM(C115:C116)</f>
        <v>1</v>
      </c>
      <c r="D117" s="17">
        <f>+D115*$C$115+D116*$C$116</f>
        <v>0.17574044652126294</v>
      </c>
      <c r="E117" s="17">
        <f t="shared" ref="E117:AA117" si="49">+E115*$C$115+E116*$C$116</f>
        <v>0.17733616100673213</v>
      </c>
      <c r="F117" s="17">
        <f t="shared" si="49"/>
        <v>0.17907759941310764</v>
      </c>
      <c r="G117" s="17">
        <f t="shared" si="49"/>
        <v>0.18072849542686534</v>
      </c>
      <c r="H117" s="17">
        <f t="shared" si="49"/>
        <v>0.18235765841483986</v>
      </c>
      <c r="I117" s="17">
        <f t="shared" si="49"/>
        <v>0.18397774843267548</v>
      </c>
      <c r="J117" s="17">
        <f t="shared" si="49"/>
        <v>0.18560018195268577</v>
      </c>
      <c r="K117" s="17">
        <f t="shared" si="49"/>
        <v>0.18721440027969072</v>
      </c>
      <c r="L117" s="17">
        <f t="shared" si="49"/>
        <v>0.18882031259547227</v>
      </c>
      <c r="M117" s="17">
        <f t="shared" si="49"/>
        <v>0.19042474702476012</v>
      </c>
      <c r="N117" s="17">
        <f t="shared" si="49"/>
        <v>0.19202995266489226</v>
      </c>
      <c r="O117" s="17">
        <f t="shared" si="49"/>
        <v>0.1936378682038013</v>
      </c>
      <c r="P117" s="17">
        <f t="shared" si="49"/>
        <v>0.19525460907920095</v>
      </c>
      <c r="Q117" s="17">
        <f t="shared" si="49"/>
        <v>0.19688565647410863</v>
      </c>
      <c r="R117" s="17">
        <f t="shared" si="49"/>
        <v>0.19854872273537083</v>
      </c>
      <c r="S117" s="17">
        <f t="shared" si="49"/>
        <v>0.20026354989296002</v>
      </c>
      <c r="T117" s="17">
        <f t="shared" si="49"/>
        <v>0.20203495350913736</v>
      </c>
      <c r="U117" s="17">
        <f t="shared" si="49"/>
        <v>0.20387237960939181</v>
      </c>
      <c r="V117" s="17">
        <f t="shared" si="49"/>
        <v>0.20577704065331684</v>
      </c>
      <c r="W117" s="17">
        <f t="shared" si="49"/>
        <v>0.20774086597114558</v>
      </c>
      <c r="X117" s="17">
        <f t="shared" si="49"/>
        <v>0.20978233338648217</v>
      </c>
      <c r="Y117" s="17">
        <f t="shared" si="49"/>
        <v>0.21192154231833035</v>
      </c>
      <c r="Z117" s="17">
        <f t="shared" si="49"/>
        <v>0.21419147078472384</v>
      </c>
      <c r="AA117" s="17">
        <f t="shared" si="49"/>
        <v>0.21658525983305685</v>
      </c>
    </row>
    <row r="118" spans="1:27" ht="12.75" customHeight="1" x14ac:dyDescent="0.2"/>
    <row r="119" spans="1:27" ht="12.75" customHeight="1" x14ac:dyDescent="0.2"/>
    <row r="120" spans="1:27" ht="12.75" customHeight="1" x14ac:dyDescent="0.2">
      <c r="A120" s="255" t="s">
        <v>90</v>
      </c>
    </row>
    <row r="121" spans="1:27" ht="12.75" customHeight="1" x14ac:dyDescent="0.2">
      <c r="A121" s="466" t="s">
        <v>178</v>
      </c>
      <c r="B121" s="242"/>
      <c r="C121" s="242"/>
      <c r="D121" s="243"/>
      <c r="E121" s="243"/>
      <c r="F121" s="243"/>
      <c r="G121" s="243"/>
      <c r="H121" s="243"/>
      <c r="I121" s="243"/>
      <c r="J121" s="243"/>
      <c r="K121" s="244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5"/>
    </row>
    <row r="122" spans="1:27" ht="12.75" customHeight="1" x14ac:dyDescent="0.2"/>
    <row r="123" spans="1:27" ht="12.75" customHeight="1" x14ac:dyDescent="0.2">
      <c r="A123" s="11" t="s">
        <v>416</v>
      </c>
      <c r="D123" s="565">
        <f>+D51</f>
        <v>0</v>
      </c>
      <c r="E123" s="17">
        <f t="shared" ref="E123:AA123" si="50">+E51</f>
        <v>0</v>
      </c>
      <c r="F123" s="17">
        <f t="shared" si="50"/>
        <v>0</v>
      </c>
      <c r="G123" s="17">
        <f t="shared" si="50"/>
        <v>0.35066766306483388</v>
      </c>
      <c r="H123" s="17">
        <f t="shared" si="50"/>
        <v>0.3660195700355135</v>
      </c>
      <c r="I123" s="17">
        <f t="shared" si="50"/>
        <v>0.38284379395808416</v>
      </c>
      <c r="J123" s="17">
        <f t="shared" si="50"/>
        <v>0.4108101066397517</v>
      </c>
      <c r="K123" s="17">
        <f t="shared" si="50"/>
        <v>0.4329514488029631</v>
      </c>
      <c r="L123" s="17">
        <f t="shared" si="50"/>
        <v>0.34345772115635798</v>
      </c>
      <c r="M123" s="17">
        <f t="shared" si="50"/>
        <v>0.34713388095449133</v>
      </c>
      <c r="N123" s="17">
        <f t="shared" si="50"/>
        <v>0.34989307215958848</v>
      </c>
      <c r="O123" s="17">
        <f t="shared" si="50"/>
        <v>0.33677132035508223</v>
      </c>
      <c r="P123" s="17">
        <f t="shared" si="50"/>
        <v>0.34013003989497353</v>
      </c>
      <c r="Q123" s="17">
        <f t="shared" si="50"/>
        <v>0.34399804172466397</v>
      </c>
      <c r="R123" s="17">
        <f t="shared" si="50"/>
        <v>0.33258003584915019</v>
      </c>
      <c r="S123" s="17">
        <f t="shared" si="50"/>
        <v>0.33616472134510128</v>
      </c>
      <c r="T123" s="17">
        <f t="shared" si="50"/>
        <v>0.34009060288526177</v>
      </c>
      <c r="U123" s="17">
        <f t="shared" si="50"/>
        <v>0.34446199066521854</v>
      </c>
      <c r="V123" s="17">
        <f t="shared" si="50"/>
        <v>0.34852505394800054</v>
      </c>
      <c r="W123" s="17">
        <f t="shared" si="50"/>
        <v>0.35233344943584305</v>
      </c>
      <c r="X123" s="17">
        <f t="shared" si="50"/>
        <v>0</v>
      </c>
      <c r="Y123" s="17">
        <f t="shared" si="50"/>
        <v>0</v>
      </c>
      <c r="Z123" s="17">
        <f t="shared" si="50"/>
        <v>0</v>
      </c>
      <c r="AA123" s="17">
        <f t="shared" si="50"/>
        <v>0</v>
      </c>
    </row>
    <row r="124" spans="1:27" ht="12.75" customHeight="1" x14ac:dyDescent="0.2"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2.75" customHeight="1" x14ac:dyDescent="0.2">
      <c r="A125" t="s">
        <v>417</v>
      </c>
      <c r="D125" s="17">
        <f>+D71-D123</f>
        <v>0.27223763692856817</v>
      </c>
      <c r="E125" s="17">
        <f t="shared" ref="E125:AA125" si="51">+E71-E123</f>
        <v>0.27743352559479839</v>
      </c>
      <c r="F125" s="17">
        <f t="shared" si="51"/>
        <v>0.27723255031764449</v>
      </c>
      <c r="G125" s="17">
        <f t="shared" si="51"/>
        <v>-7.3964456455510919E-2</v>
      </c>
      <c r="H125" s="17">
        <f t="shared" si="51"/>
        <v>-8.9157548577485202E-2</v>
      </c>
      <c r="I125" s="17">
        <f t="shared" si="51"/>
        <v>-0.10575769167682098</v>
      </c>
      <c r="J125" s="17">
        <f t="shared" si="51"/>
        <v>-0.13325278373806432</v>
      </c>
      <c r="K125" s="17">
        <f t="shared" si="51"/>
        <v>-0.15469433780300379</v>
      </c>
      <c r="L125" s="17">
        <f t="shared" si="51"/>
        <v>-6.4751340517444134E-2</v>
      </c>
      <c r="M125" s="17">
        <f t="shared" si="51"/>
        <v>-6.7617184289923193E-2</v>
      </c>
      <c r="N125" s="17">
        <f t="shared" si="51"/>
        <v>-7.0057889243248295E-2</v>
      </c>
      <c r="O125" s="17">
        <f t="shared" si="51"/>
        <v>-5.613199517425721E-2</v>
      </c>
      <c r="P125" s="17">
        <f t="shared" si="51"/>
        <v>-5.8785563597979762E-2</v>
      </c>
      <c r="Q125" s="17">
        <f t="shared" si="51"/>
        <v>-6.1677807366568971E-2</v>
      </c>
      <c r="R125" s="17">
        <f t="shared" si="51"/>
        <v>-4.940788249109479E-2</v>
      </c>
      <c r="S125" s="17">
        <f t="shared" si="51"/>
        <v>-5.2162052290779748E-2</v>
      </c>
      <c r="T125" s="17">
        <f t="shared" si="51"/>
        <v>-5.510445081085702E-2</v>
      </c>
      <c r="U125" s="17">
        <f t="shared" si="51"/>
        <v>-5.8288610514957706E-2</v>
      </c>
      <c r="V125" s="17">
        <f t="shared" si="51"/>
        <v>-6.1369158983701322E-2</v>
      </c>
      <c r="W125" s="17">
        <f t="shared" si="51"/>
        <v>-6.4365111656446983E-2</v>
      </c>
      <c r="X125" s="17">
        <f t="shared" si="51"/>
        <v>0.28928547350783762</v>
      </c>
      <c r="Y125" s="17">
        <f t="shared" si="51"/>
        <v>0.28928547350783762</v>
      </c>
      <c r="Z125" s="17">
        <f t="shared" si="51"/>
        <v>0.28928547350783762</v>
      </c>
      <c r="AA125" s="17">
        <f t="shared" si="51"/>
        <v>0.28928547350783762</v>
      </c>
    </row>
    <row r="126" spans="1:27" ht="12.75" customHeight="1" x14ac:dyDescent="0.2">
      <c r="A126" s="11" t="s">
        <v>179</v>
      </c>
      <c r="D126" s="17">
        <f>+D73</f>
        <v>0.02</v>
      </c>
      <c r="E126" s="17">
        <f t="shared" ref="E126:AA126" si="52">+E73</f>
        <v>0.02</v>
      </c>
      <c r="F126" s="17">
        <f t="shared" si="52"/>
        <v>0.02</v>
      </c>
      <c r="G126" s="17">
        <f t="shared" si="52"/>
        <v>0.02</v>
      </c>
      <c r="H126" s="17">
        <f t="shared" si="52"/>
        <v>0.02</v>
      </c>
      <c r="I126" s="17">
        <f t="shared" si="52"/>
        <v>0.02</v>
      </c>
      <c r="J126" s="17">
        <f t="shared" si="52"/>
        <v>0.02</v>
      </c>
      <c r="K126" s="17">
        <f t="shared" si="52"/>
        <v>0.02</v>
      </c>
      <c r="L126" s="17">
        <f t="shared" si="52"/>
        <v>0.02</v>
      </c>
      <c r="M126" s="17">
        <f t="shared" si="52"/>
        <v>0.02</v>
      </c>
      <c r="N126" s="17">
        <f t="shared" si="52"/>
        <v>0.02</v>
      </c>
      <c r="O126" s="17">
        <f t="shared" si="52"/>
        <v>0.02</v>
      </c>
      <c r="P126" s="17">
        <f t="shared" si="52"/>
        <v>0.02</v>
      </c>
      <c r="Q126" s="17">
        <f t="shared" si="52"/>
        <v>0.02</v>
      </c>
      <c r="R126" s="17">
        <f t="shared" si="52"/>
        <v>0.02</v>
      </c>
      <c r="S126" s="17">
        <f t="shared" si="52"/>
        <v>0.02</v>
      </c>
      <c r="T126" s="17">
        <f t="shared" si="52"/>
        <v>0.02</v>
      </c>
      <c r="U126" s="17">
        <f t="shared" si="52"/>
        <v>0.02</v>
      </c>
      <c r="V126" s="17">
        <f t="shared" si="52"/>
        <v>0.02</v>
      </c>
      <c r="W126" s="17">
        <f t="shared" si="52"/>
        <v>0.02</v>
      </c>
      <c r="X126" s="17">
        <f t="shared" si="52"/>
        <v>0.02</v>
      </c>
      <c r="Y126" s="17">
        <f t="shared" si="52"/>
        <v>0.02</v>
      </c>
      <c r="Z126" s="17">
        <f t="shared" si="52"/>
        <v>0.02</v>
      </c>
      <c r="AA126" s="17">
        <f t="shared" si="52"/>
        <v>0.02</v>
      </c>
    </row>
    <row r="127" spans="1:27" s="15" customFormat="1" ht="12.75" customHeight="1" x14ac:dyDescent="0.2">
      <c r="A127" s="340" t="s">
        <v>166</v>
      </c>
      <c r="D127" s="251">
        <f>+D36</f>
        <v>8.6318326471106002E-2</v>
      </c>
      <c r="E127" s="251">
        <f t="shared" ref="E127:AA127" si="53">+E36</f>
        <v>8.6318326471106002E-2</v>
      </c>
      <c r="F127" s="251">
        <f t="shared" si="53"/>
        <v>8.6318326471106002E-2</v>
      </c>
      <c r="G127" s="251">
        <f t="shared" si="53"/>
        <v>8.6318326471106002E-2</v>
      </c>
      <c r="H127" s="251">
        <f t="shared" si="53"/>
        <v>8.6318326471106002E-2</v>
      </c>
      <c r="I127" s="251">
        <f t="shared" si="53"/>
        <v>8.6318326471106002E-2</v>
      </c>
      <c r="J127" s="251">
        <f t="shared" si="53"/>
        <v>8.6318326471106002E-2</v>
      </c>
      <c r="K127" s="251">
        <f t="shared" si="53"/>
        <v>8.6318326471106002E-2</v>
      </c>
      <c r="L127" s="251">
        <f t="shared" si="53"/>
        <v>8.6318326471106002E-2</v>
      </c>
      <c r="M127" s="251">
        <f t="shared" si="53"/>
        <v>8.6318326471106002E-2</v>
      </c>
      <c r="N127" s="251">
        <f t="shared" si="53"/>
        <v>8.6318326471106002E-2</v>
      </c>
      <c r="O127" s="251">
        <f t="shared" si="53"/>
        <v>8.6318326471106002E-2</v>
      </c>
      <c r="P127" s="251">
        <f t="shared" si="53"/>
        <v>8.6318326471106002E-2</v>
      </c>
      <c r="Q127" s="251">
        <f t="shared" si="53"/>
        <v>8.6318326471106002E-2</v>
      </c>
      <c r="R127" s="251">
        <f t="shared" si="53"/>
        <v>8.6318326471106002E-2</v>
      </c>
      <c r="S127" s="251">
        <f t="shared" si="53"/>
        <v>8.6318326471106002E-2</v>
      </c>
      <c r="T127" s="251">
        <f t="shared" si="53"/>
        <v>8.6318326471106002E-2</v>
      </c>
      <c r="U127" s="251">
        <f t="shared" si="53"/>
        <v>8.6318326471106002E-2</v>
      </c>
      <c r="V127" s="251">
        <f t="shared" si="53"/>
        <v>8.6318326471106002E-2</v>
      </c>
      <c r="W127" s="251">
        <f t="shared" si="53"/>
        <v>8.6318326471106002E-2</v>
      </c>
      <c r="X127" s="251">
        <f t="shared" si="53"/>
        <v>8.6318326471106002E-2</v>
      </c>
      <c r="Y127" s="251">
        <f t="shared" si="53"/>
        <v>8.6318326471106002E-2</v>
      </c>
      <c r="Z127" s="251">
        <f t="shared" si="53"/>
        <v>8.6318326471106002E-2</v>
      </c>
      <c r="AA127" s="251">
        <f t="shared" si="53"/>
        <v>8.6318326471106002E-2</v>
      </c>
    </row>
    <row r="128" spans="1:27" s="256" customFormat="1" ht="12.75" customHeight="1" x14ac:dyDescent="0.2">
      <c r="A128" s="467" t="s">
        <v>181</v>
      </c>
      <c r="D128" s="249">
        <f>+SUM(D125:D127)</f>
        <v>0.37855596339967418</v>
      </c>
      <c r="E128" s="249">
        <f t="shared" ref="E128:AA128" si="54">+SUM(E125:E127)</f>
        <v>0.3837518520659044</v>
      </c>
      <c r="F128" s="249">
        <f t="shared" si="54"/>
        <v>0.38355087678875049</v>
      </c>
      <c r="G128" s="249">
        <f t="shared" si="54"/>
        <v>3.2353870015595088E-2</v>
      </c>
      <c r="H128" s="249">
        <f t="shared" si="54"/>
        <v>1.7160777893620804E-2</v>
      </c>
      <c r="I128" s="249">
        <f t="shared" si="54"/>
        <v>5.6063479428503094E-4</v>
      </c>
      <c r="J128" s="249">
        <f t="shared" si="54"/>
        <v>-2.6934457266958312E-2</v>
      </c>
      <c r="K128" s="249">
        <f t="shared" si="54"/>
        <v>-4.8376011331897797E-2</v>
      </c>
      <c r="L128" s="249">
        <f t="shared" si="54"/>
        <v>4.1566985953661872E-2</v>
      </c>
      <c r="M128" s="249">
        <f t="shared" si="54"/>
        <v>3.8701142181182813E-2</v>
      </c>
      <c r="N128" s="249">
        <f t="shared" si="54"/>
        <v>3.6260437227857711E-2</v>
      </c>
      <c r="O128" s="249">
        <f t="shared" si="54"/>
        <v>5.0186331296848796E-2</v>
      </c>
      <c r="P128" s="249">
        <f t="shared" si="54"/>
        <v>4.7532762873126244E-2</v>
      </c>
      <c r="Q128" s="249">
        <f t="shared" si="54"/>
        <v>4.4640519104537035E-2</v>
      </c>
      <c r="R128" s="249">
        <f t="shared" si="54"/>
        <v>5.6910443980011216E-2</v>
      </c>
      <c r="S128" s="249">
        <f t="shared" si="54"/>
        <v>5.4156274180326258E-2</v>
      </c>
      <c r="T128" s="249">
        <f t="shared" si="54"/>
        <v>5.1213875660248986E-2</v>
      </c>
      <c r="U128" s="249">
        <f t="shared" si="54"/>
        <v>4.80297159561483E-2</v>
      </c>
      <c r="V128" s="249">
        <f t="shared" si="54"/>
        <v>4.4949167487404684E-2</v>
      </c>
      <c r="W128" s="249">
        <f t="shared" si="54"/>
        <v>4.1953214814659023E-2</v>
      </c>
      <c r="X128" s="249">
        <f t="shared" si="54"/>
        <v>0.39560379997894363</v>
      </c>
      <c r="Y128" s="249">
        <f t="shared" si="54"/>
        <v>0.39560379997894363</v>
      </c>
      <c r="Z128" s="249">
        <f t="shared" si="54"/>
        <v>0.39560379997894363</v>
      </c>
      <c r="AA128" s="249">
        <f t="shared" si="54"/>
        <v>0.39560379997894363</v>
      </c>
    </row>
    <row r="129" spans="1:27" ht="12.75" customHeight="1" x14ac:dyDescent="0.2">
      <c r="A129" s="11"/>
    </row>
    <row r="130" spans="1:27" s="15" customFormat="1" ht="12.75" customHeight="1" x14ac:dyDescent="0.2">
      <c r="A130" s="340" t="s">
        <v>180</v>
      </c>
      <c r="D130" s="251">
        <f>+D95</f>
        <v>0.10861660714843442</v>
      </c>
      <c r="E130" s="251">
        <f t="shared" ref="E130:AA130" si="55">+E95</f>
        <v>0.10739683398650525</v>
      </c>
      <c r="F130" s="251">
        <f t="shared" si="55"/>
        <v>0.10606566863669341</v>
      </c>
      <c r="G130" s="251">
        <f t="shared" si="55"/>
        <v>0.10480371440299123</v>
      </c>
      <c r="H130" s="251">
        <f t="shared" si="55"/>
        <v>0.10355837301690021</v>
      </c>
      <c r="I130" s="251">
        <f t="shared" si="55"/>
        <v>0.10231996706040861</v>
      </c>
      <c r="J130" s="251">
        <f t="shared" si="55"/>
        <v>0.10107976971762322</v>
      </c>
      <c r="K130" s="251">
        <f t="shared" si="55"/>
        <v>9.9845852114753317E-2</v>
      </c>
      <c r="L130" s="251">
        <f t="shared" si="55"/>
        <v>9.8618283673757315E-2</v>
      </c>
      <c r="M130" s="251">
        <f t="shared" si="55"/>
        <v>9.73918449375413E-2</v>
      </c>
      <c r="N130" s="251">
        <f t="shared" si="55"/>
        <v>9.6164816683401766E-2</v>
      </c>
      <c r="O130" s="251">
        <f t="shared" si="55"/>
        <v>9.4935716967337394E-2</v>
      </c>
      <c r="P130" s="251">
        <f t="shared" si="55"/>
        <v>9.3699871114232752E-2</v>
      </c>
      <c r="Q130" s="251">
        <f t="shared" si="55"/>
        <v>9.2453089276842454E-2</v>
      </c>
      <c r="R130" s="251">
        <f t="shared" si="55"/>
        <v>9.1181832037236302E-2</v>
      </c>
      <c r="S130" s="251">
        <f t="shared" si="55"/>
        <v>8.9871008476240771E-2</v>
      </c>
      <c r="T130" s="251">
        <f t="shared" si="55"/>
        <v>8.8516937550876057E-2</v>
      </c>
      <c r="U130" s="251">
        <f t="shared" si="55"/>
        <v>8.7112398665926516E-2</v>
      </c>
      <c r="V130" s="251">
        <f t="shared" si="55"/>
        <v>8.5656465010433724E-2</v>
      </c>
      <c r="W130" s="251">
        <f t="shared" si="55"/>
        <v>8.415530584993372E-2</v>
      </c>
      <c r="X130" s="251">
        <f t="shared" si="55"/>
        <v>8.2594796631739451E-2</v>
      </c>
      <c r="Y130" s="251">
        <f t="shared" si="55"/>
        <v>8.0959573246485769E-2</v>
      </c>
      <c r="Z130" s="251">
        <f t="shared" si="55"/>
        <v>7.9224427110996656E-2</v>
      </c>
      <c r="AA130" s="251">
        <f t="shared" si="55"/>
        <v>7.7394601247369257E-2</v>
      </c>
    </row>
    <row r="131" spans="1:27" ht="12.75" customHeight="1" x14ac:dyDescent="0.2">
      <c r="A131" s="6" t="s">
        <v>195</v>
      </c>
      <c r="D131" s="17">
        <f>+D$128+D130</f>
        <v>0.48717257054810859</v>
      </c>
      <c r="E131" s="17">
        <f t="shared" ref="E131:AA131" si="56">+E$128+E130</f>
        <v>0.49114868605240963</v>
      </c>
      <c r="F131" s="17">
        <f t="shared" si="56"/>
        <v>0.48961654542544392</v>
      </c>
      <c r="G131" s="17">
        <f t="shared" si="56"/>
        <v>0.13715758441858633</v>
      </c>
      <c r="H131" s="17">
        <f t="shared" si="56"/>
        <v>0.12071915091052102</v>
      </c>
      <c r="I131" s="17">
        <f t="shared" si="56"/>
        <v>0.10288060185469364</v>
      </c>
      <c r="J131" s="17">
        <f t="shared" si="56"/>
        <v>7.4145312450664913E-2</v>
      </c>
      <c r="K131" s="17">
        <f t="shared" si="56"/>
        <v>5.1469840782855519E-2</v>
      </c>
      <c r="L131" s="17">
        <f t="shared" si="56"/>
        <v>0.14018526962741917</v>
      </c>
      <c r="M131" s="17">
        <f t="shared" si="56"/>
        <v>0.13609298711872411</v>
      </c>
      <c r="N131" s="17">
        <f t="shared" si="56"/>
        <v>0.13242525391125948</v>
      </c>
      <c r="O131" s="17">
        <f t="shared" si="56"/>
        <v>0.14512204826418618</v>
      </c>
      <c r="P131" s="17">
        <f t="shared" si="56"/>
        <v>0.141232633987359</v>
      </c>
      <c r="Q131" s="17">
        <f t="shared" si="56"/>
        <v>0.13709360838137949</v>
      </c>
      <c r="R131" s="17">
        <f t="shared" si="56"/>
        <v>0.1480922760172475</v>
      </c>
      <c r="S131" s="17">
        <f t="shared" si="56"/>
        <v>0.14402728265656703</v>
      </c>
      <c r="T131" s="17">
        <f t="shared" si="56"/>
        <v>0.13973081321112504</v>
      </c>
      <c r="U131" s="17">
        <f t="shared" si="56"/>
        <v>0.13514211462207482</v>
      </c>
      <c r="V131" s="17">
        <f t="shared" si="56"/>
        <v>0.13060563249783841</v>
      </c>
      <c r="W131" s="17">
        <f t="shared" si="56"/>
        <v>0.12610852066459274</v>
      </c>
      <c r="X131" s="17">
        <f t="shared" si="56"/>
        <v>0.47819859661068309</v>
      </c>
      <c r="Y131" s="17">
        <f t="shared" si="56"/>
        <v>0.47656337322542941</v>
      </c>
      <c r="Z131" s="17">
        <f t="shared" si="56"/>
        <v>0.47482822708994027</v>
      </c>
      <c r="AA131" s="17">
        <f t="shared" si="56"/>
        <v>0.47299840122631287</v>
      </c>
    </row>
    <row r="132" spans="1:27" ht="12.75" customHeight="1" x14ac:dyDescent="0.2">
      <c r="A132" s="6" t="s">
        <v>182</v>
      </c>
      <c r="C132" s="460">
        <f>'Common Assumpt'!$I$49</f>
        <v>0.749413010253415</v>
      </c>
      <c r="D132" s="17">
        <f>IF(arb="Y",$C$214,IF(D131&lt;0,D131,D$131*$C132))</f>
        <v>0.36509346260735226</v>
      </c>
      <c r="E132" s="17">
        <f t="shared" ref="E132:AA132" si="57">IF(arb="Y",$C$214,IF(E131&lt;0,E131,E$131*$C132))</f>
        <v>0.36807321529654574</v>
      </c>
      <c r="F132" s="17">
        <f t="shared" si="57"/>
        <v>0.36692500917715981</v>
      </c>
      <c r="G132" s="17">
        <f t="shared" si="57"/>
        <v>0.10278767821821967</v>
      </c>
      <c r="H132" s="17">
        <f t="shared" si="57"/>
        <v>9.0468502279089841E-2</v>
      </c>
      <c r="I132" s="17">
        <f t="shared" si="57"/>
        <v>7.7100061532609024E-2</v>
      </c>
      <c r="J132" s="17">
        <f t="shared" si="57"/>
        <v>5.5565461799832801E-2</v>
      </c>
      <c r="K132" s="17">
        <f t="shared" si="57"/>
        <v>3.8572168318343744E-2</v>
      </c>
      <c r="L132" s="17">
        <f t="shared" si="57"/>
        <v>0.10505666490467083</v>
      </c>
      <c r="M132" s="17">
        <f t="shared" si="57"/>
        <v>0.10198985515102227</v>
      </c>
      <c r="N132" s="17">
        <f t="shared" si="57"/>
        <v>9.9241208167209785E-2</v>
      </c>
      <c r="O132" s="17">
        <f t="shared" si="57"/>
        <v>0.10875635104380514</v>
      </c>
      <c r="P132" s="17">
        <f t="shared" si="57"/>
        <v>0.10584157338248548</v>
      </c>
      <c r="Q132" s="17">
        <f t="shared" si="57"/>
        <v>0.10273973374359241</v>
      </c>
      <c r="R132" s="17">
        <f t="shared" si="57"/>
        <v>0.11098227836536506</v>
      </c>
      <c r="S132" s="17">
        <f t="shared" si="57"/>
        <v>0.10793591945427737</v>
      </c>
      <c r="T132" s="17">
        <f t="shared" si="57"/>
        <v>0.10471608935370687</v>
      </c>
      <c r="U132" s="17">
        <f t="shared" si="57"/>
        <v>0.10127725893094114</v>
      </c>
      <c r="V132" s="17">
        <f t="shared" si="57"/>
        <v>9.7877560206256334E-2</v>
      </c>
      <c r="W132" s="17">
        <f t="shared" si="57"/>
        <v>9.4507366089857436E-2</v>
      </c>
      <c r="X132" s="17">
        <f t="shared" si="57"/>
        <v>0.35836824978497051</v>
      </c>
      <c r="Y132" s="17">
        <f t="shared" si="57"/>
        <v>0.35714279210539079</v>
      </c>
      <c r="Z132" s="17">
        <f t="shared" si="57"/>
        <v>0.35584245101676426</v>
      </c>
      <c r="AA132" s="17">
        <f t="shared" si="57"/>
        <v>0.3544711557080637</v>
      </c>
    </row>
    <row r="133" spans="1:27" ht="12.75" customHeight="1" x14ac:dyDescent="0.2">
      <c r="A133" s="467" t="s">
        <v>418</v>
      </c>
      <c r="C133" s="460"/>
      <c r="D133" s="17">
        <f>+D132+D123</f>
        <v>0.36509346260735226</v>
      </c>
      <c r="E133" s="17">
        <f t="shared" ref="E133:AA133" si="58">+E132+E123</f>
        <v>0.36807321529654574</v>
      </c>
      <c r="F133" s="17">
        <f t="shared" si="58"/>
        <v>0.36692500917715981</v>
      </c>
      <c r="G133" s="17">
        <f t="shared" si="58"/>
        <v>0.45345534128305354</v>
      </c>
      <c r="H133" s="17">
        <f t="shared" si="58"/>
        <v>0.45648807231460331</v>
      </c>
      <c r="I133" s="17">
        <f t="shared" si="58"/>
        <v>0.45994385549069317</v>
      </c>
      <c r="J133" s="17">
        <f t="shared" si="58"/>
        <v>0.4663755684395845</v>
      </c>
      <c r="K133" s="17">
        <f t="shared" si="58"/>
        <v>0.47152361712130686</v>
      </c>
      <c r="L133" s="17">
        <f t="shared" si="58"/>
        <v>0.44851438606102878</v>
      </c>
      <c r="M133" s="17">
        <f t="shared" si="58"/>
        <v>0.44912373610551359</v>
      </c>
      <c r="N133" s="17">
        <f t="shared" si="58"/>
        <v>0.44913428032679825</v>
      </c>
      <c r="O133" s="17">
        <f t="shared" si="58"/>
        <v>0.44552767139888738</v>
      </c>
      <c r="P133" s="17">
        <f t="shared" si="58"/>
        <v>0.44597161327745904</v>
      </c>
      <c r="Q133" s="17">
        <f t="shared" si="58"/>
        <v>0.44673777546825638</v>
      </c>
      <c r="R133" s="17">
        <f t="shared" si="58"/>
        <v>0.44356231421451525</v>
      </c>
      <c r="S133" s="17">
        <f t="shared" si="58"/>
        <v>0.44410064079937867</v>
      </c>
      <c r="T133" s="17">
        <f t="shared" si="58"/>
        <v>0.44480669223896863</v>
      </c>
      <c r="U133" s="17">
        <f t="shared" si="58"/>
        <v>0.44573924959615968</v>
      </c>
      <c r="V133" s="17">
        <f t="shared" si="58"/>
        <v>0.44640261415425686</v>
      </c>
      <c r="W133" s="17">
        <f t="shared" si="58"/>
        <v>0.44684081552570049</v>
      </c>
      <c r="X133" s="17">
        <f t="shared" si="58"/>
        <v>0.35836824978497051</v>
      </c>
      <c r="Y133" s="17">
        <f t="shared" si="58"/>
        <v>0.35714279210539079</v>
      </c>
      <c r="Z133" s="17">
        <f t="shared" si="58"/>
        <v>0.35584245101676426</v>
      </c>
      <c r="AA133" s="17">
        <f t="shared" si="58"/>
        <v>0.3544711557080637</v>
      </c>
    </row>
    <row r="134" spans="1:27" ht="12.75" customHeight="1" x14ac:dyDescent="0.2">
      <c r="A134" s="11"/>
    </row>
    <row r="135" spans="1:27" s="15" customFormat="1" ht="12.75" customHeight="1" x14ac:dyDescent="0.2">
      <c r="A135" s="340" t="s">
        <v>217</v>
      </c>
      <c r="D135" s="251">
        <f>+D117</f>
        <v>0.17574044652126294</v>
      </c>
      <c r="E135" s="251">
        <f t="shared" ref="E135:AA135" si="59">+E117</f>
        <v>0.17733616100673213</v>
      </c>
      <c r="F135" s="251">
        <f t="shared" si="59"/>
        <v>0.17907759941310764</v>
      </c>
      <c r="G135" s="251">
        <f>+G117</f>
        <v>0.18072849542686534</v>
      </c>
      <c r="H135" s="251">
        <f t="shared" si="59"/>
        <v>0.18235765841483986</v>
      </c>
      <c r="I135" s="251">
        <f t="shared" si="59"/>
        <v>0.18397774843267548</v>
      </c>
      <c r="J135" s="251">
        <f t="shared" si="59"/>
        <v>0.18560018195268577</v>
      </c>
      <c r="K135" s="251">
        <f t="shared" si="59"/>
        <v>0.18721440027969072</v>
      </c>
      <c r="L135" s="251">
        <f t="shared" si="59"/>
        <v>0.18882031259547227</v>
      </c>
      <c r="M135" s="251">
        <f t="shared" si="59"/>
        <v>0.19042474702476012</v>
      </c>
      <c r="N135" s="251">
        <f t="shared" si="59"/>
        <v>0.19202995266489226</v>
      </c>
      <c r="O135" s="251">
        <f t="shared" si="59"/>
        <v>0.1936378682038013</v>
      </c>
      <c r="P135" s="251">
        <f t="shared" si="59"/>
        <v>0.19525460907920095</v>
      </c>
      <c r="Q135" s="251">
        <f t="shared" si="59"/>
        <v>0.19688565647410863</v>
      </c>
      <c r="R135" s="251">
        <f t="shared" si="59"/>
        <v>0.19854872273537083</v>
      </c>
      <c r="S135" s="251">
        <f t="shared" si="59"/>
        <v>0.20026354989296002</v>
      </c>
      <c r="T135" s="251">
        <f t="shared" si="59"/>
        <v>0.20203495350913736</v>
      </c>
      <c r="U135" s="251">
        <f t="shared" si="59"/>
        <v>0.20387237960939181</v>
      </c>
      <c r="V135" s="251">
        <f t="shared" si="59"/>
        <v>0.20577704065331684</v>
      </c>
      <c r="W135" s="251">
        <f t="shared" si="59"/>
        <v>0.20774086597114558</v>
      </c>
      <c r="X135" s="251">
        <f t="shared" si="59"/>
        <v>0.20978233338648217</v>
      </c>
      <c r="Y135" s="251">
        <f t="shared" si="59"/>
        <v>0.21192154231833035</v>
      </c>
      <c r="Z135" s="251">
        <f t="shared" si="59"/>
        <v>0.21419147078472384</v>
      </c>
      <c r="AA135" s="251">
        <f t="shared" si="59"/>
        <v>0.21658525983305685</v>
      </c>
    </row>
    <row r="136" spans="1:27" ht="12.75" customHeight="1" x14ac:dyDescent="0.2">
      <c r="A136" s="6" t="s">
        <v>197</v>
      </c>
      <c r="D136" s="17">
        <f>+D$128+D135</f>
        <v>0.55429640992093709</v>
      </c>
      <c r="E136" s="17">
        <f t="shared" ref="E136:AA136" si="60">+E$128+E135</f>
        <v>0.56108801307263656</v>
      </c>
      <c r="F136" s="17">
        <f t="shared" si="60"/>
        <v>0.56262847620185807</v>
      </c>
      <c r="G136" s="17">
        <f t="shared" si="60"/>
        <v>0.21308236544246043</v>
      </c>
      <c r="H136" s="17">
        <f t="shared" si="60"/>
        <v>0.19951843630846067</v>
      </c>
      <c r="I136" s="17">
        <f t="shared" si="60"/>
        <v>0.18453838322696051</v>
      </c>
      <c r="J136" s="17">
        <f t="shared" si="60"/>
        <v>0.15866572468572746</v>
      </c>
      <c r="K136" s="17">
        <f t="shared" si="60"/>
        <v>0.13883838894779293</v>
      </c>
      <c r="L136" s="17">
        <f t="shared" si="60"/>
        <v>0.23038729854913415</v>
      </c>
      <c r="M136" s="17">
        <f t="shared" si="60"/>
        <v>0.22912588920594293</v>
      </c>
      <c r="N136" s="17">
        <f t="shared" si="60"/>
        <v>0.22829038989274997</v>
      </c>
      <c r="O136" s="17">
        <f t="shared" si="60"/>
        <v>0.2438241995006501</v>
      </c>
      <c r="P136" s="17">
        <f t="shared" si="60"/>
        <v>0.24278737195232719</v>
      </c>
      <c r="Q136" s="17">
        <f t="shared" si="60"/>
        <v>0.24152617557864567</v>
      </c>
      <c r="R136" s="17">
        <f t="shared" si="60"/>
        <v>0.25545916671538205</v>
      </c>
      <c r="S136" s="17">
        <f t="shared" si="60"/>
        <v>0.25441982407328628</v>
      </c>
      <c r="T136" s="17">
        <f t="shared" si="60"/>
        <v>0.25324882916938635</v>
      </c>
      <c r="U136" s="17">
        <f t="shared" si="60"/>
        <v>0.25190209556554011</v>
      </c>
      <c r="V136" s="17">
        <f t="shared" si="60"/>
        <v>0.25072620814072155</v>
      </c>
      <c r="W136" s="17">
        <f t="shared" si="60"/>
        <v>0.2496940807858046</v>
      </c>
      <c r="X136" s="17">
        <f t="shared" si="60"/>
        <v>0.60538613336542579</v>
      </c>
      <c r="Y136" s="17">
        <f t="shared" si="60"/>
        <v>0.60752534229727395</v>
      </c>
      <c r="Z136" s="17">
        <f t="shared" si="60"/>
        <v>0.60979527076366746</v>
      </c>
      <c r="AA136" s="17">
        <f t="shared" si="60"/>
        <v>0.61218905981200045</v>
      </c>
    </row>
    <row r="137" spans="1:27" ht="12.75" customHeight="1" x14ac:dyDescent="0.2">
      <c r="A137" s="6" t="s">
        <v>183</v>
      </c>
      <c r="C137" s="460">
        <f>'Common Assumpt'!$I$49</f>
        <v>0.749413010253415</v>
      </c>
      <c r="D137" s="17">
        <f>IF(arb="Y",$C$214,D$136*$C137)</f>
        <v>0.41539694113151038</v>
      </c>
      <c r="E137" s="17">
        <f t="shared" ref="E137:AA137" si="61">IF(arb="Y",$C$214,E$136*$C137)</f>
        <v>0.42048665689387205</v>
      </c>
      <c r="F137" s="17">
        <f t="shared" si="61"/>
        <v>0.42164110000472632</v>
      </c>
      <c r="G137" s="17">
        <f t="shared" si="61"/>
        <v>0.15968669691815252</v>
      </c>
      <c r="H137" s="17">
        <f t="shared" si="61"/>
        <v>0.14952171195497777</v>
      </c>
      <c r="I137" s="17">
        <f t="shared" si="61"/>
        <v>0.13829546528141479</v>
      </c>
      <c r="J137" s="17">
        <f t="shared" si="61"/>
        <v>0.11890615836077059</v>
      </c>
      <c r="K137" s="17">
        <f t="shared" si="61"/>
        <v>0.10404729500009996</v>
      </c>
      <c r="L137" s="17">
        <f t="shared" si="61"/>
        <v>0.17265523892985885</v>
      </c>
      <c r="M137" s="17">
        <f t="shared" si="61"/>
        <v>0.17170992235681615</v>
      </c>
      <c r="N137" s="17">
        <f t="shared" si="61"/>
        <v>0.17108378830145154</v>
      </c>
      <c r="O137" s="17">
        <f t="shared" si="61"/>
        <v>0.1827250273204114</v>
      </c>
      <c r="P137" s="17">
        <f t="shared" si="61"/>
        <v>0.18194801526630905</v>
      </c>
      <c r="Q137" s="17">
        <f t="shared" si="61"/>
        <v>0.1810028582953877</v>
      </c>
      <c r="R137" s="17">
        <f t="shared" si="61"/>
        <v>0.19144442312500345</v>
      </c>
      <c r="S137" s="17">
        <f t="shared" si="61"/>
        <v>0.19066552622690575</v>
      </c>
      <c r="T137" s="17">
        <f t="shared" si="61"/>
        <v>0.18978796741098267</v>
      </c>
      <c r="U137" s="17">
        <f t="shared" si="61"/>
        <v>0.18877870772691482</v>
      </c>
      <c r="V137" s="17">
        <f t="shared" si="61"/>
        <v>0.18789748239216242</v>
      </c>
      <c r="W137" s="17">
        <f t="shared" si="61"/>
        <v>0.18712399272414923</v>
      </c>
      <c r="X137" s="17">
        <f t="shared" si="61"/>
        <v>0.4536842445710591</v>
      </c>
      <c r="Y137" s="17">
        <f t="shared" si="61"/>
        <v>0.45528739557623643</v>
      </c>
      <c r="Z137" s="17">
        <f t="shared" si="61"/>
        <v>0.45698850950129632</v>
      </c>
      <c r="AA137" s="17">
        <f t="shared" si="61"/>
        <v>0.45878244615791919</v>
      </c>
    </row>
    <row r="138" spans="1:27" ht="12.75" customHeight="1" x14ac:dyDescent="0.2">
      <c r="A138" s="6" t="s">
        <v>419</v>
      </c>
      <c r="C138" s="460"/>
      <c r="D138" s="17">
        <f>IF(D137&lt;0,D137,D123+D137)</f>
        <v>0.41539694113151038</v>
      </c>
      <c r="E138" s="17">
        <f t="shared" ref="E138:AA138" si="62">IF(E137&lt;0,E137,E123+E137)</f>
        <v>0.42048665689387205</v>
      </c>
      <c r="F138" s="17">
        <f t="shared" si="62"/>
        <v>0.42164110000472632</v>
      </c>
      <c r="G138" s="17">
        <f t="shared" si="62"/>
        <v>0.51035435998298639</v>
      </c>
      <c r="H138" s="17">
        <f t="shared" si="62"/>
        <v>0.51554128199049121</v>
      </c>
      <c r="I138" s="17">
        <f t="shared" si="62"/>
        <v>0.521139259239499</v>
      </c>
      <c r="J138" s="17">
        <f t="shared" si="62"/>
        <v>0.52971626500052227</v>
      </c>
      <c r="K138" s="17">
        <f t="shared" si="62"/>
        <v>0.53699874380306301</v>
      </c>
      <c r="L138" s="17">
        <f t="shared" si="62"/>
        <v>0.51611296008621688</v>
      </c>
      <c r="M138" s="17">
        <f t="shared" si="62"/>
        <v>0.51884380331130742</v>
      </c>
      <c r="N138" s="17">
        <f t="shared" si="62"/>
        <v>0.52097686046104008</v>
      </c>
      <c r="O138" s="17">
        <f t="shared" si="62"/>
        <v>0.51949634767549369</v>
      </c>
      <c r="P138" s="17">
        <f t="shared" si="62"/>
        <v>0.52207805516128258</v>
      </c>
      <c r="Q138" s="17">
        <f t="shared" si="62"/>
        <v>0.52500090002005173</v>
      </c>
      <c r="R138" s="17">
        <f t="shared" si="62"/>
        <v>0.52402445897415362</v>
      </c>
      <c r="S138" s="17">
        <f t="shared" si="62"/>
        <v>0.52683024757200703</v>
      </c>
      <c r="T138" s="17">
        <f t="shared" si="62"/>
        <v>0.52987857029624441</v>
      </c>
      <c r="U138" s="17">
        <f t="shared" si="62"/>
        <v>0.53324069839213339</v>
      </c>
      <c r="V138" s="17">
        <f t="shared" si="62"/>
        <v>0.5364225363401629</v>
      </c>
      <c r="W138" s="17">
        <f t="shared" si="62"/>
        <v>0.53945744215999225</v>
      </c>
      <c r="X138" s="17">
        <f t="shared" si="62"/>
        <v>0.4536842445710591</v>
      </c>
      <c r="Y138" s="17">
        <f t="shared" si="62"/>
        <v>0.45528739557623643</v>
      </c>
      <c r="Z138" s="17">
        <f t="shared" si="62"/>
        <v>0.45698850950129632</v>
      </c>
      <c r="AA138" s="17">
        <f t="shared" si="62"/>
        <v>0.45878244615791919</v>
      </c>
    </row>
    <row r="139" spans="1:27" ht="12.75" customHeight="1" x14ac:dyDescent="0.2">
      <c r="G139" s="17"/>
      <c r="H139" s="17"/>
      <c r="I139" s="17"/>
      <c r="J139" s="17"/>
    </row>
    <row r="140" spans="1:27" ht="12.75" customHeight="1" x14ac:dyDescent="0.2">
      <c r="G140" s="17"/>
      <c r="H140" s="17"/>
      <c r="I140" s="17"/>
      <c r="J140" s="17"/>
    </row>
    <row r="141" spans="1:27" ht="15.75" customHeight="1" x14ac:dyDescent="0.25">
      <c r="A141" s="258" t="s">
        <v>138</v>
      </c>
      <c r="B141" s="259"/>
      <c r="C141" s="259"/>
      <c r="D141" s="260">
        <f t="shared" ref="D141:AA141" si="63">+D$4</f>
        <v>1999</v>
      </c>
      <c r="E141" s="260">
        <f t="shared" si="63"/>
        <v>2000</v>
      </c>
      <c r="F141" s="260">
        <f t="shared" si="63"/>
        <v>2001</v>
      </c>
      <c r="G141" s="260">
        <f t="shared" si="63"/>
        <v>2002</v>
      </c>
      <c r="H141" s="260">
        <f t="shared" si="63"/>
        <v>2003</v>
      </c>
      <c r="I141" s="260">
        <f t="shared" si="63"/>
        <v>2004</v>
      </c>
      <c r="J141" s="260">
        <f t="shared" si="63"/>
        <v>2005</v>
      </c>
      <c r="K141" s="261">
        <f t="shared" si="63"/>
        <v>2006</v>
      </c>
      <c r="L141" s="260">
        <f t="shared" si="63"/>
        <v>2007</v>
      </c>
      <c r="M141" s="260">
        <f t="shared" si="63"/>
        <v>2008</v>
      </c>
      <c r="N141" s="260">
        <f t="shared" si="63"/>
        <v>2009</v>
      </c>
      <c r="O141" s="260">
        <f t="shared" si="63"/>
        <v>2010</v>
      </c>
      <c r="P141" s="260">
        <f t="shared" si="63"/>
        <v>2011</v>
      </c>
      <c r="Q141" s="260">
        <f t="shared" si="63"/>
        <v>2012</v>
      </c>
      <c r="R141" s="260">
        <f t="shared" si="63"/>
        <v>2013</v>
      </c>
      <c r="S141" s="260">
        <f t="shared" si="63"/>
        <v>2014</v>
      </c>
      <c r="T141" s="260">
        <f t="shared" si="63"/>
        <v>2015</v>
      </c>
      <c r="U141" s="260">
        <f t="shared" si="63"/>
        <v>2016</v>
      </c>
      <c r="V141" s="260">
        <f t="shared" si="63"/>
        <v>2017</v>
      </c>
      <c r="W141" s="260">
        <f t="shared" si="63"/>
        <v>2018</v>
      </c>
      <c r="X141" s="260">
        <f t="shared" si="63"/>
        <v>2019</v>
      </c>
      <c r="Y141" s="260">
        <f t="shared" si="63"/>
        <v>2020</v>
      </c>
      <c r="Z141" s="260">
        <f t="shared" si="63"/>
        <v>2021</v>
      </c>
      <c r="AA141" s="262">
        <f t="shared" si="63"/>
        <v>2022</v>
      </c>
    </row>
    <row r="142" spans="1:27" ht="12.75" customHeight="1" x14ac:dyDescent="0.2"/>
    <row r="143" spans="1:27" ht="12.75" customHeight="1" x14ac:dyDescent="0.2">
      <c r="A143" s="263" t="s">
        <v>91</v>
      </c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5"/>
    </row>
    <row r="144" spans="1:27" ht="12.75" customHeight="1" x14ac:dyDescent="0.2">
      <c r="A144" s="266" t="s">
        <v>92</v>
      </c>
      <c r="B144" s="194"/>
      <c r="C144" s="194"/>
      <c r="D144" s="218">
        <f t="shared" ref="D144:AA144" si="64">D77</f>
        <v>0</v>
      </c>
      <c r="E144" s="218">
        <f t="shared" si="64"/>
        <v>0</v>
      </c>
      <c r="F144" s="218">
        <f t="shared" si="64"/>
        <v>0</v>
      </c>
      <c r="G144" s="218">
        <f t="shared" si="64"/>
        <v>34.815707943549839</v>
      </c>
      <c r="H144" s="218">
        <f t="shared" si="64"/>
        <v>32.767725123341023</v>
      </c>
      <c r="I144" s="218">
        <f t="shared" si="64"/>
        <v>30.719742303132207</v>
      </c>
      <c r="J144" s="218">
        <f t="shared" si="64"/>
        <v>30.719742303132207</v>
      </c>
      <c r="K144" s="218">
        <f t="shared" si="64"/>
        <v>28.671759482923395</v>
      </c>
      <c r="L144" s="218">
        <f t="shared" si="64"/>
        <v>34.815707943549839</v>
      </c>
      <c r="M144" s="218">
        <f t="shared" si="64"/>
        <v>34.815707943549839</v>
      </c>
      <c r="N144" s="218">
        <f t="shared" si="64"/>
        <v>34.815707943549839</v>
      </c>
      <c r="O144" s="218">
        <f t="shared" si="64"/>
        <v>34.815707943549839</v>
      </c>
      <c r="P144" s="218">
        <f t="shared" si="64"/>
        <v>34.815707943549839</v>
      </c>
      <c r="Q144" s="218">
        <f t="shared" si="64"/>
        <v>34.815707943549839</v>
      </c>
      <c r="R144" s="218">
        <f t="shared" si="64"/>
        <v>34.815707943549839</v>
      </c>
      <c r="S144" s="218">
        <f t="shared" si="64"/>
        <v>34.815707943549839</v>
      </c>
      <c r="T144" s="218">
        <f t="shared" si="64"/>
        <v>34.815707943549839</v>
      </c>
      <c r="U144" s="218">
        <f t="shared" si="64"/>
        <v>34.815707943549839</v>
      </c>
      <c r="V144" s="218">
        <f t="shared" si="64"/>
        <v>34.815707943549839</v>
      </c>
      <c r="W144" s="218">
        <f t="shared" si="64"/>
        <v>34.815707943549839</v>
      </c>
      <c r="X144" s="218">
        <f t="shared" si="64"/>
        <v>0</v>
      </c>
      <c r="Y144" s="218">
        <f t="shared" si="64"/>
        <v>0</v>
      </c>
      <c r="Z144" s="218">
        <f t="shared" si="64"/>
        <v>0</v>
      </c>
      <c r="AA144" s="267">
        <f t="shared" si="64"/>
        <v>0</v>
      </c>
    </row>
    <row r="145" spans="1:27" ht="12.75" customHeight="1" x14ac:dyDescent="0.2">
      <c r="A145" s="268" t="s">
        <v>93</v>
      </c>
      <c r="B145" s="211"/>
      <c r="C145" s="211"/>
      <c r="D145" s="269">
        <f t="shared" ref="D145:AA145" si="65">+D99</f>
        <v>0</v>
      </c>
      <c r="E145" s="269">
        <f t="shared" si="65"/>
        <v>0</v>
      </c>
      <c r="F145" s="269">
        <f t="shared" si="65"/>
        <v>0</v>
      </c>
      <c r="G145" s="269">
        <f t="shared" si="65"/>
        <v>12.734849522605737</v>
      </c>
      <c r="H145" s="269">
        <f t="shared" si="65"/>
        <v>12.734849522605737</v>
      </c>
      <c r="I145" s="269">
        <f t="shared" si="65"/>
        <v>12.734849522605737</v>
      </c>
      <c r="J145" s="269">
        <f t="shared" si="65"/>
        <v>9.5511371419543032</v>
      </c>
      <c r="K145" s="269">
        <f t="shared" si="65"/>
        <v>9.5511371419543032</v>
      </c>
      <c r="L145" s="269">
        <f t="shared" si="65"/>
        <v>12.734849522605737</v>
      </c>
      <c r="M145" s="269">
        <f t="shared" si="65"/>
        <v>12.734849522605737</v>
      </c>
      <c r="N145" s="269">
        <f t="shared" si="65"/>
        <v>12.734849522605737</v>
      </c>
      <c r="O145" s="269">
        <f t="shared" si="65"/>
        <v>15.918561903257171</v>
      </c>
      <c r="P145" s="269">
        <f t="shared" si="65"/>
        <v>15.918561903257171</v>
      </c>
      <c r="Q145" s="269">
        <f t="shared" si="65"/>
        <v>15.918561903257171</v>
      </c>
      <c r="R145" s="269">
        <f t="shared" si="65"/>
        <v>19.102274283908606</v>
      </c>
      <c r="S145" s="269">
        <f t="shared" si="65"/>
        <v>19.102274283908606</v>
      </c>
      <c r="T145" s="269">
        <f t="shared" si="65"/>
        <v>19.102274283908606</v>
      </c>
      <c r="U145" s="269">
        <f t="shared" si="65"/>
        <v>19.102274283908606</v>
      </c>
      <c r="V145" s="269">
        <f t="shared" si="65"/>
        <v>19.102274283908606</v>
      </c>
      <c r="W145" s="269">
        <f t="shared" si="65"/>
        <v>19.102274283908606</v>
      </c>
      <c r="X145" s="269">
        <f t="shared" si="65"/>
        <v>0</v>
      </c>
      <c r="Y145" s="269">
        <f t="shared" si="65"/>
        <v>0</v>
      </c>
      <c r="Z145" s="269">
        <f t="shared" si="65"/>
        <v>0</v>
      </c>
      <c r="AA145" s="270">
        <f t="shared" si="65"/>
        <v>0</v>
      </c>
    </row>
    <row r="146" spans="1:27" ht="12.75" customHeight="1" x14ac:dyDescent="0.2">
      <c r="A146" s="271" t="s">
        <v>94</v>
      </c>
      <c r="B146" s="272"/>
      <c r="C146" s="272"/>
      <c r="D146" s="273">
        <f t="shared" ref="D146:AA146" si="66">+SUM(D144:D145)</f>
        <v>0</v>
      </c>
      <c r="E146" s="273">
        <f t="shared" si="66"/>
        <v>0</v>
      </c>
      <c r="F146" s="273">
        <f t="shared" si="66"/>
        <v>0</v>
      </c>
      <c r="G146" s="273">
        <f t="shared" si="66"/>
        <v>47.550557466155574</v>
      </c>
      <c r="H146" s="273">
        <f t="shared" si="66"/>
        <v>45.502574645946758</v>
      </c>
      <c r="I146" s="273">
        <f t="shared" si="66"/>
        <v>43.454591825737943</v>
      </c>
      <c r="J146" s="273">
        <f t="shared" si="66"/>
        <v>40.270879445086507</v>
      </c>
      <c r="K146" s="273">
        <f t="shared" si="66"/>
        <v>38.222896624877698</v>
      </c>
      <c r="L146" s="273">
        <f t="shared" si="66"/>
        <v>47.550557466155574</v>
      </c>
      <c r="M146" s="273">
        <f t="shared" si="66"/>
        <v>47.550557466155574</v>
      </c>
      <c r="N146" s="273">
        <f t="shared" si="66"/>
        <v>47.550557466155574</v>
      </c>
      <c r="O146" s="273">
        <f t="shared" si="66"/>
        <v>50.73426984680701</v>
      </c>
      <c r="P146" s="273">
        <f t="shared" si="66"/>
        <v>50.73426984680701</v>
      </c>
      <c r="Q146" s="273">
        <f t="shared" si="66"/>
        <v>50.73426984680701</v>
      </c>
      <c r="R146" s="273">
        <f t="shared" si="66"/>
        <v>53.917982227458445</v>
      </c>
      <c r="S146" s="273">
        <f t="shared" si="66"/>
        <v>53.917982227458445</v>
      </c>
      <c r="T146" s="273">
        <f t="shared" si="66"/>
        <v>53.917982227458445</v>
      </c>
      <c r="U146" s="273">
        <f t="shared" si="66"/>
        <v>53.917982227458445</v>
      </c>
      <c r="V146" s="273">
        <f t="shared" si="66"/>
        <v>53.917982227458445</v>
      </c>
      <c r="W146" s="273">
        <f t="shared" si="66"/>
        <v>53.917982227458445</v>
      </c>
      <c r="X146" s="273">
        <f t="shared" si="66"/>
        <v>0</v>
      </c>
      <c r="Y146" s="273">
        <f t="shared" si="66"/>
        <v>0</v>
      </c>
      <c r="Z146" s="273">
        <f t="shared" si="66"/>
        <v>0</v>
      </c>
      <c r="AA146" s="274">
        <f t="shared" si="66"/>
        <v>0</v>
      </c>
    </row>
    <row r="147" spans="1:27" ht="12.75" customHeight="1" x14ac:dyDescent="0.2"/>
    <row r="148" spans="1:27" ht="12.75" customHeight="1" x14ac:dyDescent="0.2">
      <c r="A148" s="263" t="s">
        <v>95</v>
      </c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  <c r="AA148" s="276"/>
    </row>
    <row r="149" spans="1:27" ht="12.75" customHeight="1" x14ac:dyDescent="0.2">
      <c r="A149" s="301"/>
      <c r="B149" s="302"/>
      <c r="C149" s="302"/>
      <c r="D149" s="302"/>
      <c r="E149" s="302"/>
      <c r="F149" s="302"/>
      <c r="G149" s="302"/>
      <c r="H149" s="302"/>
      <c r="I149" s="302"/>
      <c r="J149" s="302"/>
      <c r="K149" s="302"/>
      <c r="L149" s="302"/>
      <c r="M149" s="302"/>
      <c r="N149" s="302"/>
      <c r="O149" s="302"/>
      <c r="P149" s="302"/>
      <c r="Q149" s="302"/>
      <c r="R149" s="302"/>
      <c r="S149" s="302"/>
      <c r="T149" s="302"/>
      <c r="U149" s="302"/>
      <c r="V149" s="302"/>
      <c r="W149" s="302"/>
      <c r="X149" s="302"/>
      <c r="Y149" s="302"/>
      <c r="Z149" s="302"/>
      <c r="AA149" s="303"/>
    </row>
    <row r="150" spans="1:27" ht="12.75" customHeight="1" x14ac:dyDescent="0.2">
      <c r="A150" s="268" t="s">
        <v>184</v>
      </c>
      <c r="B150" s="211"/>
      <c r="C150" s="211"/>
      <c r="D150" s="232">
        <f>+D133</f>
        <v>0.36509346260735226</v>
      </c>
      <c r="E150" s="232">
        <f t="shared" ref="E150:AA150" si="67">+E133</f>
        <v>0.36807321529654574</v>
      </c>
      <c r="F150" s="232">
        <f t="shared" si="67"/>
        <v>0.36692500917715981</v>
      </c>
      <c r="G150" s="232">
        <f t="shared" si="67"/>
        <v>0.45345534128305354</v>
      </c>
      <c r="H150" s="232">
        <f t="shared" si="67"/>
        <v>0.45648807231460331</v>
      </c>
      <c r="I150" s="232">
        <f t="shared" si="67"/>
        <v>0.45994385549069317</v>
      </c>
      <c r="J150" s="232">
        <f t="shared" si="67"/>
        <v>0.4663755684395845</v>
      </c>
      <c r="K150" s="232">
        <f t="shared" si="67"/>
        <v>0.47152361712130686</v>
      </c>
      <c r="L150" s="232">
        <f t="shared" si="67"/>
        <v>0.44851438606102878</v>
      </c>
      <c r="M150" s="232">
        <f t="shared" si="67"/>
        <v>0.44912373610551359</v>
      </c>
      <c r="N150" s="232">
        <f t="shared" si="67"/>
        <v>0.44913428032679825</v>
      </c>
      <c r="O150" s="232">
        <f t="shared" si="67"/>
        <v>0.44552767139888738</v>
      </c>
      <c r="P150" s="232">
        <f t="shared" si="67"/>
        <v>0.44597161327745904</v>
      </c>
      <c r="Q150" s="232">
        <f t="shared" si="67"/>
        <v>0.44673777546825638</v>
      </c>
      <c r="R150" s="232">
        <f t="shared" si="67"/>
        <v>0.44356231421451525</v>
      </c>
      <c r="S150" s="232">
        <f t="shared" si="67"/>
        <v>0.44410064079937867</v>
      </c>
      <c r="T150" s="232">
        <f t="shared" si="67"/>
        <v>0.44480669223896863</v>
      </c>
      <c r="U150" s="232">
        <f t="shared" si="67"/>
        <v>0.44573924959615968</v>
      </c>
      <c r="V150" s="232">
        <f t="shared" si="67"/>
        <v>0.44640261415425686</v>
      </c>
      <c r="W150" s="232">
        <f t="shared" si="67"/>
        <v>0.44684081552570049</v>
      </c>
      <c r="X150" s="232">
        <f t="shared" si="67"/>
        <v>0.35836824978497051</v>
      </c>
      <c r="Y150" s="232">
        <f t="shared" si="67"/>
        <v>0.35714279210539079</v>
      </c>
      <c r="Z150" s="232">
        <f t="shared" si="67"/>
        <v>0.35584245101676426</v>
      </c>
      <c r="AA150" s="304">
        <f t="shared" si="67"/>
        <v>0.3544711557080637</v>
      </c>
    </row>
    <row r="151" spans="1:27" ht="12.75" customHeight="1" x14ac:dyDescent="0.2">
      <c r="A151" s="285" t="s">
        <v>96</v>
      </c>
      <c r="B151" s="194"/>
      <c r="C151" s="194"/>
      <c r="D151" s="305">
        <v>0</v>
      </c>
      <c r="E151" s="305">
        <v>0</v>
      </c>
      <c r="F151" s="305">
        <f>+F150*F$144</f>
        <v>0</v>
      </c>
      <c r="G151" s="305">
        <f t="shared" ref="G151:AA151" si="68">+G150*G$144</f>
        <v>15.78736872755351</v>
      </c>
      <c r="H151" s="305">
        <f t="shared" si="68"/>
        <v>14.958075675688741</v>
      </c>
      <c r="I151" s="305">
        <f t="shared" si="68"/>
        <v>14.129356714583174</v>
      </c>
      <c r="J151" s="305">
        <f t="shared" si="68"/>
        <v>14.326937278940834</v>
      </c>
      <c r="K151" s="305">
        <f t="shared" si="68"/>
        <v>13.519411740620169</v>
      </c>
      <c r="L151" s="305">
        <f t="shared" si="68"/>
        <v>15.615345873581338</v>
      </c>
      <c r="M151" s="305">
        <f t="shared" si="68"/>
        <v>15.636560826765511</v>
      </c>
      <c r="N151" s="305">
        <f t="shared" si="68"/>
        <v>15.636927931294251</v>
      </c>
      <c r="O151" s="305">
        <f t="shared" si="68"/>
        <v>15.511361288193505</v>
      </c>
      <c r="P151" s="305">
        <f t="shared" si="68"/>
        <v>15.526817438981768</v>
      </c>
      <c r="Q151" s="305">
        <f t="shared" si="68"/>
        <v>15.553491918053957</v>
      </c>
      <c r="R151" s="305">
        <f t="shared" si="68"/>
        <v>15.442935986457648</v>
      </c>
      <c r="S151" s="305">
        <f t="shared" si="68"/>
        <v>15.461678207614501</v>
      </c>
      <c r="T151" s="305">
        <f t="shared" si="68"/>
        <v>15.486259888328389</v>
      </c>
      <c r="U151" s="305">
        <f t="shared" si="68"/>
        <v>15.51872753291696</v>
      </c>
      <c r="V151" s="305">
        <f t="shared" si="68"/>
        <v>15.541823039631774</v>
      </c>
      <c r="W151" s="305">
        <f t="shared" si="68"/>
        <v>15.557079330600418</v>
      </c>
      <c r="X151" s="305">
        <f t="shared" si="68"/>
        <v>0</v>
      </c>
      <c r="Y151" s="305">
        <f t="shared" si="68"/>
        <v>0</v>
      </c>
      <c r="Z151" s="305">
        <f t="shared" si="68"/>
        <v>0</v>
      </c>
      <c r="AA151" s="306">
        <f t="shared" si="68"/>
        <v>0</v>
      </c>
    </row>
    <row r="152" spans="1:27" ht="12.75" customHeight="1" x14ac:dyDescent="0.2">
      <c r="A152" s="285"/>
      <c r="B152" s="194"/>
      <c r="C152" s="194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  <c r="AA152" s="307"/>
    </row>
    <row r="153" spans="1:27" ht="12.75" customHeight="1" x14ac:dyDescent="0.2">
      <c r="A153" s="268" t="s">
        <v>185</v>
      </c>
      <c r="B153" s="211"/>
      <c r="C153" s="211"/>
      <c r="D153" s="232">
        <f>+D138</f>
        <v>0.41539694113151038</v>
      </c>
      <c r="E153" s="232">
        <f t="shared" ref="E153:AA153" si="69">+E138</f>
        <v>0.42048665689387205</v>
      </c>
      <c r="F153" s="232">
        <f t="shared" si="69"/>
        <v>0.42164110000472632</v>
      </c>
      <c r="G153" s="232">
        <f t="shared" si="69"/>
        <v>0.51035435998298639</v>
      </c>
      <c r="H153" s="232">
        <f t="shared" si="69"/>
        <v>0.51554128199049121</v>
      </c>
      <c r="I153" s="232">
        <f t="shared" si="69"/>
        <v>0.521139259239499</v>
      </c>
      <c r="J153" s="232">
        <f t="shared" si="69"/>
        <v>0.52971626500052227</v>
      </c>
      <c r="K153" s="232">
        <f t="shared" si="69"/>
        <v>0.53699874380306301</v>
      </c>
      <c r="L153" s="232">
        <f t="shared" si="69"/>
        <v>0.51611296008621688</v>
      </c>
      <c r="M153" s="232">
        <f t="shared" si="69"/>
        <v>0.51884380331130742</v>
      </c>
      <c r="N153" s="232">
        <f t="shared" si="69"/>
        <v>0.52097686046104008</v>
      </c>
      <c r="O153" s="232">
        <f t="shared" si="69"/>
        <v>0.51949634767549369</v>
      </c>
      <c r="P153" s="232">
        <f t="shared" si="69"/>
        <v>0.52207805516128258</v>
      </c>
      <c r="Q153" s="232">
        <f t="shared" si="69"/>
        <v>0.52500090002005173</v>
      </c>
      <c r="R153" s="232">
        <f t="shared" si="69"/>
        <v>0.52402445897415362</v>
      </c>
      <c r="S153" s="232">
        <f t="shared" si="69"/>
        <v>0.52683024757200703</v>
      </c>
      <c r="T153" s="232">
        <f t="shared" si="69"/>
        <v>0.52987857029624441</v>
      </c>
      <c r="U153" s="232">
        <f t="shared" si="69"/>
        <v>0.53324069839213339</v>
      </c>
      <c r="V153" s="232">
        <f t="shared" si="69"/>
        <v>0.5364225363401629</v>
      </c>
      <c r="W153" s="232">
        <f t="shared" si="69"/>
        <v>0.53945744215999225</v>
      </c>
      <c r="X153" s="232">
        <f t="shared" si="69"/>
        <v>0.4536842445710591</v>
      </c>
      <c r="Y153" s="232">
        <f t="shared" si="69"/>
        <v>0.45528739557623643</v>
      </c>
      <c r="Z153" s="232">
        <f t="shared" si="69"/>
        <v>0.45698850950129632</v>
      </c>
      <c r="AA153" s="304">
        <f t="shared" si="69"/>
        <v>0.45878244615791919</v>
      </c>
    </row>
    <row r="154" spans="1:27" ht="12.75" customHeight="1" x14ac:dyDescent="0.2">
      <c r="A154" s="285" t="s">
        <v>97</v>
      </c>
      <c r="B154" s="194"/>
      <c r="C154" s="194"/>
      <c r="D154" s="305">
        <v>0</v>
      </c>
      <c r="E154" s="305">
        <v>0</v>
      </c>
      <c r="F154" s="305">
        <f>+F153*F$145</f>
        <v>0</v>
      </c>
      <c r="G154" s="305">
        <f t="shared" ref="G154:AA154" si="70">+G153*G$145</f>
        <v>6.499285977589091</v>
      </c>
      <c r="H154" s="305">
        <f t="shared" si="70"/>
        <v>6.5653406488401567</v>
      </c>
      <c r="I154" s="305">
        <f t="shared" si="70"/>
        <v>6.636630046737241</v>
      </c>
      <c r="J154" s="305">
        <f t="shared" si="70"/>
        <v>5.0593926933437965</v>
      </c>
      <c r="K154" s="305">
        <f t="shared" si="70"/>
        <v>5.1289486471202386</v>
      </c>
      <c r="L154" s="305">
        <f t="shared" si="70"/>
        <v>6.5726208833645927</v>
      </c>
      <c r="M154" s="305">
        <f t="shared" si="70"/>
        <v>6.6073977609059478</v>
      </c>
      <c r="N154" s="305">
        <f t="shared" si="70"/>
        <v>6.6345619227309118</v>
      </c>
      <c r="O154" s="305">
        <f t="shared" si="70"/>
        <v>8.2696347689883556</v>
      </c>
      <c r="P154" s="305">
        <f t="shared" si="70"/>
        <v>8.310731839416988</v>
      </c>
      <c r="Q154" s="305">
        <f t="shared" si="70"/>
        <v>8.3572593262349226</v>
      </c>
      <c r="R154" s="305">
        <f t="shared" si="70"/>
        <v>10.010058946801095</v>
      </c>
      <c r="S154" s="305">
        <f t="shared" si="70"/>
        <v>10.063655890179954</v>
      </c>
      <c r="T154" s="305">
        <f t="shared" si="70"/>
        <v>10.121885786964208</v>
      </c>
      <c r="U154" s="305">
        <f t="shared" si="70"/>
        <v>10.186110080029515</v>
      </c>
      <c r="V154" s="305">
        <f t="shared" si="70"/>
        <v>10.246890421239724</v>
      </c>
      <c r="W154" s="305">
        <f t="shared" si="70"/>
        <v>10.304864024635934</v>
      </c>
      <c r="X154" s="305">
        <f t="shared" si="70"/>
        <v>0</v>
      </c>
      <c r="Y154" s="305">
        <f t="shared" si="70"/>
        <v>0</v>
      </c>
      <c r="Z154" s="305">
        <f t="shared" si="70"/>
        <v>0</v>
      </c>
      <c r="AA154" s="306">
        <f t="shared" si="70"/>
        <v>0</v>
      </c>
    </row>
    <row r="155" spans="1:27" ht="12.75" customHeight="1" x14ac:dyDescent="0.2">
      <c r="A155" s="277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278"/>
    </row>
    <row r="156" spans="1:27" s="194" customFormat="1" ht="12.75" customHeight="1" x14ac:dyDescent="0.2">
      <c r="A156" s="285" t="s">
        <v>203</v>
      </c>
      <c r="D156" s="311">
        <v>0</v>
      </c>
      <c r="E156" s="311">
        <v>0</v>
      </c>
      <c r="F156" s="311">
        <f>+F151*IF(SUM(F$15,F$21)&gt;0,F$15/SUM(F$15,F$21),0)+F154*IF(SUM(F$16,F$22)&gt;0,F$16/SUM(F$16,F$22),0)</f>
        <v>0</v>
      </c>
      <c r="G156" s="311">
        <f t="shared" ref="G156:AA156" si="71">+G151*IF(SUM(G$15,G$21)&gt;0,G$15/SUM(G$15,G$21),0)+G154*IF(SUM(G$16,G$22)&gt;0,G$16/SUM(G$16,G$22),0)</f>
        <v>22.286654705142602</v>
      </c>
      <c r="H156" s="311">
        <f t="shared" si="71"/>
        <v>21.523416324528899</v>
      </c>
      <c r="I156" s="311">
        <f t="shared" si="71"/>
        <v>20.765986761320416</v>
      </c>
      <c r="J156" s="311">
        <f t="shared" si="71"/>
        <v>19.386329972284631</v>
      </c>
      <c r="K156" s="311">
        <f t="shared" si="71"/>
        <v>18.648360387740407</v>
      </c>
      <c r="L156" s="311">
        <f t="shared" si="71"/>
        <v>0</v>
      </c>
      <c r="M156" s="311">
        <f t="shared" si="71"/>
        <v>0</v>
      </c>
      <c r="N156" s="311">
        <f t="shared" si="71"/>
        <v>0</v>
      </c>
      <c r="O156" s="311">
        <f t="shared" si="71"/>
        <v>0</v>
      </c>
      <c r="P156" s="311">
        <f t="shared" si="71"/>
        <v>0</v>
      </c>
      <c r="Q156" s="311">
        <f t="shared" si="71"/>
        <v>0</v>
      </c>
      <c r="R156" s="311">
        <f t="shared" si="71"/>
        <v>0</v>
      </c>
      <c r="S156" s="311">
        <f t="shared" si="71"/>
        <v>0</v>
      </c>
      <c r="T156" s="311">
        <f t="shared" si="71"/>
        <v>0</v>
      </c>
      <c r="U156" s="311">
        <f t="shared" si="71"/>
        <v>0</v>
      </c>
      <c r="V156" s="311">
        <f t="shared" si="71"/>
        <v>0</v>
      </c>
      <c r="W156" s="311">
        <f t="shared" si="71"/>
        <v>0</v>
      </c>
      <c r="X156" s="311">
        <f t="shared" si="71"/>
        <v>0</v>
      </c>
      <c r="Y156" s="311">
        <f t="shared" si="71"/>
        <v>0</v>
      </c>
      <c r="Z156" s="311">
        <f t="shared" si="71"/>
        <v>0</v>
      </c>
      <c r="AA156" s="327">
        <f t="shared" si="71"/>
        <v>0</v>
      </c>
    </row>
    <row r="157" spans="1:27" ht="12.75" customHeight="1" x14ac:dyDescent="0.2">
      <c r="A157" s="271" t="s">
        <v>213</v>
      </c>
      <c r="B157" s="272"/>
      <c r="C157" s="272"/>
      <c r="D157" s="308">
        <f>SUM(D151,D154)-D156</f>
        <v>0</v>
      </c>
      <c r="E157" s="308">
        <f>SUM(E151,E154)-E156</f>
        <v>0</v>
      </c>
      <c r="F157" s="308">
        <f>SUM(F151,F154)-F156</f>
        <v>0</v>
      </c>
      <c r="G157" s="308">
        <f t="shared" ref="G157:AA157" si="72">SUM(G151,G154)-G156</f>
        <v>0</v>
      </c>
      <c r="H157" s="308">
        <f t="shared" si="72"/>
        <v>0</v>
      </c>
      <c r="I157" s="308">
        <f t="shared" si="72"/>
        <v>0</v>
      </c>
      <c r="J157" s="308">
        <f t="shared" si="72"/>
        <v>0</v>
      </c>
      <c r="K157" s="308">
        <f t="shared" si="72"/>
        <v>0</v>
      </c>
      <c r="L157" s="308">
        <f t="shared" si="72"/>
        <v>22.187966756945933</v>
      </c>
      <c r="M157" s="308">
        <f t="shared" si="72"/>
        <v>22.243958587671457</v>
      </c>
      <c r="N157" s="308">
        <f t="shared" si="72"/>
        <v>22.271489854025162</v>
      </c>
      <c r="O157" s="308">
        <f t="shared" si="72"/>
        <v>23.780996057181859</v>
      </c>
      <c r="P157" s="308">
        <f t="shared" si="72"/>
        <v>23.837549278398754</v>
      </c>
      <c r="Q157" s="308">
        <f t="shared" si="72"/>
        <v>23.910751244288882</v>
      </c>
      <c r="R157" s="308">
        <f t="shared" si="72"/>
        <v>25.452994933258744</v>
      </c>
      <c r="S157" s="308">
        <f t="shared" si="72"/>
        <v>25.525334097794456</v>
      </c>
      <c r="T157" s="308">
        <f t="shared" si="72"/>
        <v>25.608145675292597</v>
      </c>
      <c r="U157" s="308">
        <f t="shared" si="72"/>
        <v>25.704837612946477</v>
      </c>
      <c r="V157" s="308">
        <f t="shared" si="72"/>
        <v>25.788713460871499</v>
      </c>
      <c r="W157" s="308">
        <f t="shared" si="72"/>
        <v>25.861943355236352</v>
      </c>
      <c r="X157" s="308">
        <f t="shared" si="72"/>
        <v>0</v>
      </c>
      <c r="Y157" s="308">
        <f t="shared" si="72"/>
        <v>0</v>
      </c>
      <c r="Z157" s="308">
        <f t="shared" si="72"/>
        <v>0</v>
      </c>
      <c r="AA157" s="309">
        <f t="shared" si="72"/>
        <v>0</v>
      </c>
    </row>
    <row r="158" spans="1:27" ht="12.75" customHeight="1" x14ac:dyDescent="0.2">
      <c r="A158" s="310"/>
      <c r="B158" s="194"/>
      <c r="C158" s="194"/>
      <c r="D158" s="311"/>
      <c r="E158" s="311"/>
      <c r="F158" s="311"/>
      <c r="G158" s="311"/>
      <c r="H158" s="311"/>
      <c r="I158" s="311"/>
      <c r="J158" s="311"/>
      <c r="K158" s="311"/>
      <c r="L158" s="311"/>
      <c r="M158" s="311"/>
      <c r="N158" s="311"/>
      <c r="O158" s="311"/>
      <c r="P158" s="311"/>
      <c r="Q158" s="311"/>
      <c r="R158" s="311"/>
      <c r="S158" s="311"/>
      <c r="T158" s="311"/>
      <c r="U158" s="311"/>
      <c r="V158" s="311"/>
      <c r="W158" s="311"/>
      <c r="X158" s="311"/>
      <c r="Y158" s="311"/>
      <c r="Z158" s="311"/>
      <c r="AA158" s="311"/>
    </row>
    <row r="159" spans="1:27" ht="12.75" customHeight="1" x14ac:dyDescent="0.2">
      <c r="A159" s="328" t="s">
        <v>114</v>
      </c>
      <c r="B159" s="329"/>
      <c r="C159" s="329"/>
      <c r="D159" s="330"/>
      <c r="E159" s="330"/>
      <c r="F159" s="330"/>
      <c r="G159" s="330"/>
      <c r="H159" s="330"/>
      <c r="I159" s="330"/>
      <c r="J159" s="330"/>
      <c r="K159" s="330"/>
      <c r="L159" s="330"/>
      <c r="M159" s="330"/>
      <c r="N159" s="330"/>
      <c r="O159" s="330"/>
      <c r="P159" s="330"/>
      <c r="Q159" s="330"/>
      <c r="R159" s="330"/>
      <c r="S159" s="330"/>
      <c r="T159" s="330"/>
      <c r="U159" s="330"/>
      <c r="V159" s="330"/>
      <c r="W159" s="330"/>
      <c r="X159" s="330"/>
      <c r="Y159" s="330"/>
      <c r="Z159" s="330"/>
      <c r="AA159" s="331"/>
    </row>
    <row r="160" spans="1:27" s="169" customFormat="1" ht="12.75" customHeight="1" x14ac:dyDescent="0.2">
      <c r="A160" s="301"/>
      <c r="B160" s="302"/>
      <c r="C160" s="302"/>
      <c r="D160" s="316"/>
      <c r="E160" s="316"/>
      <c r="F160" s="316"/>
      <c r="G160" s="316"/>
      <c r="H160" s="316"/>
      <c r="I160" s="316"/>
      <c r="J160" s="316"/>
      <c r="K160" s="316"/>
      <c r="L160" s="316"/>
      <c r="M160" s="316"/>
      <c r="N160" s="316"/>
      <c r="O160" s="316"/>
      <c r="P160" s="316"/>
      <c r="Q160" s="316"/>
      <c r="R160" s="316"/>
      <c r="S160" s="316"/>
      <c r="T160" s="316"/>
      <c r="U160" s="316"/>
      <c r="V160" s="316"/>
      <c r="W160" s="316"/>
      <c r="X160" s="316"/>
      <c r="Y160" s="316"/>
      <c r="Z160" s="316"/>
      <c r="AA160" s="336"/>
    </row>
    <row r="161" spans="1:27" ht="12.75" customHeight="1" x14ac:dyDescent="0.2">
      <c r="A161" s="346" t="s">
        <v>115</v>
      </c>
      <c r="B161" s="324" t="s">
        <v>113</v>
      </c>
      <c r="C161" s="324"/>
      <c r="D161" s="311">
        <f>+D$156</f>
        <v>0</v>
      </c>
      <c r="E161" s="311">
        <f t="shared" ref="E161:AA161" si="73">+E$156</f>
        <v>0</v>
      </c>
      <c r="F161" s="311">
        <f t="shared" si="73"/>
        <v>0</v>
      </c>
      <c r="G161" s="311">
        <f t="shared" si="73"/>
        <v>22.286654705142602</v>
      </c>
      <c r="H161" s="311">
        <f t="shared" si="73"/>
        <v>21.523416324528899</v>
      </c>
      <c r="I161" s="311">
        <f t="shared" si="73"/>
        <v>20.765986761320416</v>
      </c>
      <c r="J161" s="311">
        <f t="shared" si="73"/>
        <v>19.386329972284631</v>
      </c>
      <c r="K161" s="311">
        <f t="shared" si="73"/>
        <v>18.648360387740407</v>
      </c>
      <c r="L161" s="311">
        <f t="shared" si="73"/>
        <v>0</v>
      </c>
      <c r="M161" s="311">
        <f t="shared" si="73"/>
        <v>0</v>
      </c>
      <c r="N161" s="311">
        <f t="shared" si="73"/>
        <v>0</v>
      </c>
      <c r="O161" s="311">
        <f t="shared" si="73"/>
        <v>0</v>
      </c>
      <c r="P161" s="311">
        <f t="shared" si="73"/>
        <v>0</v>
      </c>
      <c r="Q161" s="311">
        <f t="shared" si="73"/>
        <v>0</v>
      </c>
      <c r="R161" s="311">
        <f t="shared" si="73"/>
        <v>0</v>
      </c>
      <c r="S161" s="311">
        <f t="shared" si="73"/>
        <v>0</v>
      </c>
      <c r="T161" s="311">
        <f t="shared" si="73"/>
        <v>0</v>
      </c>
      <c r="U161" s="311">
        <f t="shared" si="73"/>
        <v>0</v>
      </c>
      <c r="V161" s="311">
        <f t="shared" si="73"/>
        <v>0</v>
      </c>
      <c r="W161" s="311">
        <f t="shared" si="73"/>
        <v>0</v>
      </c>
      <c r="X161" s="311">
        <f t="shared" si="73"/>
        <v>0</v>
      </c>
      <c r="Y161" s="311">
        <f t="shared" si="73"/>
        <v>0</v>
      </c>
      <c r="Z161" s="311">
        <f t="shared" si="73"/>
        <v>0</v>
      </c>
      <c r="AA161" s="327">
        <f t="shared" si="73"/>
        <v>0</v>
      </c>
    </row>
    <row r="162" spans="1:27" ht="12.75" customHeight="1" x14ac:dyDescent="0.2">
      <c r="A162" s="346"/>
      <c r="B162" s="324"/>
      <c r="C162" s="324"/>
      <c r="D162" s="311"/>
      <c r="E162" s="311"/>
      <c r="F162" s="311"/>
      <c r="G162" s="311"/>
      <c r="H162" s="311"/>
      <c r="I162" s="311"/>
      <c r="J162" s="311"/>
      <c r="K162" s="311"/>
      <c r="L162" s="311"/>
      <c r="M162" s="311"/>
      <c r="N162" s="311"/>
      <c r="O162" s="311"/>
      <c r="P162" s="311"/>
      <c r="Q162" s="311"/>
      <c r="R162" s="311"/>
      <c r="S162" s="311"/>
      <c r="T162" s="311"/>
      <c r="U162" s="311"/>
      <c r="V162" s="311"/>
      <c r="W162" s="311"/>
      <c r="X162" s="311"/>
      <c r="Y162" s="311"/>
      <c r="Z162" s="311"/>
      <c r="AA162" s="327"/>
    </row>
    <row r="163" spans="1:27" s="256" customFormat="1" ht="12.75" customHeight="1" x14ac:dyDescent="0.2">
      <c r="A163" s="312" t="s">
        <v>141</v>
      </c>
      <c r="B163" s="324" t="s">
        <v>113</v>
      </c>
      <c r="C163" s="324"/>
      <c r="D163" s="313">
        <f t="shared" ref="D163:AA163" si="74">-D$58</f>
        <v>0</v>
      </c>
      <c r="E163" s="313">
        <f t="shared" si="74"/>
        <v>0</v>
      </c>
      <c r="F163" s="313">
        <f t="shared" si="74"/>
        <v>0</v>
      </c>
      <c r="G163" s="313">
        <f t="shared" si="74"/>
        <v>-16.674442864086863</v>
      </c>
      <c r="H163" s="313">
        <f t="shared" si="74"/>
        <v>-16.654832807418291</v>
      </c>
      <c r="I163" s="313">
        <f t="shared" si="74"/>
        <v>-16.636320799465466</v>
      </c>
      <c r="J163" s="313">
        <f t="shared" si="74"/>
        <v>-16.543684279312572</v>
      </c>
      <c r="K163" s="313">
        <f t="shared" si="74"/>
        <v>-16.548658471186688</v>
      </c>
      <c r="L163" s="313">
        <f t="shared" si="74"/>
        <v>0</v>
      </c>
      <c r="M163" s="313">
        <f t="shared" si="74"/>
        <v>0</v>
      </c>
      <c r="N163" s="313">
        <f t="shared" si="74"/>
        <v>0</v>
      </c>
      <c r="O163" s="313">
        <f t="shared" si="74"/>
        <v>0</v>
      </c>
      <c r="P163" s="313">
        <f t="shared" si="74"/>
        <v>0</v>
      </c>
      <c r="Q163" s="313">
        <f t="shared" si="74"/>
        <v>0</v>
      </c>
      <c r="R163" s="313">
        <f t="shared" si="74"/>
        <v>0</v>
      </c>
      <c r="S163" s="313">
        <f t="shared" si="74"/>
        <v>0</v>
      </c>
      <c r="T163" s="313">
        <f t="shared" si="74"/>
        <v>0</v>
      </c>
      <c r="U163" s="313">
        <f t="shared" si="74"/>
        <v>0</v>
      </c>
      <c r="V163" s="313">
        <f t="shared" si="74"/>
        <v>0</v>
      </c>
      <c r="W163" s="313">
        <f t="shared" si="74"/>
        <v>0</v>
      </c>
      <c r="X163" s="313">
        <f t="shared" si="74"/>
        <v>0</v>
      </c>
      <c r="Y163" s="313">
        <f t="shared" si="74"/>
        <v>0</v>
      </c>
      <c r="Z163" s="313">
        <f t="shared" si="74"/>
        <v>0</v>
      </c>
      <c r="AA163" s="314">
        <f t="shared" si="74"/>
        <v>0</v>
      </c>
    </row>
    <row r="164" spans="1:27" s="5" customFormat="1" ht="12.75" customHeight="1" x14ac:dyDescent="0.2">
      <c r="A164" s="332"/>
      <c r="B164" s="325"/>
      <c r="C164" s="325"/>
      <c r="D164" s="333"/>
      <c r="E164" s="333"/>
      <c r="F164" s="333"/>
      <c r="G164" s="333"/>
      <c r="H164" s="333"/>
      <c r="I164" s="333"/>
      <c r="J164" s="333"/>
      <c r="K164" s="333"/>
      <c r="L164" s="333"/>
      <c r="M164" s="333"/>
      <c r="N164" s="333"/>
      <c r="O164" s="333"/>
      <c r="P164" s="333"/>
      <c r="Q164" s="333"/>
      <c r="R164" s="333"/>
      <c r="S164" s="333"/>
      <c r="T164" s="333"/>
      <c r="U164" s="333"/>
      <c r="V164" s="333"/>
      <c r="W164" s="333"/>
      <c r="X164" s="333"/>
      <c r="Y164" s="333"/>
      <c r="Z164" s="333"/>
      <c r="AA164" s="334"/>
    </row>
    <row r="165" spans="1:27" ht="12.75" customHeight="1" x14ac:dyDescent="0.2">
      <c r="A165" s="310"/>
      <c r="B165" s="194"/>
      <c r="C165" s="194"/>
      <c r="D165" s="311"/>
      <c r="E165" s="311"/>
      <c r="F165" s="311"/>
      <c r="G165" s="311"/>
      <c r="H165" s="311"/>
      <c r="I165" s="311"/>
      <c r="J165" s="311"/>
      <c r="K165" s="311"/>
      <c r="L165" s="311"/>
      <c r="M165" s="311"/>
      <c r="N165" s="311"/>
      <c r="O165" s="311"/>
      <c r="P165" s="311"/>
      <c r="Q165" s="311"/>
      <c r="R165" s="311"/>
      <c r="S165" s="311"/>
      <c r="T165" s="311"/>
      <c r="U165" s="311"/>
      <c r="V165" s="311"/>
      <c r="W165" s="311"/>
      <c r="X165" s="311"/>
      <c r="Y165" s="311"/>
      <c r="Z165" s="311"/>
      <c r="AA165" s="311"/>
    </row>
    <row r="166" spans="1:27" ht="12.75" customHeight="1" x14ac:dyDescent="0.2">
      <c r="A166" s="310"/>
      <c r="B166" s="194"/>
      <c r="C166" s="194"/>
      <c r="D166" s="311"/>
      <c r="E166" s="311"/>
      <c r="F166" s="311"/>
      <c r="G166" s="311"/>
      <c r="H166" s="311"/>
      <c r="I166" s="311"/>
      <c r="J166" s="311"/>
      <c r="K166" s="311"/>
      <c r="L166" s="311"/>
      <c r="M166" s="311"/>
      <c r="N166" s="311"/>
      <c r="O166" s="311"/>
      <c r="P166" s="311"/>
      <c r="Q166" s="311"/>
      <c r="R166" s="311"/>
      <c r="S166" s="311"/>
      <c r="T166" s="311"/>
      <c r="U166" s="311"/>
      <c r="V166" s="311"/>
      <c r="W166" s="311"/>
      <c r="X166" s="311"/>
      <c r="Y166" s="311"/>
      <c r="Z166" s="311"/>
      <c r="AA166" s="311"/>
    </row>
    <row r="167" spans="1:27" ht="12.75" customHeight="1" x14ac:dyDescent="0.25">
      <c r="A167" s="348" t="s">
        <v>117</v>
      </c>
      <c r="B167" s="194"/>
      <c r="C167" s="194"/>
      <c r="D167" s="335"/>
      <c r="E167" s="311"/>
      <c r="F167" s="311"/>
      <c r="G167" s="311"/>
      <c r="H167" s="311"/>
      <c r="I167" s="311"/>
      <c r="J167" s="311"/>
      <c r="K167" s="311"/>
      <c r="L167" s="311"/>
      <c r="M167" s="311"/>
      <c r="N167" s="311"/>
      <c r="O167" s="311"/>
      <c r="P167" s="311"/>
      <c r="Q167" s="311"/>
      <c r="R167" s="311"/>
      <c r="S167" s="311"/>
      <c r="T167" s="311"/>
      <c r="U167" s="311"/>
      <c r="V167" s="311"/>
      <c r="W167" s="311"/>
      <c r="X167" s="311"/>
      <c r="Y167" s="311"/>
      <c r="Z167" s="311"/>
      <c r="AA167" s="311"/>
    </row>
    <row r="168" spans="1:27" ht="12.75" customHeight="1" x14ac:dyDescent="0.2">
      <c r="A168" s="263" t="s">
        <v>140</v>
      </c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  <c r="AA168" s="276"/>
    </row>
    <row r="169" spans="1:27" ht="12.75" customHeight="1" x14ac:dyDescent="0.2">
      <c r="A169" s="300"/>
      <c r="B169" s="339"/>
      <c r="C169" s="339"/>
      <c r="D169" s="339"/>
      <c r="E169" s="194"/>
      <c r="F169" s="214"/>
      <c r="G169" s="194"/>
      <c r="H169" s="216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278"/>
    </row>
    <row r="170" spans="1:27" ht="12.75" customHeight="1" x14ac:dyDescent="0.2">
      <c r="A170" s="315" t="s">
        <v>116</v>
      </c>
      <c r="B170" s="341" t="s">
        <v>113</v>
      </c>
      <c r="C170" s="341"/>
      <c r="D170" s="343">
        <v>0</v>
      </c>
      <c r="E170" s="343">
        <v>0</v>
      </c>
      <c r="F170" s="343">
        <v>0</v>
      </c>
      <c r="G170" s="344">
        <v>0</v>
      </c>
      <c r="H170" s="344">
        <v>0</v>
      </c>
      <c r="I170" s="343">
        <v>0</v>
      </c>
      <c r="J170" s="343">
        <v>0</v>
      </c>
      <c r="K170" s="343">
        <v>0</v>
      </c>
      <c r="L170" s="343">
        <v>0</v>
      </c>
      <c r="M170" s="343">
        <v>0</v>
      </c>
      <c r="N170" s="343">
        <v>0</v>
      </c>
      <c r="O170" s="343">
        <v>0</v>
      </c>
      <c r="P170" s="343">
        <v>0</v>
      </c>
      <c r="Q170" s="343">
        <v>0</v>
      </c>
      <c r="R170" s="343">
        <v>0</v>
      </c>
      <c r="S170" s="343">
        <v>0</v>
      </c>
      <c r="T170" s="343">
        <v>0</v>
      </c>
      <c r="U170" s="343">
        <v>0</v>
      </c>
      <c r="V170" s="343">
        <v>0</v>
      </c>
      <c r="W170" s="343">
        <v>0</v>
      </c>
      <c r="X170" s="343">
        <v>0</v>
      </c>
      <c r="Y170" s="343">
        <v>0</v>
      </c>
      <c r="Z170" s="343">
        <v>0</v>
      </c>
      <c r="AA170" s="345">
        <v>0</v>
      </c>
    </row>
    <row r="171" spans="1:27" s="194" customFormat="1" ht="12.75" customHeight="1" x14ac:dyDescent="0.2">
      <c r="A171" s="310"/>
      <c r="B171" s="223"/>
      <c r="C171" s="223"/>
      <c r="D171" s="223"/>
      <c r="F171" s="221"/>
      <c r="G171" s="216"/>
      <c r="H171" s="216"/>
    </row>
    <row r="172" spans="1:27" ht="12.75" customHeight="1" x14ac:dyDescent="0.2">
      <c r="A172" s="263" t="s">
        <v>198</v>
      </c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  <c r="AA172" s="276"/>
    </row>
    <row r="173" spans="1:27" ht="12.75" customHeight="1" x14ac:dyDescent="0.2">
      <c r="A173" s="285"/>
      <c r="B173" s="194"/>
      <c r="C173" s="194"/>
      <c r="D173" s="194"/>
      <c r="E173" s="194"/>
      <c r="F173" s="194"/>
      <c r="G173" s="194"/>
      <c r="H173" s="194"/>
      <c r="I173" s="194"/>
      <c r="J173" s="194"/>
      <c r="K173" s="194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278"/>
    </row>
    <row r="174" spans="1:27" ht="12.75" customHeight="1" x14ac:dyDescent="0.2">
      <c r="A174" s="286" t="s">
        <v>190</v>
      </c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87"/>
    </row>
    <row r="175" spans="1:27" ht="12.75" customHeight="1" x14ac:dyDescent="0.2">
      <c r="A175" s="288" t="s">
        <v>86</v>
      </c>
      <c r="B175" s="217"/>
      <c r="C175" s="217"/>
      <c r="D175" s="289">
        <f t="shared" ref="D175:AA175" si="75">+D45-D54</f>
        <v>0</v>
      </c>
      <c r="E175" s="289">
        <f t="shared" si="75"/>
        <v>0</v>
      </c>
      <c r="F175" s="289">
        <f t="shared" si="75"/>
        <v>0</v>
      </c>
      <c r="G175" s="289">
        <f t="shared" si="75"/>
        <v>0</v>
      </c>
      <c r="H175" s="289">
        <f t="shared" si="75"/>
        <v>0</v>
      </c>
      <c r="I175" s="289">
        <f t="shared" si="75"/>
        <v>0</v>
      </c>
      <c r="J175" s="289">
        <f t="shared" si="75"/>
        <v>0</v>
      </c>
      <c r="K175" s="289">
        <f t="shared" si="75"/>
        <v>0</v>
      </c>
      <c r="L175" s="289">
        <f t="shared" si="75"/>
        <v>6.007762825958304</v>
      </c>
      <c r="M175" s="289">
        <f t="shared" si="75"/>
        <v>6.007762825958304</v>
      </c>
      <c r="N175" s="289">
        <f t="shared" si="75"/>
        <v>6.007762825958304</v>
      </c>
      <c r="O175" s="289">
        <f t="shared" si="75"/>
        <v>6.007762825958304</v>
      </c>
      <c r="P175" s="289">
        <f t="shared" si="75"/>
        <v>6.007762825958304</v>
      </c>
      <c r="Q175" s="289">
        <f t="shared" si="75"/>
        <v>6.007762825958304</v>
      </c>
      <c r="R175" s="289">
        <f t="shared" si="75"/>
        <v>6.007762825958304</v>
      </c>
      <c r="S175" s="289">
        <f t="shared" si="75"/>
        <v>6.007762825958304</v>
      </c>
      <c r="T175" s="289">
        <f t="shared" si="75"/>
        <v>6.007762825958304</v>
      </c>
      <c r="U175" s="289">
        <f t="shared" si="75"/>
        <v>6.007762825958304</v>
      </c>
      <c r="V175" s="289">
        <f t="shared" si="75"/>
        <v>6.007762825958304</v>
      </c>
      <c r="W175" s="289">
        <f t="shared" si="75"/>
        <v>6.007762825958304</v>
      </c>
      <c r="X175" s="289">
        <f t="shared" si="75"/>
        <v>0</v>
      </c>
      <c r="Y175" s="289">
        <f t="shared" si="75"/>
        <v>0</v>
      </c>
      <c r="Z175" s="289">
        <f t="shared" si="75"/>
        <v>0</v>
      </c>
      <c r="AA175" s="290">
        <f t="shared" si="75"/>
        <v>0</v>
      </c>
    </row>
    <row r="176" spans="1:27" ht="12.75" customHeight="1" x14ac:dyDescent="0.2">
      <c r="A176" s="291" t="s">
        <v>87</v>
      </c>
      <c r="B176" s="292"/>
      <c r="C176" s="292"/>
      <c r="D176" s="293">
        <f t="shared" ref="D176:AA176" si="76">+D46-D55</f>
        <v>0</v>
      </c>
      <c r="E176" s="293">
        <f t="shared" si="76"/>
        <v>0</v>
      </c>
      <c r="F176" s="293">
        <f t="shared" si="76"/>
        <v>0</v>
      </c>
      <c r="G176" s="293">
        <f t="shared" si="76"/>
        <v>0</v>
      </c>
      <c r="H176" s="293">
        <f t="shared" si="76"/>
        <v>0</v>
      </c>
      <c r="I176" s="293">
        <f t="shared" si="76"/>
        <v>0</v>
      </c>
      <c r="J176" s="293">
        <f t="shared" si="76"/>
        <v>0</v>
      </c>
      <c r="K176" s="293">
        <f t="shared" si="76"/>
        <v>0</v>
      </c>
      <c r="L176" s="293">
        <f t="shared" si="76"/>
        <v>6.4473024614329768</v>
      </c>
      <c r="M176" s="293">
        <f t="shared" si="76"/>
        <v>6.5322696416116504</v>
      </c>
      <c r="N176" s="293">
        <f t="shared" si="76"/>
        <v>6.616903887740845</v>
      </c>
      <c r="O176" s="293">
        <f t="shared" si="76"/>
        <v>6.701314435454143</v>
      </c>
      <c r="P176" s="293">
        <f t="shared" si="76"/>
        <v>6.7858268468454819</v>
      </c>
      <c r="Q176" s="293">
        <f t="shared" si="76"/>
        <v>6.8707280950306018</v>
      </c>
      <c r="R176" s="293">
        <f t="shared" si="76"/>
        <v>6.956934345152721</v>
      </c>
      <c r="S176" s="293">
        <f t="shared" si="76"/>
        <v>7.0454512460556087</v>
      </c>
      <c r="T176" s="293">
        <f t="shared" si="76"/>
        <v>7.1365001504184438</v>
      </c>
      <c r="U176" s="293">
        <f t="shared" si="76"/>
        <v>7.2305352242036616</v>
      </c>
      <c r="V176" s="293">
        <f t="shared" si="76"/>
        <v>7.3275826914930935</v>
      </c>
      <c r="W176" s="293">
        <f t="shared" si="76"/>
        <v>7.4271967912067476</v>
      </c>
      <c r="X176" s="293">
        <f t="shared" si="76"/>
        <v>0</v>
      </c>
      <c r="Y176" s="293">
        <f t="shared" si="76"/>
        <v>0</v>
      </c>
      <c r="Z176" s="293">
        <f t="shared" si="76"/>
        <v>0</v>
      </c>
      <c r="AA176" s="294">
        <f t="shared" si="76"/>
        <v>0</v>
      </c>
    </row>
    <row r="177" spans="1:27" s="194" customFormat="1" ht="12.75" customHeight="1" x14ac:dyDescent="0.2">
      <c r="A177" s="288" t="s">
        <v>88</v>
      </c>
      <c r="B177" s="217"/>
      <c r="C177" s="217"/>
      <c r="D177" s="295">
        <f t="shared" ref="D177:AA177" si="77">+SUM(D175:D176)</f>
        <v>0</v>
      </c>
      <c r="E177" s="295">
        <f t="shared" si="77"/>
        <v>0</v>
      </c>
      <c r="F177" s="295">
        <f t="shared" si="77"/>
        <v>0</v>
      </c>
      <c r="G177" s="295">
        <f t="shared" si="77"/>
        <v>0</v>
      </c>
      <c r="H177" s="295">
        <f t="shared" si="77"/>
        <v>0</v>
      </c>
      <c r="I177" s="295">
        <f t="shared" si="77"/>
        <v>0</v>
      </c>
      <c r="J177" s="295">
        <f t="shared" si="77"/>
        <v>0</v>
      </c>
      <c r="K177" s="295">
        <f t="shared" si="77"/>
        <v>0</v>
      </c>
      <c r="L177" s="295">
        <f t="shared" si="77"/>
        <v>12.455065287391282</v>
      </c>
      <c r="M177" s="295">
        <f t="shared" si="77"/>
        <v>12.540032467569954</v>
      </c>
      <c r="N177" s="295">
        <f t="shared" si="77"/>
        <v>12.624666713699149</v>
      </c>
      <c r="O177" s="295">
        <f t="shared" si="77"/>
        <v>12.709077261412446</v>
      </c>
      <c r="P177" s="295">
        <f t="shared" si="77"/>
        <v>12.793589672803787</v>
      </c>
      <c r="Q177" s="295">
        <f t="shared" si="77"/>
        <v>12.878490920988906</v>
      </c>
      <c r="R177" s="295">
        <f t="shared" si="77"/>
        <v>12.964697171111025</v>
      </c>
      <c r="S177" s="295">
        <f t="shared" si="77"/>
        <v>13.053214072013912</v>
      </c>
      <c r="T177" s="295">
        <f t="shared" si="77"/>
        <v>13.144262976376748</v>
      </c>
      <c r="U177" s="295">
        <f t="shared" si="77"/>
        <v>13.238298050161966</v>
      </c>
      <c r="V177" s="295">
        <f t="shared" si="77"/>
        <v>13.335345517451398</v>
      </c>
      <c r="W177" s="295">
        <f t="shared" si="77"/>
        <v>13.434959617165052</v>
      </c>
      <c r="X177" s="295">
        <f t="shared" si="77"/>
        <v>0</v>
      </c>
      <c r="Y177" s="295">
        <f t="shared" si="77"/>
        <v>0</v>
      </c>
      <c r="Z177" s="295">
        <f t="shared" si="77"/>
        <v>0</v>
      </c>
      <c r="AA177" s="296">
        <f t="shared" si="77"/>
        <v>0</v>
      </c>
    </row>
    <row r="178" spans="1:27" s="194" customFormat="1" ht="12.75" customHeight="1" x14ac:dyDescent="0.2">
      <c r="A178" s="288"/>
      <c r="B178" s="217"/>
      <c r="C178" s="217"/>
      <c r="D178" s="295"/>
      <c r="E178" s="295"/>
      <c r="F178" s="295"/>
      <c r="G178" s="295"/>
      <c r="H178" s="295"/>
      <c r="I178" s="295"/>
      <c r="J178" s="295"/>
      <c r="K178" s="295"/>
      <c r="L178" s="295"/>
      <c r="M178" s="295"/>
      <c r="N178" s="295"/>
      <c r="O178" s="295"/>
      <c r="P178" s="295"/>
      <c r="Q178" s="295"/>
      <c r="R178" s="295"/>
      <c r="S178" s="295"/>
      <c r="T178" s="295"/>
      <c r="U178" s="295"/>
      <c r="V178" s="295"/>
      <c r="W178" s="295"/>
      <c r="X178" s="295"/>
      <c r="Y178" s="295"/>
      <c r="Z178" s="295"/>
      <c r="AA178" s="296"/>
    </row>
    <row r="179" spans="1:27" s="5" customFormat="1" ht="12.75" customHeight="1" x14ac:dyDescent="0.2">
      <c r="A179" s="315" t="s">
        <v>144</v>
      </c>
      <c r="B179" s="341" t="s">
        <v>113</v>
      </c>
      <c r="C179" s="341"/>
      <c r="D179" s="337">
        <f>+D177</f>
        <v>0</v>
      </c>
      <c r="E179" s="337">
        <f t="shared" ref="E179:AA179" si="78">+E177</f>
        <v>0</v>
      </c>
      <c r="F179" s="337">
        <f t="shared" si="78"/>
        <v>0</v>
      </c>
      <c r="G179" s="337">
        <f t="shared" si="78"/>
        <v>0</v>
      </c>
      <c r="H179" s="337">
        <f t="shared" si="78"/>
        <v>0</v>
      </c>
      <c r="I179" s="337">
        <f t="shared" si="78"/>
        <v>0</v>
      </c>
      <c r="J179" s="337">
        <f t="shared" si="78"/>
        <v>0</v>
      </c>
      <c r="K179" s="337">
        <f t="shared" si="78"/>
        <v>0</v>
      </c>
      <c r="L179" s="337">
        <f t="shared" si="78"/>
        <v>12.455065287391282</v>
      </c>
      <c r="M179" s="337">
        <f t="shared" si="78"/>
        <v>12.540032467569954</v>
      </c>
      <c r="N179" s="337">
        <f t="shared" si="78"/>
        <v>12.624666713699149</v>
      </c>
      <c r="O179" s="337">
        <f t="shared" si="78"/>
        <v>12.709077261412446</v>
      </c>
      <c r="P179" s="337">
        <f t="shared" si="78"/>
        <v>12.793589672803787</v>
      </c>
      <c r="Q179" s="337">
        <f t="shared" si="78"/>
        <v>12.878490920988906</v>
      </c>
      <c r="R179" s="337">
        <f t="shared" si="78"/>
        <v>12.964697171111025</v>
      </c>
      <c r="S179" s="337">
        <f t="shared" si="78"/>
        <v>13.053214072013912</v>
      </c>
      <c r="T179" s="337">
        <f t="shared" si="78"/>
        <v>13.144262976376748</v>
      </c>
      <c r="U179" s="337">
        <f t="shared" si="78"/>
        <v>13.238298050161966</v>
      </c>
      <c r="V179" s="337">
        <f t="shared" si="78"/>
        <v>13.335345517451398</v>
      </c>
      <c r="W179" s="337">
        <f t="shared" si="78"/>
        <v>13.434959617165052</v>
      </c>
      <c r="X179" s="337">
        <f t="shared" si="78"/>
        <v>0</v>
      </c>
      <c r="Y179" s="337">
        <f t="shared" si="78"/>
        <v>0</v>
      </c>
      <c r="Z179" s="337">
        <f t="shared" si="78"/>
        <v>0</v>
      </c>
      <c r="AA179" s="338">
        <f t="shared" si="78"/>
        <v>0</v>
      </c>
    </row>
    <row r="180" spans="1:27" s="194" customFormat="1" ht="12.75" customHeight="1" x14ac:dyDescent="0.2">
      <c r="A180" s="342"/>
      <c r="B180" s="217"/>
      <c r="C180" s="217"/>
      <c r="D180" s="295"/>
      <c r="E180" s="295"/>
      <c r="F180" s="295"/>
      <c r="G180" s="295"/>
      <c r="H180" s="295"/>
      <c r="I180" s="295"/>
      <c r="J180" s="295"/>
      <c r="K180" s="295"/>
      <c r="L180" s="295"/>
      <c r="M180" s="295"/>
      <c r="N180" s="295"/>
      <c r="O180" s="295"/>
      <c r="P180" s="295"/>
      <c r="Q180" s="295"/>
      <c r="R180" s="295"/>
      <c r="S180" s="295"/>
      <c r="T180" s="295"/>
      <c r="U180" s="295"/>
      <c r="V180" s="295"/>
      <c r="W180" s="295"/>
      <c r="X180" s="295"/>
      <c r="Y180" s="295"/>
      <c r="Z180" s="295"/>
      <c r="AA180" s="295"/>
    </row>
    <row r="181" spans="1:27" ht="12.75" customHeight="1" x14ac:dyDescent="0.2">
      <c r="A181" s="263" t="s">
        <v>214</v>
      </c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  <c r="AA181" s="276"/>
    </row>
    <row r="182" spans="1:27" ht="12.75" customHeight="1" x14ac:dyDescent="0.2">
      <c r="A182" s="285"/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278"/>
    </row>
    <row r="183" spans="1:27" s="194" customFormat="1" ht="12.75" customHeight="1" x14ac:dyDescent="0.2">
      <c r="A183" s="504" t="s">
        <v>204</v>
      </c>
      <c r="D183" s="311">
        <f>D157</f>
        <v>0</v>
      </c>
      <c r="E183" s="311">
        <f t="shared" ref="E183:AA183" si="79">E157</f>
        <v>0</v>
      </c>
      <c r="F183" s="311">
        <f t="shared" si="79"/>
        <v>0</v>
      </c>
      <c r="G183" s="311">
        <f t="shared" si="79"/>
        <v>0</v>
      </c>
      <c r="H183" s="311">
        <f t="shared" si="79"/>
        <v>0</v>
      </c>
      <c r="I183" s="311">
        <f t="shared" si="79"/>
        <v>0</v>
      </c>
      <c r="J183" s="311">
        <f t="shared" si="79"/>
        <v>0</v>
      </c>
      <c r="K183" s="311">
        <f t="shared" si="79"/>
        <v>0</v>
      </c>
      <c r="L183" s="311">
        <f t="shared" si="79"/>
        <v>22.187966756945933</v>
      </c>
      <c r="M183" s="311">
        <f t="shared" si="79"/>
        <v>22.243958587671457</v>
      </c>
      <c r="N183" s="311">
        <f t="shared" si="79"/>
        <v>22.271489854025162</v>
      </c>
      <c r="O183" s="311">
        <f t="shared" si="79"/>
        <v>23.780996057181859</v>
      </c>
      <c r="P183" s="311">
        <f t="shared" si="79"/>
        <v>23.837549278398754</v>
      </c>
      <c r="Q183" s="311">
        <f t="shared" si="79"/>
        <v>23.910751244288882</v>
      </c>
      <c r="R183" s="311">
        <f t="shared" si="79"/>
        <v>25.452994933258744</v>
      </c>
      <c r="S183" s="311">
        <f t="shared" si="79"/>
        <v>25.525334097794456</v>
      </c>
      <c r="T183" s="311">
        <f t="shared" si="79"/>
        <v>25.608145675292597</v>
      </c>
      <c r="U183" s="311">
        <f t="shared" si="79"/>
        <v>25.704837612946477</v>
      </c>
      <c r="V183" s="311">
        <f t="shared" si="79"/>
        <v>25.788713460871499</v>
      </c>
      <c r="W183" s="311">
        <f t="shared" si="79"/>
        <v>25.861943355236352</v>
      </c>
      <c r="X183" s="311">
        <f t="shared" si="79"/>
        <v>0</v>
      </c>
      <c r="Y183" s="311">
        <f t="shared" si="79"/>
        <v>0</v>
      </c>
      <c r="Z183" s="311">
        <f t="shared" si="79"/>
        <v>0</v>
      </c>
      <c r="AA183" s="327">
        <f t="shared" si="79"/>
        <v>0</v>
      </c>
    </row>
    <row r="184" spans="1:27" s="194" customFormat="1" ht="12.75" customHeight="1" x14ac:dyDescent="0.2">
      <c r="A184" s="452" t="s">
        <v>215</v>
      </c>
      <c r="D184" s="311">
        <f>-D$65</f>
        <v>0</v>
      </c>
      <c r="E184" s="311">
        <f t="shared" ref="E184:AA184" si="80">-E$65</f>
        <v>0</v>
      </c>
      <c r="F184" s="311">
        <f t="shared" si="80"/>
        <v>0</v>
      </c>
      <c r="G184" s="311">
        <f t="shared" si="80"/>
        <v>0</v>
      </c>
      <c r="H184" s="311">
        <f t="shared" si="80"/>
        <v>0</v>
      </c>
      <c r="I184" s="311">
        <f t="shared" si="80"/>
        <v>0</v>
      </c>
      <c r="J184" s="311">
        <f t="shared" si="80"/>
        <v>0</v>
      </c>
      <c r="K184" s="311">
        <f t="shared" si="80"/>
        <v>0</v>
      </c>
      <c r="L184" s="311">
        <f t="shared" si="80"/>
        <v>-16.331606107040233</v>
      </c>
      <c r="M184" s="311">
        <f t="shared" si="80"/>
        <v>-16.506409554776148</v>
      </c>
      <c r="N184" s="311">
        <f t="shared" si="80"/>
        <v>-16.63761063473423</v>
      </c>
      <c r="O184" s="311">
        <f t="shared" si="80"/>
        <v>-17.085847043560232</v>
      </c>
      <c r="P184" s="311">
        <f t="shared" si="80"/>
        <v>-17.256249227036818</v>
      </c>
      <c r="Q184" s="311">
        <f t="shared" si="80"/>
        <v>-17.45248947563228</v>
      </c>
      <c r="R184" s="311">
        <f t="shared" si="80"/>
        <v>-17.932044462121972</v>
      </c>
      <c r="S184" s="311">
        <f t="shared" si="80"/>
        <v>-18.125323470983691</v>
      </c>
      <c r="T184" s="311">
        <f t="shared" si="80"/>
        <v>-18.336999082093172</v>
      </c>
      <c r="U184" s="311">
        <f t="shared" si="80"/>
        <v>-18.572695490722207</v>
      </c>
      <c r="V184" s="311">
        <f t="shared" si="80"/>
        <v>-18.791767664592289</v>
      </c>
      <c r="W184" s="311">
        <f t="shared" si="80"/>
        <v>-18.997108664820914</v>
      </c>
      <c r="X184" s="311">
        <f t="shared" si="80"/>
        <v>0</v>
      </c>
      <c r="Y184" s="311">
        <f t="shared" si="80"/>
        <v>0</v>
      </c>
      <c r="Z184" s="311">
        <f t="shared" si="80"/>
        <v>0</v>
      </c>
      <c r="AA184" s="327">
        <f t="shared" si="80"/>
        <v>0</v>
      </c>
    </row>
    <row r="185" spans="1:27" s="194" customFormat="1" ht="12.75" customHeight="1" x14ac:dyDescent="0.2">
      <c r="A185" s="452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  <c r="U185" s="311"/>
      <c r="V185" s="311"/>
      <c r="W185" s="311"/>
      <c r="X185" s="311"/>
      <c r="Y185" s="311"/>
      <c r="Z185" s="311"/>
      <c r="AA185" s="327"/>
    </row>
    <row r="186" spans="1:27" s="5" customFormat="1" ht="12.75" customHeight="1" x14ac:dyDescent="0.2">
      <c r="A186" s="505" t="s">
        <v>216</v>
      </c>
      <c r="B186" s="341" t="s">
        <v>113</v>
      </c>
      <c r="C186" s="341"/>
      <c r="D186" s="337">
        <f>SUM(D183:D184)</f>
        <v>0</v>
      </c>
      <c r="E186" s="337">
        <f t="shared" ref="E186:AA186" si="81">SUM(E183:E184)</f>
        <v>0</v>
      </c>
      <c r="F186" s="337">
        <f t="shared" si="81"/>
        <v>0</v>
      </c>
      <c r="G186" s="337">
        <f t="shared" si="81"/>
        <v>0</v>
      </c>
      <c r="H186" s="337">
        <f t="shared" si="81"/>
        <v>0</v>
      </c>
      <c r="I186" s="337">
        <f t="shared" si="81"/>
        <v>0</v>
      </c>
      <c r="J186" s="337">
        <f t="shared" si="81"/>
        <v>0</v>
      </c>
      <c r="K186" s="337">
        <f t="shared" si="81"/>
        <v>0</v>
      </c>
      <c r="L186" s="337">
        <f t="shared" si="81"/>
        <v>5.8563606499056995</v>
      </c>
      <c r="M186" s="337">
        <f t="shared" si="81"/>
        <v>5.7375490328953092</v>
      </c>
      <c r="N186" s="337">
        <f t="shared" si="81"/>
        <v>5.6338792192909324</v>
      </c>
      <c r="O186" s="337">
        <f t="shared" si="81"/>
        <v>6.6951490136216272</v>
      </c>
      <c r="P186" s="337">
        <f t="shared" si="81"/>
        <v>6.5813000513619357</v>
      </c>
      <c r="Q186" s="337">
        <f t="shared" si="81"/>
        <v>6.4582617686566017</v>
      </c>
      <c r="R186" s="337">
        <f t="shared" si="81"/>
        <v>7.5209504711367714</v>
      </c>
      <c r="S186" s="337">
        <f t="shared" si="81"/>
        <v>7.400010626810765</v>
      </c>
      <c r="T186" s="337">
        <f t="shared" si="81"/>
        <v>7.2711465931994255</v>
      </c>
      <c r="U186" s="337">
        <f t="shared" si="81"/>
        <v>7.1321421222242698</v>
      </c>
      <c r="V186" s="337">
        <f t="shared" si="81"/>
        <v>6.9969457962792099</v>
      </c>
      <c r="W186" s="337">
        <f t="shared" si="81"/>
        <v>6.8648346904154387</v>
      </c>
      <c r="X186" s="337">
        <f t="shared" si="81"/>
        <v>0</v>
      </c>
      <c r="Y186" s="337">
        <f t="shared" si="81"/>
        <v>0</v>
      </c>
      <c r="Z186" s="337">
        <f t="shared" si="81"/>
        <v>0</v>
      </c>
      <c r="AA186" s="338">
        <f t="shared" si="81"/>
        <v>0</v>
      </c>
    </row>
    <row r="187" spans="1:27" s="194" customFormat="1" ht="12.75" customHeight="1" x14ac:dyDescent="0.2">
      <c r="A187" s="342"/>
      <c r="B187" s="217"/>
      <c r="C187" s="217"/>
      <c r="D187" s="295"/>
      <c r="E187" s="295"/>
      <c r="F187" s="295"/>
      <c r="G187" s="295"/>
      <c r="H187" s="295"/>
      <c r="I187" s="295"/>
      <c r="J187" s="295"/>
      <c r="K187" s="295"/>
      <c r="L187" s="295"/>
      <c r="M187" s="295"/>
      <c r="N187" s="295"/>
      <c r="O187" s="295"/>
      <c r="P187" s="295"/>
      <c r="Q187" s="295"/>
      <c r="R187" s="295"/>
      <c r="S187" s="295"/>
      <c r="T187" s="295"/>
      <c r="U187" s="295"/>
      <c r="V187" s="295"/>
      <c r="W187" s="295"/>
      <c r="X187" s="295"/>
      <c r="Y187" s="295"/>
      <c r="Z187" s="295"/>
      <c r="AA187" s="295"/>
    </row>
    <row r="188" spans="1:27" ht="12.75" customHeight="1" x14ac:dyDescent="0.2">
      <c r="A188" s="263" t="s">
        <v>207</v>
      </c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  <c r="AA188" s="276"/>
    </row>
    <row r="189" spans="1:27" s="194" customFormat="1" ht="12.75" customHeight="1" x14ac:dyDescent="0.2">
      <c r="A189" s="493" t="s">
        <v>208</v>
      </c>
      <c r="B189" s="350">
        <f>+NPV('Common Assumpt'!$F$56,Elba!E189:AA189)</f>
        <v>48643.788365698056</v>
      </c>
      <c r="C189" s="490"/>
      <c r="D189" s="491">
        <f>D$156*1000</f>
        <v>0</v>
      </c>
      <c r="E189" s="491">
        <f t="shared" ref="E189:AA189" si="82">E$156*1000</f>
        <v>0</v>
      </c>
      <c r="F189" s="491">
        <f t="shared" si="82"/>
        <v>0</v>
      </c>
      <c r="G189" s="491">
        <f t="shared" si="82"/>
        <v>22286.654705142602</v>
      </c>
      <c r="H189" s="491">
        <f t="shared" si="82"/>
        <v>21523.416324528898</v>
      </c>
      <c r="I189" s="491">
        <f t="shared" si="82"/>
        <v>20765.986761320415</v>
      </c>
      <c r="J189" s="491">
        <f t="shared" si="82"/>
        <v>19386.329972284631</v>
      </c>
      <c r="K189" s="491">
        <f t="shared" si="82"/>
        <v>18648.360387740406</v>
      </c>
      <c r="L189" s="491">
        <f t="shared" si="82"/>
        <v>0</v>
      </c>
      <c r="M189" s="491">
        <f t="shared" si="82"/>
        <v>0</v>
      </c>
      <c r="N189" s="491">
        <f t="shared" si="82"/>
        <v>0</v>
      </c>
      <c r="O189" s="491">
        <f t="shared" si="82"/>
        <v>0</v>
      </c>
      <c r="P189" s="491">
        <f t="shared" si="82"/>
        <v>0</v>
      </c>
      <c r="Q189" s="491">
        <f t="shared" si="82"/>
        <v>0</v>
      </c>
      <c r="R189" s="491">
        <f t="shared" si="82"/>
        <v>0</v>
      </c>
      <c r="S189" s="491">
        <f t="shared" si="82"/>
        <v>0</v>
      </c>
      <c r="T189" s="491">
        <f t="shared" si="82"/>
        <v>0</v>
      </c>
      <c r="U189" s="491">
        <f t="shared" si="82"/>
        <v>0</v>
      </c>
      <c r="V189" s="491">
        <f t="shared" si="82"/>
        <v>0</v>
      </c>
      <c r="W189" s="491">
        <f t="shared" si="82"/>
        <v>0</v>
      </c>
      <c r="X189" s="491">
        <f t="shared" si="82"/>
        <v>0</v>
      </c>
      <c r="Y189" s="491">
        <f t="shared" si="82"/>
        <v>0</v>
      </c>
      <c r="Z189" s="491">
        <f t="shared" si="82"/>
        <v>0</v>
      </c>
      <c r="AA189" s="492">
        <f t="shared" si="82"/>
        <v>0</v>
      </c>
    </row>
    <row r="190" spans="1:27" s="205" customFormat="1" ht="12.75" customHeight="1" x14ac:dyDescent="0.2">
      <c r="A190" s="544" t="s">
        <v>209</v>
      </c>
      <c r="B190" s="350">
        <f>+NPV('Common Assumpt'!$F$56,Elba!E190:AA190)</f>
        <v>-38850.198039716386</v>
      </c>
      <c r="C190" s="350"/>
      <c r="D190" s="454">
        <f>-D$58*1000</f>
        <v>0</v>
      </c>
      <c r="E190" s="454">
        <f t="shared" ref="E190:AA190" si="83">-E$58*1000</f>
        <v>0</v>
      </c>
      <c r="F190" s="454">
        <f t="shared" si="83"/>
        <v>0</v>
      </c>
      <c r="G190" s="454">
        <f t="shared" si="83"/>
        <v>-16674.442864086865</v>
      </c>
      <c r="H190" s="454">
        <f t="shared" si="83"/>
        <v>-16654.83280741829</v>
      </c>
      <c r="I190" s="454">
        <f t="shared" si="83"/>
        <v>-16636.320799465466</v>
      </c>
      <c r="J190" s="454">
        <f t="shared" si="83"/>
        <v>-16543.684279312572</v>
      </c>
      <c r="K190" s="454">
        <f t="shared" si="83"/>
        <v>-16548.658471186689</v>
      </c>
      <c r="L190" s="454">
        <f t="shared" si="83"/>
        <v>0</v>
      </c>
      <c r="M190" s="454">
        <f t="shared" si="83"/>
        <v>0</v>
      </c>
      <c r="N190" s="454">
        <f t="shared" si="83"/>
        <v>0</v>
      </c>
      <c r="O190" s="454">
        <f t="shared" si="83"/>
        <v>0</v>
      </c>
      <c r="P190" s="454">
        <f t="shared" si="83"/>
        <v>0</v>
      </c>
      <c r="Q190" s="454">
        <f t="shared" si="83"/>
        <v>0</v>
      </c>
      <c r="R190" s="454">
        <f t="shared" si="83"/>
        <v>0</v>
      </c>
      <c r="S190" s="454">
        <f t="shared" si="83"/>
        <v>0</v>
      </c>
      <c r="T190" s="454">
        <f t="shared" si="83"/>
        <v>0</v>
      </c>
      <c r="U190" s="454">
        <f t="shared" si="83"/>
        <v>0</v>
      </c>
      <c r="V190" s="454">
        <f t="shared" si="83"/>
        <v>0</v>
      </c>
      <c r="W190" s="454">
        <f t="shared" si="83"/>
        <v>0</v>
      </c>
      <c r="X190" s="454">
        <f t="shared" si="83"/>
        <v>0</v>
      </c>
      <c r="Y190" s="454">
        <f t="shared" si="83"/>
        <v>0</v>
      </c>
      <c r="Z190" s="454">
        <f t="shared" si="83"/>
        <v>0</v>
      </c>
      <c r="AA190" s="545">
        <f t="shared" si="83"/>
        <v>0</v>
      </c>
    </row>
    <row r="191" spans="1:27" s="194" customFormat="1" ht="12.75" customHeight="1" x14ac:dyDescent="0.2">
      <c r="A191" s="452"/>
      <c r="B191" s="350"/>
      <c r="C191" s="350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453"/>
    </row>
    <row r="192" spans="1:27" x14ac:dyDescent="0.2">
      <c r="A192" s="452" t="s">
        <v>146</v>
      </c>
      <c r="B192" s="350">
        <f>+NPV('Common Assumpt'!$F$56,Elba!E192:AA192)</f>
        <v>0</v>
      </c>
      <c r="C192" s="350"/>
      <c r="D192" s="197">
        <f t="shared" ref="D192:J192" si="84">-D170*1000</f>
        <v>0</v>
      </c>
      <c r="E192" s="197">
        <f t="shared" si="84"/>
        <v>0</v>
      </c>
      <c r="F192" s="197">
        <f t="shared" si="84"/>
        <v>0</v>
      </c>
      <c r="G192" s="197">
        <f t="shared" si="84"/>
        <v>0</v>
      </c>
      <c r="H192" s="197">
        <f t="shared" si="84"/>
        <v>0</v>
      </c>
      <c r="I192" s="197">
        <f t="shared" si="84"/>
        <v>0</v>
      </c>
      <c r="J192" s="197">
        <f t="shared" si="84"/>
        <v>0</v>
      </c>
      <c r="K192" s="454">
        <f>-K170*1000-NPV('Common Assumpt'!$F$56,L170:AA170)*1000</f>
        <v>0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453"/>
    </row>
    <row r="193" spans="1:27" x14ac:dyDescent="0.2">
      <c r="A193" s="452"/>
      <c r="B193" s="350"/>
      <c r="C193" s="350"/>
      <c r="D193" s="197"/>
      <c r="E193" s="197"/>
      <c r="F193" s="197"/>
      <c r="G193" s="197"/>
      <c r="H193" s="197"/>
      <c r="I193" s="197"/>
      <c r="J193" s="197"/>
      <c r="K193" s="454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453"/>
    </row>
    <row r="194" spans="1:27" x14ac:dyDescent="0.2">
      <c r="A194" s="452" t="s">
        <v>205</v>
      </c>
      <c r="B194" s="350">
        <f>+NPV('Common Assumpt'!$F$56,Elba!E194:AA194)</f>
        <v>-21234.530315739044</v>
      </c>
      <c r="C194" s="350"/>
      <c r="D194" s="197">
        <f t="shared" ref="D194:J194" si="85">-D179*1000</f>
        <v>0</v>
      </c>
      <c r="E194" s="197">
        <f t="shared" si="85"/>
        <v>0</v>
      </c>
      <c r="F194" s="197">
        <f t="shared" si="85"/>
        <v>0</v>
      </c>
      <c r="G194" s="197">
        <f t="shared" si="85"/>
        <v>0</v>
      </c>
      <c r="H194" s="197">
        <f t="shared" si="85"/>
        <v>0</v>
      </c>
      <c r="I194" s="197">
        <f t="shared" si="85"/>
        <v>0</v>
      </c>
      <c r="J194" s="197">
        <f t="shared" si="85"/>
        <v>0</v>
      </c>
      <c r="K194" s="454">
        <f>-K179*1000-NPV('Common Assumpt'!$F$56,L179:AA179)*1000</f>
        <v>-63729.966698555436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453"/>
    </row>
    <row r="195" spans="1:27" x14ac:dyDescent="0.2">
      <c r="A195" s="452"/>
      <c r="B195" s="350"/>
      <c r="C195" s="350"/>
      <c r="D195" s="197"/>
      <c r="E195" s="197"/>
      <c r="F195" s="197"/>
      <c r="G195" s="197"/>
      <c r="H195" s="197"/>
      <c r="I195" s="197"/>
      <c r="J195" s="197"/>
      <c r="K195" s="454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453"/>
    </row>
    <row r="196" spans="1:27" x14ac:dyDescent="0.2">
      <c r="A196" s="452" t="s">
        <v>206</v>
      </c>
      <c r="B196" s="350">
        <f>+NPV('Common Assumpt'!$F$56,Elba!E196:AA196)</f>
        <v>39267.204084990008</v>
      </c>
      <c r="C196" s="350"/>
      <c r="D196" s="197">
        <f>D$157*1000</f>
        <v>0</v>
      </c>
      <c r="E196" s="197">
        <f t="shared" ref="E196:AA196" si="86">E$157*1000</f>
        <v>0</v>
      </c>
      <c r="F196" s="197">
        <f t="shared" si="86"/>
        <v>0</v>
      </c>
      <c r="G196" s="197">
        <f t="shared" si="86"/>
        <v>0</v>
      </c>
      <c r="H196" s="197">
        <f t="shared" si="86"/>
        <v>0</v>
      </c>
      <c r="I196" s="197">
        <f t="shared" si="86"/>
        <v>0</v>
      </c>
      <c r="J196" s="197">
        <f t="shared" si="86"/>
        <v>0</v>
      </c>
      <c r="K196" s="454">
        <f t="shared" si="86"/>
        <v>0</v>
      </c>
      <c r="L196" s="197">
        <f t="shared" si="86"/>
        <v>22187.966756945934</v>
      </c>
      <c r="M196" s="197">
        <f t="shared" si="86"/>
        <v>22243.958587671459</v>
      </c>
      <c r="N196" s="197">
        <f t="shared" si="86"/>
        <v>22271.489854025163</v>
      </c>
      <c r="O196" s="197">
        <f t="shared" si="86"/>
        <v>23780.996057181859</v>
      </c>
      <c r="P196" s="197">
        <f t="shared" si="86"/>
        <v>23837.549278398754</v>
      </c>
      <c r="Q196" s="197">
        <f t="shared" si="86"/>
        <v>23910.75124428888</v>
      </c>
      <c r="R196" s="197">
        <f t="shared" si="86"/>
        <v>25452.994933258742</v>
      </c>
      <c r="S196" s="197">
        <f t="shared" si="86"/>
        <v>25525.334097794457</v>
      </c>
      <c r="T196" s="197">
        <f t="shared" si="86"/>
        <v>25608.145675292599</v>
      </c>
      <c r="U196" s="197">
        <f t="shared" si="86"/>
        <v>25704.837612946478</v>
      </c>
      <c r="V196" s="197">
        <f t="shared" si="86"/>
        <v>25788.713460871499</v>
      </c>
      <c r="W196" s="197">
        <f t="shared" si="86"/>
        <v>25861.943355236352</v>
      </c>
      <c r="X196" s="197">
        <f t="shared" si="86"/>
        <v>0</v>
      </c>
      <c r="Y196" s="197">
        <f t="shared" si="86"/>
        <v>0</v>
      </c>
      <c r="Z196" s="197">
        <f t="shared" si="86"/>
        <v>0</v>
      </c>
      <c r="AA196" s="453">
        <f t="shared" si="86"/>
        <v>0</v>
      </c>
    </row>
    <row r="197" spans="1:27" s="194" customFormat="1" x14ac:dyDescent="0.2">
      <c r="A197" s="452" t="s">
        <v>145</v>
      </c>
      <c r="B197" s="350">
        <f>+NPV('Common Assumpt'!$F$56,Elba!E197:AA197)</f>
        <v>-28617.916646613528</v>
      </c>
      <c r="C197" s="350"/>
      <c r="D197" s="197">
        <f>-D65*1000</f>
        <v>0</v>
      </c>
      <c r="E197" s="197">
        <f t="shared" ref="E197:AA197" si="87">-E65*1000</f>
        <v>0</v>
      </c>
      <c r="F197" s="197">
        <f t="shared" si="87"/>
        <v>0</v>
      </c>
      <c r="G197" s="197">
        <f t="shared" si="87"/>
        <v>0</v>
      </c>
      <c r="H197" s="197">
        <f t="shared" si="87"/>
        <v>0</v>
      </c>
      <c r="I197" s="197">
        <f t="shared" si="87"/>
        <v>0</v>
      </c>
      <c r="J197" s="197">
        <f t="shared" si="87"/>
        <v>0</v>
      </c>
      <c r="K197" s="454">
        <f t="shared" si="87"/>
        <v>0</v>
      </c>
      <c r="L197" s="197">
        <f t="shared" si="87"/>
        <v>-16331.606107040234</v>
      </c>
      <c r="M197" s="197">
        <f t="shared" si="87"/>
        <v>-16506.40955477615</v>
      </c>
      <c r="N197" s="197">
        <f t="shared" si="87"/>
        <v>-16637.610634734228</v>
      </c>
      <c r="O197" s="197">
        <f t="shared" si="87"/>
        <v>-17085.847043560232</v>
      </c>
      <c r="P197" s="197">
        <f t="shared" si="87"/>
        <v>-17256.249227036817</v>
      </c>
      <c r="Q197" s="197">
        <f t="shared" si="87"/>
        <v>-17452.489475632279</v>
      </c>
      <c r="R197" s="197">
        <f t="shared" si="87"/>
        <v>-17932.044462121972</v>
      </c>
      <c r="S197" s="197">
        <f t="shared" si="87"/>
        <v>-18125.323470983691</v>
      </c>
      <c r="T197" s="197">
        <f t="shared" si="87"/>
        <v>-18336.999082093171</v>
      </c>
      <c r="U197" s="197">
        <f t="shared" si="87"/>
        <v>-18572.695490722206</v>
      </c>
      <c r="V197" s="197">
        <f t="shared" si="87"/>
        <v>-18791.767664592287</v>
      </c>
      <c r="W197" s="197">
        <f t="shared" si="87"/>
        <v>-18997.108664820913</v>
      </c>
      <c r="X197" s="197">
        <f t="shared" si="87"/>
        <v>0</v>
      </c>
      <c r="Y197" s="197">
        <f t="shared" si="87"/>
        <v>0</v>
      </c>
      <c r="Z197" s="197">
        <f t="shared" si="87"/>
        <v>0</v>
      </c>
      <c r="AA197" s="453">
        <f t="shared" si="87"/>
        <v>0</v>
      </c>
    </row>
    <row r="198" spans="1:27" ht="13.5" thickBot="1" x14ac:dyDescent="0.25"/>
    <row r="199" spans="1:27" s="566" customFormat="1" x14ac:dyDescent="0.2"/>
    <row r="200" spans="1:27" x14ac:dyDescent="0.2">
      <c r="A200" t="s">
        <v>273</v>
      </c>
      <c r="B200" s="350">
        <f>+NPV('Common Assumpt'!$F$56,Elba!E200:AA200)</f>
        <v>87910.992450688078</v>
      </c>
      <c r="D200" s="349">
        <f>+D189+IF(OR(IF(switch=0,RAROC!$D$87,RAROC!$E$87)=1,IF(switch=0,RAROC!$D$87,RAROC!$E$87)=2),0,Elba!D$196)</f>
        <v>0</v>
      </c>
      <c r="E200" s="349">
        <f>+E189+IF(OR(IF(switch=0,RAROC!$D$87,RAROC!$E$87)=1,IF(switch=0,RAROC!$D$87,RAROC!$E$87)=2),0,Elba!E$196)</f>
        <v>0</v>
      </c>
      <c r="F200" s="349">
        <f>+F189+IF(OR(IF(switch=0,RAROC!$D$87,RAROC!$E$87)=1,IF(switch=0,RAROC!$D$87,RAROC!$E$87)=2),0,Elba!F$196)</f>
        <v>0</v>
      </c>
      <c r="G200" s="349">
        <f>+G189+IF(OR(IF(switch=0,RAROC!$D$87,RAROC!$E$87)=1,IF(switch=0,RAROC!$D$87,RAROC!$E$87)=2),0,Elba!G$196)</f>
        <v>22286.654705142602</v>
      </c>
      <c r="H200" s="349">
        <f>+H189+IF(OR(IF(switch=0,RAROC!$D$87,RAROC!$E$87)=1,IF(switch=0,RAROC!$D$87,RAROC!$E$87)=2),0,Elba!H$196)</f>
        <v>21523.416324528898</v>
      </c>
      <c r="I200" s="349">
        <f>+I189+IF(OR(IF(switch=0,RAROC!$D$87,RAROC!$E$87)=1,IF(switch=0,RAROC!$D$87,RAROC!$E$87)=2),0,Elba!I$196)</f>
        <v>20765.986761320415</v>
      </c>
      <c r="J200" s="349">
        <f>+J189+IF(OR(IF(switch=0,RAROC!$D$87,RAROC!$E$87)=1,IF(switch=0,RAROC!$D$87,RAROC!$E$87)=2),0,Elba!J$196)</f>
        <v>19386.329972284631</v>
      </c>
      <c r="K200" s="349">
        <f>+K189+IF(OR(IF(switch=0,RAROC!$D$87,RAROC!$E$87)=1,IF(switch=0,RAROC!$D$87,RAROC!$E$87)=2),0,Elba!K$196)</f>
        <v>18648.360387740406</v>
      </c>
      <c r="L200" s="349">
        <f>+L189+IF(OR(IF(switch=0,RAROC!$D$87,RAROC!$E$87)=1,IF(switch=0,RAROC!$D$87,RAROC!$E$87)=2),0,Elba!L$196)</f>
        <v>22187.966756945934</v>
      </c>
      <c r="M200" s="349">
        <f>+M189+IF(OR(IF(switch=0,RAROC!$D$87,RAROC!$E$87)=1,IF(switch=0,RAROC!$D$87,RAROC!$E$87)=2),0,Elba!M$196)</f>
        <v>22243.958587671459</v>
      </c>
      <c r="N200" s="349">
        <f>+N189+IF(OR(IF(switch=0,RAROC!$D$87,RAROC!$E$87)=1,IF(switch=0,RAROC!$D$87,RAROC!$E$87)=2),0,Elba!N$196)</f>
        <v>22271.489854025163</v>
      </c>
      <c r="O200" s="349">
        <f>+O189+IF(OR(IF(switch=0,RAROC!$D$87,RAROC!$E$87)=1,IF(switch=0,RAROC!$D$87,RAROC!$E$87)=2),0,Elba!O$196)</f>
        <v>23780.996057181859</v>
      </c>
      <c r="P200" s="349">
        <f>+P189+IF(OR(IF(switch=0,RAROC!$D$87,RAROC!$E$87)=1,IF(switch=0,RAROC!$D$87,RAROC!$E$87)=2),0,Elba!P$196)</f>
        <v>23837.549278398754</v>
      </c>
      <c r="Q200" s="349">
        <f>+Q189+IF(OR(IF(switch=0,RAROC!$D$87,RAROC!$E$87)=1,IF(switch=0,RAROC!$D$87,RAROC!$E$87)=2),0,Elba!Q$196)</f>
        <v>23910.75124428888</v>
      </c>
      <c r="R200" s="349">
        <f>+R189+IF(OR(IF(switch=0,RAROC!$D$87,RAROC!$E$87)=1,IF(switch=0,RAROC!$D$87,RAROC!$E$87)=2),0,Elba!R$196)</f>
        <v>25452.994933258742</v>
      </c>
      <c r="S200" s="349">
        <f>+S189+IF(OR(IF(switch=0,RAROC!$D$87,RAROC!$E$87)=1,IF(switch=0,RAROC!$D$87,RAROC!$E$87)=2),0,Elba!S$196)</f>
        <v>25525.334097794457</v>
      </c>
      <c r="T200" s="349">
        <f>+T189+IF(OR(IF(switch=0,RAROC!$D$87,RAROC!$E$87)=1,IF(switch=0,RAROC!$D$87,RAROC!$E$87)=2),0,Elba!T$196)</f>
        <v>25608.145675292599</v>
      </c>
      <c r="U200" s="349">
        <f>+U189+IF(OR(IF(switch=0,RAROC!$D$87,RAROC!$E$87)=1,IF(switch=0,RAROC!$D$87,RAROC!$E$87)=2),0,Elba!U$196)</f>
        <v>25704.837612946478</v>
      </c>
      <c r="V200" s="349">
        <f>+V189+IF(OR(IF(switch=0,RAROC!$D$87,RAROC!$E$87)=1,IF(switch=0,RAROC!$D$87,RAROC!$E$87)=2),0,Elba!V$196)</f>
        <v>25788.713460871499</v>
      </c>
      <c r="W200" s="349">
        <f>+W189+IF(OR(IF(switch=0,RAROC!$D$87,RAROC!$E$87)=1,IF(switch=0,RAROC!$D$87,RAROC!$E$87)=2),0,Elba!W$196)</f>
        <v>25861.943355236352</v>
      </c>
      <c r="X200" s="349">
        <f>+X189+IF(OR(IF(switch=0,RAROC!$D$87,RAROC!$E$87)=1,IF(switch=0,RAROC!$D$87,RAROC!$E$87)=2),0,Elba!X$196)</f>
        <v>0</v>
      </c>
      <c r="Y200" s="349">
        <f>+Y189+IF(OR(IF(switch=0,RAROC!$D$87,RAROC!$E$87)=1,IF(switch=0,RAROC!$D$87,RAROC!$E$87)=2),0,Elba!Y$196)</f>
        <v>0</v>
      </c>
      <c r="Z200" s="349">
        <f>+Z189+IF(OR(IF(switch=0,RAROC!$D$87,RAROC!$E$87)=1,IF(switch=0,RAROC!$D$87,RAROC!$E$87)=2),0,Elba!Z$196)</f>
        <v>0</v>
      </c>
      <c r="AA200" s="349">
        <f>+AA189+IF(OR(IF(switch=0,RAROC!$D$87,RAROC!$E$87)=1,IF(switch=0,RAROC!$D$87,RAROC!$E$87)=2),0,Elba!AA$196)</f>
        <v>0</v>
      </c>
    </row>
    <row r="201" spans="1:27" x14ac:dyDescent="0.2">
      <c r="A201" t="s">
        <v>274</v>
      </c>
      <c r="B201" s="350">
        <f>+NPV('Common Assumpt'!$F$56,Elba!E201:AA201)</f>
        <v>-38850.198039716386</v>
      </c>
      <c r="D201" s="349">
        <f>+D190+IF(IF(switch=0,RAROC!$D$87,RAROC!$E$87)=1,D$192,0)+IF(IF(switch=0,RAROC!$D$87,RAROC!$E$87)=2,D$194,0)+IF(IF(switch=0,RAROC!$D$87,RAROC!$E$87)=3,D$197,0)</f>
        <v>0</v>
      </c>
      <c r="E201" s="349">
        <f>+E190+IF(IF(switch=0,RAROC!$D$87,RAROC!$E$87)=1,E$192,0)+IF(IF(switch=0,RAROC!$D$87,RAROC!$E$87)=2,E$194,0)+IF(IF(switch=0,RAROC!$D$87,RAROC!$E$87)=3,E$197,0)</f>
        <v>0</v>
      </c>
      <c r="F201" s="349">
        <f>+F190+IF(IF(switch=0,RAROC!$D$87,RAROC!$E$87)=1,F$192,0)+IF(IF(switch=0,RAROC!$D$87,RAROC!$E$87)=2,F$194,0)+IF(IF(switch=0,RAROC!$D$87,RAROC!$E$87)=3,F$197,0)</f>
        <v>0</v>
      </c>
      <c r="G201" s="349">
        <f>+G190+IF(IF(switch=0,RAROC!$D$87,RAROC!$E$87)=1,G$192,0)+IF(IF(switch=0,RAROC!$D$87,RAROC!$E$87)=2,G$194,0)+IF(IF(switch=0,RAROC!$D$87,RAROC!$E$87)=3,G$197,0)</f>
        <v>-16674.442864086865</v>
      </c>
      <c r="H201" s="349">
        <f>+H190+IF(IF(switch=0,RAROC!$D$87,RAROC!$E$87)=1,H$192,0)+IF(IF(switch=0,RAROC!$D$87,RAROC!$E$87)=2,H$194,0)+IF(IF(switch=0,RAROC!$D$87,RAROC!$E$87)=3,H$197,0)</f>
        <v>-16654.83280741829</v>
      </c>
      <c r="I201" s="349">
        <f>+I190+IF(IF(switch=0,RAROC!$D$87,RAROC!$E$87)=1,I$192,0)+IF(IF(switch=0,RAROC!$D$87,RAROC!$E$87)=2,I$194,0)+IF(IF(switch=0,RAROC!$D$87,RAROC!$E$87)=3,I$197,0)</f>
        <v>-16636.320799465466</v>
      </c>
      <c r="J201" s="349">
        <f>+J190+IF(IF(switch=0,RAROC!$D$87,RAROC!$E$87)=1,J$192,0)+IF(IF(switch=0,RAROC!$D$87,RAROC!$E$87)=2,J$194,0)+IF(IF(switch=0,RAROC!$D$87,RAROC!$E$87)=3,J$197,0)</f>
        <v>-16543.684279312572</v>
      </c>
      <c r="K201" s="349">
        <f>+K190+IF(IF(switch=0,RAROC!$D$87,RAROC!$E$87)=1,K$192,0)+IF(IF(switch=0,RAROC!$D$87,RAROC!$E$87)=2,K$194,0)+IF(IF(switch=0,RAROC!$D$87,RAROC!$E$87)=3,K$197,0)</f>
        <v>-16548.658471186689</v>
      </c>
      <c r="L201" s="349">
        <f>+L190+IF(IF(switch=0,RAROC!$D$87,RAROC!$E$87)=1,L$192,0)+IF(IF(switch=0,RAROC!$D$87,RAROC!$E$87)=2,L$194,0)+IF(IF(switch=0,RAROC!$D$87,RAROC!$E$87)=3,L$197,0)</f>
        <v>0</v>
      </c>
      <c r="M201" s="349">
        <f>+M190+IF(IF(switch=0,RAROC!$D$87,RAROC!$E$87)=1,M$192,0)+IF(IF(switch=0,RAROC!$D$87,RAROC!$E$87)=2,M$194,0)+IF(IF(switch=0,RAROC!$D$87,RAROC!$E$87)=3,M$197,0)</f>
        <v>0</v>
      </c>
      <c r="N201" s="349">
        <f>+N190+IF(IF(switch=0,RAROC!$D$87,RAROC!$E$87)=1,N$192,0)+IF(IF(switch=0,RAROC!$D$87,RAROC!$E$87)=2,N$194,0)+IF(IF(switch=0,RAROC!$D$87,RAROC!$E$87)=3,N$197,0)</f>
        <v>0</v>
      </c>
      <c r="O201" s="349">
        <f>+O190+IF(IF(switch=0,RAROC!$D$87,RAROC!$E$87)=1,O$192,0)+IF(IF(switch=0,RAROC!$D$87,RAROC!$E$87)=2,O$194,0)+IF(IF(switch=0,RAROC!$D$87,RAROC!$E$87)=3,O$197,0)</f>
        <v>0</v>
      </c>
      <c r="P201" s="349">
        <f>+P190+IF(IF(switch=0,RAROC!$D$87,RAROC!$E$87)=1,P$192,0)+IF(IF(switch=0,RAROC!$D$87,RAROC!$E$87)=2,P$194,0)+IF(IF(switch=0,RAROC!$D$87,RAROC!$E$87)=3,P$197,0)</f>
        <v>0</v>
      </c>
      <c r="Q201" s="349">
        <f>+Q190+IF(IF(switch=0,RAROC!$D$87,RAROC!$E$87)=1,Q$192,0)+IF(IF(switch=0,RAROC!$D$87,RAROC!$E$87)=2,Q$194,0)+IF(IF(switch=0,RAROC!$D$87,RAROC!$E$87)=3,Q$197,0)</f>
        <v>0</v>
      </c>
      <c r="R201" s="349">
        <f>+R190+IF(IF(switch=0,RAROC!$D$87,RAROC!$E$87)=1,R$192,0)+IF(IF(switch=0,RAROC!$D$87,RAROC!$E$87)=2,R$194,0)+IF(IF(switch=0,RAROC!$D$87,RAROC!$E$87)=3,R$197,0)</f>
        <v>0</v>
      </c>
      <c r="S201" s="349">
        <f>+S190+IF(IF(switch=0,RAROC!$D$87,RAROC!$E$87)=1,S$192,0)+IF(IF(switch=0,RAROC!$D$87,RAROC!$E$87)=2,S$194,0)+IF(IF(switch=0,RAROC!$D$87,RAROC!$E$87)=3,S$197,0)</f>
        <v>0</v>
      </c>
      <c r="T201" s="349">
        <f>+T190+IF(IF(switch=0,RAROC!$D$87,RAROC!$E$87)=1,T$192,0)+IF(IF(switch=0,RAROC!$D$87,RAROC!$E$87)=2,T$194,0)+IF(IF(switch=0,RAROC!$D$87,RAROC!$E$87)=3,T$197,0)</f>
        <v>0</v>
      </c>
      <c r="U201" s="349">
        <f>+U190+IF(IF(switch=0,RAROC!$D$87,RAROC!$E$87)=1,U$192,0)+IF(IF(switch=0,RAROC!$D$87,RAROC!$E$87)=2,U$194,0)+IF(IF(switch=0,RAROC!$D$87,RAROC!$E$87)=3,U$197,0)</f>
        <v>0</v>
      </c>
      <c r="V201" s="349">
        <f>+V190+IF(IF(switch=0,RAROC!$D$87,RAROC!$E$87)=1,V$192,0)+IF(IF(switch=0,RAROC!$D$87,RAROC!$E$87)=2,V$194,0)+IF(IF(switch=0,RAROC!$D$87,RAROC!$E$87)=3,V$197,0)</f>
        <v>0</v>
      </c>
      <c r="W201" s="349">
        <f>+W190+IF(IF(switch=0,RAROC!$D$87,RAROC!$E$87)=1,W$192,0)+IF(IF(switch=0,RAROC!$D$87,RAROC!$E$87)=2,W$194,0)+IF(IF(switch=0,RAROC!$D$87,RAROC!$E$87)=3,W$197,0)</f>
        <v>0</v>
      </c>
      <c r="X201" s="349">
        <f>+X190+IF(IF(switch=0,RAROC!$D$87,RAROC!$E$87)=1,X$192,0)+IF(IF(switch=0,RAROC!$D$87,RAROC!$E$87)=2,X$194,0)+IF(IF(switch=0,RAROC!$D$87,RAROC!$E$87)=3,X$197,0)</f>
        <v>0</v>
      </c>
      <c r="Y201" s="349">
        <f>+Y190+IF(IF(switch=0,RAROC!$D$87,RAROC!$E$87)=1,Y$192,0)+IF(IF(switch=0,RAROC!$D$87,RAROC!$E$87)=2,Y$194,0)+IF(IF(switch=0,RAROC!$D$87,RAROC!$E$87)=3,Y$197,0)</f>
        <v>0</v>
      </c>
      <c r="Z201" s="349">
        <f>+Z190+IF(IF(switch=0,RAROC!$D$87,RAROC!$E$87)=1,Z$192,0)+IF(IF(switch=0,RAROC!$D$87,RAROC!$E$87)=2,Z$194,0)+IF(IF(switch=0,RAROC!$D$87,RAROC!$E$87)=3,Z$197,0)</f>
        <v>0</v>
      </c>
      <c r="AA201" s="349">
        <f>+AA190+IF(IF(switch=0,RAROC!$D$87,RAROC!$E$87)=1,AA$192,0)+IF(IF(switch=0,RAROC!$D$87,RAROC!$E$87)=2,AA$194,0)+IF(IF(switch=0,RAROC!$D$87,RAROC!$E$87)=3,AA$197,0)</f>
        <v>0</v>
      </c>
    </row>
    <row r="203" spans="1:27" x14ac:dyDescent="0.2">
      <c r="D203" s="516">
        <v>0</v>
      </c>
      <c r="E203" s="516">
        <f>(1-RAROC!L$6)</f>
        <v>8.0000000000000071E-3</v>
      </c>
      <c r="F203" s="516">
        <f>(1-RAROC!M$6)</f>
        <v>1.0000000000000009E-2</v>
      </c>
      <c r="G203" s="516">
        <f>(1-RAROC!N$6)</f>
        <v>8.0000000000000071E-3</v>
      </c>
      <c r="H203" s="516">
        <f>(1-RAROC!O$6)</f>
        <v>1.2000000000000011E-2</v>
      </c>
      <c r="I203" s="516">
        <f>(1-RAROC!P$6)</f>
        <v>1.9000000000000017E-2</v>
      </c>
      <c r="J203" s="516">
        <f>(1-RAROC!Q$6)</f>
        <v>1.4000000000000012E-2</v>
      </c>
      <c r="K203" s="516">
        <f>(1-RAROC!R$6)</f>
        <v>2.0000000000000018E-2</v>
      </c>
      <c r="L203" s="516">
        <f>(1-RAROC!S$6)</f>
        <v>1.5000000000000013E-2</v>
      </c>
      <c r="M203" s="516">
        <f>(1-RAROC!T$6)</f>
        <v>2.4000000000000021E-2</v>
      </c>
      <c r="N203" s="516">
        <f>(1-RAROC!U$6)</f>
        <v>3.3000000000000029E-2</v>
      </c>
      <c r="O203" s="516">
        <f>(1-RAROC!V$6)</f>
        <v>2.1000000000000019E-2</v>
      </c>
      <c r="P203" s="516">
        <f>(1-RAROC!W$6)</f>
        <v>2.7000000000000024E-2</v>
      </c>
      <c r="Q203" s="516">
        <f>(1-RAROC!X$6)</f>
        <v>2.0000000000000018E-2</v>
      </c>
      <c r="R203" s="516">
        <f>(1-RAROC!Y$6)</f>
        <v>1.2000000000000011E-2</v>
      </c>
      <c r="S203" s="516">
        <f>(1-RAROC!Z$6)</f>
        <v>1.3000000000000012E-2</v>
      </c>
      <c r="T203" s="516">
        <f>(1-RAROC!AA$6)</f>
        <v>1.9000000000000017E-2</v>
      </c>
      <c r="U203" s="516">
        <f>(1-RAROC!AB$6)</f>
        <v>1.6000000000000014E-2</v>
      </c>
      <c r="V203" s="516">
        <f>(1-RAROC!AC$6)</f>
        <v>1.8000000000000016E-2</v>
      </c>
      <c r="W203" s="516">
        <f>(1-RAROC!AD$6)</f>
        <v>1.6000000000000014E-2</v>
      </c>
      <c r="X203" s="516">
        <f>(1-RAROC!AE$6)</f>
        <v>1</v>
      </c>
      <c r="Y203" s="516">
        <f>(1-RAROC!AF$6)</f>
        <v>1</v>
      </c>
      <c r="Z203" s="516">
        <f>(1-RAROC!AG$6)</f>
        <v>1</v>
      </c>
      <c r="AA203" s="516">
        <f>(1-RAROC!AH$6)</f>
        <v>1</v>
      </c>
    </row>
    <row r="204" spans="1:27" x14ac:dyDescent="0.2">
      <c r="A204" t="s">
        <v>410</v>
      </c>
      <c r="B204" s="350">
        <f>+NPV('Common Assumpt'!$F$56,Elba!E204:AA204)</f>
        <v>-659.18958244129988</v>
      </c>
      <c r="D204" s="175">
        <f>-D189*D203</f>
        <v>0</v>
      </c>
      <c r="E204" s="175">
        <f t="shared" ref="E204:AA204" si="88">-E189*E203</f>
        <v>0</v>
      </c>
      <c r="F204" s="175">
        <f t="shared" si="88"/>
        <v>0</v>
      </c>
      <c r="G204" s="175">
        <f t="shared" si="88"/>
        <v>-178.29323764114099</v>
      </c>
      <c r="H204" s="175">
        <f t="shared" si="88"/>
        <v>-258.28099589434703</v>
      </c>
      <c r="I204" s="175">
        <f t="shared" si="88"/>
        <v>-394.55374846508823</v>
      </c>
      <c r="J204" s="175">
        <f t="shared" si="88"/>
        <v>-271.4086196119851</v>
      </c>
      <c r="K204" s="175">
        <f t="shared" si="88"/>
        <v>-372.96720775480844</v>
      </c>
      <c r="L204" s="175">
        <f t="shared" si="88"/>
        <v>0</v>
      </c>
      <c r="M204" s="175">
        <f t="shared" si="88"/>
        <v>0</v>
      </c>
      <c r="N204" s="175">
        <f t="shared" si="88"/>
        <v>0</v>
      </c>
      <c r="O204" s="175">
        <f t="shared" si="88"/>
        <v>0</v>
      </c>
      <c r="P204" s="175">
        <f t="shared" si="88"/>
        <v>0</v>
      </c>
      <c r="Q204" s="175">
        <f t="shared" si="88"/>
        <v>0</v>
      </c>
      <c r="R204" s="175">
        <f t="shared" si="88"/>
        <v>0</v>
      </c>
      <c r="S204" s="175">
        <f t="shared" si="88"/>
        <v>0</v>
      </c>
      <c r="T204" s="175">
        <f t="shared" si="88"/>
        <v>0</v>
      </c>
      <c r="U204" s="175">
        <f t="shared" si="88"/>
        <v>0</v>
      </c>
      <c r="V204" s="175">
        <f t="shared" si="88"/>
        <v>0</v>
      </c>
      <c r="W204" s="175">
        <f t="shared" si="88"/>
        <v>0</v>
      </c>
      <c r="X204" s="175">
        <f t="shared" si="88"/>
        <v>0</v>
      </c>
      <c r="Y204" s="175">
        <f t="shared" si="88"/>
        <v>0</v>
      </c>
      <c r="Z204" s="175">
        <f t="shared" si="88"/>
        <v>0</v>
      </c>
      <c r="AA204" s="175">
        <f t="shared" si="88"/>
        <v>0</v>
      </c>
    </row>
    <row r="205" spans="1:27" x14ac:dyDescent="0.2">
      <c r="A205" s="11" t="s">
        <v>411</v>
      </c>
      <c r="B205" s="350">
        <f>+NPV('Common Assumpt'!$F$56,Elba!E205:AA205)</f>
        <v>-808.1691544404373</v>
      </c>
      <c r="D205" s="175">
        <f>-D196*D203</f>
        <v>0</v>
      </c>
      <c r="E205" s="175">
        <f t="shared" ref="E205:AA205" si="89">-E196*E203</f>
        <v>0</v>
      </c>
      <c r="F205" s="175">
        <f t="shared" si="89"/>
        <v>0</v>
      </c>
      <c r="G205" s="175">
        <f t="shared" si="89"/>
        <v>0</v>
      </c>
      <c r="H205" s="175">
        <f t="shared" si="89"/>
        <v>0</v>
      </c>
      <c r="I205" s="175">
        <f t="shared" si="89"/>
        <v>0</v>
      </c>
      <c r="J205" s="175">
        <f t="shared" si="89"/>
        <v>0</v>
      </c>
      <c r="K205" s="175">
        <f t="shared" si="89"/>
        <v>0</v>
      </c>
      <c r="L205" s="175">
        <f t="shared" si="89"/>
        <v>-332.8195013541893</v>
      </c>
      <c r="M205" s="175">
        <f t="shared" si="89"/>
        <v>-533.85500610411555</v>
      </c>
      <c r="N205" s="175">
        <f t="shared" si="89"/>
        <v>-734.95916518283104</v>
      </c>
      <c r="O205" s="175">
        <f t="shared" si="89"/>
        <v>-499.40091720081949</v>
      </c>
      <c r="P205" s="175">
        <f t="shared" si="89"/>
        <v>-643.61383051676694</v>
      </c>
      <c r="Q205" s="175">
        <f t="shared" si="89"/>
        <v>-478.21502488577801</v>
      </c>
      <c r="R205" s="175">
        <f t="shared" si="89"/>
        <v>-305.43593919910518</v>
      </c>
      <c r="S205" s="175">
        <f t="shared" si="89"/>
        <v>-331.82934327132824</v>
      </c>
      <c r="T205" s="175">
        <f t="shared" si="89"/>
        <v>-486.5547678305598</v>
      </c>
      <c r="U205" s="175">
        <f t="shared" si="89"/>
        <v>-411.27740180714403</v>
      </c>
      <c r="V205" s="175">
        <f t="shared" si="89"/>
        <v>-464.19684229568736</v>
      </c>
      <c r="W205" s="175">
        <f t="shared" si="89"/>
        <v>-413.79109368378198</v>
      </c>
      <c r="X205" s="175">
        <f t="shared" si="89"/>
        <v>0</v>
      </c>
      <c r="Y205" s="175">
        <f t="shared" si="89"/>
        <v>0</v>
      </c>
      <c r="Z205" s="175">
        <f t="shared" si="89"/>
        <v>0</v>
      </c>
      <c r="AA205" s="175">
        <f t="shared" si="89"/>
        <v>0</v>
      </c>
    </row>
    <row r="206" spans="1:27" x14ac:dyDescent="0.2">
      <c r="B206" s="349"/>
    </row>
    <row r="207" spans="1:27" x14ac:dyDescent="0.2">
      <c r="B207" s="349"/>
    </row>
    <row r="208" spans="1:27" s="555" customFormat="1" x14ac:dyDescent="0.2">
      <c r="A208" s="555" t="s">
        <v>131</v>
      </c>
      <c r="B208" s="556">
        <f>+NPV('Common Assumpt'!$F$56,Elba!E208:AA208)</f>
        <v>9134.4007435403655</v>
      </c>
      <c r="D208" s="557">
        <f>+SUM(D189:D190,D204)</f>
        <v>0</v>
      </c>
      <c r="E208" s="557">
        <f t="shared" ref="E208:AA208" si="90">+SUM(E189:E190,E204)</f>
        <v>0</v>
      </c>
      <c r="F208" s="557">
        <f t="shared" si="90"/>
        <v>0</v>
      </c>
      <c r="G208" s="557">
        <f t="shared" si="90"/>
        <v>5433.9186034145969</v>
      </c>
      <c r="H208" s="557">
        <f t="shared" si="90"/>
        <v>4610.3025212162611</v>
      </c>
      <c r="I208" s="557">
        <f t="shared" si="90"/>
        <v>3735.1122133898612</v>
      </c>
      <c r="J208" s="557">
        <f t="shared" si="90"/>
        <v>2571.2370733600737</v>
      </c>
      <c r="K208" s="557">
        <f t="shared" si="90"/>
        <v>1726.7347087989083</v>
      </c>
      <c r="L208" s="557">
        <f t="shared" si="90"/>
        <v>0</v>
      </c>
      <c r="M208" s="557">
        <f t="shared" si="90"/>
        <v>0</v>
      </c>
      <c r="N208" s="557">
        <f t="shared" si="90"/>
        <v>0</v>
      </c>
      <c r="O208" s="557">
        <f t="shared" si="90"/>
        <v>0</v>
      </c>
      <c r="P208" s="557">
        <f t="shared" si="90"/>
        <v>0</v>
      </c>
      <c r="Q208" s="557">
        <f t="shared" si="90"/>
        <v>0</v>
      </c>
      <c r="R208" s="557">
        <f t="shared" si="90"/>
        <v>0</v>
      </c>
      <c r="S208" s="557">
        <f t="shared" si="90"/>
        <v>0</v>
      </c>
      <c r="T208" s="557">
        <f t="shared" si="90"/>
        <v>0</v>
      </c>
      <c r="U208" s="557">
        <f t="shared" si="90"/>
        <v>0</v>
      </c>
      <c r="V208" s="557">
        <f t="shared" si="90"/>
        <v>0</v>
      </c>
      <c r="W208" s="557">
        <f t="shared" si="90"/>
        <v>0</v>
      </c>
      <c r="X208" s="557">
        <f t="shared" si="90"/>
        <v>0</v>
      </c>
      <c r="Y208" s="557">
        <f t="shared" si="90"/>
        <v>0</v>
      </c>
      <c r="Z208" s="557">
        <f t="shared" si="90"/>
        <v>0</v>
      </c>
      <c r="AA208" s="557">
        <f t="shared" si="90"/>
        <v>0</v>
      </c>
    </row>
    <row r="209" spans="1:27" s="555" customFormat="1" x14ac:dyDescent="0.2">
      <c r="A209" s="558" t="s">
        <v>412</v>
      </c>
      <c r="B209" s="556">
        <f>+NPV('Common Assumpt'!$F$56,Elba!E209:AA209)</f>
        <v>0</v>
      </c>
      <c r="C209" s="559">
        <f>+'Common Assumpt'!G59*IF(arb="y",0,1)</f>
        <v>0.2</v>
      </c>
      <c r="D209" s="557">
        <f>+D192</f>
        <v>0</v>
      </c>
      <c r="E209" s="557">
        <f t="shared" ref="E209:AA209" si="91">+E192</f>
        <v>0</v>
      </c>
      <c r="F209" s="557">
        <f t="shared" si="91"/>
        <v>0</v>
      </c>
      <c r="G209" s="557">
        <f t="shared" si="91"/>
        <v>0</v>
      </c>
      <c r="H209" s="557">
        <f t="shared" si="91"/>
        <v>0</v>
      </c>
      <c r="I209" s="557">
        <f t="shared" si="91"/>
        <v>0</v>
      </c>
      <c r="J209" s="557">
        <f t="shared" si="91"/>
        <v>0</v>
      </c>
      <c r="K209" s="557">
        <f t="shared" si="91"/>
        <v>0</v>
      </c>
      <c r="L209" s="557">
        <f t="shared" si="91"/>
        <v>0</v>
      </c>
      <c r="M209" s="557">
        <f t="shared" si="91"/>
        <v>0</v>
      </c>
      <c r="N209" s="557">
        <f t="shared" si="91"/>
        <v>0</v>
      </c>
      <c r="O209" s="557">
        <f t="shared" si="91"/>
        <v>0</v>
      </c>
      <c r="P209" s="557">
        <f t="shared" si="91"/>
        <v>0</v>
      </c>
      <c r="Q209" s="557">
        <f t="shared" si="91"/>
        <v>0</v>
      </c>
      <c r="R209" s="557">
        <f t="shared" si="91"/>
        <v>0</v>
      </c>
      <c r="S209" s="557">
        <f t="shared" si="91"/>
        <v>0</v>
      </c>
      <c r="T209" s="557">
        <f t="shared" si="91"/>
        <v>0</v>
      </c>
      <c r="U209" s="557">
        <f t="shared" si="91"/>
        <v>0</v>
      </c>
      <c r="V209" s="557">
        <f t="shared" si="91"/>
        <v>0</v>
      </c>
      <c r="W209" s="557">
        <f t="shared" si="91"/>
        <v>0</v>
      </c>
      <c r="X209" s="557">
        <f t="shared" si="91"/>
        <v>0</v>
      </c>
      <c r="Y209" s="557">
        <f t="shared" si="91"/>
        <v>0</v>
      </c>
      <c r="Z209" s="557">
        <f t="shared" si="91"/>
        <v>0</v>
      </c>
      <c r="AA209" s="557">
        <f t="shared" si="91"/>
        <v>0</v>
      </c>
    </row>
    <row r="210" spans="1:27" s="555" customFormat="1" x14ac:dyDescent="0.2">
      <c r="A210" s="558" t="s">
        <v>413</v>
      </c>
      <c r="B210" s="556">
        <f>+NPV('Common Assumpt'!$F$56,Elba!E210:AA210)</f>
        <v>-21234.530315739044</v>
      </c>
      <c r="C210" s="559">
        <f>+'Common Assumpt'!G60*IF(arb="y",0,1)</f>
        <v>0.2</v>
      </c>
      <c r="D210" s="557">
        <f>+D194</f>
        <v>0</v>
      </c>
      <c r="E210" s="557">
        <f t="shared" ref="E210:AA210" si="92">+E194</f>
        <v>0</v>
      </c>
      <c r="F210" s="557">
        <f t="shared" si="92"/>
        <v>0</v>
      </c>
      <c r="G210" s="557">
        <f t="shared" si="92"/>
        <v>0</v>
      </c>
      <c r="H210" s="557">
        <f t="shared" si="92"/>
        <v>0</v>
      </c>
      <c r="I210" s="557">
        <f t="shared" si="92"/>
        <v>0</v>
      </c>
      <c r="J210" s="557">
        <f t="shared" si="92"/>
        <v>0</v>
      </c>
      <c r="K210" s="557">
        <f t="shared" si="92"/>
        <v>-63729.966698555436</v>
      </c>
      <c r="L210" s="557">
        <f t="shared" si="92"/>
        <v>0</v>
      </c>
      <c r="M210" s="557">
        <f t="shared" si="92"/>
        <v>0</v>
      </c>
      <c r="N210" s="557">
        <f t="shared" si="92"/>
        <v>0</v>
      </c>
      <c r="O210" s="557">
        <f t="shared" si="92"/>
        <v>0</v>
      </c>
      <c r="P210" s="557">
        <f t="shared" si="92"/>
        <v>0</v>
      </c>
      <c r="Q210" s="557">
        <f t="shared" si="92"/>
        <v>0</v>
      </c>
      <c r="R210" s="557">
        <f t="shared" si="92"/>
        <v>0</v>
      </c>
      <c r="S210" s="557">
        <f t="shared" si="92"/>
        <v>0</v>
      </c>
      <c r="T210" s="557">
        <f t="shared" si="92"/>
        <v>0</v>
      </c>
      <c r="U210" s="557">
        <f t="shared" si="92"/>
        <v>0</v>
      </c>
      <c r="V210" s="557">
        <f t="shared" si="92"/>
        <v>0</v>
      </c>
      <c r="W210" s="557">
        <f t="shared" si="92"/>
        <v>0</v>
      </c>
      <c r="X210" s="557">
        <f t="shared" si="92"/>
        <v>0</v>
      </c>
      <c r="Y210" s="557">
        <f t="shared" si="92"/>
        <v>0</v>
      </c>
      <c r="Z210" s="557">
        <f t="shared" si="92"/>
        <v>0</v>
      </c>
      <c r="AA210" s="557">
        <f t="shared" si="92"/>
        <v>0</v>
      </c>
    </row>
    <row r="211" spans="1:27" s="555" customFormat="1" x14ac:dyDescent="0.2">
      <c r="A211" s="576" t="s">
        <v>414</v>
      </c>
      <c r="B211" s="577">
        <f>+NPV('Common Assumpt'!$F$56,Elba!E211:AA211)</f>
        <v>9841.1182839360335</v>
      </c>
      <c r="C211" s="578">
        <f>+'Common Assumpt'!G61*IF(arb="y",0,1)+IF(arb="y",1,0)</f>
        <v>0.6</v>
      </c>
      <c r="D211" s="557">
        <f>+D196+D205+D197</f>
        <v>0</v>
      </c>
      <c r="E211" s="557">
        <f t="shared" ref="E211:AA211" si="93">+E196+E205+E197</f>
        <v>0</v>
      </c>
      <c r="F211" s="557">
        <f t="shared" si="93"/>
        <v>0</v>
      </c>
      <c r="G211" s="557">
        <f t="shared" si="93"/>
        <v>0</v>
      </c>
      <c r="H211" s="557">
        <f t="shared" si="93"/>
        <v>0</v>
      </c>
      <c r="I211" s="557">
        <f t="shared" si="93"/>
        <v>0</v>
      </c>
      <c r="J211" s="557">
        <f t="shared" si="93"/>
        <v>0</v>
      </c>
      <c r="K211" s="557">
        <f t="shared" si="93"/>
        <v>0</v>
      </c>
      <c r="L211" s="557">
        <f t="shared" si="93"/>
        <v>5523.5411485515124</v>
      </c>
      <c r="M211" s="557">
        <f t="shared" si="93"/>
        <v>5203.6940267911923</v>
      </c>
      <c r="N211" s="557">
        <f t="shared" si="93"/>
        <v>4898.9200541081045</v>
      </c>
      <c r="O211" s="557">
        <f t="shared" si="93"/>
        <v>6195.748096420808</v>
      </c>
      <c r="P211" s="557">
        <f t="shared" si="93"/>
        <v>5937.6862208451712</v>
      </c>
      <c r="Q211" s="557">
        <f t="shared" si="93"/>
        <v>5980.0467437708212</v>
      </c>
      <c r="R211" s="557">
        <f t="shared" si="93"/>
        <v>7215.5145319376643</v>
      </c>
      <c r="S211" s="557">
        <f t="shared" si="93"/>
        <v>7068.1812835394376</v>
      </c>
      <c r="T211" s="557">
        <f t="shared" si="93"/>
        <v>6784.5918253688687</v>
      </c>
      <c r="U211" s="557">
        <f t="shared" si="93"/>
        <v>6720.8647204171284</v>
      </c>
      <c r="V211" s="557">
        <f t="shared" si="93"/>
        <v>6532.7489539835224</v>
      </c>
      <c r="W211" s="557">
        <f t="shared" si="93"/>
        <v>6451.0435967316553</v>
      </c>
      <c r="X211" s="557">
        <f t="shared" si="93"/>
        <v>0</v>
      </c>
      <c r="Y211" s="557">
        <f t="shared" si="93"/>
        <v>0</v>
      </c>
      <c r="Z211" s="557">
        <f t="shared" si="93"/>
        <v>0</v>
      </c>
      <c r="AA211" s="557">
        <f t="shared" si="93"/>
        <v>0</v>
      </c>
    </row>
    <row r="212" spans="1:27" s="555" customFormat="1" x14ac:dyDescent="0.2">
      <c r="A212" s="555" t="s">
        <v>432</v>
      </c>
      <c r="B212" s="560">
        <f>+B208+SUMPRODUCT(B209:B211,C209:C211)</f>
        <v>10792.165650754177</v>
      </c>
    </row>
    <row r="214" spans="1:27" x14ac:dyDescent="0.2">
      <c r="A214" t="s">
        <v>438</v>
      </c>
      <c r="B214" s="579" t="s">
        <v>467</v>
      </c>
      <c r="C214" s="580">
        <v>0.15</v>
      </c>
    </row>
  </sheetData>
  <pageMargins left="0.25" right="0" top="0.25" bottom="0.5" header="0.4" footer="0.4"/>
  <pageSetup scale="43" fitToHeight="2" pageOrder="overThenDown" orientation="landscape" r:id="rId1"/>
  <headerFooter alignWithMargins="0">
    <oddHeader xml:space="preserve">&amp;L &amp;C &amp;R </oddHeader>
    <oddFooter>&amp;L&amp;"Times New Roman,Regular"&amp;F\&amp;A&amp;C&amp;"Times New Roman,Regular"CONFIDENTIAL&amp;R&amp;"Times New Roman,Regular"&amp;P of &amp;N</oddFooter>
  </headerFooter>
  <rowBreaks count="2" manualBreakCount="2">
    <brk id="74" max="26" man="1"/>
    <brk id="140" max="26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519"/>
  <sheetViews>
    <sheetView zoomScale="75" workbookViewId="0"/>
  </sheetViews>
  <sheetFormatPr defaultColWidth="8" defaultRowHeight="10.5" x14ac:dyDescent="0.15"/>
  <cols>
    <col min="1" max="1" width="12.7109375" style="20" customWidth="1"/>
    <col min="2" max="2" width="5.5703125" style="20" customWidth="1"/>
    <col min="3" max="3" width="9" style="20" customWidth="1"/>
    <col min="4" max="6" width="10.140625" style="20" customWidth="1"/>
    <col min="7" max="8" width="9.140625" style="20" customWidth="1"/>
    <col min="9" max="11" width="10.140625" style="20" customWidth="1"/>
    <col min="12" max="12" width="8" style="20" customWidth="1"/>
    <col min="13" max="13" width="9.140625" style="20" customWidth="1"/>
    <col min="14" max="14" width="8" style="20" customWidth="1"/>
    <col min="15" max="15" width="8.42578125" style="20" customWidth="1"/>
    <col min="16" max="16" width="4.42578125" style="20" customWidth="1"/>
    <col min="17" max="17" width="11.28515625" style="20" customWidth="1"/>
    <col min="18" max="37" width="7" style="20" customWidth="1"/>
    <col min="38" max="38" width="6.7109375" style="20" bestFit="1" customWidth="1"/>
    <col min="39" max="39" width="6.85546875" style="20" bestFit="1" customWidth="1"/>
    <col min="40" max="41" width="7" style="20" bestFit="1" customWidth="1"/>
    <col min="42" max="43" width="6.7109375" style="20" bestFit="1" customWidth="1"/>
    <col min="44" max="16384" width="8" style="20"/>
  </cols>
  <sheetData>
    <row r="1" spans="1:45" ht="19.5" x14ac:dyDescent="0.35">
      <c r="A1" s="19" t="s">
        <v>15</v>
      </c>
      <c r="AO1" s="21"/>
      <c r="AP1" s="21"/>
      <c r="AQ1" s="21"/>
      <c r="AR1" s="21"/>
      <c r="AS1" s="21"/>
    </row>
    <row r="2" spans="1:45" x14ac:dyDescent="0.15">
      <c r="I2" s="21"/>
      <c r="J2" s="21"/>
      <c r="K2" s="21"/>
      <c r="L2" s="21"/>
      <c r="M2" s="21"/>
      <c r="N2" s="21"/>
      <c r="AO2" s="21"/>
      <c r="AP2" s="21"/>
      <c r="AQ2" s="21"/>
      <c r="AR2" s="21"/>
      <c r="AS2" s="21"/>
    </row>
    <row r="3" spans="1:45" x14ac:dyDescent="0.15">
      <c r="B3" s="21"/>
      <c r="C3" s="22" t="s">
        <v>16</v>
      </c>
      <c r="D3" s="23"/>
      <c r="E3" s="23"/>
      <c r="F3" s="24">
        <v>0</v>
      </c>
      <c r="G3" s="21"/>
      <c r="H3" s="21"/>
      <c r="I3" s="21"/>
      <c r="J3" s="21"/>
      <c r="K3" s="21"/>
      <c r="L3" s="21"/>
      <c r="M3" s="21"/>
      <c r="N3" s="21"/>
      <c r="O3" s="21"/>
      <c r="AO3" s="21"/>
      <c r="AP3" s="21"/>
      <c r="AQ3" s="21"/>
      <c r="AR3" s="21"/>
      <c r="AS3" s="21"/>
    </row>
    <row r="4" spans="1:45" x14ac:dyDescent="0.15">
      <c r="B4" s="21"/>
      <c r="C4" s="22" t="s">
        <v>17</v>
      </c>
      <c r="D4" s="23"/>
      <c r="E4" s="23"/>
      <c r="F4" s="24">
        <v>0</v>
      </c>
      <c r="G4" s="21"/>
      <c r="H4" s="21"/>
      <c r="I4" s="21"/>
      <c r="J4" s="21"/>
      <c r="K4" s="21"/>
      <c r="L4" s="21"/>
      <c r="M4" s="21"/>
      <c r="N4" s="21"/>
      <c r="O4" s="21"/>
      <c r="AO4" s="21"/>
      <c r="AP4" s="21"/>
      <c r="AQ4" s="21"/>
      <c r="AR4" s="21"/>
      <c r="AS4" s="21"/>
    </row>
    <row r="5" spans="1:45" x14ac:dyDescent="0.15">
      <c r="A5" s="25"/>
      <c r="B5" s="21"/>
      <c r="C5" s="26"/>
      <c r="D5" s="27" t="s">
        <v>18</v>
      </c>
      <c r="E5" s="28" t="s">
        <v>19</v>
      </c>
      <c r="F5" s="29" t="s">
        <v>20</v>
      </c>
      <c r="G5" s="21"/>
      <c r="H5" s="21"/>
      <c r="I5" s="30" t="s">
        <v>27</v>
      </c>
      <c r="J5" s="20" t="s">
        <v>30</v>
      </c>
      <c r="K5" s="31"/>
      <c r="N5" s="21"/>
      <c r="O5" s="21"/>
      <c r="AO5" s="21"/>
      <c r="AP5" s="21"/>
      <c r="AQ5" s="21"/>
      <c r="AR5" s="21"/>
      <c r="AS5" s="21"/>
    </row>
    <row r="6" spans="1:45" x14ac:dyDescent="0.15">
      <c r="B6" s="21"/>
      <c r="C6" s="32"/>
      <c r="D6" s="33" t="s">
        <v>21</v>
      </c>
      <c r="E6" s="33" t="s">
        <v>22</v>
      </c>
      <c r="F6" s="34" t="s">
        <v>23</v>
      </c>
      <c r="G6" s="21"/>
      <c r="H6" s="21"/>
      <c r="I6" s="21"/>
      <c r="J6" s="35" t="s">
        <v>31</v>
      </c>
      <c r="K6" s="21"/>
      <c r="L6" s="21"/>
      <c r="M6" s="21"/>
      <c r="N6" s="21"/>
      <c r="O6" s="21"/>
      <c r="AO6" s="21"/>
      <c r="AP6" s="21"/>
      <c r="AQ6" s="21"/>
      <c r="AR6" s="21"/>
      <c r="AS6" s="21"/>
    </row>
    <row r="7" spans="1:45" x14ac:dyDescent="0.15">
      <c r="B7" s="21"/>
      <c r="C7" s="32"/>
      <c r="D7" s="36" t="s">
        <v>24</v>
      </c>
      <c r="E7" s="36" t="s">
        <v>25</v>
      </c>
      <c r="F7" s="37" t="s">
        <v>26</v>
      </c>
      <c r="G7" s="21"/>
      <c r="H7" s="21"/>
      <c r="I7" s="21"/>
      <c r="J7" s="35" t="s">
        <v>32</v>
      </c>
      <c r="K7" s="21"/>
      <c r="L7" s="21"/>
      <c r="M7" s="21"/>
      <c r="N7" s="38">
        <f>[5]!ParmUpdate</f>
        <v>36616</v>
      </c>
      <c r="O7" s="21"/>
      <c r="AO7" s="21"/>
      <c r="AP7" s="21"/>
      <c r="AQ7" s="21"/>
      <c r="AR7" s="21"/>
      <c r="AS7" s="21"/>
    </row>
    <row r="8" spans="1:45" x14ac:dyDescent="0.15">
      <c r="B8" s="21"/>
      <c r="C8" s="39" t="str">
        <f>IF(GasSwitch=0,"Gas","Aeco")</f>
        <v>Gas</v>
      </c>
      <c r="D8" s="40">
        <f>IF(GasSwitch=0,[5]!GasK,[5]!AecoK)</f>
        <v>0.3982</v>
      </c>
      <c r="E8" s="40">
        <f>IF(GasSwitch=0,[5]!GasVol,[5]!AecoVol)</f>
        <v>0.3135</v>
      </c>
      <c r="F8" s="41">
        <f>IF(GasSwitch=0,[5]!GasGamma,[5]!AecoGamma)</f>
        <v>0.5</v>
      </c>
      <c r="G8" s="42"/>
      <c r="H8" s="42"/>
      <c r="I8" s="21"/>
      <c r="J8" s="35" t="s">
        <v>33</v>
      </c>
      <c r="K8" s="21"/>
      <c r="L8" s="21"/>
      <c r="M8" s="21"/>
      <c r="N8" s="38">
        <f>[5]!GasUpdate</f>
        <v>36616</v>
      </c>
      <c r="O8" s="21"/>
      <c r="AO8" s="21"/>
      <c r="AP8" s="21"/>
      <c r="AQ8" s="21"/>
      <c r="AR8" s="21"/>
      <c r="AS8" s="21"/>
    </row>
    <row r="9" spans="1:45" x14ac:dyDescent="0.15">
      <c r="A9" s="21"/>
      <c r="B9" s="21"/>
      <c r="C9" s="39" t="str">
        <f>IF(OilSwitch=0,"Oil","Brent")</f>
        <v>Oil</v>
      </c>
      <c r="D9" s="40">
        <f>IF(OilSwitch=0,[5]!OilK,[5]!BrentK)</f>
        <v>9.9000000000000005E-2</v>
      </c>
      <c r="E9" s="40">
        <f>IF(OilSwitch=0, [5]!OilVol,[5]!BrentVol)</f>
        <v>1.6639999999999999</v>
      </c>
      <c r="F9" s="43">
        <f>IF(OilSwitch=0,[5]!OilGamma,[5]!BrentGamma)</f>
        <v>0</v>
      </c>
      <c r="G9" s="42"/>
      <c r="H9" s="42"/>
      <c r="I9" s="21"/>
      <c r="J9" s="44" t="s">
        <v>34</v>
      </c>
      <c r="K9" s="21"/>
      <c r="L9" s="21"/>
      <c r="M9" s="21"/>
      <c r="N9" s="38">
        <f>[5]!OilUpdate</f>
        <v>36616</v>
      </c>
      <c r="O9" s="21"/>
      <c r="AO9" s="21"/>
      <c r="AP9" s="21"/>
      <c r="AQ9" s="21"/>
      <c r="AR9" s="21"/>
      <c r="AS9" s="21"/>
    </row>
    <row r="10" spans="1:45" x14ac:dyDescent="0.15">
      <c r="A10" s="21"/>
      <c r="B10" s="21"/>
      <c r="C10" s="39" t="s">
        <v>28</v>
      </c>
      <c r="D10" s="45">
        <v>0.3982</v>
      </c>
      <c r="E10" s="46">
        <v>0.3135</v>
      </c>
      <c r="F10" s="46">
        <v>0.5</v>
      </c>
      <c r="G10" s="42"/>
      <c r="H10" s="42"/>
      <c r="I10" s="42"/>
      <c r="J10" s="21" t="s">
        <v>35</v>
      </c>
      <c r="K10" s="44"/>
      <c r="L10" s="21"/>
      <c r="M10" s="21"/>
      <c r="N10" s="38">
        <f>[5]!AecoUpdate</f>
        <v>36616</v>
      </c>
      <c r="O10" s="21"/>
      <c r="AO10" s="21"/>
      <c r="AP10" s="21"/>
      <c r="AQ10" s="21"/>
      <c r="AR10" s="21"/>
      <c r="AS10" s="21"/>
    </row>
    <row r="11" spans="1:45" x14ac:dyDescent="0.15">
      <c r="A11" s="21"/>
      <c r="B11" s="21"/>
      <c r="C11" s="47" t="s">
        <v>29</v>
      </c>
      <c r="D11" s="45">
        <v>9.9000000000000005E-2</v>
      </c>
      <c r="E11" s="46">
        <v>1.6639999999999999</v>
      </c>
      <c r="F11" s="46">
        <v>0</v>
      </c>
      <c r="G11" s="42"/>
      <c r="H11" s="42"/>
      <c r="I11" s="42"/>
      <c r="J11" s="21" t="s">
        <v>36</v>
      </c>
      <c r="K11" s="44"/>
      <c r="L11" s="21"/>
      <c r="M11" s="21"/>
      <c r="N11" s="38">
        <f>[5]!BrentUpdate</f>
        <v>36616</v>
      </c>
      <c r="O11" s="21"/>
      <c r="AO11" s="21"/>
      <c r="AP11" s="21"/>
      <c r="AQ11" s="21"/>
      <c r="AR11" s="21"/>
      <c r="AS11" s="21"/>
    </row>
    <row r="12" spans="1:45" ht="11.25" thickBot="1" x14ac:dyDescent="0.2">
      <c r="A12" s="21"/>
      <c r="B12" s="21"/>
      <c r="C12" s="21"/>
      <c r="D12" s="21"/>
      <c r="E12" s="48"/>
      <c r="F12" s="48"/>
      <c r="G12" s="42"/>
      <c r="H12" s="42"/>
      <c r="I12" s="42"/>
      <c r="J12" s="21"/>
      <c r="K12" s="44"/>
      <c r="L12" s="21"/>
      <c r="M12" s="21"/>
      <c r="N12" s="21"/>
      <c r="O12" s="21"/>
      <c r="AP12" s="21"/>
      <c r="AQ12" s="21"/>
      <c r="AR12" s="21"/>
      <c r="AS12" s="21"/>
    </row>
    <row r="13" spans="1:45" x14ac:dyDescent="0.15">
      <c r="A13" s="21"/>
      <c r="B13" s="21"/>
      <c r="C13" s="21"/>
      <c r="D13" s="21"/>
      <c r="E13" s="48"/>
      <c r="F13" s="48"/>
      <c r="G13" s="42"/>
      <c r="H13" s="49" t="s">
        <v>38</v>
      </c>
      <c r="I13" s="50"/>
      <c r="J13" s="50"/>
      <c r="K13" s="50"/>
      <c r="L13" s="50"/>
      <c r="M13" s="50"/>
      <c r="N13" s="50"/>
      <c r="O13" s="51"/>
      <c r="AP13" s="21"/>
      <c r="AQ13" s="21"/>
      <c r="AR13" s="21"/>
      <c r="AS13" s="21"/>
    </row>
    <row r="14" spans="1:45" x14ac:dyDescent="0.15">
      <c r="A14" s="21"/>
      <c r="B14" s="21"/>
      <c r="C14" s="21"/>
      <c r="D14" s="21"/>
      <c r="E14" s="21"/>
      <c r="F14" s="21"/>
      <c r="G14" s="42"/>
      <c r="H14" s="52" t="s">
        <v>39</v>
      </c>
      <c r="I14" s="53"/>
      <c r="J14" s="53"/>
      <c r="K14" s="53"/>
      <c r="L14" s="53"/>
      <c r="M14" s="53"/>
      <c r="N14" s="53"/>
      <c r="O14" s="54"/>
      <c r="AP14" s="21"/>
      <c r="AQ14" s="21"/>
      <c r="AR14" s="21"/>
      <c r="AS14" s="21"/>
    </row>
    <row r="15" spans="1:45" x14ac:dyDescent="0.15">
      <c r="A15" s="55" t="s">
        <v>37</v>
      </c>
      <c r="B15" s="21"/>
      <c r="C15" s="21"/>
      <c r="D15" s="21"/>
      <c r="E15" s="21"/>
      <c r="F15" s="56">
        <v>0</v>
      </c>
      <c r="H15" s="57" t="s">
        <v>40</v>
      </c>
      <c r="I15" s="58"/>
      <c r="J15" s="59"/>
      <c r="K15" s="59"/>
      <c r="L15" s="59"/>
      <c r="M15" s="59"/>
      <c r="N15" s="59"/>
      <c r="O15" s="60"/>
      <c r="P15" s="21"/>
      <c r="Q15" s="21"/>
      <c r="AP15" s="21"/>
      <c r="AQ15" s="21"/>
      <c r="AR15" s="21"/>
      <c r="AS15" s="21"/>
    </row>
    <row r="16" spans="1:45" ht="11.25" thickBot="1" x14ac:dyDescent="0.2">
      <c r="A16" s="21"/>
      <c r="B16" s="21"/>
      <c r="C16" s="21"/>
      <c r="D16" s="21"/>
      <c r="E16" s="61"/>
      <c r="F16" s="61"/>
      <c r="H16" s="62" t="s">
        <v>41</v>
      </c>
      <c r="I16" s="63"/>
      <c r="J16" s="64"/>
      <c r="K16" s="64"/>
      <c r="L16" s="64"/>
      <c r="M16" s="64"/>
      <c r="N16" s="64"/>
      <c r="O16" s="65"/>
      <c r="P16" s="21"/>
      <c r="Q16" s="21"/>
      <c r="AP16" s="21"/>
      <c r="AQ16" s="21"/>
      <c r="AR16" s="21"/>
      <c r="AS16" s="21"/>
    </row>
    <row r="17" spans="1:45" x14ac:dyDescent="0.15">
      <c r="I17" s="21"/>
      <c r="J17" s="21"/>
      <c r="K17" s="21"/>
      <c r="L17" s="21"/>
      <c r="M17" s="21"/>
      <c r="N17" s="21"/>
      <c r="O17" s="21"/>
      <c r="P17" s="21"/>
      <c r="Q17" s="21"/>
      <c r="AP17" s="21"/>
      <c r="AQ17" s="21"/>
      <c r="AR17" s="21"/>
      <c r="AS17" s="21"/>
    </row>
    <row r="18" spans="1:45" x14ac:dyDescent="0.15">
      <c r="I18" s="21"/>
      <c r="J18" s="21"/>
      <c r="K18" s="21"/>
      <c r="L18" s="21"/>
      <c r="M18" s="21"/>
      <c r="N18" s="21"/>
      <c r="O18" s="21"/>
      <c r="P18" s="21"/>
      <c r="Q18" s="21"/>
      <c r="AP18" s="21"/>
      <c r="AQ18" s="21"/>
      <c r="AR18" s="21"/>
      <c r="AS18" s="21"/>
    </row>
    <row r="19" spans="1:45" x14ac:dyDescent="0.15">
      <c r="C19" s="66" t="s">
        <v>43</v>
      </c>
      <c r="D19" s="66" t="s">
        <v>42</v>
      </c>
      <c r="H19" s="66" t="s">
        <v>43</v>
      </c>
      <c r="I19" s="66" t="s">
        <v>42</v>
      </c>
      <c r="J19" s="21"/>
      <c r="O19" s="67"/>
      <c r="AP19" s="21"/>
      <c r="AQ19" s="21"/>
      <c r="AR19" s="21"/>
      <c r="AS19" s="21"/>
    </row>
    <row r="20" spans="1:45" x14ac:dyDescent="0.15">
      <c r="C20" s="68" t="s">
        <v>44</v>
      </c>
      <c r="D20" s="69" t="str">
        <f>IF(GasSwitch=0,"Gas","Aeco")</f>
        <v>Gas</v>
      </c>
      <c r="F20" s="66" t="s">
        <v>19</v>
      </c>
      <c r="G20" s="66"/>
      <c r="H20" s="68" t="s">
        <v>45</v>
      </c>
      <c r="I20" s="69" t="str">
        <f>IF(OilSwitch=0,"Oil","Brent")</f>
        <v>Oil</v>
      </c>
      <c r="K20" s="66" t="s">
        <v>19</v>
      </c>
      <c r="L20" s="70"/>
      <c r="M20" s="67"/>
      <c r="N20" s="71"/>
      <c r="AP20" s="21"/>
      <c r="AQ20" s="21"/>
      <c r="AR20" s="21"/>
      <c r="AS20" s="21"/>
    </row>
    <row r="21" spans="1:45" s="67" customFormat="1" x14ac:dyDescent="0.15">
      <c r="C21" s="68" t="s">
        <v>46</v>
      </c>
      <c r="D21" s="68" t="s">
        <v>46</v>
      </c>
      <c r="F21" s="68" t="s">
        <v>47</v>
      </c>
      <c r="G21" s="68"/>
      <c r="H21" s="68" t="s">
        <v>46</v>
      </c>
      <c r="I21" s="68" t="s">
        <v>46</v>
      </c>
      <c r="K21" s="68" t="s">
        <v>47</v>
      </c>
      <c r="L21" s="70"/>
      <c r="O21" s="20"/>
      <c r="AP21" s="21"/>
      <c r="AQ21" s="21"/>
      <c r="AR21" s="21"/>
      <c r="AS21" s="21"/>
    </row>
    <row r="22" spans="1:45" s="67" customFormat="1" x14ac:dyDescent="0.15">
      <c r="A22" s="72" t="s">
        <v>51</v>
      </c>
      <c r="B22" s="72" t="s">
        <v>48</v>
      </c>
      <c r="C22" s="73"/>
      <c r="D22" s="73" t="s">
        <v>49</v>
      </c>
      <c r="E22" s="72" t="s">
        <v>50</v>
      </c>
      <c r="F22" s="72" t="s">
        <v>18</v>
      </c>
      <c r="G22" s="72"/>
      <c r="H22" s="73"/>
      <c r="I22" s="73" t="s">
        <v>49</v>
      </c>
      <c r="J22" s="72" t="s">
        <v>50</v>
      </c>
      <c r="K22" s="72" t="s">
        <v>18</v>
      </c>
      <c r="L22" s="70"/>
      <c r="M22" s="522" t="s">
        <v>48</v>
      </c>
      <c r="N22" s="73" t="str">
        <f>D20</f>
        <v>Gas</v>
      </c>
      <c r="O22" s="523" t="str">
        <f>I20</f>
        <v>Oil</v>
      </c>
      <c r="R22" s="74">
        <f>+M24</f>
        <v>1997</v>
      </c>
      <c r="S22" s="74">
        <f>+M24+1</f>
        <v>1998</v>
      </c>
      <c r="T22" s="74">
        <f t="shared" ref="T22:AQ22" si="0">+S22+1</f>
        <v>1999</v>
      </c>
      <c r="U22" s="74">
        <f t="shared" si="0"/>
        <v>2000</v>
      </c>
      <c r="V22" s="74">
        <f t="shared" si="0"/>
        <v>2001</v>
      </c>
      <c r="W22" s="74">
        <f t="shared" si="0"/>
        <v>2002</v>
      </c>
      <c r="X22" s="74">
        <f t="shared" si="0"/>
        <v>2003</v>
      </c>
      <c r="Y22" s="74">
        <f t="shared" si="0"/>
        <v>2004</v>
      </c>
      <c r="Z22" s="74">
        <f t="shared" si="0"/>
        <v>2005</v>
      </c>
      <c r="AA22" s="74">
        <f t="shared" si="0"/>
        <v>2006</v>
      </c>
      <c r="AB22" s="74">
        <f t="shared" si="0"/>
        <v>2007</v>
      </c>
      <c r="AC22" s="74">
        <f t="shared" si="0"/>
        <v>2008</v>
      </c>
      <c r="AD22" s="74">
        <f t="shared" si="0"/>
        <v>2009</v>
      </c>
      <c r="AE22" s="74">
        <f t="shared" si="0"/>
        <v>2010</v>
      </c>
      <c r="AF22" s="74">
        <f t="shared" si="0"/>
        <v>2011</v>
      </c>
      <c r="AG22" s="74">
        <f t="shared" si="0"/>
        <v>2012</v>
      </c>
      <c r="AH22" s="74">
        <f t="shared" si="0"/>
        <v>2013</v>
      </c>
      <c r="AI22" s="74">
        <f t="shared" si="0"/>
        <v>2014</v>
      </c>
      <c r="AJ22" s="74">
        <f t="shared" si="0"/>
        <v>2015</v>
      </c>
      <c r="AK22" s="74">
        <f t="shared" si="0"/>
        <v>2016</v>
      </c>
      <c r="AL22" s="74">
        <f t="shared" si="0"/>
        <v>2017</v>
      </c>
      <c r="AM22" s="74">
        <f t="shared" si="0"/>
        <v>2018</v>
      </c>
      <c r="AN22" s="74">
        <f t="shared" si="0"/>
        <v>2019</v>
      </c>
      <c r="AO22" s="74">
        <f t="shared" si="0"/>
        <v>2020</v>
      </c>
      <c r="AP22" s="74">
        <f t="shared" si="0"/>
        <v>2021</v>
      </c>
      <c r="AQ22" s="74">
        <f t="shared" si="0"/>
        <v>2022</v>
      </c>
      <c r="AR22" s="21"/>
      <c r="AS22" s="21"/>
    </row>
    <row r="23" spans="1:45" x14ac:dyDescent="0.15">
      <c r="A23" s="75">
        <v>35065</v>
      </c>
      <c r="B23" s="76">
        <f t="shared" ref="B23:B86" si="1">YEAR(A23)</f>
        <v>1996</v>
      </c>
      <c r="C23" s="77">
        <v>3.6</v>
      </c>
      <c r="D23" s="78">
        <f>IF(GasSwitch=0,VLOOKUP($A23,[5]!GasCurve,4),VLOOKUP($A23,[5]!AecoCurve,5))</f>
        <v>3.6</v>
      </c>
      <c r="E23" s="79">
        <v>0</v>
      </c>
      <c r="F23" s="80">
        <f t="shared" ref="F23:F32" si="2">IF(shiftswitch2=1,D23,C23)</f>
        <v>3.6</v>
      </c>
      <c r="G23" s="80"/>
      <c r="H23" s="81">
        <v>17.739999999999998</v>
      </c>
      <c r="I23" s="78">
        <f>IF(OilSwitch=0,VLOOKUP($A23,[5]!OilCurve,4),VLOOKUP($A23,[5]!BrentCurve,4))</f>
        <v>17.739999999999998</v>
      </c>
      <c r="J23" s="80">
        <v>0</v>
      </c>
      <c r="K23" s="80">
        <f t="shared" ref="K23:K32" si="3">IF(shiftswitch2=1,I23,H23)</f>
        <v>17.739999999999998</v>
      </c>
      <c r="M23" s="524"/>
      <c r="P23" s="525" t="str">
        <f>N22</f>
        <v>Gas</v>
      </c>
      <c r="Q23" s="38" t="str">
        <f>IF(GasSwitch=0,[5]!GasUnit,[5]!AecoUnit)</f>
        <v>(UD/MMBTU)</v>
      </c>
      <c r="R23" s="82">
        <f t="array" ref="R23:AQ25">TRANSPOSE(N24:N51)</f>
        <v>2.5671428571428572</v>
      </c>
      <c r="S23" s="526">
        <v>2.0358333333333336</v>
      </c>
      <c r="T23" s="526">
        <v>2.2758333333333334</v>
      </c>
      <c r="U23" s="526">
        <v>2.8247917881046067</v>
      </c>
      <c r="V23" s="526">
        <v>2.8035582543088018</v>
      </c>
      <c r="W23" s="526">
        <v>2.7476317857430446</v>
      </c>
      <c r="X23" s="526">
        <v>2.764410966272191</v>
      </c>
      <c r="Y23" s="526">
        <v>2.7880856580080597</v>
      </c>
      <c r="Z23" s="526">
        <v>2.837871278959808</v>
      </c>
      <c r="AA23" s="526">
        <v>2.9118056177749216</v>
      </c>
      <c r="AB23" s="526">
        <v>2.959272063385868</v>
      </c>
      <c r="AC23" s="526">
        <v>3.044883950378491</v>
      </c>
      <c r="AD23" s="526">
        <v>3.0785328085180041</v>
      </c>
      <c r="AE23" s="526">
        <v>3.1634924224136838</v>
      </c>
      <c r="AF23" s="82">
        <v>3.2379933772990568</v>
      </c>
      <c r="AG23" s="82">
        <v>3.3410846234479799</v>
      </c>
      <c r="AH23" s="82">
        <v>3.4310919673019931</v>
      </c>
      <c r="AI23" s="82">
        <v>3.5188379993231749</v>
      </c>
      <c r="AJ23" s="82">
        <v>3.6227454064444227</v>
      </c>
      <c r="AK23" s="82">
        <v>3.7481789813050437</v>
      </c>
      <c r="AL23" s="82">
        <v>3.8519840950692905</v>
      </c>
      <c r="AM23" s="82">
        <v>3.9378206826128754</v>
      </c>
      <c r="AN23" s="82">
        <v>4.0769793214244894</v>
      </c>
      <c r="AO23" s="82">
        <v>4.2076701254613136</v>
      </c>
      <c r="AP23" s="82">
        <v>4.337794280287337</v>
      </c>
      <c r="AQ23" s="82">
        <v>4.4876693409511841</v>
      </c>
      <c r="AR23" s="21"/>
      <c r="AS23" s="21"/>
    </row>
    <row r="24" spans="1:45" x14ac:dyDescent="0.15">
      <c r="A24" s="75">
        <v>35096</v>
      </c>
      <c r="B24" s="76">
        <f t="shared" si="1"/>
        <v>1996</v>
      </c>
      <c r="C24" s="77">
        <v>3.75</v>
      </c>
      <c r="D24" s="78">
        <f>IF(GasSwitch=0,VLOOKUP($A24,[5]!GasCurve,4),VLOOKUP($A24,[5]!AecoCurve,5))</f>
        <v>3.75</v>
      </c>
      <c r="E24" s="79">
        <v>0</v>
      </c>
      <c r="F24" s="80">
        <f t="shared" si="2"/>
        <v>3.75</v>
      </c>
      <c r="G24" s="80"/>
      <c r="H24" s="81">
        <v>19.54</v>
      </c>
      <c r="I24" s="78">
        <f>IF(OilSwitch=0,VLOOKUP($A24,[5]!OilCurve,4),VLOOKUP($A24,[5]!BrentCurve,4))</f>
        <v>19.54</v>
      </c>
      <c r="J24" s="80">
        <v>0</v>
      </c>
      <c r="K24" s="80">
        <f t="shared" si="3"/>
        <v>19.54</v>
      </c>
      <c r="M24" s="527">
        <v>1997</v>
      </c>
      <c r="N24" s="82">
        <f>AVERAGE(F40:F46)</f>
        <v>2.5671428571428572</v>
      </c>
      <c r="O24" s="82">
        <f>AVERAGE(K40:K46)</f>
        <v>19.800000000000004</v>
      </c>
      <c r="P24" s="525" t="str">
        <f>O22</f>
        <v>Oil</v>
      </c>
      <c r="Q24" s="38" t="str">
        <f>IF(OilSwitch=0,[5]!OilUnit,[5]!BrentUnit)</f>
        <v>(UD/BBL)</v>
      </c>
      <c r="R24" s="526">
        <v>2.5671428571428572</v>
      </c>
      <c r="S24" s="526">
        <v>2.0358333333333336</v>
      </c>
      <c r="T24" s="526">
        <v>2.2758333333333334</v>
      </c>
      <c r="U24" s="526">
        <v>2.8247917881046067</v>
      </c>
      <c r="V24" s="526">
        <v>2.8035582543088018</v>
      </c>
      <c r="W24" s="526">
        <v>2.7476317857430446</v>
      </c>
      <c r="X24" s="526">
        <v>2.764410966272191</v>
      </c>
      <c r="Y24" s="526">
        <v>2.7880856580080597</v>
      </c>
      <c r="Z24" s="526">
        <v>2.837871278959808</v>
      </c>
      <c r="AA24" s="526">
        <v>2.9118056177749216</v>
      </c>
      <c r="AB24" s="526">
        <v>2.959272063385868</v>
      </c>
      <c r="AC24" s="526">
        <v>3.044883950378491</v>
      </c>
      <c r="AD24" s="526">
        <v>3.0785328085180041</v>
      </c>
      <c r="AE24" s="526">
        <v>3.1634924224136838</v>
      </c>
      <c r="AF24" s="82">
        <v>3.2379933772990568</v>
      </c>
      <c r="AG24" s="82">
        <v>3.3410846234479799</v>
      </c>
      <c r="AH24" s="82">
        <v>3.4310919673019931</v>
      </c>
      <c r="AI24" s="82">
        <v>3.5188379993231749</v>
      </c>
      <c r="AJ24" s="82">
        <v>3.6227454064444227</v>
      </c>
      <c r="AK24" s="82">
        <v>3.7481789813050437</v>
      </c>
      <c r="AL24" s="82">
        <v>3.8519840950692905</v>
      </c>
      <c r="AM24" s="82">
        <v>3.9378206826128754</v>
      </c>
      <c r="AN24" s="82">
        <v>4.0769793214244894</v>
      </c>
      <c r="AO24" s="82">
        <v>4.2076701254613136</v>
      </c>
      <c r="AP24" s="82">
        <v>4.337794280287337</v>
      </c>
      <c r="AQ24" s="82">
        <v>4.4876693409511841</v>
      </c>
      <c r="AR24" s="21"/>
      <c r="AS24" s="21"/>
    </row>
    <row r="25" spans="1:45" x14ac:dyDescent="0.15">
      <c r="A25" s="75">
        <v>35125</v>
      </c>
      <c r="B25" s="76">
        <f t="shared" si="1"/>
        <v>1996</v>
      </c>
      <c r="C25" s="77">
        <v>2.6</v>
      </c>
      <c r="D25" s="78">
        <f>IF(GasSwitch=0,VLOOKUP($A25,[5]!GasCurve,4),VLOOKUP($A25,[5]!AecoCurve,5))</f>
        <v>2.6</v>
      </c>
      <c r="E25" s="79">
        <v>0</v>
      </c>
      <c r="F25" s="80">
        <f t="shared" si="2"/>
        <v>2.6</v>
      </c>
      <c r="G25" s="80"/>
      <c r="H25" s="81">
        <v>21.47</v>
      </c>
      <c r="I25" s="78">
        <f>IF(OilSwitch=0,VLOOKUP($A25,[5]!OilCurve,4),VLOOKUP($A25,[5]!BrentCurve,4))</f>
        <v>21.47</v>
      </c>
      <c r="J25" s="80">
        <v>0</v>
      </c>
      <c r="K25" s="80">
        <f t="shared" si="3"/>
        <v>21.47</v>
      </c>
      <c r="M25" s="90">
        <f t="shared" ref="M25:M51" si="4">+M24+1</f>
        <v>1998</v>
      </c>
      <c r="N25" s="82">
        <f>AVERAGE(F47:F58)</f>
        <v>2.0358333333333336</v>
      </c>
      <c r="O25" s="82">
        <f>AVERAGE(K47:K58)</f>
        <v>14.582500000000003</v>
      </c>
      <c r="P25" s="20" t="s">
        <v>2</v>
      </c>
      <c r="R25" s="351">
        <v>2.5671428571428572</v>
      </c>
      <c r="S25" s="351">
        <v>2.0358333333333336</v>
      </c>
      <c r="T25" s="352">
        <v>2.2758333333333334</v>
      </c>
      <c r="U25" s="352">
        <v>2.8247917881046067</v>
      </c>
      <c r="V25" s="352">
        <v>2.8035582543088018</v>
      </c>
      <c r="W25" s="352">
        <v>2.7476317857430446</v>
      </c>
      <c r="X25" s="352">
        <v>2.764410966272191</v>
      </c>
      <c r="Y25" s="352">
        <v>2.7880856580080597</v>
      </c>
      <c r="Z25" s="352">
        <v>2.837871278959808</v>
      </c>
      <c r="AA25" s="352">
        <v>2.9118056177749216</v>
      </c>
      <c r="AB25" s="352">
        <v>2.959272063385868</v>
      </c>
      <c r="AC25" s="352">
        <v>3.044883950378491</v>
      </c>
      <c r="AD25" s="352">
        <v>3.0785328085180041</v>
      </c>
      <c r="AE25" s="352">
        <v>3.1634924224136838</v>
      </c>
      <c r="AF25" s="352">
        <v>3.2379933772990568</v>
      </c>
      <c r="AG25" s="352">
        <v>3.3410846234479799</v>
      </c>
      <c r="AH25" s="352">
        <v>3.4310919673019931</v>
      </c>
      <c r="AI25" s="352">
        <v>3.5188379993231749</v>
      </c>
      <c r="AJ25" s="352">
        <v>3.6227454064444227</v>
      </c>
      <c r="AK25" s="352">
        <v>3.7481789813050437</v>
      </c>
      <c r="AL25" s="352">
        <v>3.8519840950692905</v>
      </c>
      <c r="AM25" s="352">
        <v>3.9378206826128754</v>
      </c>
      <c r="AN25" s="352">
        <v>4.0769793214244894</v>
      </c>
      <c r="AO25" s="352">
        <v>4.2076701254613136</v>
      </c>
      <c r="AP25" s="352">
        <v>4.337794280287337</v>
      </c>
      <c r="AQ25" s="352">
        <v>4.4876693409511841</v>
      </c>
      <c r="AR25" s="21"/>
      <c r="AS25" s="21"/>
    </row>
    <row r="26" spans="1:45" x14ac:dyDescent="0.15">
      <c r="A26" s="75">
        <v>35156</v>
      </c>
      <c r="B26" s="76">
        <f t="shared" si="1"/>
        <v>1996</v>
      </c>
      <c r="C26" s="77">
        <v>2.25</v>
      </c>
      <c r="D26" s="78">
        <f>IF(GasSwitch=0,VLOOKUP($A26,[5]!GasCurve,4),VLOOKUP($A26,[5]!AecoCurve,5))</f>
        <v>2.25</v>
      </c>
      <c r="E26" s="79">
        <v>0</v>
      </c>
      <c r="F26" s="80">
        <f t="shared" si="2"/>
        <v>2.25</v>
      </c>
      <c r="G26" s="80"/>
      <c r="H26" s="81">
        <v>21.2</v>
      </c>
      <c r="I26" s="78">
        <f>IF(OilSwitch=0,VLOOKUP($A26,[5]!OilCurve,4),VLOOKUP($A26,[5]!BrentCurve,4))</f>
        <v>21.2</v>
      </c>
      <c r="J26" s="80">
        <v>0</v>
      </c>
      <c r="K26" s="80">
        <f t="shared" si="3"/>
        <v>21.2</v>
      </c>
      <c r="M26" s="90">
        <f t="shared" si="4"/>
        <v>1999</v>
      </c>
      <c r="N26" s="82">
        <f>AVERAGE(F59:F70)</f>
        <v>2.2758333333333334</v>
      </c>
      <c r="O26" s="82">
        <f>AVERAGE(K59:K70)</f>
        <v>19.64</v>
      </c>
      <c r="AP26" s="21"/>
      <c r="AQ26" s="21"/>
      <c r="AR26" s="21"/>
      <c r="AS26" s="21"/>
    </row>
    <row r="27" spans="1:45" x14ac:dyDescent="0.15">
      <c r="A27" s="75">
        <v>35186</v>
      </c>
      <c r="B27" s="76">
        <f t="shared" si="1"/>
        <v>1996</v>
      </c>
      <c r="C27" s="77">
        <v>2.33</v>
      </c>
      <c r="D27" s="78">
        <f>IF(GasSwitch=0,VLOOKUP($A27,[5]!GasCurve,4),VLOOKUP($A27,[5]!AecoCurve,5))</f>
        <v>2.33</v>
      </c>
      <c r="E27" s="79">
        <v>0</v>
      </c>
      <c r="F27" s="80">
        <f t="shared" si="2"/>
        <v>2.33</v>
      </c>
      <c r="G27" s="80"/>
      <c r="H27" s="81">
        <v>19.760000000000002</v>
      </c>
      <c r="I27" s="78">
        <f>IF(OilSwitch=0,VLOOKUP($A27,[5]!OilCurve,4),VLOOKUP($A27,[5]!BrentCurve,4))</f>
        <v>19.760000000000002</v>
      </c>
      <c r="J27" s="80">
        <v>0</v>
      </c>
      <c r="K27" s="80">
        <f t="shared" si="3"/>
        <v>19.760000000000002</v>
      </c>
      <c r="M27" s="90">
        <f t="shared" si="4"/>
        <v>2000</v>
      </c>
      <c r="N27" s="82">
        <f>AVERAGE(F71:F82)</f>
        <v>2.8247917881046067</v>
      </c>
      <c r="O27" s="82">
        <f>AVERAGE(K71:K82)</f>
        <v>27.847018567104644</v>
      </c>
      <c r="AP27" s="21"/>
      <c r="AQ27" s="21"/>
      <c r="AR27" s="21"/>
      <c r="AS27" s="21"/>
    </row>
    <row r="28" spans="1:45" x14ac:dyDescent="0.15">
      <c r="A28" s="75">
        <v>35217</v>
      </c>
      <c r="B28" s="76">
        <f t="shared" si="1"/>
        <v>1996</v>
      </c>
      <c r="C28" s="77">
        <v>2.65</v>
      </c>
      <c r="D28" s="78">
        <f>IF(GasSwitch=0,VLOOKUP($A28,[5]!GasCurve,4),VLOOKUP($A28,[5]!AecoCurve,5))</f>
        <v>2.65</v>
      </c>
      <c r="E28" s="79">
        <v>0</v>
      </c>
      <c r="F28" s="80">
        <f t="shared" si="2"/>
        <v>2.65</v>
      </c>
      <c r="G28" s="80"/>
      <c r="H28" s="81">
        <v>20.92</v>
      </c>
      <c r="I28" s="78">
        <f>IF(OilSwitch=0,VLOOKUP($A28,[5]!OilCurve,4),VLOOKUP($A28,[5]!BrentCurve,4))</f>
        <v>20.92</v>
      </c>
      <c r="J28" s="80">
        <v>0</v>
      </c>
      <c r="K28" s="80">
        <f t="shared" si="3"/>
        <v>20.92</v>
      </c>
      <c r="M28" s="90">
        <f t="shared" si="4"/>
        <v>2001</v>
      </c>
      <c r="N28" s="82">
        <f>AVERAGE(F83:F94)</f>
        <v>2.8035582543088018</v>
      </c>
      <c r="O28" s="82">
        <f>AVERAGE(K83:K94)</f>
        <v>22.202414429180688</v>
      </c>
      <c r="AP28" s="21"/>
      <c r="AQ28" s="21"/>
      <c r="AR28" s="21"/>
      <c r="AS28" s="21"/>
    </row>
    <row r="29" spans="1:45" x14ac:dyDescent="0.15">
      <c r="A29" s="75">
        <v>35247</v>
      </c>
      <c r="B29" s="76">
        <f t="shared" si="1"/>
        <v>1996</v>
      </c>
      <c r="C29" s="77">
        <v>2.08</v>
      </c>
      <c r="D29" s="78">
        <f>IF(GasSwitch=0,VLOOKUP($A29,[5]!GasCurve,4),VLOOKUP($A29,[5]!AecoCurve,5))</f>
        <v>2.08</v>
      </c>
      <c r="E29" s="79">
        <v>0</v>
      </c>
      <c r="F29" s="80">
        <f t="shared" si="2"/>
        <v>2.08</v>
      </c>
      <c r="G29" s="80"/>
      <c r="H29" s="81">
        <v>20.420000000000002</v>
      </c>
      <c r="I29" s="78">
        <f>IF(OilSwitch=0,VLOOKUP($A29,[5]!OilCurve,4),VLOOKUP($A29,[5]!BrentCurve,4))</f>
        <v>20.420000000000002</v>
      </c>
      <c r="J29" s="80">
        <v>0</v>
      </c>
      <c r="K29" s="80">
        <f t="shared" si="3"/>
        <v>20.420000000000002</v>
      </c>
      <c r="M29" s="90">
        <f t="shared" si="4"/>
        <v>2002</v>
      </c>
      <c r="N29" s="82">
        <f>AVERAGE(F95:F106)</f>
        <v>2.7476317857430446</v>
      </c>
      <c r="O29" s="82">
        <f>AVERAGE(K95:K106)</f>
        <v>19.837417167303595</v>
      </c>
      <c r="AP29" s="21"/>
      <c r="AQ29" s="21"/>
      <c r="AR29" s="21"/>
      <c r="AS29" s="21"/>
    </row>
    <row r="30" spans="1:45" x14ac:dyDescent="0.15">
      <c r="A30" s="75">
        <v>35278</v>
      </c>
      <c r="B30" s="76">
        <f t="shared" si="1"/>
        <v>1996</v>
      </c>
      <c r="C30" s="77">
        <v>1.86</v>
      </c>
      <c r="D30" s="78">
        <f>IF(GasSwitch=0,VLOOKUP($A30,[5]!GasCurve,4),VLOOKUP($A30,[5]!AecoCurve,5))</f>
        <v>1.86</v>
      </c>
      <c r="E30" s="79">
        <v>0</v>
      </c>
      <c r="F30" s="80">
        <f t="shared" si="2"/>
        <v>1.86</v>
      </c>
      <c r="G30" s="80"/>
      <c r="H30" s="81">
        <v>22.25</v>
      </c>
      <c r="I30" s="78">
        <f>IF(OilSwitch=0,VLOOKUP($A30,[5]!OilCurve,4),VLOOKUP($A30,[5]!BrentCurve,4))</f>
        <v>22.25</v>
      </c>
      <c r="J30" s="80">
        <v>0</v>
      </c>
      <c r="K30" s="80">
        <f t="shared" si="3"/>
        <v>22.25</v>
      </c>
      <c r="M30" s="90">
        <f t="shared" si="4"/>
        <v>2003</v>
      </c>
      <c r="N30" s="82">
        <f>AVERAGE(F107:F118)</f>
        <v>2.764410966272191</v>
      </c>
      <c r="O30" s="82">
        <f>AVERAGE(K107:K118)</f>
        <v>19.114969887136887</v>
      </c>
      <c r="AP30" s="21"/>
      <c r="AQ30" s="21"/>
      <c r="AR30" s="21"/>
      <c r="AS30" s="21"/>
    </row>
    <row r="31" spans="1:45" x14ac:dyDescent="0.15">
      <c r="A31" s="75">
        <v>35309</v>
      </c>
      <c r="B31" s="76">
        <f t="shared" si="1"/>
        <v>1996</v>
      </c>
      <c r="C31" s="77">
        <v>1.86</v>
      </c>
      <c r="D31" s="78">
        <f>IF(GasSwitch=0,VLOOKUP($A31,[5]!GasCurve,4),VLOOKUP($A31,[5]!AecoCurve,5))</f>
        <v>1.86</v>
      </c>
      <c r="E31" s="79">
        <v>0</v>
      </c>
      <c r="F31" s="80">
        <f t="shared" si="2"/>
        <v>1.86</v>
      </c>
      <c r="G31" s="80"/>
      <c r="H31" s="81">
        <v>24.38</v>
      </c>
      <c r="I31" s="78">
        <f>IF(OilSwitch=0,VLOOKUP($A31,[5]!OilCurve,4),VLOOKUP($A31,[5]!BrentCurve,4))</f>
        <v>24.38</v>
      </c>
      <c r="J31" s="80">
        <v>0</v>
      </c>
      <c r="K31" s="80">
        <f t="shared" si="3"/>
        <v>24.38</v>
      </c>
      <c r="M31" s="90">
        <f t="shared" si="4"/>
        <v>2004</v>
      </c>
      <c r="N31" s="82">
        <f>AVERAGE(F119:F130)</f>
        <v>2.7880856580080597</v>
      </c>
      <c r="O31" s="82">
        <f>AVERAGE(K119:K130)</f>
        <v>18.768160225447296</v>
      </c>
      <c r="AP31" s="21"/>
      <c r="AQ31" s="21"/>
      <c r="AR31" s="21"/>
      <c r="AS31" s="21"/>
    </row>
    <row r="32" spans="1:45" x14ac:dyDescent="0.15">
      <c r="A32" s="75">
        <v>35339</v>
      </c>
      <c r="B32" s="76">
        <f t="shared" si="1"/>
        <v>1996</v>
      </c>
      <c r="C32" s="77">
        <v>2.7</v>
      </c>
      <c r="D32" s="78">
        <f>IF(GasSwitch=0,VLOOKUP($A32,[5]!GasCurve,4),VLOOKUP($A32,[5]!AecoCurve,5))</f>
        <v>2.7</v>
      </c>
      <c r="E32" s="79">
        <v>0</v>
      </c>
      <c r="F32" s="80">
        <f t="shared" si="2"/>
        <v>2.7</v>
      </c>
      <c r="G32" s="80"/>
      <c r="H32" s="81">
        <v>23.35</v>
      </c>
      <c r="I32" s="78">
        <f>IF(OilSwitch=0,VLOOKUP($A32,[5]!OilCurve,4),VLOOKUP($A32,[5]!BrentCurve,4))</f>
        <v>23.35</v>
      </c>
      <c r="J32" s="80">
        <v>0</v>
      </c>
      <c r="K32" s="80">
        <f t="shared" si="3"/>
        <v>23.35</v>
      </c>
      <c r="M32" s="90">
        <f t="shared" si="4"/>
        <v>2005</v>
      </c>
      <c r="N32" s="82">
        <f>AVERAGE(F131:F142)</f>
        <v>2.837871278959808</v>
      </c>
      <c r="O32" s="82">
        <f>AVERAGE(K131:K142)</f>
        <v>18.708704287158174</v>
      </c>
      <c r="AP32" s="21"/>
      <c r="AQ32" s="21"/>
      <c r="AR32" s="21"/>
      <c r="AS32" s="21"/>
    </row>
    <row r="33" spans="1:45" x14ac:dyDescent="0.15">
      <c r="A33" s="75">
        <v>35370</v>
      </c>
      <c r="B33" s="76">
        <f t="shared" si="1"/>
        <v>1996</v>
      </c>
      <c r="C33" s="77">
        <v>3.8</v>
      </c>
      <c r="D33" s="78">
        <f>IF(GasSwitch=0,VLOOKUP($A33,[5]!GasCurve,4),VLOOKUP($A33,[5]!AecoCurve,5))</f>
        <v>3.8</v>
      </c>
      <c r="E33" s="79">
        <v>0</v>
      </c>
      <c r="F33" s="80">
        <f t="shared" ref="F33:F51" si="5">IF(shiftswitch2=1,F32+$D$8*(D33-F32)+($E$8*(F32^$F$8)*E33)+(1-$D$8)*(D33-D32),F32+$D$10*(C33-F32)+($E$10*(F32^$F$10)*E33)+(1-$D$10)*(C33-C32))</f>
        <v>3.8</v>
      </c>
      <c r="G33" s="80"/>
      <c r="H33" s="81">
        <v>23.75</v>
      </c>
      <c r="I33" s="78">
        <f>IF(OilSwitch=0,VLOOKUP($A33,[5]!OilCurve,4),VLOOKUP($A33,[5]!BrentCurve,4))</f>
        <v>23.75</v>
      </c>
      <c r="J33" s="79">
        <v>0</v>
      </c>
      <c r="K33" s="80">
        <f t="shared" ref="K33:K96" si="6">IF(shiftswitch2=1,K32+$D$9*(I33-K32)+($E$9*(K32^$F$9)*J33)+(1-$D$9)*(I33-I32),K32+$D$11*(H33-K32)+($E$11*(K32^$F$11)*J33)+(1-$D$11)*(H33-H32))</f>
        <v>23.75</v>
      </c>
      <c r="M33" s="90">
        <f t="shared" si="4"/>
        <v>2006</v>
      </c>
      <c r="N33" s="82">
        <f>AVERAGE(F143:F154)</f>
        <v>2.9118056177749216</v>
      </c>
      <c r="O33" s="82">
        <f>AVERAGE(K143:K154)</f>
        <v>18.712293794125316</v>
      </c>
      <c r="AP33" s="21"/>
      <c r="AQ33" s="21"/>
      <c r="AR33" s="21"/>
      <c r="AS33" s="21"/>
    </row>
    <row r="34" spans="1:45" x14ac:dyDescent="0.15">
      <c r="A34" s="75">
        <v>35400</v>
      </c>
      <c r="B34" s="76">
        <f t="shared" si="1"/>
        <v>1996</v>
      </c>
      <c r="C34" s="77">
        <v>2.46</v>
      </c>
      <c r="D34" s="78">
        <f>IF(GasSwitch=0,VLOOKUP($A34,[5]!GasCurve,4),VLOOKUP($A34,[5]!AecoCurve,5))</f>
        <v>2.46</v>
      </c>
      <c r="E34" s="79">
        <v>0</v>
      </c>
      <c r="F34" s="80">
        <f t="shared" si="5"/>
        <v>2.46</v>
      </c>
      <c r="G34" s="80"/>
      <c r="H34" s="81">
        <v>25.92</v>
      </c>
      <c r="I34" s="78">
        <f>IF(OilSwitch=0,VLOOKUP($A34,[5]!OilCurve,4),VLOOKUP($A34,[5]!BrentCurve,4))</f>
        <v>25.92</v>
      </c>
      <c r="J34" s="79">
        <v>0</v>
      </c>
      <c r="K34" s="80">
        <f t="shared" si="6"/>
        <v>25.92</v>
      </c>
      <c r="M34" s="90">
        <f t="shared" si="4"/>
        <v>2007</v>
      </c>
      <c r="N34" s="82">
        <f>AVERAGE(F155:F165)</f>
        <v>2.959272063385868</v>
      </c>
      <c r="O34" s="82">
        <f>AVERAGE(K155:K165)</f>
        <v>19.031575199375045</v>
      </c>
      <c r="AP34" s="21"/>
      <c r="AQ34" s="21"/>
      <c r="AR34" s="21"/>
      <c r="AS34" s="21"/>
    </row>
    <row r="35" spans="1:45" x14ac:dyDescent="0.15">
      <c r="A35" s="83">
        <v>35431</v>
      </c>
      <c r="B35" s="84">
        <f t="shared" si="1"/>
        <v>1997</v>
      </c>
      <c r="C35" s="85">
        <v>2.88</v>
      </c>
      <c r="D35" s="78">
        <f>IF(GasSwitch=0,VLOOKUP($A35,[5]!GasCurve,4),VLOOKUP($A35,[5]!AecoCurve,5))</f>
        <v>2.88</v>
      </c>
      <c r="E35" s="86">
        <v>0</v>
      </c>
      <c r="F35" s="87">
        <f t="shared" si="5"/>
        <v>2.88</v>
      </c>
      <c r="G35" s="88"/>
      <c r="H35" s="89">
        <v>24.15</v>
      </c>
      <c r="I35" s="78">
        <f>IF(OilSwitch=0,VLOOKUP($A35,[5]!OilCurve,4),VLOOKUP($A35,[5]!BrentCurve,4))</f>
        <v>24.15</v>
      </c>
      <c r="J35" s="86">
        <v>0</v>
      </c>
      <c r="K35" s="87">
        <f t="shared" si="6"/>
        <v>24.15</v>
      </c>
      <c r="M35" s="90">
        <f t="shared" si="4"/>
        <v>2008</v>
      </c>
      <c r="N35" s="82">
        <f>AVERAGE(F167:F178)</f>
        <v>3.044883950378491</v>
      </c>
      <c r="O35" s="82">
        <f>AVERAGE(K167:K178)</f>
        <v>19.559958007684404</v>
      </c>
      <c r="AP35" s="21"/>
      <c r="AQ35" s="21"/>
      <c r="AR35" s="21"/>
      <c r="AS35" s="21"/>
    </row>
    <row r="36" spans="1:45" x14ac:dyDescent="0.15">
      <c r="A36" s="75">
        <v>35462</v>
      </c>
      <c r="B36" s="76">
        <f t="shared" si="1"/>
        <v>1997</v>
      </c>
      <c r="C36" s="77">
        <v>1.79</v>
      </c>
      <c r="D36" s="78">
        <f>IF(GasSwitch=0,VLOOKUP($A36,[5]!GasCurve,4),VLOOKUP($A36,[5]!AecoCurve,5))</f>
        <v>1.79</v>
      </c>
      <c r="E36" s="79">
        <v>0</v>
      </c>
      <c r="F36" s="80">
        <f t="shared" si="5"/>
        <v>1.7899999999999998</v>
      </c>
      <c r="G36" s="80"/>
      <c r="H36" s="81">
        <v>20.3</v>
      </c>
      <c r="I36" s="78">
        <f>IF(OilSwitch=0,VLOOKUP($A36,[5]!OilCurve,4),VLOOKUP($A36,[5]!BrentCurve,4))</f>
        <v>20.3</v>
      </c>
      <c r="J36" s="79">
        <v>0</v>
      </c>
      <c r="K36" s="80">
        <f t="shared" si="6"/>
        <v>20.300000000000004</v>
      </c>
      <c r="M36" s="90">
        <f t="shared" si="4"/>
        <v>2009</v>
      </c>
      <c r="N36" s="82">
        <f>AVERAGE(F179:F190)</f>
        <v>3.0785328085180041</v>
      </c>
      <c r="O36" s="82">
        <f>AVERAGE(K179:K190)</f>
        <v>20.055651892358327</v>
      </c>
      <c r="AP36" s="21"/>
      <c r="AQ36" s="21"/>
      <c r="AR36" s="21"/>
      <c r="AS36" s="21"/>
    </row>
    <row r="37" spans="1:45" x14ac:dyDescent="0.15">
      <c r="A37" s="75">
        <v>35490</v>
      </c>
      <c r="B37" s="76">
        <f t="shared" si="1"/>
        <v>1997</v>
      </c>
      <c r="C37" s="77">
        <v>1.85</v>
      </c>
      <c r="D37" s="78">
        <f>IF(GasSwitch=0,VLOOKUP($A37,[5]!GasCurve,4),VLOOKUP($A37,[5]!AecoCurve,5))</f>
        <v>1.85</v>
      </c>
      <c r="E37" s="79">
        <v>0</v>
      </c>
      <c r="F37" s="80">
        <f t="shared" si="5"/>
        <v>1.8499999999999999</v>
      </c>
      <c r="G37" s="80"/>
      <c r="H37" s="81">
        <v>20.41</v>
      </c>
      <c r="I37" s="78">
        <f>IF(OilSwitch=0,VLOOKUP($A37,[5]!OilCurve,4),VLOOKUP($A37,[5]!BrentCurve,4))</f>
        <v>20.41</v>
      </c>
      <c r="J37" s="79">
        <v>0</v>
      </c>
      <c r="K37" s="80">
        <f t="shared" si="6"/>
        <v>20.410000000000004</v>
      </c>
      <c r="M37" s="90">
        <f t="shared" si="4"/>
        <v>2010</v>
      </c>
      <c r="N37" s="82">
        <f>AVERAGE(F191:F202)</f>
        <v>3.1634924224136838</v>
      </c>
      <c r="O37" s="82">
        <f>AVERAGE(K191:K202)</f>
        <v>20.776296788810665</v>
      </c>
      <c r="AP37" s="21"/>
      <c r="AQ37" s="21"/>
      <c r="AR37" s="21"/>
      <c r="AS37" s="21"/>
    </row>
    <row r="38" spans="1:45" x14ac:dyDescent="0.15">
      <c r="A38" s="75">
        <v>35521</v>
      </c>
      <c r="B38" s="76">
        <f t="shared" si="1"/>
        <v>1997</v>
      </c>
      <c r="C38" s="77">
        <v>2.1</v>
      </c>
      <c r="D38" s="78">
        <f>IF(GasSwitch=0,VLOOKUP($A38,[5]!GasCurve,4),VLOOKUP($A38,[5]!AecoCurve,5))</f>
        <v>2.1</v>
      </c>
      <c r="E38" s="79">
        <v>0</v>
      </c>
      <c r="F38" s="80">
        <f t="shared" si="5"/>
        <v>2.1</v>
      </c>
      <c r="G38" s="80"/>
      <c r="H38" s="81">
        <v>20.21</v>
      </c>
      <c r="I38" s="78">
        <f>IF(OilSwitch=0,VLOOKUP($A38,[5]!OilCurve,4),VLOOKUP($A38,[5]!BrentCurve,4))</f>
        <v>20.21</v>
      </c>
      <c r="J38" s="79">
        <v>0</v>
      </c>
      <c r="K38" s="80">
        <f t="shared" si="6"/>
        <v>20.210000000000004</v>
      </c>
      <c r="M38" s="90">
        <f t="shared" si="4"/>
        <v>2011</v>
      </c>
      <c r="N38" s="82">
        <f>AVERAGE(F203:F214)</f>
        <v>3.2379933772990568</v>
      </c>
      <c r="O38" s="82">
        <f>AVERAGE(K203:K214)</f>
        <v>21.371895097373883</v>
      </c>
      <c r="AP38" s="21"/>
      <c r="AQ38" s="21"/>
      <c r="AR38" s="21"/>
      <c r="AS38" s="21"/>
    </row>
    <row r="39" spans="1:45" x14ac:dyDescent="0.15">
      <c r="A39" s="75">
        <v>35551</v>
      </c>
      <c r="B39" s="76">
        <f t="shared" si="1"/>
        <v>1997</v>
      </c>
      <c r="C39" s="77">
        <v>2.2000000000000002</v>
      </c>
      <c r="D39" s="78">
        <f>IF(GasSwitch=0,VLOOKUP($A39,[5]!GasCurve,4),VLOOKUP($A39,[5]!AecoCurve,5))</f>
        <v>2.2000000000000002</v>
      </c>
      <c r="E39" s="79">
        <v>0</v>
      </c>
      <c r="F39" s="80">
        <f t="shared" si="5"/>
        <v>2.2000000000000002</v>
      </c>
      <c r="G39" s="80"/>
      <c r="H39" s="81">
        <v>20.88</v>
      </c>
      <c r="I39" s="78">
        <f>IF(OilSwitch=0,VLOOKUP($A39,[5]!OilCurve,4),VLOOKUP($A39,[5]!BrentCurve,4))</f>
        <v>20.88</v>
      </c>
      <c r="J39" s="79">
        <v>0</v>
      </c>
      <c r="K39" s="80">
        <f t="shared" si="6"/>
        <v>20.880000000000003</v>
      </c>
      <c r="M39" s="90">
        <f t="shared" si="4"/>
        <v>2012</v>
      </c>
      <c r="N39" s="82">
        <f>AVERAGE(F215:F226)</f>
        <v>3.3410846234479799</v>
      </c>
      <c r="O39" s="82">
        <f>AVERAGE(K215:K226)</f>
        <v>22.000666874784411</v>
      </c>
      <c r="AP39" s="21"/>
      <c r="AQ39" s="21"/>
      <c r="AR39" s="21"/>
      <c r="AS39" s="21"/>
    </row>
    <row r="40" spans="1:45" x14ac:dyDescent="0.15">
      <c r="A40" s="75">
        <v>35582</v>
      </c>
      <c r="B40" s="76">
        <f t="shared" si="1"/>
        <v>1997</v>
      </c>
      <c r="C40" s="77">
        <v>2.17</v>
      </c>
      <c r="D40" s="78">
        <f>IF(GasSwitch=0,VLOOKUP($A40,[5]!GasCurve,4),VLOOKUP($A40,[5]!AecoCurve,5))</f>
        <v>2.17</v>
      </c>
      <c r="E40" s="79">
        <v>0</v>
      </c>
      <c r="F40" s="80">
        <f t="shared" si="5"/>
        <v>2.17</v>
      </c>
      <c r="G40" s="80"/>
      <c r="H40" s="81">
        <v>19.8</v>
      </c>
      <c r="I40" s="78">
        <f>IF(OilSwitch=0,VLOOKUP($A40,[5]!OilCurve,4),VLOOKUP($A40,[5]!BrentCurve,4))</f>
        <v>19.8</v>
      </c>
      <c r="J40" s="79">
        <v>0</v>
      </c>
      <c r="K40" s="80">
        <f t="shared" si="6"/>
        <v>19.800000000000004</v>
      </c>
      <c r="M40" s="90">
        <f t="shared" si="4"/>
        <v>2013</v>
      </c>
      <c r="N40" s="82">
        <f>AVERAGE(F227:F238)</f>
        <v>3.4310919673019931</v>
      </c>
      <c r="O40" s="82">
        <f>AVERAGE(K227:K238)</f>
        <v>22.450747757152353</v>
      </c>
      <c r="AP40" s="21"/>
      <c r="AQ40" s="21"/>
      <c r="AR40" s="21"/>
      <c r="AS40" s="21"/>
    </row>
    <row r="41" spans="1:45" x14ac:dyDescent="0.15">
      <c r="A41" s="75">
        <v>35612</v>
      </c>
      <c r="B41" s="76">
        <f t="shared" si="1"/>
        <v>1997</v>
      </c>
      <c r="C41" s="77">
        <v>2.23</v>
      </c>
      <c r="D41" s="78">
        <f>IF(GasSwitch=0,VLOOKUP($A41,[5]!GasCurve,4),VLOOKUP($A41,[5]!AecoCurve,5))</f>
        <v>2.23</v>
      </c>
      <c r="E41" s="79">
        <v>0</v>
      </c>
      <c r="F41" s="80">
        <f t="shared" si="5"/>
        <v>2.23</v>
      </c>
      <c r="G41" s="80"/>
      <c r="H41" s="81">
        <v>20.14</v>
      </c>
      <c r="I41" s="78">
        <f>IF(OilSwitch=0,VLOOKUP($A41,[5]!OilCurve,4),VLOOKUP($A41,[5]!BrentCurve,4))</f>
        <v>20.14</v>
      </c>
      <c r="J41" s="79">
        <v>0</v>
      </c>
      <c r="K41" s="80">
        <f t="shared" si="6"/>
        <v>20.140000000000004</v>
      </c>
      <c r="M41" s="90">
        <f t="shared" si="4"/>
        <v>2014</v>
      </c>
      <c r="N41" s="82">
        <f>AVERAGE(F239:F250)</f>
        <v>3.5188379993231749</v>
      </c>
      <c r="O41" s="82">
        <f>AVERAGE(K239:K250)</f>
        <v>23.186395440313415</v>
      </c>
      <c r="AP41" s="21"/>
      <c r="AQ41" s="21"/>
      <c r="AR41" s="21"/>
      <c r="AS41" s="21"/>
    </row>
    <row r="42" spans="1:45" x14ac:dyDescent="0.15">
      <c r="A42" s="75">
        <v>35643</v>
      </c>
      <c r="B42" s="76">
        <f t="shared" si="1"/>
        <v>1997</v>
      </c>
      <c r="C42" s="77">
        <v>2.7</v>
      </c>
      <c r="D42" s="78">
        <f>IF(GasSwitch=0,VLOOKUP($A42,[5]!GasCurve,4),VLOOKUP($A42,[5]!AecoCurve,5))</f>
        <v>2.7</v>
      </c>
      <c r="E42" s="79">
        <v>0</v>
      </c>
      <c r="F42" s="80">
        <f t="shared" si="5"/>
        <v>2.7</v>
      </c>
      <c r="G42" s="80"/>
      <c r="H42" s="81">
        <v>19.61</v>
      </c>
      <c r="I42" s="78">
        <f>IF(OilSwitch=0,VLOOKUP($A42,[5]!OilCurve,4),VLOOKUP($A42,[5]!BrentCurve,4))</f>
        <v>19.61</v>
      </c>
      <c r="J42" s="79">
        <v>0</v>
      </c>
      <c r="K42" s="80">
        <f t="shared" si="6"/>
        <v>19.610000000000003</v>
      </c>
      <c r="M42" s="90">
        <f t="shared" si="4"/>
        <v>2015</v>
      </c>
      <c r="N42" s="82">
        <f>AVERAGE(F251:F262)</f>
        <v>3.6227454064444227</v>
      </c>
      <c r="O42" s="82">
        <f>AVERAGE(K251:K262)</f>
        <v>23.954891588624687</v>
      </c>
      <c r="AP42" s="21"/>
      <c r="AQ42" s="21"/>
      <c r="AR42" s="21"/>
      <c r="AS42" s="21"/>
    </row>
    <row r="43" spans="1:45" x14ac:dyDescent="0.15">
      <c r="A43" s="75">
        <v>35674</v>
      </c>
      <c r="B43" s="76">
        <f t="shared" si="1"/>
        <v>1997</v>
      </c>
      <c r="C43" s="77">
        <v>2.97</v>
      </c>
      <c r="D43" s="78">
        <f>IF(GasSwitch=0,VLOOKUP($A43,[5]!GasCurve,4),VLOOKUP($A43,[5]!AecoCurve,5))</f>
        <v>2.97</v>
      </c>
      <c r="E43" s="79">
        <v>0</v>
      </c>
      <c r="F43" s="80">
        <f t="shared" si="5"/>
        <v>2.97</v>
      </c>
      <c r="G43" s="80"/>
      <c r="H43" s="81">
        <v>21.18</v>
      </c>
      <c r="I43" s="78">
        <f>IF(OilSwitch=0,VLOOKUP($A43,[5]!OilCurve,4),VLOOKUP($A43,[5]!BrentCurve,4))</f>
        <v>21.18</v>
      </c>
      <c r="J43" s="79">
        <v>0</v>
      </c>
      <c r="K43" s="80">
        <f t="shared" si="6"/>
        <v>21.180000000000003</v>
      </c>
      <c r="M43" s="90">
        <f t="shared" si="4"/>
        <v>2016</v>
      </c>
      <c r="N43" s="82">
        <f>AVERAGE(F263:F274)</f>
        <v>3.7481789813050437</v>
      </c>
      <c r="O43" s="82">
        <f>AVERAGE(K263:K274)</f>
        <v>24.370540603656227</v>
      </c>
      <c r="AP43" s="21"/>
      <c r="AQ43" s="21"/>
      <c r="AR43" s="21"/>
      <c r="AS43" s="21"/>
    </row>
    <row r="44" spans="1:45" x14ac:dyDescent="0.15">
      <c r="A44" s="75">
        <v>35704</v>
      </c>
      <c r="B44" s="76">
        <f t="shared" si="1"/>
        <v>1997</v>
      </c>
      <c r="C44" s="77">
        <v>3.27</v>
      </c>
      <c r="D44" s="78">
        <f>IF(GasSwitch=0,VLOOKUP($A44,[5]!GasCurve,4),VLOOKUP($A44,[5]!AecoCurve,5))</f>
        <v>3.27</v>
      </c>
      <c r="E44" s="79">
        <v>0</v>
      </c>
      <c r="F44" s="80">
        <f t="shared" si="5"/>
        <v>3.27</v>
      </c>
      <c r="G44" s="80"/>
      <c r="H44" s="81">
        <v>21.08</v>
      </c>
      <c r="I44" s="78">
        <f>IF(OilSwitch=0,VLOOKUP($A44,[5]!OilCurve,4),VLOOKUP($A44,[5]!BrentCurve,4))</f>
        <v>21.08</v>
      </c>
      <c r="J44" s="79">
        <v>0</v>
      </c>
      <c r="K44" s="80">
        <f t="shared" si="6"/>
        <v>21.080000000000002</v>
      </c>
      <c r="M44" s="90">
        <f t="shared" si="4"/>
        <v>2017</v>
      </c>
      <c r="N44" s="82">
        <f>AVERAGE(F275:F286)</f>
        <v>3.8519840950692905</v>
      </c>
      <c r="O44" s="82">
        <f>AVERAGE(K275:K286)</f>
        <v>24.249007051397523</v>
      </c>
      <c r="AP44" s="21"/>
      <c r="AQ44" s="21"/>
      <c r="AR44" s="21"/>
      <c r="AS44" s="21"/>
    </row>
    <row r="45" spans="1:45" x14ac:dyDescent="0.15">
      <c r="A45" s="75">
        <v>35735</v>
      </c>
      <c r="B45" s="76">
        <f t="shared" si="1"/>
        <v>1997</v>
      </c>
      <c r="C45" s="77">
        <v>2.4</v>
      </c>
      <c r="D45" s="78">
        <f>IF(GasSwitch=0,VLOOKUP($A45,[5]!GasCurve,4),VLOOKUP($A45,[5]!AecoCurve,5))</f>
        <v>2.4</v>
      </c>
      <c r="E45" s="79">
        <v>0</v>
      </c>
      <c r="F45" s="80">
        <f t="shared" si="5"/>
        <v>2.4</v>
      </c>
      <c r="G45" s="80"/>
      <c r="H45" s="81">
        <v>19.149999999999999</v>
      </c>
      <c r="I45" s="78">
        <f>IF(OilSwitch=0,VLOOKUP($A45,[5]!OilCurve,4),VLOOKUP($A45,[5]!BrentCurve,4))</f>
        <v>19.149999999999999</v>
      </c>
      <c r="J45" s="79">
        <v>0</v>
      </c>
      <c r="K45" s="80">
        <f t="shared" si="6"/>
        <v>19.150000000000002</v>
      </c>
      <c r="M45" s="90">
        <f t="shared" si="4"/>
        <v>2018</v>
      </c>
      <c r="N45" s="82">
        <f t="shared" ref="N45:N50" si="7">SUMIF($B$23:$B$363,M45,$F$23:$F$386)/12</f>
        <v>3.9378206826128754</v>
      </c>
      <c r="O45" s="82">
        <f t="shared" ref="O45:O50" si="8">SUMIF($B$23:$B$363,M45,$K$23:$K$386)/12</f>
        <v>21.163829524913378</v>
      </c>
      <c r="AP45" s="21"/>
      <c r="AQ45" s="21"/>
      <c r="AR45" s="21"/>
      <c r="AS45" s="21"/>
    </row>
    <row r="46" spans="1:45" x14ac:dyDescent="0.15">
      <c r="A46" s="75">
        <v>35765</v>
      </c>
      <c r="B46" s="76">
        <f t="shared" si="1"/>
        <v>1997</v>
      </c>
      <c r="C46" s="77">
        <v>2.23</v>
      </c>
      <c r="D46" s="78">
        <f>IF(GasSwitch=0,VLOOKUP($A46,[5]!GasCurve,4),VLOOKUP($A46,[5]!AecoCurve,5))</f>
        <v>2.23</v>
      </c>
      <c r="E46" s="79">
        <v>0</v>
      </c>
      <c r="F46" s="80">
        <f t="shared" si="5"/>
        <v>2.23</v>
      </c>
      <c r="G46" s="80"/>
      <c r="H46" s="81">
        <v>17.64</v>
      </c>
      <c r="I46" s="78">
        <f>IF(OilSwitch=0,VLOOKUP($A46,[5]!OilCurve,4),VLOOKUP($A46,[5]!BrentCurve,4))</f>
        <v>17.64</v>
      </c>
      <c r="J46" s="79">
        <v>0</v>
      </c>
      <c r="K46" s="80">
        <f t="shared" si="6"/>
        <v>17.640000000000004</v>
      </c>
      <c r="M46" s="90">
        <f t="shared" si="4"/>
        <v>2019</v>
      </c>
      <c r="N46" s="82">
        <f t="shared" si="7"/>
        <v>4.0769793214244894</v>
      </c>
      <c r="O46" s="82">
        <f t="shared" si="8"/>
        <v>21.119200347502019</v>
      </c>
      <c r="AP46" s="21"/>
      <c r="AQ46" s="21"/>
      <c r="AR46" s="21"/>
      <c r="AS46" s="21"/>
    </row>
    <row r="47" spans="1:45" x14ac:dyDescent="0.15">
      <c r="A47" s="83">
        <v>35796</v>
      </c>
      <c r="B47" s="84">
        <f t="shared" si="1"/>
        <v>1998</v>
      </c>
      <c r="C47" s="85">
        <v>2.0699999999999998</v>
      </c>
      <c r="D47" s="78">
        <f>IF(GasSwitch=0,VLOOKUP($A47,[5]!GasCurve,4),VLOOKUP($A47,[5]!AecoCurve,5))</f>
        <v>2.0699999999999998</v>
      </c>
      <c r="E47" s="86">
        <v>0</v>
      </c>
      <c r="F47" s="87">
        <f t="shared" si="5"/>
        <v>2.0699999999999998</v>
      </c>
      <c r="G47" s="88"/>
      <c r="H47" s="89">
        <v>17.21</v>
      </c>
      <c r="I47" s="78">
        <f>IF(OilSwitch=0,VLOOKUP($A47,[5]!OilCurve,4),VLOOKUP($A47,[5]!BrentCurve,4))</f>
        <v>17.21</v>
      </c>
      <c r="J47" s="86">
        <v>0</v>
      </c>
      <c r="K47" s="87">
        <f t="shared" si="6"/>
        <v>17.210000000000004</v>
      </c>
      <c r="M47" s="90">
        <f t="shared" si="4"/>
        <v>2020</v>
      </c>
      <c r="N47" s="82">
        <f t="shared" si="7"/>
        <v>4.2076701254613136</v>
      </c>
      <c r="O47" s="82">
        <f t="shared" si="8"/>
        <v>21.143936063838627</v>
      </c>
      <c r="AP47" s="21"/>
      <c r="AQ47" s="21"/>
      <c r="AR47" s="21"/>
      <c r="AS47" s="21"/>
    </row>
    <row r="48" spans="1:45" x14ac:dyDescent="0.15">
      <c r="A48" s="75">
        <v>35827</v>
      </c>
      <c r="B48" s="76">
        <f t="shared" si="1"/>
        <v>1998</v>
      </c>
      <c r="C48" s="77">
        <v>2.2000000000000002</v>
      </c>
      <c r="D48" s="78">
        <f>IF(GasSwitch=0,VLOOKUP($A48,[5]!GasCurve,4),VLOOKUP($A48,[5]!AecoCurve,5))</f>
        <v>2.2000000000000002</v>
      </c>
      <c r="E48" s="79">
        <v>0</v>
      </c>
      <c r="F48" s="80">
        <f t="shared" si="5"/>
        <v>2.2000000000000002</v>
      </c>
      <c r="G48" s="80"/>
      <c r="H48" s="81">
        <v>15.5</v>
      </c>
      <c r="I48" s="78">
        <f>IF(OilSwitch=0,VLOOKUP($A48,[5]!OilCurve,4),VLOOKUP($A48,[5]!BrentCurve,4))</f>
        <v>15.5</v>
      </c>
      <c r="J48" s="79">
        <v>0</v>
      </c>
      <c r="K48" s="80">
        <f t="shared" si="6"/>
        <v>15.500000000000004</v>
      </c>
      <c r="M48" s="90">
        <f t="shared" si="4"/>
        <v>2021</v>
      </c>
      <c r="N48" s="82">
        <f t="shared" si="7"/>
        <v>4.337794280287337</v>
      </c>
      <c r="O48" s="82">
        <f t="shared" si="8"/>
        <v>21.095111624308778</v>
      </c>
      <c r="AP48" s="21"/>
      <c r="AQ48" s="21"/>
      <c r="AR48" s="21"/>
      <c r="AS48" s="21"/>
    </row>
    <row r="49" spans="1:45" x14ac:dyDescent="0.15">
      <c r="A49" s="75">
        <v>35855</v>
      </c>
      <c r="B49" s="76">
        <f t="shared" si="1"/>
        <v>1998</v>
      </c>
      <c r="C49" s="77">
        <v>2.34</v>
      </c>
      <c r="D49" s="78">
        <f>IF(GasSwitch=0,VLOOKUP($A49,[5]!GasCurve,4),VLOOKUP($A49,[5]!AecoCurve,5))</f>
        <v>2.34</v>
      </c>
      <c r="E49" s="79">
        <v>0</v>
      </c>
      <c r="F49" s="80">
        <f t="shared" si="5"/>
        <v>2.34</v>
      </c>
      <c r="G49" s="80"/>
      <c r="H49" s="81">
        <v>15.7</v>
      </c>
      <c r="I49" s="78">
        <f>IF(OilSwitch=0,VLOOKUP($A49,[5]!OilCurve,4),VLOOKUP($A49,[5]!BrentCurve,4))</f>
        <v>15.7</v>
      </c>
      <c r="J49" s="79">
        <v>0</v>
      </c>
      <c r="K49" s="80">
        <f t="shared" si="6"/>
        <v>15.700000000000003</v>
      </c>
      <c r="M49" s="90">
        <f t="shared" si="4"/>
        <v>2022</v>
      </c>
      <c r="N49" s="82">
        <f t="shared" si="7"/>
        <v>4.4876693409511841</v>
      </c>
      <c r="O49" s="82">
        <f t="shared" si="8"/>
        <v>21.117103107637583</v>
      </c>
      <c r="AP49" s="21"/>
      <c r="AQ49" s="21"/>
      <c r="AR49" s="21"/>
      <c r="AS49" s="21"/>
    </row>
    <row r="50" spans="1:45" x14ac:dyDescent="0.15">
      <c r="A50" s="75">
        <v>35886</v>
      </c>
      <c r="B50" s="76">
        <f t="shared" si="1"/>
        <v>1998</v>
      </c>
      <c r="C50" s="77">
        <v>2.14</v>
      </c>
      <c r="D50" s="78">
        <f>IF(GasSwitch=0,VLOOKUP($A50,[5]!GasCurve,4),VLOOKUP($A50,[5]!AecoCurve,5))</f>
        <v>2.14</v>
      </c>
      <c r="E50" s="79">
        <v>0</v>
      </c>
      <c r="F50" s="80">
        <f t="shared" si="5"/>
        <v>2.14</v>
      </c>
      <c r="G50" s="80"/>
      <c r="H50" s="81">
        <v>15.48</v>
      </c>
      <c r="I50" s="78">
        <f>IF(OilSwitch=0,VLOOKUP($A50,[5]!OilCurve,4),VLOOKUP($A50,[5]!BrentCurve,4))</f>
        <v>15.48</v>
      </c>
      <c r="J50" s="79">
        <v>0</v>
      </c>
      <c r="K50" s="80">
        <f t="shared" si="6"/>
        <v>15.480000000000004</v>
      </c>
      <c r="M50" s="90">
        <f t="shared" si="4"/>
        <v>2023</v>
      </c>
      <c r="N50" s="82">
        <f t="shared" si="7"/>
        <v>4.6370367055966071</v>
      </c>
      <c r="O50" s="82">
        <f t="shared" si="8"/>
        <v>21.154059553669729</v>
      </c>
      <c r="AP50" s="21"/>
      <c r="AQ50" s="21"/>
      <c r="AR50" s="21"/>
      <c r="AS50" s="21"/>
    </row>
    <row r="51" spans="1:45" x14ac:dyDescent="0.15">
      <c r="A51" s="75">
        <v>35916</v>
      </c>
      <c r="B51" s="76">
        <f t="shared" si="1"/>
        <v>1998</v>
      </c>
      <c r="C51" s="77">
        <v>2.11</v>
      </c>
      <c r="D51" s="78">
        <f>IF(GasSwitch=0,VLOOKUP($A51,[5]!GasCurve,4),VLOOKUP($A51,[5]!AecoCurve,5))</f>
        <v>2.11</v>
      </c>
      <c r="E51" s="79">
        <v>0</v>
      </c>
      <c r="F51" s="80">
        <f t="shared" si="5"/>
        <v>2.11</v>
      </c>
      <c r="G51" s="80"/>
      <c r="H51" s="81">
        <v>15.23</v>
      </c>
      <c r="I51" s="78">
        <f>IF(OilSwitch=0,VLOOKUP($A51,[5]!OilCurve,4),VLOOKUP($A51,[5]!BrentCurve,4))</f>
        <v>15.23</v>
      </c>
      <c r="J51" s="79">
        <v>0</v>
      </c>
      <c r="K51" s="80">
        <f t="shared" si="6"/>
        <v>15.230000000000002</v>
      </c>
      <c r="M51" s="90">
        <f t="shared" si="4"/>
        <v>2024</v>
      </c>
      <c r="N51" s="82">
        <f>SUMIF($B$23:$B$363,M51,$F$23:$F$386)/5</f>
        <v>4.7625934715779845</v>
      </c>
      <c r="O51" s="82">
        <f>SUMIF($B$23:$B$363,M51,$K$23:$K$386)/5</f>
        <v>21.1274324113425</v>
      </c>
      <c r="AP51" s="21"/>
      <c r="AQ51" s="21"/>
      <c r="AR51" s="21"/>
      <c r="AS51" s="21"/>
    </row>
    <row r="52" spans="1:45" x14ac:dyDescent="0.15">
      <c r="A52" s="75">
        <v>35947</v>
      </c>
      <c r="B52" s="76">
        <f t="shared" si="1"/>
        <v>1998</v>
      </c>
      <c r="C52" s="77">
        <v>2.41</v>
      </c>
      <c r="D52" s="78">
        <f>IF(GasSwitch=0,VLOOKUP($A52,[5]!GasCurve,4),VLOOKUP($A52,[5]!AecoCurve,5))</f>
        <v>2.41</v>
      </c>
      <c r="E52" s="79">
        <v>0</v>
      </c>
      <c r="F52" s="79">
        <f t="shared" ref="F52:F115" si="9">IF(shiftswitch2=1,IF(F51+$D$8*(D52-F51)+($E$8*(F51^$F$8)*E52)+(1-$D$8)*(D52-D51)&lt;0,0.01,F51+$D$8*(D52-F51)+($E$8*(F51^$F$8)*E52)+(1-$D$8)*(D52-D51)),IF(F51+$D$10*(C52-F51)+($E$10*(F51^$F$10)*E52)+(1-$D$10)*(C52-C51)&lt;0,0.01,F51+$D$10*(C52-F51)+($E$10*(F51^$F$10)*E52)+(1-$D$10)*(C52-C51)))</f>
        <v>2.41</v>
      </c>
      <c r="G52" s="80"/>
      <c r="H52" s="81">
        <v>14.26</v>
      </c>
      <c r="I52" s="78">
        <f>IF(OilSwitch=0,VLOOKUP($A52,[5]!OilCurve,4),VLOOKUP($A52,[5]!BrentCurve,4))</f>
        <v>14.26</v>
      </c>
      <c r="J52" s="79">
        <v>0</v>
      </c>
      <c r="K52" s="80">
        <f t="shared" si="6"/>
        <v>14.260000000000002</v>
      </c>
      <c r="M52" s="90"/>
      <c r="N52" s="80"/>
      <c r="AP52" s="21"/>
      <c r="AQ52" s="21"/>
      <c r="AR52" s="21"/>
      <c r="AS52" s="21"/>
    </row>
    <row r="53" spans="1:45" x14ac:dyDescent="0.15">
      <c r="A53" s="75">
        <v>35977</v>
      </c>
      <c r="B53" s="76">
        <f t="shared" si="1"/>
        <v>1998</v>
      </c>
      <c r="C53" s="77">
        <v>1.85</v>
      </c>
      <c r="D53" s="78">
        <f>IF(GasSwitch=0,VLOOKUP($A53,[5]!GasCurve,4),VLOOKUP($A53,[5]!AecoCurve,5))</f>
        <v>1.85</v>
      </c>
      <c r="E53" s="79">
        <v>0</v>
      </c>
      <c r="F53" s="79">
        <f t="shared" si="9"/>
        <v>1.85</v>
      </c>
      <c r="G53" s="80"/>
      <c r="H53" s="81">
        <v>14.26</v>
      </c>
      <c r="I53" s="78">
        <f>IF(OilSwitch=0,VLOOKUP($A53,[5]!OilCurve,4),VLOOKUP($A53,[5]!BrentCurve,4))</f>
        <v>14.26</v>
      </c>
      <c r="J53" s="79">
        <v>0</v>
      </c>
      <c r="K53" s="80">
        <f t="shared" si="6"/>
        <v>14.260000000000002</v>
      </c>
      <c r="M53" s="80"/>
      <c r="N53" s="80"/>
      <c r="AP53" s="21"/>
      <c r="AQ53" s="21"/>
      <c r="AR53" s="21"/>
      <c r="AS53" s="21"/>
    </row>
    <row r="54" spans="1:45" x14ac:dyDescent="0.15">
      <c r="A54" s="75">
        <v>36008</v>
      </c>
      <c r="B54" s="76">
        <f t="shared" si="1"/>
        <v>1998</v>
      </c>
      <c r="C54" s="77">
        <v>1.68</v>
      </c>
      <c r="D54" s="78">
        <f>IF(GasSwitch=0,VLOOKUP($A54,[5]!GasCurve,4),VLOOKUP($A54,[5]!AecoCurve,5))</f>
        <v>1.68</v>
      </c>
      <c r="E54" s="79">
        <v>0</v>
      </c>
      <c r="F54" s="79">
        <f t="shared" si="9"/>
        <v>1.68</v>
      </c>
      <c r="G54" s="80"/>
      <c r="H54" s="81">
        <v>13.38</v>
      </c>
      <c r="I54" s="78">
        <f>IF(OilSwitch=0,VLOOKUP($A54,[5]!OilCurve,4),VLOOKUP($A54,[5]!BrentCurve,4))</f>
        <v>13.38</v>
      </c>
      <c r="J54" s="79">
        <v>0</v>
      </c>
      <c r="K54" s="80">
        <f t="shared" si="6"/>
        <v>13.380000000000003</v>
      </c>
      <c r="M54" s="80"/>
      <c r="N54" s="80"/>
      <c r="AP54" s="21"/>
      <c r="AQ54" s="21"/>
      <c r="AR54" s="21"/>
      <c r="AS54" s="21"/>
    </row>
    <row r="55" spans="1:45" x14ac:dyDescent="0.15">
      <c r="A55" s="75">
        <v>36039</v>
      </c>
      <c r="B55" s="76">
        <f t="shared" si="1"/>
        <v>1998</v>
      </c>
      <c r="C55" s="77">
        <v>2.2000000000000002</v>
      </c>
      <c r="D55" s="78">
        <f>IF(GasSwitch=0,VLOOKUP($A55,[5]!GasCurve,4),VLOOKUP($A55,[5]!AecoCurve,5))</f>
        <v>2.2000000000000002</v>
      </c>
      <c r="E55" s="79">
        <v>0</v>
      </c>
      <c r="F55" s="79">
        <f t="shared" si="9"/>
        <v>2.2000000000000002</v>
      </c>
      <c r="G55" s="80"/>
      <c r="H55" s="81">
        <v>16.170000000000002</v>
      </c>
      <c r="I55" s="78">
        <f>IF(OilSwitch=0,VLOOKUP($A55,[5]!OilCurve,4),VLOOKUP($A55,[5]!BrentCurve,4))</f>
        <v>16.170000000000002</v>
      </c>
      <c r="J55" s="79">
        <v>0</v>
      </c>
      <c r="K55" s="80">
        <f t="shared" si="6"/>
        <v>16.170000000000005</v>
      </c>
      <c r="M55" s="80"/>
      <c r="AP55" s="21"/>
      <c r="AQ55" s="21"/>
      <c r="AR55" s="21"/>
      <c r="AS55" s="21"/>
    </row>
    <row r="56" spans="1:45" x14ac:dyDescent="0.15">
      <c r="A56" s="75">
        <v>36069</v>
      </c>
      <c r="B56" s="76">
        <f t="shared" si="1"/>
        <v>1998</v>
      </c>
      <c r="C56" s="77">
        <v>1.83</v>
      </c>
      <c r="D56" s="78">
        <f>IF(GasSwitch=0,VLOOKUP($A56,[5]!GasCurve,4),VLOOKUP($A56,[5]!AecoCurve,5))</f>
        <v>1.83</v>
      </c>
      <c r="E56" s="79">
        <v>0</v>
      </c>
      <c r="F56" s="79">
        <f t="shared" si="9"/>
        <v>1.8300000000000003</v>
      </c>
      <c r="G56" s="80"/>
      <c r="H56" s="81">
        <v>14.45</v>
      </c>
      <c r="I56" s="78">
        <f>IF(OilSwitch=0,VLOOKUP($A56,[5]!OilCurve,4),VLOOKUP($A56,[5]!BrentCurve,4))</f>
        <v>14.45</v>
      </c>
      <c r="J56" s="79">
        <v>0</v>
      </c>
      <c r="K56" s="80">
        <f t="shared" si="6"/>
        <v>14.450000000000003</v>
      </c>
      <c r="M56" s="80"/>
      <c r="AP56" s="21"/>
      <c r="AQ56" s="21"/>
      <c r="AR56" s="21"/>
      <c r="AS56" s="21"/>
    </row>
    <row r="57" spans="1:45" x14ac:dyDescent="0.15">
      <c r="A57" s="75">
        <v>36100</v>
      </c>
      <c r="B57" s="76">
        <f t="shared" si="1"/>
        <v>1998</v>
      </c>
      <c r="C57" s="77">
        <v>1.66</v>
      </c>
      <c r="D57" s="78">
        <f>IF(GasSwitch=0,VLOOKUP($A57,[5]!GasCurve,4),VLOOKUP($A57,[5]!AecoCurve,5))</f>
        <v>1.66</v>
      </c>
      <c r="E57" s="79">
        <v>0</v>
      </c>
      <c r="F57" s="79">
        <f t="shared" si="9"/>
        <v>1.6600000000000001</v>
      </c>
      <c r="G57" s="80"/>
      <c r="H57" s="81">
        <v>11.26</v>
      </c>
      <c r="I57" s="78">
        <f>IF(OilSwitch=0,VLOOKUP($A57,[5]!OilCurve,4),VLOOKUP($A57,[5]!BrentCurve,4))</f>
        <v>11.26</v>
      </c>
      <c r="J57" s="79">
        <v>0</v>
      </c>
      <c r="K57" s="80">
        <f t="shared" si="6"/>
        <v>11.260000000000002</v>
      </c>
      <c r="M57" s="80"/>
      <c r="AP57" s="21"/>
      <c r="AQ57" s="21"/>
      <c r="AR57" s="21"/>
      <c r="AS57" s="21"/>
    </row>
    <row r="58" spans="1:45" x14ac:dyDescent="0.15">
      <c r="A58" s="75">
        <v>36130</v>
      </c>
      <c r="B58" s="76">
        <f t="shared" si="1"/>
        <v>1998</v>
      </c>
      <c r="C58" s="77">
        <v>1.94</v>
      </c>
      <c r="D58" s="78">
        <f>IF(GasSwitch=0,VLOOKUP($A58,[5]!GasCurve,4),VLOOKUP($A58,[5]!AecoCurve,5))</f>
        <v>1.94</v>
      </c>
      <c r="E58" s="79">
        <v>0</v>
      </c>
      <c r="F58" s="79">
        <f t="shared" si="9"/>
        <v>1.94</v>
      </c>
      <c r="G58" s="80"/>
      <c r="H58" s="81">
        <v>12.09</v>
      </c>
      <c r="I58" s="78">
        <f>IF(OilSwitch=0,VLOOKUP($A58,[5]!OilCurve,4),VLOOKUP($A58,[5]!BrentCurve,4))</f>
        <v>12.09</v>
      </c>
      <c r="J58" s="79">
        <v>0</v>
      </c>
      <c r="K58" s="80">
        <f t="shared" si="6"/>
        <v>12.090000000000002</v>
      </c>
      <c r="M58" s="80"/>
      <c r="AP58" s="21"/>
      <c r="AQ58" s="21"/>
      <c r="AR58" s="21"/>
      <c r="AS58" s="21"/>
    </row>
    <row r="59" spans="1:45" x14ac:dyDescent="0.15">
      <c r="A59" s="75">
        <v>36161</v>
      </c>
      <c r="B59" s="84">
        <f t="shared" si="1"/>
        <v>1999</v>
      </c>
      <c r="C59" s="85">
        <v>1.82</v>
      </c>
      <c r="D59" s="78">
        <f>IF(GasSwitch=0,VLOOKUP($A59,[5]!GasCurve,4),VLOOKUP($A59,[5]!AecoCurve,5))</f>
        <v>1.82</v>
      </c>
      <c r="E59" s="79">
        <v>0</v>
      </c>
      <c r="F59" s="79">
        <f t="shared" si="9"/>
        <v>1.82</v>
      </c>
      <c r="G59" s="88"/>
      <c r="H59" s="89">
        <v>12.76</v>
      </c>
      <c r="I59" s="78">
        <f>IF(OilSwitch=0,VLOOKUP($A59,[5]!OilCurve,4),VLOOKUP($A59,[5]!BrentCurve,4))</f>
        <v>12.76</v>
      </c>
      <c r="J59" s="86">
        <v>0</v>
      </c>
      <c r="K59" s="87">
        <f t="shared" si="6"/>
        <v>12.760000000000002</v>
      </c>
      <c r="M59" s="80"/>
      <c r="AP59" s="21"/>
      <c r="AQ59" s="21"/>
      <c r="AR59" s="21"/>
      <c r="AS59" s="21"/>
    </row>
    <row r="60" spans="1:45" x14ac:dyDescent="0.15">
      <c r="A60" s="75">
        <v>36192</v>
      </c>
      <c r="B60" s="76">
        <f t="shared" si="1"/>
        <v>1999</v>
      </c>
      <c r="C60" s="77">
        <v>1.66</v>
      </c>
      <c r="D60" s="78">
        <f>IF(GasSwitch=0,VLOOKUP($A60,[5]!GasCurve,4),VLOOKUP($A60,[5]!AecoCurve,5))</f>
        <v>1.66</v>
      </c>
      <c r="E60" s="79">
        <v>0</v>
      </c>
      <c r="F60" s="79">
        <f t="shared" si="9"/>
        <v>1.66</v>
      </c>
      <c r="G60" s="80"/>
      <c r="H60" s="81">
        <v>12.28</v>
      </c>
      <c r="I60" s="78">
        <f>IF(OilSwitch=0,VLOOKUP($A60,[5]!OilCurve,4),VLOOKUP($A60,[5]!BrentCurve,4))</f>
        <v>12.28</v>
      </c>
      <c r="J60" s="79">
        <v>0</v>
      </c>
      <c r="K60" s="80">
        <f t="shared" si="6"/>
        <v>12.280000000000001</v>
      </c>
      <c r="M60" s="80"/>
      <c r="AP60" s="21"/>
      <c r="AQ60" s="21"/>
      <c r="AR60" s="21"/>
      <c r="AS60" s="21"/>
    </row>
    <row r="61" spans="1:45" x14ac:dyDescent="0.15">
      <c r="A61" s="75">
        <v>36220</v>
      </c>
      <c r="B61" s="76">
        <f t="shared" si="1"/>
        <v>1999</v>
      </c>
      <c r="C61" s="77">
        <v>2</v>
      </c>
      <c r="D61" s="78">
        <f>IF(GasSwitch=0,VLOOKUP($A61,[5]!GasCurve,4),VLOOKUP($A61,[5]!AecoCurve,5))</f>
        <v>2</v>
      </c>
      <c r="E61" s="79">
        <v>0</v>
      </c>
      <c r="F61" s="79">
        <f t="shared" si="9"/>
        <v>2</v>
      </c>
      <c r="G61" s="80"/>
      <c r="H61" s="81">
        <v>16.760000000000002</v>
      </c>
      <c r="I61" s="78">
        <f>IF(OilSwitch=0,VLOOKUP($A61,[5]!OilCurve,4),VLOOKUP($A61,[5]!BrentCurve,4))</f>
        <v>16.760000000000002</v>
      </c>
      <c r="J61" s="79">
        <v>0</v>
      </c>
      <c r="K61" s="80">
        <f t="shared" si="6"/>
        <v>16.760000000000002</v>
      </c>
      <c r="M61" s="80"/>
      <c r="AP61" s="21"/>
      <c r="AQ61" s="21"/>
      <c r="AR61" s="21"/>
      <c r="AS61" s="21"/>
    </row>
    <row r="62" spans="1:45" x14ac:dyDescent="0.15">
      <c r="A62" s="75">
        <v>36251</v>
      </c>
      <c r="B62" s="76">
        <f t="shared" si="1"/>
        <v>1999</v>
      </c>
      <c r="C62" s="77">
        <v>2.25</v>
      </c>
      <c r="D62" s="78">
        <f>IF(GasSwitch=0,VLOOKUP($A62,[5]!GasCurve,4),VLOOKUP($A62,[5]!AecoCurve,5))</f>
        <v>2.25</v>
      </c>
      <c r="E62" s="79">
        <v>0</v>
      </c>
      <c r="F62" s="79">
        <f t="shared" si="9"/>
        <v>2.25</v>
      </c>
      <c r="G62" s="80"/>
      <c r="H62" s="81">
        <v>18.66</v>
      </c>
      <c r="I62" s="78">
        <f>IF(OilSwitch=0,VLOOKUP($A62,[5]!OilCurve,4),VLOOKUP($A62,[5]!BrentCurve,4))</f>
        <v>18.66</v>
      </c>
      <c r="J62" s="79">
        <v>0</v>
      </c>
      <c r="K62" s="80">
        <f t="shared" si="6"/>
        <v>18.66</v>
      </c>
      <c r="M62" s="80"/>
      <c r="AP62" s="21"/>
      <c r="AQ62" s="21"/>
      <c r="AR62" s="21"/>
      <c r="AS62" s="21"/>
    </row>
    <row r="63" spans="1:45" x14ac:dyDescent="0.15">
      <c r="A63" s="75">
        <v>36281</v>
      </c>
      <c r="B63" s="76">
        <f t="shared" si="1"/>
        <v>1999</v>
      </c>
      <c r="C63" s="77">
        <v>2.29</v>
      </c>
      <c r="D63" s="78">
        <f>IF(GasSwitch=0,VLOOKUP($A63,[5]!GasCurve,4),VLOOKUP($A63,[5]!AecoCurve,5))</f>
        <v>2.29</v>
      </c>
      <c r="E63" s="79">
        <v>0</v>
      </c>
      <c r="F63" s="79">
        <f t="shared" si="9"/>
        <v>2.29</v>
      </c>
      <c r="G63" s="80"/>
      <c r="H63" s="81">
        <v>16.84</v>
      </c>
      <c r="I63" s="78">
        <f>IF(OilSwitch=0,VLOOKUP($A63,[5]!OilCurve,4),VLOOKUP($A63,[5]!BrentCurve,4))</f>
        <v>16.84</v>
      </c>
      <c r="J63" s="79">
        <v>0</v>
      </c>
      <c r="K63" s="80">
        <f t="shared" si="6"/>
        <v>16.84</v>
      </c>
      <c r="M63" s="80"/>
      <c r="AP63" s="21"/>
      <c r="AQ63" s="21"/>
      <c r="AR63" s="21"/>
      <c r="AS63" s="21"/>
    </row>
    <row r="64" spans="1:45" x14ac:dyDescent="0.15">
      <c r="A64" s="75">
        <v>36312</v>
      </c>
      <c r="B64" s="76">
        <f t="shared" si="1"/>
        <v>1999</v>
      </c>
      <c r="C64" s="77">
        <v>2.33</v>
      </c>
      <c r="D64" s="78">
        <f>IF(GasSwitch=0,VLOOKUP($A64,[5]!GasCurve,4),VLOOKUP($A64,[5]!AecoCurve,5))</f>
        <v>2.33</v>
      </c>
      <c r="E64" s="79">
        <v>0</v>
      </c>
      <c r="F64" s="79">
        <f t="shared" si="9"/>
        <v>2.33</v>
      </c>
      <c r="G64" s="80"/>
      <c r="H64" s="81">
        <v>19.29</v>
      </c>
      <c r="I64" s="78">
        <f>IF(OilSwitch=0,VLOOKUP($A64,[5]!OilCurve,4),VLOOKUP($A64,[5]!BrentCurve,4))</f>
        <v>19.29</v>
      </c>
      <c r="J64" s="79">
        <v>0</v>
      </c>
      <c r="K64" s="80">
        <f t="shared" si="6"/>
        <v>19.29</v>
      </c>
      <c r="M64" s="80"/>
      <c r="AP64" s="21"/>
      <c r="AQ64" s="21"/>
      <c r="AR64" s="21"/>
      <c r="AS64" s="21"/>
    </row>
    <row r="65" spans="1:45" x14ac:dyDescent="0.15">
      <c r="A65" s="75">
        <v>36342</v>
      </c>
      <c r="B65" s="76">
        <f t="shared" si="1"/>
        <v>1999</v>
      </c>
      <c r="C65" s="77">
        <v>2.5499999999999998</v>
      </c>
      <c r="D65" s="78">
        <f>IF(GasSwitch=0,VLOOKUP($A65,[5]!GasCurve,4),VLOOKUP($A65,[5]!AecoCurve,5))</f>
        <v>2.5499999999999998</v>
      </c>
      <c r="E65" s="79">
        <v>0</v>
      </c>
      <c r="F65" s="80">
        <f t="shared" si="9"/>
        <v>2.5499999999999998</v>
      </c>
      <c r="G65" s="80"/>
      <c r="H65" s="81">
        <v>20.53</v>
      </c>
      <c r="I65" s="78">
        <f>IF(OilSwitch=0,VLOOKUP($A65,[5]!OilCurve,4),VLOOKUP($A65,[5]!BrentCurve,4))</f>
        <v>20.53</v>
      </c>
      <c r="J65" s="79">
        <v>0</v>
      </c>
      <c r="K65" s="80">
        <f t="shared" si="6"/>
        <v>20.53</v>
      </c>
      <c r="M65" s="80"/>
      <c r="AP65" s="21"/>
      <c r="AQ65" s="21"/>
      <c r="AR65" s="21"/>
      <c r="AS65" s="21"/>
    </row>
    <row r="66" spans="1:45" x14ac:dyDescent="0.15">
      <c r="A66" s="75">
        <v>36373</v>
      </c>
      <c r="B66" s="76">
        <f t="shared" si="1"/>
        <v>1999</v>
      </c>
      <c r="C66" s="77">
        <v>2.87</v>
      </c>
      <c r="D66" s="78">
        <f>IF(GasSwitch=0,VLOOKUP($A66,[5]!GasCurve,4),VLOOKUP($A66,[5]!AecoCurve,5))</f>
        <v>2.87</v>
      </c>
      <c r="E66" s="79">
        <v>0</v>
      </c>
      <c r="F66" s="80">
        <f t="shared" si="9"/>
        <v>2.87</v>
      </c>
      <c r="G66" s="80"/>
      <c r="H66" s="81">
        <v>22.11</v>
      </c>
      <c r="I66" s="78">
        <f>IF(OilSwitch=0,VLOOKUP($A66,[5]!OilCurve,4),VLOOKUP($A66,[5]!BrentCurve,4))</f>
        <v>22.11</v>
      </c>
      <c r="J66" s="79">
        <v>0</v>
      </c>
      <c r="K66" s="80">
        <f t="shared" si="6"/>
        <v>22.11</v>
      </c>
      <c r="M66" s="80"/>
      <c r="AP66" s="21"/>
      <c r="AQ66" s="21"/>
      <c r="AR66" s="21"/>
      <c r="AS66" s="21"/>
    </row>
    <row r="67" spans="1:45" x14ac:dyDescent="0.15">
      <c r="A67" s="75">
        <v>36404</v>
      </c>
      <c r="B67" s="76">
        <f t="shared" si="1"/>
        <v>1999</v>
      </c>
      <c r="C67" s="77">
        <v>2.3199999999999998</v>
      </c>
      <c r="D67" s="78">
        <f>IF(GasSwitch=0,VLOOKUP($A67,[5]!GasCurve,4),VLOOKUP($A67,[5]!AecoCurve,5))</f>
        <v>2.3199999999999998</v>
      </c>
      <c r="E67" s="79">
        <v>0</v>
      </c>
      <c r="F67" s="80">
        <f t="shared" si="9"/>
        <v>2.3199999999999998</v>
      </c>
      <c r="G67" s="80"/>
      <c r="H67" s="81">
        <v>24.51</v>
      </c>
      <c r="I67" s="78">
        <f>IF(OilSwitch=0,VLOOKUP($A67,[5]!OilCurve,4),VLOOKUP($A67,[5]!BrentCurve,4))</f>
        <v>24.51</v>
      </c>
      <c r="J67" s="79">
        <v>0</v>
      </c>
      <c r="K67" s="80">
        <f t="shared" si="6"/>
        <v>24.51</v>
      </c>
      <c r="M67" s="80"/>
      <c r="AP67" s="21"/>
      <c r="AQ67" s="21"/>
      <c r="AR67" s="21"/>
      <c r="AS67" s="21"/>
    </row>
    <row r="68" spans="1:45" x14ac:dyDescent="0.15">
      <c r="A68" s="75">
        <v>36434</v>
      </c>
      <c r="B68" s="76">
        <f t="shared" si="1"/>
        <v>1999</v>
      </c>
      <c r="C68" s="77">
        <v>2.75</v>
      </c>
      <c r="D68" s="78">
        <f>IF(GasSwitch=0,VLOOKUP($A68,[5]!GasCurve,4),VLOOKUP($A68,[5]!AecoCurve,5))</f>
        <v>2.75</v>
      </c>
      <c r="E68" s="79">
        <v>0</v>
      </c>
      <c r="F68" s="80">
        <f t="shared" si="9"/>
        <v>2.75</v>
      </c>
      <c r="G68" s="80"/>
      <c r="H68" s="81">
        <v>21.75</v>
      </c>
      <c r="I68" s="78">
        <f>IF(OilSwitch=0,VLOOKUP($A68,[5]!OilCurve,4),VLOOKUP($A68,[5]!BrentCurve,4))</f>
        <v>21.75</v>
      </c>
      <c r="J68" s="79">
        <v>0</v>
      </c>
      <c r="K68" s="80">
        <f t="shared" si="6"/>
        <v>21.75</v>
      </c>
      <c r="M68" s="80"/>
      <c r="AP68" s="21"/>
      <c r="AQ68" s="21"/>
      <c r="AR68" s="21"/>
      <c r="AS68" s="21"/>
    </row>
    <row r="69" spans="1:45" x14ac:dyDescent="0.15">
      <c r="A69" s="75">
        <v>36465</v>
      </c>
      <c r="B69" s="76">
        <f t="shared" si="1"/>
        <v>1999</v>
      </c>
      <c r="C69" s="77">
        <v>2.17</v>
      </c>
      <c r="D69" s="78">
        <f>IF(GasSwitch=0,VLOOKUP($A69,[5]!GasCurve,4),VLOOKUP($A69,[5]!AecoCurve,5))</f>
        <v>2.17</v>
      </c>
      <c r="E69" s="79">
        <v>0</v>
      </c>
      <c r="F69" s="80">
        <f t="shared" si="9"/>
        <v>2.17</v>
      </c>
      <c r="G69" s="80"/>
      <c r="H69" s="81">
        <v>24.59</v>
      </c>
      <c r="I69" s="78">
        <f>IF(OilSwitch=0,VLOOKUP($A69,[5]!OilCurve,4),VLOOKUP($A69,[5]!BrentCurve,4))</f>
        <v>24.59</v>
      </c>
      <c r="J69" s="79">
        <v>0</v>
      </c>
      <c r="K69" s="80">
        <f t="shared" si="6"/>
        <v>24.59</v>
      </c>
      <c r="M69" s="80"/>
      <c r="AP69" s="21"/>
      <c r="AQ69" s="21"/>
      <c r="AR69" s="21"/>
      <c r="AS69" s="21"/>
    </row>
    <row r="70" spans="1:45" x14ac:dyDescent="0.15">
      <c r="A70" s="75">
        <v>36495</v>
      </c>
      <c r="B70" s="76">
        <f t="shared" si="1"/>
        <v>1999</v>
      </c>
      <c r="C70" s="77">
        <v>2.2999999999999998</v>
      </c>
      <c r="D70" s="78">
        <f>IF(GasSwitch=0,VLOOKUP($A70,[5]!GasCurve,4),VLOOKUP($A70,[5]!AecoCurve,5))</f>
        <v>2.2999999999999998</v>
      </c>
      <c r="E70" s="79">
        <v>0</v>
      </c>
      <c r="F70" s="80">
        <f t="shared" si="9"/>
        <v>2.2999999999999998</v>
      </c>
      <c r="G70" s="80"/>
      <c r="H70" s="81">
        <v>25.6</v>
      </c>
      <c r="I70" s="78">
        <f>IF(OilSwitch=0,VLOOKUP($A70,[5]!OilCurve,4),VLOOKUP($A70,[5]!BrentCurve,4))</f>
        <v>25.6</v>
      </c>
      <c r="J70" s="79">
        <v>0</v>
      </c>
      <c r="K70" s="80">
        <f t="shared" si="6"/>
        <v>25.6</v>
      </c>
      <c r="M70" s="80"/>
      <c r="AP70" s="21"/>
      <c r="AQ70" s="21"/>
      <c r="AR70" s="21"/>
      <c r="AS70" s="21"/>
    </row>
    <row r="71" spans="1:45" x14ac:dyDescent="0.15">
      <c r="A71" s="75">
        <v>36526</v>
      </c>
      <c r="B71" s="84">
        <f t="shared" si="1"/>
        <v>2000</v>
      </c>
      <c r="C71" s="85">
        <v>2.71</v>
      </c>
      <c r="D71" s="78">
        <f>IF(GasSwitch=0,VLOOKUP($A71,[5]!GasCurve,4),VLOOKUP($A71,[5]!AecoCurve,5))</f>
        <v>2.71</v>
      </c>
      <c r="E71" s="79">
        <v>0</v>
      </c>
      <c r="F71" s="80">
        <f t="shared" si="9"/>
        <v>2.71</v>
      </c>
      <c r="G71" s="88"/>
      <c r="H71" s="89">
        <v>27.64</v>
      </c>
      <c r="I71" s="78">
        <f>IF(OilSwitch=0,VLOOKUP($A71,[5]!OilCurve,4),VLOOKUP($A71,[5]!BrentCurve,4))</f>
        <v>27.64</v>
      </c>
      <c r="J71" s="86">
        <v>0</v>
      </c>
      <c r="K71" s="87">
        <f t="shared" si="6"/>
        <v>27.64</v>
      </c>
      <c r="M71" s="80"/>
      <c r="AP71" s="21"/>
      <c r="AQ71" s="21"/>
      <c r="AR71" s="21"/>
      <c r="AS71" s="21"/>
    </row>
    <row r="72" spans="1:45" x14ac:dyDescent="0.15">
      <c r="A72" s="75">
        <v>36557</v>
      </c>
      <c r="B72" s="76">
        <f t="shared" si="1"/>
        <v>2000</v>
      </c>
      <c r="C72" s="77">
        <v>2.68</v>
      </c>
      <c r="D72" s="78">
        <f>IF(GasSwitch=0,VLOOKUP($A72,[5]!GasCurve,4),VLOOKUP($A72,[5]!AecoCurve,5))</f>
        <v>2.68</v>
      </c>
      <c r="E72" s="79">
        <v>0</v>
      </c>
      <c r="F72" s="80">
        <f t="shared" si="9"/>
        <v>2.68</v>
      </c>
      <c r="G72" s="80"/>
      <c r="H72" s="81">
        <v>30.43</v>
      </c>
      <c r="I72" s="78">
        <f>IF(OilSwitch=0,VLOOKUP($A72,[5]!OilCurve,4),VLOOKUP($A72,[5]!BrentCurve,4))</f>
        <v>30.43</v>
      </c>
      <c r="J72" s="79">
        <v>0</v>
      </c>
      <c r="K72" s="80">
        <f t="shared" si="6"/>
        <v>30.43</v>
      </c>
      <c r="M72" s="80"/>
      <c r="AP72" s="21"/>
      <c r="AQ72" s="21"/>
      <c r="AR72" s="21"/>
      <c r="AS72" s="21"/>
    </row>
    <row r="73" spans="1:45" x14ac:dyDescent="0.15">
      <c r="A73" s="75">
        <v>36586</v>
      </c>
      <c r="B73" s="76">
        <f t="shared" si="1"/>
        <v>2000</v>
      </c>
      <c r="C73" s="77">
        <v>2.6030000000000002</v>
      </c>
      <c r="D73" s="78">
        <f>IF(GasSwitch=0,VLOOKUP($A73,[5]!GasCurve,4),VLOOKUP($A73,[5]!AecoCurve,5))</f>
        <v>2.6030000000000002</v>
      </c>
      <c r="E73" s="91">
        <v>9.7632024257664572E-3</v>
      </c>
      <c r="F73" s="80">
        <f t="shared" si="9"/>
        <v>2.6080106865535888</v>
      </c>
      <c r="G73" s="80"/>
      <c r="H73" s="81">
        <v>29.62</v>
      </c>
      <c r="I73" s="78">
        <f>IF(OilSwitch=0,VLOOKUP($A73,[5]!OilCurve,4),VLOOKUP($A73,[5]!BrentCurve,4))</f>
        <v>29.62</v>
      </c>
      <c r="J73" s="91">
        <v>-1.7589429782103507E-2</v>
      </c>
      <c r="K73" s="80">
        <f t="shared" si="6"/>
        <v>29.590731188842582</v>
      </c>
      <c r="M73" s="80"/>
      <c r="AP73" s="21"/>
      <c r="AQ73" s="21"/>
      <c r="AR73" s="21"/>
      <c r="AS73" s="21"/>
    </row>
    <row r="74" spans="1:45" x14ac:dyDescent="0.15">
      <c r="A74" s="75">
        <v>36617</v>
      </c>
      <c r="B74" s="76">
        <f t="shared" si="1"/>
        <v>2000</v>
      </c>
      <c r="C74" s="77">
        <v>2.8149999999999999</v>
      </c>
      <c r="D74" s="78">
        <f>IF(GasSwitch=0,VLOOKUP($A74,[5]!GasCurve,4),VLOOKUP($A74,[5]!AecoCurve,5))</f>
        <v>2.9</v>
      </c>
      <c r="E74" s="91">
        <v>-2.3591554782062527E-2</v>
      </c>
      <c r="F74" s="80">
        <f t="shared" si="9"/>
        <v>2.806071458741175</v>
      </c>
      <c r="G74" s="80"/>
      <c r="H74" s="81">
        <v>31.77</v>
      </c>
      <c r="I74" s="78">
        <f>IF(OilSwitch=0,VLOOKUP($A74,[5]!OilCurve,4),VLOOKUP($A74,[5]!BrentCurve,4))</f>
        <v>28</v>
      </c>
      <c r="J74" s="91">
        <v>2.4700384413346665E-2</v>
      </c>
      <c r="K74" s="80">
        <f t="shared" si="6"/>
        <v>31.784730240810976</v>
      </c>
      <c r="M74" s="80"/>
      <c r="AP74" s="21"/>
      <c r="AQ74" s="21"/>
      <c r="AR74" s="21"/>
      <c r="AS74" s="21"/>
    </row>
    <row r="75" spans="1:45" x14ac:dyDescent="0.15">
      <c r="A75" s="75">
        <v>36647</v>
      </c>
      <c r="B75" s="76">
        <f t="shared" si="1"/>
        <v>2000</v>
      </c>
      <c r="C75" s="77">
        <v>2.8240000000000003</v>
      </c>
      <c r="D75" s="78">
        <f>IF(GasSwitch=0,VLOOKUP($A75,[5]!GasCurve,4),VLOOKUP($A75,[5]!AecoCurve,5))</f>
        <v>2.9449999999999998</v>
      </c>
      <c r="E75" s="91">
        <v>1.909363918648168E-3</v>
      </c>
      <c r="F75" s="80">
        <f t="shared" si="9"/>
        <v>2.8196295145022567</v>
      </c>
      <c r="G75" s="80"/>
      <c r="H75" s="81">
        <v>30.01</v>
      </c>
      <c r="I75" s="78">
        <f>IF(OilSwitch=0,VLOOKUP($A75,[5]!OilCurve,4),VLOOKUP($A75,[5]!BrentCurve,4))</f>
        <v>26.9</v>
      </c>
      <c r="J75" s="91">
        <v>-1.5764362357215927E-2</v>
      </c>
      <c r="K75" s="80">
        <f t="shared" si="6"/>
        <v>29.997040048008284</v>
      </c>
      <c r="M75" s="80"/>
      <c r="AP75" s="21"/>
      <c r="AQ75" s="21"/>
      <c r="AR75" s="21"/>
      <c r="AS75" s="21"/>
    </row>
    <row r="76" spans="1:45" x14ac:dyDescent="0.15">
      <c r="A76" s="75">
        <v>36678</v>
      </c>
      <c r="B76" s="76">
        <f t="shared" si="1"/>
        <v>2000</v>
      </c>
      <c r="C76" s="77">
        <v>2.83</v>
      </c>
      <c r="D76" s="78">
        <f>IF(GasSwitch=0,VLOOKUP($A76,[5]!GasCurve,4),VLOOKUP($A76,[5]!AecoCurve,5))</f>
        <v>2.9550000000000001</v>
      </c>
      <c r="E76" s="91">
        <v>-2.5842286882300249E-2</v>
      </c>
      <c r="F76" s="80">
        <f t="shared" si="9"/>
        <v>2.8137659079451476</v>
      </c>
      <c r="G76" s="80"/>
      <c r="H76" s="81">
        <v>28.69</v>
      </c>
      <c r="I76" s="78">
        <f>IF(OilSwitch=0,VLOOKUP($A76,[5]!OilCurve,4),VLOOKUP($A76,[5]!BrentCurve,4))</f>
        <v>26.38</v>
      </c>
      <c r="J76" s="91">
        <v>-2.4084115159768202E-2</v>
      </c>
      <c r="K76" s="80">
        <f t="shared" si="6"/>
        <v>28.638247115629611</v>
      </c>
      <c r="M76" s="80"/>
      <c r="AP76" s="21"/>
      <c r="AQ76" s="21"/>
      <c r="AR76" s="21"/>
      <c r="AS76" s="21"/>
    </row>
    <row r="77" spans="1:45" x14ac:dyDescent="0.15">
      <c r="A77" s="75">
        <v>36708</v>
      </c>
      <c r="B77" s="76">
        <f t="shared" si="1"/>
        <v>2000</v>
      </c>
      <c r="C77" s="77">
        <v>2.84</v>
      </c>
      <c r="D77" s="78">
        <f>IF(GasSwitch=0,VLOOKUP($A77,[5]!GasCurve,4),VLOOKUP($A77,[5]!AecoCurve,5))</f>
        <v>2.9660000000000002</v>
      </c>
      <c r="E77" s="91">
        <v>-6.5544826157480319E-3</v>
      </c>
      <c r="F77" s="80">
        <f t="shared" si="9"/>
        <v>2.8267834927780502</v>
      </c>
      <c r="G77" s="80"/>
      <c r="H77" s="81">
        <v>27.66</v>
      </c>
      <c r="I77" s="78">
        <f>IF(OilSwitch=0,VLOOKUP($A77,[5]!OilCurve,4),VLOOKUP($A77,[5]!BrentCurve,4))</f>
        <v>26.04</v>
      </c>
      <c r="J77" s="91">
        <v>4.3540299472977953E-2</v>
      </c>
      <c r="K77" s="80">
        <f t="shared" si="6"/>
        <v>27.685821709505316</v>
      </c>
      <c r="M77" s="80"/>
      <c r="AP77" s="21"/>
      <c r="AQ77" s="21"/>
      <c r="AR77" s="21"/>
      <c r="AS77" s="21"/>
    </row>
    <row r="78" spans="1:45" x14ac:dyDescent="0.15">
      <c r="A78" s="75">
        <v>36739</v>
      </c>
      <c r="B78" s="76">
        <f t="shared" si="1"/>
        <v>2000</v>
      </c>
      <c r="C78" s="77">
        <v>2.85</v>
      </c>
      <c r="D78" s="78">
        <f>IF(GasSwitch=0,VLOOKUP($A78,[5]!GasCurve,4),VLOOKUP($A78,[5]!AecoCurve,5))</f>
        <v>2.9780000000000002</v>
      </c>
      <c r="E78" s="91">
        <v>7.6823745667545837E-2</v>
      </c>
      <c r="F78" s="80">
        <f t="shared" si="9"/>
        <v>2.8825392447002849</v>
      </c>
      <c r="G78" s="80"/>
      <c r="H78" s="81">
        <v>26.87</v>
      </c>
      <c r="I78" s="78">
        <f>IF(OilSwitch=0,VLOOKUP($A78,[5]!OilCurve,4),VLOOKUP($A78,[5]!BrentCurve,4))</f>
        <v>25.76</v>
      </c>
      <c r="J78" s="91">
        <v>-5.6747668074779628E-2</v>
      </c>
      <c r="K78" s="80">
        <f t="shared" si="6"/>
        <v>26.798837240587854</v>
      </c>
      <c r="M78" s="80"/>
      <c r="AP78" s="21"/>
      <c r="AQ78" s="21"/>
      <c r="AR78" s="21"/>
      <c r="AS78" s="21"/>
    </row>
    <row r="79" spans="1:45" x14ac:dyDescent="0.15">
      <c r="A79" s="75">
        <v>36770</v>
      </c>
      <c r="B79" s="76">
        <f t="shared" si="1"/>
        <v>2000</v>
      </c>
      <c r="C79" s="77">
        <v>2.855</v>
      </c>
      <c r="D79" s="78">
        <f>IF(GasSwitch=0,VLOOKUP($A79,[5]!GasCurve,4),VLOOKUP($A79,[5]!AecoCurve,5))</f>
        <v>2.9769999999999999</v>
      </c>
      <c r="E79" s="91">
        <v>-7.9856611568965674E-2</v>
      </c>
      <c r="F79" s="80">
        <f t="shared" si="9"/>
        <v>2.8320775072272446</v>
      </c>
      <c r="G79" s="80"/>
      <c r="H79" s="81">
        <v>26.19</v>
      </c>
      <c r="I79" s="78">
        <f>IF(OilSwitch=0,VLOOKUP($A79,[5]!OilCurve,4),VLOOKUP($A79,[5]!BrentCurve,4))</f>
        <v>25.48</v>
      </c>
      <c r="J79" s="91">
        <v>-5.1671837644888946E-3</v>
      </c>
      <c r="K79" s="80">
        <f t="shared" si="6"/>
        <v>26.117284159985545</v>
      </c>
      <c r="M79" s="80"/>
      <c r="AP79" s="21"/>
      <c r="AQ79" s="21"/>
      <c r="AR79" s="21"/>
      <c r="AS79" s="21"/>
    </row>
    <row r="80" spans="1:45" x14ac:dyDescent="0.15">
      <c r="A80" s="75">
        <v>36800</v>
      </c>
      <c r="B80" s="76">
        <f t="shared" si="1"/>
        <v>2000</v>
      </c>
      <c r="C80" s="77">
        <v>2.875</v>
      </c>
      <c r="D80" s="78">
        <f>IF(GasSwitch=0,VLOOKUP($A80,[5]!GasCurve,4),VLOOKUP($A80,[5]!AecoCurve,5))</f>
        <v>2.9870000000000001</v>
      </c>
      <c r="E80" s="91">
        <v>1.3378682408003096E-2</v>
      </c>
      <c r="F80" s="80">
        <f t="shared" si="9"/>
        <v>2.8682635981900697</v>
      </c>
      <c r="G80" s="80"/>
      <c r="H80" s="81">
        <v>25.61</v>
      </c>
      <c r="I80" s="78">
        <f>IF(OilSwitch=0,VLOOKUP($A80,[5]!OilCurve,4),VLOOKUP($A80,[5]!BrentCurve,4))</f>
        <v>25.19</v>
      </c>
      <c r="J80" s="91">
        <v>7.4446654515802652E-2</v>
      </c>
      <c r="K80" s="80">
        <f t="shared" si="6"/>
        <v>25.668362261261269</v>
      </c>
      <c r="M80" s="80"/>
      <c r="AP80" s="21"/>
      <c r="AQ80" s="21"/>
      <c r="AR80" s="21"/>
      <c r="AS80" s="21"/>
    </row>
    <row r="81" spans="1:45" x14ac:dyDescent="0.15">
      <c r="A81" s="75">
        <v>36831</v>
      </c>
      <c r="B81" s="76">
        <f t="shared" si="1"/>
        <v>2000</v>
      </c>
      <c r="C81" s="77">
        <v>2.9849999999999999</v>
      </c>
      <c r="D81" s="78">
        <f>IF(GasSwitch=0,VLOOKUP($A81,[5]!GasCurve,4),VLOOKUP($A81,[5]!AecoCurve,5))</f>
        <v>3.08</v>
      </c>
      <c r="E81" s="91">
        <v>-4.4414604467295046E-2</v>
      </c>
      <c r="F81" s="80">
        <f t="shared" si="9"/>
        <v>2.9573644547727467</v>
      </c>
      <c r="G81" s="80"/>
      <c r="H81" s="81">
        <v>25.12</v>
      </c>
      <c r="I81" s="78">
        <f>IF(OilSwitch=0,VLOOKUP($A81,[5]!OilCurve,4),VLOOKUP($A81,[5]!BrentCurve,4))</f>
        <v>24.9</v>
      </c>
      <c r="J81" s="91">
        <v>-1.8844442996417458E-2</v>
      </c>
      <c r="K81" s="80">
        <f t="shared" si="6"/>
        <v>25.141227244250366</v>
      </c>
      <c r="M81" s="80"/>
      <c r="AP81" s="21"/>
      <c r="AQ81" s="21"/>
      <c r="AR81" s="21"/>
      <c r="AS81" s="21"/>
    </row>
    <row r="82" spans="1:45" x14ac:dyDescent="0.15">
      <c r="A82" s="75">
        <v>36861</v>
      </c>
      <c r="B82" s="76">
        <f t="shared" si="1"/>
        <v>2000</v>
      </c>
      <c r="C82" s="77">
        <v>3.1</v>
      </c>
      <c r="D82" s="78">
        <f>IF(GasSwitch=0,VLOOKUP($A82,[5]!GasCurve,4),VLOOKUP($A82,[5]!AecoCurve,5))</f>
        <v>3.177</v>
      </c>
      <c r="E82" s="91">
        <v>1.7856066618720863E-2</v>
      </c>
      <c r="F82" s="80">
        <f t="shared" si="9"/>
        <v>3.0929955918447178</v>
      </c>
      <c r="G82" s="80"/>
      <c r="H82" s="81">
        <v>24.66</v>
      </c>
      <c r="I82" s="78">
        <f>IF(OilSwitch=0,VLOOKUP($A82,[5]!OilCurve,4),VLOOKUP($A82,[5]!BrentCurve,4))</f>
        <v>24.6</v>
      </c>
      <c r="J82" s="91">
        <v>-4.3173982545899282E-3</v>
      </c>
      <c r="K82" s="80">
        <f t="shared" si="6"/>
        <v>24.671941596373941</v>
      </c>
      <c r="M82" s="80"/>
      <c r="AP82" s="21"/>
      <c r="AQ82" s="21"/>
      <c r="AR82" s="21"/>
      <c r="AS82" s="21"/>
    </row>
    <row r="83" spans="1:45" x14ac:dyDescent="0.15">
      <c r="A83" s="75">
        <v>36892</v>
      </c>
      <c r="B83" s="84">
        <f t="shared" si="1"/>
        <v>2001</v>
      </c>
      <c r="C83" s="85">
        <v>3.125</v>
      </c>
      <c r="D83" s="78">
        <f>IF(GasSwitch=0,VLOOKUP($A83,[5]!GasCurve,4),VLOOKUP($A83,[5]!AecoCurve,5))</f>
        <v>3.1920000000000002</v>
      </c>
      <c r="E83" s="91">
        <v>-2.4337501564546033E-3</v>
      </c>
      <c r="F83" s="80">
        <f t="shared" si="9"/>
        <v>3.1194428995894921</v>
      </c>
      <c r="G83" s="88"/>
      <c r="H83" s="89">
        <v>24.2</v>
      </c>
      <c r="I83" s="78">
        <f>IF(OilSwitch=0,VLOOKUP($A83,[5]!OilCurve,4),VLOOKUP($A83,[5]!BrentCurve,4))</f>
        <v>24.28</v>
      </c>
      <c r="J83" s="92">
        <v>-1.2736078270297824E-2</v>
      </c>
      <c r="K83" s="87">
        <f t="shared" si="6"/>
        <v>24.189566544091143</v>
      </c>
      <c r="M83" s="80"/>
      <c r="AP83" s="21"/>
      <c r="AQ83" s="21"/>
      <c r="AR83" s="21"/>
      <c r="AS83" s="21"/>
    </row>
    <row r="84" spans="1:45" x14ac:dyDescent="0.15">
      <c r="A84" s="75">
        <v>36923</v>
      </c>
      <c r="B84" s="76">
        <f t="shared" si="1"/>
        <v>2001</v>
      </c>
      <c r="C84" s="77">
        <v>2.96</v>
      </c>
      <c r="D84" s="78">
        <f>IF(GasSwitch=0,VLOOKUP($A84,[5]!GasCurve,4),VLOOKUP($A84,[5]!AecoCurve,5))</f>
        <v>3.0369999999999999</v>
      </c>
      <c r="E84" s="91">
        <v>2.1344874357635664E-2</v>
      </c>
      <c r="F84" s="80">
        <f t="shared" si="9"/>
        <v>2.9684744358642905</v>
      </c>
      <c r="G84" s="80"/>
      <c r="H84" s="81">
        <v>23.77</v>
      </c>
      <c r="I84" s="78">
        <f>IF(OilSwitch=0,VLOOKUP($A84,[5]!OilCurve,4),VLOOKUP($A84,[5]!BrentCurve,4))</f>
        <v>23.97</v>
      </c>
      <c r="J84" s="91">
        <v>-2.8015641670111679E-2</v>
      </c>
      <c r="K84" s="80">
        <f t="shared" si="6"/>
        <v>23.713981428487056</v>
      </c>
      <c r="M84" s="80"/>
      <c r="AP84" s="21"/>
      <c r="AQ84" s="21"/>
      <c r="AR84" s="21"/>
      <c r="AS84" s="21"/>
    </row>
    <row r="85" spans="1:45" x14ac:dyDescent="0.15">
      <c r="A85" s="75">
        <v>36951</v>
      </c>
      <c r="B85" s="76">
        <f t="shared" si="1"/>
        <v>2001</v>
      </c>
      <c r="C85" s="77">
        <v>2.82</v>
      </c>
      <c r="D85" s="78">
        <f>IF(GasSwitch=0,VLOOKUP($A85,[5]!GasCurve,4),VLOOKUP($A85,[5]!AecoCurve,5))</f>
        <v>2.8719999999999999</v>
      </c>
      <c r="E85" s="91">
        <v>-1.0359779329614377E-2</v>
      </c>
      <c r="F85" s="80">
        <f t="shared" si="9"/>
        <v>2.8195042118476557</v>
      </c>
      <c r="G85" s="80"/>
      <c r="H85" s="81">
        <v>23.35</v>
      </c>
      <c r="I85" s="78">
        <f>IF(OilSwitch=0,VLOOKUP($A85,[5]!OilCurve,4),VLOOKUP($A85,[5]!BrentCurve,4))</f>
        <v>23.68</v>
      </c>
      <c r="J85" s="91">
        <v>4.9065554870466127E-2</v>
      </c>
      <c r="K85" s="80">
        <f t="shared" si="6"/>
        <v>23.381172350371294</v>
      </c>
      <c r="M85" s="80"/>
      <c r="AP85" s="21"/>
      <c r="AQ85" s="21"/>
      <c r="AR85" s="21"/>
      <c r="AS85" s="21"/>
    </row>
    <row r="86" spans="1:45" x14ac:dyDescent="0.15">
      <c r="A86" s="75">
        <v>36982</v>
      </c>
      <c r="B86" s="76">
        <f t="shared" si="1"/>
        <v>2001</v>
      </c>
      <c r="C86" s="77">
        <v>2.6970000000000001</v>
      </c>
      <c r="D86" s="78">
        <f>IF(GasSwitch=0,VLOOKUP($A86,[5]!GasCurve,4),VLOOKUP($A86,[5]!AecoCurve,5))</f>
        <v>2.7349999999999999</v>
      </c>
      <c r="E86" s="91">
        <v>3.8655623406925479E-2</v>
      </c>
      <c r="F86" s="80">
        <f t="shared" si="9"/>
        <v>2.7170503314840615</v>
      </c>
      <c r="G86" s="80"/>
      <c r="H86" s="81">
        <v>22.95</v>
      </c>
      <c r="I86" s="78">
        <f>IF(OilSwitch=0,VLOOKUP($A86,[5]!OilCurve,4),VLOOKUP($A86,[5]!BrentCurve,4))</f>
        <v>23.39</v>
      </c>
      <c r="J86" s="91">
        <v>-2.6285165799144996E-2</v>
      </c>
      <c r="K86" s="80">
        <f t="shared" si="6"/>
        <v>22.934347771794755</v>
      </c>
      <c r="M86" s="80"/>
      <c r="AP86" s="21"/>
      <c r="AQ86" s="21"/>
      <c r="AR86" s="21"/>
      <c r="AS86" s="21"/>
    </row>
    <row r="87" spans="1:45" x14ac:dyDescent="0.15">
      <c r="A87" s="75">
        <v>37012</v>
      </c>
      <c r="B87" s="76">
        <f t="shared" ref="B87:B150" si="10">YEAR(A87)</f>
        <v>2001</v>
      </c>
      <c r="C87" s="77">
        <v>2.6560000000000001</v>
      </c>
      <c r="D87" s="78">
        <f>IF(GasSwitch=0,VLOOKUP($A87,[5]!GasCurve,4),VLOOKUP($A87,[5]!AecoCurve,5))</f>
        <v>2.694</v>
      </c>
      <c r="E87" s="91">
        <v>8.2017024650705133E-3</v>
      </c>
      <c r="F87" s="80">
        <f t="shared" si="9"/>
        <v>2.6723045768295197</v>
      </c>
      <c r="G87" s="80"/>
      <c r="H87" s="81">
        <v>22.58</v>
      </c>
      <c r="I87" s="78">
        <f>IF(OilSwitch=0,VLOOKUP($A87,[5]!OilCurve,4),VLOOKUP($A87,[5]!BrentCurve,4))</f>
        <v>23.11</v>
      </c>
      <c r="J87" s="91">
        <v>-4.6272988365683634E-3</v>
      </c>
      <c r="K87" s="80">
        <f t="shared" si="6"/>
        <v>22.55819751712302</v>
      </c>
      <c r="M87" s="80"/>
      <c r="AP87" s="21"/>
      <c r="AQ87" s="21"/>
      <c r="AR87" s="21"/>
      <c r="AS87" s="21"/>
    </row>
    <row r="88" spans="1:45" x14ac:dyDescent="0.15">
      <c r="A88" s="75">
        <v>37043</v>
      </c>
      <c r="B88" s="76">
        <f t="shared" si="10"/>
        <v>2001</v>
      </c>
      <c r="C88" s="77">
        <v>2.66</v>
      </c>
      <c r="D88" s="78">
        <f>IF(GasSwitch=0,VLOOKUP($A88,[5]!GasCurve,4),VLOOKUP($A88,[5]!AecoCurve,5))</f>
        <v>2.7</v>
      </c>
      <c r="E88" s="91">
        <v>-7.9950628594518264E-3</v>
      </c>
      <c r="F88" s="80">
        <f t="shared" si="9"/>
        <v>2.6657147505427914</v>
      </c>
      <c r="G88" s="80"/>
      <c r="H88" s="81">
        <v>22.24</v>
      </c>
      <c r="I88" s="78">
        <f>IF(OilSwitch=0,VLOOKUP($A88,[5]!OilCurve,4),VLOOKUP($A88,[5]!BrentCurve,4))</f>
        <v>22.87</v>
      </c>
      <c r="J88" s="91">
        <v>-9.1117857830470168E-3</v>
      </c>
      <c r="K88" s="80">
        <f t="shared" si="6"/>
        <v>22.20519395138485</v>
      </c>
      <c r="M88" s="80"/>
      <c r="AP88" s="21"/>
      <c r="AQ88" s="21"/>
      <c r="AR88" s="21"/>
      <c r="AS88" s="21"/>
    </row>
    <row r="89" spans="1:45" x14ac:dyDescent="0.15">
      <c r="A89" s="75">
        <v>37073</v>
      </c>
      <c r="B89" s="76">
        <f t="shared" si="10"/>
        <v>2001</v>
      </c>
      <c r="C89" s="77">
        <v>2.67</v>
      </c>
      <c r="D89" s="78">
        <f>IF(GasSwitch=0,VLOOKUP($A89,[5]!GasCurve,4),VLOOKUP($A89,[5]!AecoCurve,5))</f>
        <v>2.7069999999999999</v>
      </c>
      <c r="E89" s="91">
        <v>1.4784511100547528E-3</v>
      </c>
      <c r="F89" s="80">
        <f t="shared" si="9"/>
        <v>2.6741958849961627</v>
      </c>
      <c r="G89" s="80"/>
      <c r="H89" s="81">
        <v>21.94</v>
      </c>
      <c r="I89" s="78">
        <f>IF(OilSwitch=0,VLOOKUP($A89,[5]!OilCurve,4),VLOOKUP($A89,[5]!BrentCurve,4))</f>
        <v>22.66</v>
      </c>
      <c r="J89" s="91">
        <v>-1.1446692314844242E-2</v>
      </c>
      <c r="K89" s="80">
        <f t="shared" si="6"/>
        <v>21.889592454185848</v>
      </c>
      <c r="M89" s="80"/>
      <c r="AP89" s="21"/>
      <c r="AQ89" s="21"/>
      <c r="AR89" s="21"/>
      <c r="AS89" s="21"/>
    </row>
    <row r="90" spans="1:45" x14ac:dyDescent="0.15">
      <c r="A90" s="75">
        <v>37104</v>
      </c>
      <c r="B90" s="76">
        <f t="shared" si="10"/>
        <v>2001</v>
      </c>
      <c r="C90" s="77">
        <v>2.677</v>
      </c>
      <c r="D90" s="78">
        <f>IF(GasSwitch=0,VLOOKUP($A90,[5]!GasCurve,4),VLOOKUP($A90,[5]!AecoCurve,5))</f>
        <v>2.7149999999999999</v>
      </c>
      <c r="E90" s="91">
        <v>-8.8148119286184286E-4</v>
      </c>
      <c r="F90" s="80">
        <f t="shared" si="9"/>
        <v>2.6790731785309134</v>
      </c>
      <c r="G90" s="80"/>
      <c r="H90" s="81">
        <v>21.66</v>
      </c>
      <c r="I90" s="78">
        <f>IF(OilSwitch=0,VLOOKUP($A90,[5]!OilCurve,4),VLOOKUP($A90,[5]!BrentCurve,4))</f>
        <v>22.46</v>
      </c>
      <c r="J90" s="91">
        <v>-2.1507528888215369E-3</v>
      </c>
      <c r="K90" s="80">
        <f t="shared" si="6"/>
        <v>21.611003948414449</v>
      </c>
      <c r="M90" s="80"/>
      <c r="AP90" s="21"/>
      <c r="AQ90" s="21"/>
      <c r="AR90" s="21"/>
      <c r="AS90" s="21"/>
    </row>
    <row r="91" spans="1:45" x14ac:dyDescent="0.15">
      <c r="A91" s="75">
        <v>37135</v>
      </c>
      <c r="B91" s="76">
        <f t="shared" si="10"/>
        <v>2001</v>
      </c>
      <c r="C91" s="77">
        <v>2.6850000000000001</v>
      </c>
      <c r="D91" s="78">
        <f>IF(GasSwitch=0,VLOOKUP($A91,[5]!GasCurve,4),VLOOKUP($A91,[5]!AecoCurve,5))</f>
        <v>2.72</v>
      </c>
      <c r="E91" s="91">
        <v>3.6563651320332916E-2</v>
      </c>
      <c r="F91" s="80">
        <f t="shared" si="9"/>
        <v>2.7050096500950129</v>
      </c>
      <c r="G91" s="80"/>
      <c r="H91" s="81">
        <v>21.4</v>
      </c>
      <c r="I91" s="78">
        <f>IF(OilSwitch=0,VLOOKUP($A91,[5]!OilCurve,4),VLOOKUP($A91,[5]!BrentCurve,4))</f>
        <v>22.27</v>
      </c>
      <c r="J91" s="91">
        <v>1.4497485501166692E-2</v>
      </c>
      <c r="K91" s="80">
        <f t="shared" si="6"/>
        <v>21.379978373395357</v>
      </c>
      <c r="M91" s="80"/>
      <c r="AP91" s="21"/>
      <c r="AQ91" s="21"/>
      <c r="AR91" s="21"/>
      <c r="AS91" s="21"/>
    </row>
    <row r="92" spans="1:45" x14ac:dyDescent="0.15">
      <c r="A92" s="75">
        <v>37165</v>
      </c>
      <c r="B92" s="76">
        <f t="shared" si="10"/>
        <v>2001</v>
      </c>
      <c r="C92" s="77">
        <v>2.7210000000000001</v>
      </c>
      <c r="D92" s="78">
        <f>IF(GasSwitch=0,VLOOKUP($A92,[5]!GasCurve,4),VLOOKUP($A92,[5]!AecoCurve,5))</f>
        <v>2.7450000000000001</v>
      </c>
      <c r="E92" s="91">
        <v>5.0133294544060708E-2</v>
      </c>
      <c r="F92" s="80">
        <f t="shared" si="9"/>
        <v>2.7588910725003855</v>
      </c>
      <c r="G92" s="80"/>
      <c r="H92" s="81">
        <v>21.16</v>
      </c>
      <c r="I92" s="78">
        <f>IF(OilSwitch=0,VLOOKUP($A92,[5]!OilCurve,4),VLOOKUP($A92,[5]!BrentCurve,4))</f>
        <v>22.09</v>
      </c>
      <c r="J92" s="91">
        <v>-4.8667088666248783E-2</v>
      </c>
      <c r="K92" s="80">
        <f t="shared" si="6"/>
        <v>21.060978478888579</v>
      </c>
      <c r="M92" s="80"/>
      <c r="AP92" s="21"/>
      <c r="AQ92" s="21"/>
      <c r="AR92" s="21"/>
      <c r="AS92" s="21"/>
    </row>
    <row r="93" spans="1:45" x14ac:dyDescent="0.15">
      <c r="A93" s="75">
        <v>37196</v>
      </c>
      <c r="B93" s="76">
        <f t="shared" si="10"/>
        <v>2001</v>
      </c>
      <c r="C93" s="77">
        <v>2.8440000000000003</v>
      </c>
      <c r="D93" s="78">
        <f>IF(GasSwitch=0,VLOOKUP($A93,[5]!GasCurve,4),VLOOKUP($A93,[5]!AecoCurve,5))</f>
        <v>2.855</v>
      </c>
      <c r="E93" s="91">
        <v>1.2025407094892084E-2</v>
      </c>
      <c r="F93" s="80">
        <f t="shared" si="9"/>
        <v>2.8730647255388533</v>
      </c>
      <c r="G93" s="80"/>
      <c r="H93" s="81">
        <v>20.94</v>
      </c>
      <c r="I93" s="78">
        <f>IF(OilSwitch=0,VLOOKUP($A93,[5]!OilCurve,4),VLOOKUP($A93,[5]!BrentCurve,4))</f>
        <v>21.92</v>
      </c>
      <c r="J93" s="91">
        <v>3.4913829181022267E-2</v>
      </c>
      <c r="K93" s="80">
        <f t="shared" si="6"/>
        <v>20.908878221235831</v>
      </c>
      <c r="M93" s="80"/>
      <c r="AP93" s="21"/>
      <c r="AQ93" s="21"/>
      <c r="AR93" s="21"/>
      <c r="AS93" s="21"/>
    </row>
    <row r="94" spans="1:45" x14ac:dyDescent="0.15">
      <c r="A94" s="75">
        <v>37226</v>
      </c>
      <c r="B94" s="76">
        <f t="shared" si="10"/>
        <v>2001</v>
      </c>
      <c r="C94" s="77">
        <v>2.9740000000000002</v>
      </c>
      <c r="D94" s="78">
        <f>IF(GasSwitch=0,VLOOKUP($A94,[5]!GasCurve,4),VLOOKUP($A94,[5]!AecoCurve,5))</f>
        <v>2.9630000000000001</v>
      </c>
      <c r="E94" s="91">
        <v>-2.8563369125277453E-3</v>
      </c>
      <c r="F94" s="80">
        <f t="shared" si="9"/>
        <v>2.9899733338864762</v>
      </c>
      <c r="G94" s="80"/>
      <c r="H94" s="81">
        <v>20.73</v>
      </c>
      <c r="I94" s="78">
        <f>IF(OilSwitch=0,VLOOKUP($A94,[5]!OilCurve,4),VLOOKUP($A94,[5]!BrentCurve,4))</f>
        <v>21.75</v>
      </c>
      <c r="J94" s="91">
        <v>-6.3628104890279674E-2</v>
      </c>
      <c r="K94" s="80">
        <f t="shared" si="6"/>
        <v>20.596082110796058</v>
      </c>
      <c r="M94" s="80"/>
      <c r="AP94" s="21"/>
      <c r="AQ94" s="21"/>
      <c r="AR94" s="21"/>
      <c r="AS94" s="21"/>
    </row>
    <row r="95" spans="1:45" x14ac:dyDescent="0.15">
      <c r="A95" s="75">
        <v>37257</v>
      </c>
      <c r="B95" s="84">
        <f t="shared" si="10"/>
        <v>2002</v>
      </c>
      <c r="C95" s="85">
        <v>3.0060000000000002</v>
      </c>
      <c r="D95" s="78">
        <f>IF(GasSwitch=0,VLOOKUP($A95,[5]!GasCurve,4),VLOOKUP($A95,[5]!AecoCurve,5))</f>
        <v>2.98</v>
      </c>
      <c r="E95" s="91">
        <v>1.6055642315149134E-2</v>
      </c>
      <c r="F95" s="80">
        <f t="shared" si="9"/>
        <v>3.0243163516043388</v>
      </c>
      <c r="G95" s="88"/>
      <c r="H95" s="89">
        <v>20.56</v>
      </c>
      <c r="I95" s="78">
        <f>IF(OilSwitch=0,VLOOKUP($A95,[5]!OilCurve,4),VLOOKUP($A95,[5]!BrentCurve,4))</f>
        <v>21.59</v>
      </c>
      <c r="J95" s="92">
        <v>5.1772717755208938E-3</v>
      </c>
      <c r="K95" s="87">
        <f t="shared" si="6"/>
        <v>20.447954962061711</v>
      </c>
      <c r="M95" s="80"/>
      <c r="AP95" s="21"/>
      <c r="AQ95" s="21"/>
      <c r="AR95" s="21"/>
      <c r="AS95" s="21"/>
    </row>
    <row r="96" spans="1:45" x14ac:dyDescent="0.15">
      <c r="A96" s="75">
        <v>37288</v>
      </c>
      <c r="B96" s="76">
        <f t="shared" si="10"/>
        <v>2002</v>
      </c>
      <c r="C96" s="77">
        <v>2.88</v>
      </c>
      <c r="D96" s="78">
        <f>IF(GasSwitch=0,VLOOKUP($A96,[5]!GasCurve,4),VLOOKUP($A96,[5]!AecoCurve,5))</f>
        <v>2.86</v>
      </c>
      <c r="E96" s="91">
        <v>1.2966157186349067E-2</v>
      </c>
      <c r="F96" s="80">
        <f t="shared" si="9"/>
        <v>2.8980918529010467</v>
      </c>
      <c r="G96" s="80"/>
      <c r="H96" s="81">
        <v>20.399999999999999</v>
      </c>
      <c r="I96" s="78">
        <f>IF(OilSwitch=0,VLOOKUP($A96,[5]!OilCurve,4),VLOOKUP($A96,[5]!BrentCurve,4))</f>
        <v>21.45</v>
      </c>
      <c r="J96" s="91">
        <v>-1.8354923086178514E-2</v>
      </c>
      <c r="K96" s="80">
        <f t="shared" si="6"/>
        <v>20.2685048288022</v>
      </c>
      <c r="M96" s="80"/>
      <c r="AP96" s="21"/>
      <c r="AQ96" s="21"/>
      <c r="AR96" s="21"/>
      <c r="AS96" s="21"/>
    </row>
    <row r="97" spans="1:45" x14ac:dyDescent="0.15">
      <c r="A97" s="75">
        <v>37316</v>
      </c>
      <c r="B97" s="76">
        <f t="shared" si="10"/>
        <v>2002</v>
      </c>
      <c r="C97" s="77">
        <v>2.7540000000000004</v>
      </c>
      <c r="D97" s="78">
        <f>IF(GasSwitch=0,VLOOKUP($A97,[5]!GasCurve,4),VLOOKUP($A97,[5]!AecoCurve,5))</f>
        <v>2.7230000000000003</v>
      </c>
      <c r="E97" s="91">
        <v>-6.1529507381898182E-3</v>
      </c>
      <c r="F97" s="80">
        <f t="shared" si="9"/>
        <v>2.7616038743712759</v>
      </c>
      <c r="G97" s="80"/>
      <c r="H97" s="81">
        <v>20.260000000000002</v>
      </c>
      <c r="I97" s="78">
        <f>IF(OilSwitch=0,VLOOKUP($A97,[5]!OilCurve,4),VLOOKUP($A97,[5]!BrentCurve,4))</f>
        <v>21.32</v>
      </c>
      <c r="J97" s="91">
        <v>-4.1458727451235881E-4</v>
      </c>
      <c r="K97" s="80">
        <f t="shared" ref="K97:K160" si="11">IF(shiftswitch2=1,K96+$D$9*(I97-K96)+($E$9*(K96^$F$9)*J97)+(1-$D$9)*(I97-I96),K96+$D$11*(H97-K96)+($E$11*(K96^$F$11)*J97)+(1-$D$11)*(H97-H96))</f>
        <v>20.140832977525996</v>
      </c>
      <c r="M97" s="80"/>
      <c r="AP97" s="21"/>
      <c r="AQ97" s="21"/>
      <c r="AR97" s="21"/>
      <c r="AS97" s="21"/>
    </row>
    <row r="98" spans="1:45" x14ac:dyDescent="0.15">
      <c r="A98" s="75">
        <v>37347</v>
      </c>
      <c r="B98" s="76">
        <f t="shared" si="10"/>
        <v>2002</v>
      </c>
      <c r="C98" s="77">
        <v>2.6549999999999998</v>
      </c>
      <c r="D98" s="78">
        <f>IF(GasSwitch=0,VLOOKUP($A98,[5]!GasCurve,4),VLOOKUP($A98,[5]!AecoCurve,5))</f>
        <v>2.6260000000000003</v>
      </c>
      <c r="E98" s="91">
        <v>-3.8900498733085626E-2</v>
      </c>
      <c r="F98" s="80">
        <f t="shared" si="9"/>
        <v>2.6393097611086613</v>
      </c>
      <c r="G98" s="80"/>
      <c r="H98" s="81">
        <v>20.149999999999999</v>
      </c>
      <c r="I98" s="78">
        <f>IF(OilSwitch=0,VLOOKUP($A98,[5]!OilCurve,4),VLOOKUP($A98,[5]!BrentCurve,4))</f>
        <v>21.21</v>
      </c>
      <c r="J98" s="91">
        <v>1.8367585621380848E-2</v>
      </c>
      <c r="K98" s="80">
        <f t="shared" si="11"/>
        <v>20.073194175224895</v>
      </c>
      <c r="M98" s="80"/>
      <c r="AP98" s="21"/>
      <c r="AQ98" s="21"/>
      <c r="AR98" s="21"/>
      <c r="AS98" s="21"/>
    </row>
    <row r="99" spans="1:45" x14ac:dyDescent="0.15">
      <c r="A99" s="75">
        <v>37377</v>
      </c>
      <c r="B99" s="76">
        <f t="shared" si="10"/>
        <v>2002</v>
      </c>
      <c r="C99" s="77">
        <v>2.629</v>
      </c>
      <c r="D99" s="78">
        <f>IF(GasSwitch=0,VLOOKUP($A99,[5]!GasCurve,4),VLOOKUP($A99,[5]!AecoCurve,5))</f>
        <v>2.6019999999999999</v>
      </c>
      <c r="E99" s="91">
        <v>-4.1622151860975815E-2</v>
      </c>
      <c r="F99" s="80">
        <f t="shared" si="9"/>
        <v>2.5983590105052481</v>
      </c>
      <c r="G99" s="80"/>
      <c r="H99" s="81">
        <v>20.04</v>
      </c>
      <c r="I99" s="78">
        <f>IF(OilSwitch=0,VLOOKUP($A99,[5]!OilCurve,4),VLOOKUP($A99,[5]!BrentCurve,4))</f>
        <v>21.1</v>
      </c>
      <c r="J99" s="91">
        <v>1.4008308423656341E-2</v>
      </c>
      <c r="K99" s="80">
        <f t="shared" si="11"/>
        <v>19.994107777094595</v>
      </c>
      <c r="M99" s="80"/>
      <c r="AP99" s="21"/>
      <c r="AQ99" s="21"/>
      <c r="AR99" s="21"/>
      <c r="AS99" s="21"/>
    </row>
    <row r="100" spans="1:45" x14ac:dyDescent="0.15">
      <c r="A100" s="75">
        <v>37408</v>
      </c>
      <c r="B100" s="76">
        <f t="shared" si="10"/>
        <v>2002</v>
      </c>
      <c r="C100" s="77">
        <v>2.6349999999999998</v>
      </c>
      <c r="D100" s="78">
        <f>IF(GasSwitch=0,VLOOKUP($A100,[5]!GasCurve,4),VLOOKUP($A100,[5]!AecoCurve,5))</f>
        <v>2.6110000000000002</v>
      </c>
      <c r="E100" s="91">
        <v>3.3421031110551898E-2</v>
      </c>
      <c r="F100" s="80">
        <f t="shared" si="9"/>
        <v>2.633449370448667</v>
      </c>
      <c r="G100" s="80"/>
      <c r="H100" s="81">
        <v>19.93</v>
      </c>
      <c r="I100" s="78">
        <f>IF(OilSwitch=0,VLOOKUP($A100,[5]!OilCurve,4),VLOOKUP($A100,[5]!BrentCurve,4))</f>
        <v>20.99</v>
      </c>
      <c r="J100" s="91">
        <v>-3.3876818355838896E-2</v>
      </c>
      <c r="K100" s="80">
        <f t="shared" si="11"/>
        <v>19.832280081418112</v>
      </c>
      <c r="M100" s="80"/>
      <c r="AP100" s="21"/>
      <c r="AQ100" s="21"/>
      <c r="AR100" s="21"/>
      <c r="AS100" s="21"/>
    </row>
    <row r="101" spans="1:45" x14ac:dyDescent="0.15">
      <c r="A101" s="75">
        <v>37438</v>
      </c>
      <c r="B101" s="76">
        <f t="shared" si="10"/>
        <v>2002</v>
      </c>
      <c r="C101" s="77">
        <v>2.645</v>
      </c>
      <c r="D101" s="78">
        <f>IF(GasSwitch=0,VLOOKUP($A101,[5]!GasCurve,4),VLOOKUP($A101,[5]!AecoCurve,5))</f>
        <v>2.6219999999999999</v>
      </c>
      <c r="E101" s="91">
        <v>-7.2090911831054977E-4</v>
      </c>
      <c r="F101" s="80">
        <f t="shared" si="9"/>
        <v>2.643700072329799</v>
      </c>
      <c r="G101" s="80"/>
      <c r="H101" s="81">
        <v>19.829999999999998</v>
      </c>
      <c r="I101" s="78">
        <f>IF(OilSwitch=0,VLOOKUP($A101,[5]!OilCurve,4),VLOOKUP($A101,[5]!BrentCurve,4))</f>
        <v>20.89</v>
      </c>
      <c r="J101" s="91">
        <v>-3.0917332618573906E-2</v>
      </c>
      <c r="K101" s="80">
        <f t="shared" si="11"/>
        <v>19.690507911880413</v>
      </c>
      <c r="M101" s="80"/>
      <c r="AP101" s="21"/>
      <c r="AQ101" s="21"/>
      <c r="AR101" s="21"/>
      <c r="AS101" s="21"/>
    </row>
    <row r="102" spans="1:45" x14ac:dyDescent="0.15">
      <c r="A102" s="75">
        <v>37469</v>
      </c>
      <c r="B102" s="76">
        <f t="shared" si="10"/>
        <v>2002</v>
      </c>
      <c r="C102" s="77">
        <v>2.6520000000000001</v>
      </c>
      <c r="D102" s="78">
        <f>IF(GasSwitch=0,VLOOKUP($A102,[5]!GasCurve,4),VLOOKUP($A102,[5]!AecoCurve,5))</f>
        <v>2.6310000000000002</v>
      </c>
      <c r="E102" s="91">
        <v>1.1161058979936021E-2</v>
      </c>
      <c r="F102" s="80">
        <f t="shared" si="9"/>
        <v>2.6569068752114888</v>
      </c>
      <c r="G102" s="80"/>
      <c r="H102" s="81">
        <v>19.739999999999998</v>
      </c>
      <c r="I102" s="78">
        <f>IF(OilSwitch=0,VLOOKUP($A102,[5]!OilCurve,4),VLOOKUP($A102,[5]!BrentCurve,4))</f>
        <v>20.79</v>
      </c>
      <c r="J102" s="91">
        <v>4.77980364626183E-2</v>
      </c>
      <c r="K102" s="80">
        <f t="shared" si="11"/>
        <v>19.693853561278047</v>
      </c>
      <c r="M102" s="80"/>
      <c r="AP102" s="21"/>
      <c r="AQ102" s="21"/>
      <c r="AR102" s="21"/>
      <c r="AS102" s="21"/>
    </row>
    <row r="103" spans="1:45" x14ac:dyDescent="0.15">
      <c r="A103" s="75">
        <v>37500</v>
      </c>
      <c r="B103" s="76">
        <f t="shared" si="10"/>
        <v>2002</v>
      </c>
      <c r="C103" s="77">
        <v>2.6589999999999998</v>
      </c>
      <c r="D103" s="78">
        <f>IF(GasSwitch=0,VLOOKUP($A103,[5]!GasCurve,4),VLOOKUP($A103,[5]!AecoCurve,5))</f>
        <v>2.6380000000000003</v>
      </c>
      <c r="E103" s="91">
        <v>2.2034422825526322E-2</v>
      </c>
      <c r="F103" s="80">
        <f t="shared" si="9"/>
        <v>2.6732126723064824</v>
      </c>
      <c r="G103" s="80"/>
      <c r="H103" s="81">
        <v>19.649999999999999</v>
      </c>
      <c r="I103" s="78">
        <f>IF(OilSwitch=0,VLOOKUP($A103,[5]!OilCurve,4),VLOOKUP($A103,[5]!BrentCurve,4))</f>
        <v>20.69</v>
      </c>
      <c r="J103" s="91">
        <v>-1.1955409953268048E-2</v>
      </c>
      <c r="K103" s="80">
        <f t="shared" si="11"/>
        <v>19.588528256549285</v>
      </c>
      <c r="M103" s="80"/>
      <c r="AP103" s="21"/>
      <c r="AQ103" s="21"/>
      <c r="AR103" s="21"/>
      <c r="AS103" s="21"/>
    </row>
    <row r="104" spans="1:45" x14ac:dyDescent="0.15">
      <c r="A104" s="75">
        <v>37530</v>
      </c>
      <c r="B104" s="76">
        <f t="shared" si="10"/>
        <v>2002</v>
      </c>
      <c r="C104" s="77">
        <v>2.6850000000000001</v>
      </c>
      <c r="D104" s="78">
        <f>IF(GasSwitch=0,VLOOKUP($A104,[5]!GasCurve,4),VLOOKUP($A104,[5]!AecoCurve,5))</f>
        <v>2.665</v>
      </c>
      <c r="E104" s="91">
        <v>-2.5414654132578509E-2</v>
      </c>
      <c r="F104" s="80">
        <f t="shared" si="9"/>
        <v>2.6805263634256549</v>
      </c>
      <c r="G104" s="80"/>
      <c r="H104" s="81">
        <v>19.579999999999998</v>
      </c>
      <c r="I104" s="78">
        <f>IF(OilSwitch=0,VLOOKUP($A104,[5]!OilCurve,4),VLOOKUP($A104,[5]!BrentCurve,4))</f>
        <v>20.606666666666698</v>
      </c>
      <c r="J104" s="91">
        <v>6.6764373902497673E-4</v>
      </c>
      <c r="K104" s="80">
        <f t="shared" si="11"/>
        <v>19.525724918332642</v>
      </c>
      <c r="M104" s="80"/>
      <c r="AP104" s="21"/>
      <c r="AQ104" s="21"/>
      <c r="AR104" s="21"/>
      <c r="AS104" s="21"/>
    </row>
    <row r="105" spans="1:45" x14ac:dyDescent="0.15">
      <c r="A105" s="75">
        <v>37561</v>
      </c>
      <c r="B105" s="76">
        <f t="shared" si="10"/>
        <v>2002</v>
      </c>
      <c r="C105" s="77">
        <v>2.82</v>
      </c>
      <c r="D105" s="78">
        <f>IF(GasSwitch=0,VLOOKUP($A105,[5]!GasCurve,4),VLOOKUP($A105,[5]!AecoCurve,5))</f>
        <v>2.8010000000000002</v>
      </c>
      <c r="E105" s="91">
        <v>-1.9207758170221474E-2</v>
      </c>
      <c r="F105" s="80">
        <f t="shared" si="9"/>
        <v>2.8074489607549347</v>
      </c>
      <c r="G105" s="80"/>
      <c r="H105" s="81">
        <v>19.510000000000002</v>
      </c>
      <c r="I105" s="78">
        <f>IF(OilSwitch=0,VLOOKUP($A105,[5]!OilCurve,4),VLOOKUP($A105,[5]!BrentCurve,4))</f>
        <v>20.523333333333305</v>
      </c>
      <c r="J105" s="91">
        <v>-3.2043438266666627E-2</v>
      </c>
      <c r="K105" s="80">
        <f t="shared" si="11"/>
        <v>19.407777870141981</v>
      </c>
      <c r="M105" s="80"/>
      <c r="AP105" s="21"/>
      <c r="AQ105" s="21"/>
      <c r="AR105" s="21"/>
      <c r="AS105" s="21"/>
    </row>
    <row r="106" spans="1:45" x14ac:dyDescent="0.15">
      <c r="A106" s="75">
        <v>37591</v>
      </c>
      <c r="B106" s="76">
        <f t="shared" si="10"/>
        <v>2002</v>
      </c>
      <c r="C106" s="77">
        <v>2.9440000000000004</v>
      </c>
      <c r="D106" s="78">
        <f>IF(GasSwitch=0,VLOOKUP($A106,[5]!GasCurve,4),VLOOKUP($A106,[5]!AecoCurve,5))</f>
        <v>2.927</v>
      </c>
      <c r="E106" s="91">
        <v>3.4666025246232357E-2</v>
      </c>
      <c r="F106" s="80">
        <f t="shared" si="9"/>
        <v>2.9546562639489324</v>
      </c>
      <c r="G106" s="80"/>
      <c r="H106" s="81">
        <v>19.440000000000001</v>
      </c>
      <c r="I106" s="78">
        <f>IF(OilSwitch=0,VLOOKUP($A106,[5]!OilCurve,4),VLOOKUP($A106,[5]!BrentCurve,4))</f>
        <v>20.440000000000001</v>
      </c>
      <c r="J106" s="91">
        <v>2.2740881211145356E-2</v>
      </c>
      <c r="K106" s="80">
        <f t="shared" si="11"/>
        <v>19.385738687333269</v>
      </c>
      <c r="M106" s="80"/>
      <c r="AP106" s="21"/>
      <c r="AQ106" s="21"/>
      <c r="AR106" s="21"/>
      <c r="AS106" s="21"/>
    </row>
    <row r="107" spans="1:45" x14ac:dyDescent="0.15">
      <c r="A107" s="75">
        <v>37622</v>
      </c>
      <c r="B107" s="84">
        <f t="shared" si="10"/>
        <v>2003</v>
      </c>
      <c r="C107" s="85">
        <v>2.9750000000000001</v>
      </c>
      <c r="D107" s="78">
        <f>IF(GasSwitch=0,VLOOKUP($A107,[5]!GasCurve,4),VLOOKUP($A107,[5]!AecoCurve,5))</f>
        <v>2.96</v>
      </c>
      <c r="E107" s="91">
        <v>-4.4526409804636988E-3</v>
      </c>
      <c r="F107" s="80">
        <f t="shared" si="9"/>
        <v>2.9790135062105989</v>
      </c>
      <c r="G107" s="88"/>
      <c r="H107" s="89">
        <v>19.388333333333303</v>
      </c>
      <c r="I107" s="78">
        <f>IF(OilSwitch=0,VLOOKUP($A107,[5]!OilCurve,4),VLOOKUP($A107,[5]!BrentCurve,4))</f>
        <v>20.388333333333303</v>
      </c>
      <c r="J107" s="92">
        <v>2.5189435808525021E-2</v>
      </c>
      <c r="K107" s="87">
        <f t="shared" si="11"/>
        <v>19.381359111805963</v>
      </c>
      <c r="M107" s="80"/>
      <c r="AP107" s="21"/>
      <c r="AQ107" s="21"/>
      <c r="AR107" s="21"/>
      <c r="AS107" s="21"/>
    </row>
    <row r="108" spans="1:45" x14ac:dyDescent="0.15">
      <c r="A108" s="75">
        <v>37653</v>
      </c>
      <c r="B108" s="76">
        <f t="shared" si="10"/>
        <v>2003</v>
      </c>
      <c r="C108" s="77">
        <v>2.8569999999999998</v>
      </c>
      <c r="D108" s="78">
        <f>IF(GasSwitch=0,VLOOKUP($A108,[5]!GasCurve,4),VLOOKUP($A108,[5]!AecoCurve,5))</f>
        <v>2.847</v>
      </c>
      <c r="E108" s="91">
        <v>-3.3944876197489933E-2</v>
      </c>
      <c r="F108" s="80">
        <f t="shared" si="9"/>
        <v>2.8410479142371288</v>
      </c>
      <c r="G108" s="80"/>
      <c r="H108" s="81">
        <v>19.336666666666698</v>
      </c>
      <c r="I108" s="78">
        <f>IF(OilSwitch=0,VLOOKUP($A108,[5]!OilCurve,4),VLOOKUP($A108,[5]!BrentCurve,4))</f>
        <v>20.336666666666698</v>
      </c>
      <c r="J108" s="91">
        <v>-4.306042163964513E-2</v>
      </c>
      <c r="K108" s="80">
        <f t="shared" si="11"/>
        <v>19.258730351462194</v>
      </c>
      <c r="M108" s="80"/>
      <c r="AP108" s="21"/>
      <c r="AQ108" s="21"/>
      <c r="AR108" s="21"/>
      <c r="AS108" s="21"/>
    </row>
    <row r="109" spans="1:45" x14ac:dyDescent="0.15">
      <c r="A109" s="75">
        <v>37681</v>
      </c>
      <c r="B109" s="76">
        <f t="shared" si="10"/>
        <v>2003</v>
      </c>
      <c r="C109" s="77">
        <v>2.7370000000000001</v>
      </c>
      <c r="D109" s="78">
        <f>IF(GasSwitch=0,VLOOKUP($A109,[5]!GasCurve,4),VLOOKUP($A109,[5]!AecoCurve,5))</f>
        <v>2.7319999999999998</v>
      </c>
      <c r="E109" s="91">
        <v>-4.4972106875409812E-2</v>
      </c>
      <c r="F109" s="80">
        <f t="shared" si="9"/>
        <v>2.703636006628245</v>
      </c>
      <c r="G109" s="80"/>
      <c r="H109" s="81">
        <v>19.285</v>
      </c>
      <c r="I109" s="78">
        <f>IF(OilSwitch=0,VLOOKUP($A109,[5]!OilCurve,4),VLOOKUP($A109,[5]!BrentCurve,4))</f>
        <v>20.285</v>
      </c>
      <c r="J109" s="91">
        <v>1.8214759594810032E-2</v>
      </c>
      <c r="K109" s="80">
        <f t="shared" si="11"/>
        <v>19.245088739966505</v>
      </c>
      <c r="M109" s="80"/>
      <c r="AP109" s="21"/>
      <c r="AQ109" s="21"/>
      <c r="AR109" s="21"/>
      <c r="AS109" s="21"/>
    </row>
    <row r="110" spans="1:45" x14ac:dyDescent="0.15">
      <c r="A110" s="75">
        <v>37712</v>
      </c>
      <c r="B110" s="76">
        <f t="shared" si="10"/>
        <v>2003</v>
      </c>
      <c r="C110" s="77">
        <v>2.6875</v>
      </c>
      <c r="D110" s="78">
        <f>IF(GasSwitch=0,VLOOKUP($A110,[5]!GasCurve,4),VLOOKUP($A110,[5]!AecoCurve,5))</f>
        <v>2.6320000000000001</v>
      </c>
      <c r="E110" s="91">
        <v>2.3225266317799056E-2</v>
      </c>
      <c r="F110" s="80">
        <f t="shared" si="9"/>
        <v>2.6793937045538314</v>
      </c>
      <c r="G110" s="80"/>
      <c r="H110" s="81">
        <v>19.233333333333302</v>
      </c>
      <c r="I110" s="78">
        <f>IF(OilSwitch=0,VLOOKUP($A110,[5]!OilCurve,4),VLOOKUP($A110,[5]!BrentCurve,4))</f>
        <v>20.233333333333302</v>
      </c>
      <c r="J110" s="91">
        <v>1.7439782919557358E-2</v>
      </c>
      <c r="K110" s="80">
        <f t="shared" si="11"/>
        <v>19.226393086821268</v>
      </c>
      <c r="M110" s="80"/>
      <c r="AP110" s="21"/>
      <c r="AQ110" s="21"/>
      <c r="AR110" s="21"/>
      <c r="AS110" s="21"/>
    </row>
    <row r="111" spans="1:45" x14ac:dyDescent="0.15">
      <c r="A111" s="75">
        <v>37742</v>
      </c>
      <c r="B111" s="76">
        <f t="shared" si="10"/>
        <v>2003</v>
      </c>
      <c r="C111" s="77">
        <v>2.6614999999999998</v>
      </c>
      <c r="D111" s="78">
        <f>IF(GasSwitch=0,VLOOKUP($A111,[5]!GasCurve,4),VLOOKUP($A111,[5]!AecoCurve,5))</f>
        <v>2.6320000000000001</v>
      </c>
      <c r="E111" s="91">
        <v>1.498139339220938E-2</v>
      </c>
      <c r="F111" s="80">
        <f t="shared" si="9"/>
        <v>2.6643095366054639</v>
      </c>
      <c r="G111" s="80"/>
      <c r="H111" s="81">
        <v>19.181666666666697</v>
      </c>
      <c r="I111" s="78">
        <f>IF(OilSwitch=0,VLOOKUP($A111,[5]!OilCurve,4),VLOOKUP($A111,[5]!BrentCurve,4))</f>
        <v>20.1816666666667</v>
      </c>
      <c r="J111" s="91">
        <v>3.6233725746695769E-2</v>
      </c>
      <c r="K111" s="80">
        <f t="shared" si="11"/>
        <v>19.235706424201855</v>
      </c>
      <c r="M111" s="80"/>
      <c r="AP111" s="21"/>
      <c r="AQ111" s="21"/>
      <c r="AR111" s="21"/>
      <c r="AS111" s="21"/>
    </row>
    <row r="112" spans="1:45" x14ac:dyDescent="0.15">
      <c r="A112" s="75">
        <v>37773</v>
      </c>
      <c r="B112" s="76">
        <f t="shared" si="10"/>
        <v>2003</v>
      </c>
      <c r="C112" s="77">
        <v>2.6675</v>
      </c>
      <c r="D112" s="78">
        <f>IF(GasSwitch=0,VLOOKUP($A112,[5]!GasCurve,4),VLOOKUP($A112,[5]!AecoCurve,5))</f>
        <v>2.6410000000000005</v>
      </c>
      <c r="E112" s="91">
        <v>-2.4245471342299128E-2</v>
      </c>
      <c r="F112" s="80">
        <f t="shared" si="9"/>
        <v>2.656783958136363</v>
      </c>
      <c r="G112" s="80"/>
      <c r="H112" s="81">
        <v>19.13</v>
      </c>
      <c r="I112" s="78">
        <f>IF(OilSwitch=0,VLOOKUP($A112,[5]!OilCurve,4),VLOOKUP($A112,[5]!BrentCurve,4))</f>
        <v>20.13</v>
      </c>
      <c r="J112" s="91">
        <v>1.9364924817557517E-2</v>
      </c>
      <c r="K112" s="80">
        <f t="shared" si="11"/>
        <v>19.210913056435594</v>
      </c>
      <c r="M112" s="80"/>
      <c r="AP112" s="21"/>
      <c r="AQ112" s="21"/>
      <c r="AR112" s="21"/>
      <c r="AS112" s="21"/>
    </row>
    <row r="113" spans="1:45" x14ac:dyDescent="0.15">
      <c r="A113" s="75">
        <v>37803</v>
      </c>
      <c r="B113" s="76">
        <f t="shared" si="10"/>
        <v>2003</v>
      </c>
      <c r="C113" s="77">
        <v>2.6775000000000002</v>
      </c>
      <c r="D113" s="78">
        <f>IF(GasSwitch=0,VLOOKUP($A113,[5]!GasCurve,4),VLOOKUP($A113,[5]!AecoCurve,5))</f>
        <v>2.6520000000000001</v>
      </c>
      <c r="E113" s="91">
        <v>-2.5590418763396107E-2</v>
      </c>
      <c r="F113" s="80">
        <f t="shared" si="9"/>
        <v>2.6579745396390315</v>
      </c>
      <c r="G113" s="80"/>
      <c r="H113" s="81">
        <v>19.078333333333305</v>
      </c>
      <c r="I113" s="78">
        <f>IF(OilSwitch=0,VLOOKUP($A113,[5]!OilCurve,4),VLOOKUP($A113,[5]!BrentCurve,4))</f>
        <v>20.078333333333305</v>
      </c>
      <c r="J113" s="91">
        <v>-2.2440644576609013E-2</v>
      </c>
      <c r="K113" s="80">
        <f t="shared" si="11"/>
        <v>19.113894764606297</v>
      </c>
      <c r="M113" s="80"/>
      <c r="AP113" s="21"/>
      <c r="AQ113" s="21"/>
      <c r="AR113" s="21"/>
      <c r="AS113" s="21"/>
    </row>
    <row r="114" spans="1:45" x14ac:dyDescent="0.15">
      <c r="A114" s="75">
        <v>37834</v>
      </c>
      <c r="B114" s="76">
        <f t="shared" si="10"/>
        <v>2003</v>
      </c>
      <c r="C114" s="77">
        <v>2.6844999999999999</v>
      </c>
      <c r="D114" s="78">
        <f>IF(GasSwitch=0,VLOOKUP($A114,[5]!GasCurve,4),VLOOKUP($A114,[5]!AecoCurve,5))</f>
        <v>2.6610000000000005</v>
      </c>
      <c r="E114" s="91">
        <v>2.915557529707587E-2</v>
      </c>
      <c r="F114" s="80">
        <f t="shared" si="9"/>
        <v>2.6876512351611845</v>
      </c>
      <c r="G114" s="80"/>
      <c r="H114" s="81">
        <v>19.026666666666696</v>
      </c>
      <c r="I114" s="78">
        <f>IF(OilSwitch=0,VLOOKUP($A114,[5]!OilCurve,4),VLOOKUP($A114,[5]!BrentCurve,4))</f>
        <v>20.026666666666699</v>
      </c>
      <c r="J114" s="91">
        <v>1.2136368705527098E-2</v>
      </c>
      <c r="K114" s="80">
        <f t="shared" si="11"/>
        <v>19.07890243376966</v>
      </c>
      <c r="M114" s="80"/>
      <c r="AP114" s="21"/>
      <c r="AQ114" s="21"/>
      <c r="AR114" s="21"/>
      <c r="AS114" s="21"/>
    </row>
    <row r="115" spans="1:45" x14ac:dyDescent="0.15">
      <c r="A115" s="75">
        <v>37865</v>
      </c>
      <c r="B115" s="76">
        <f t="shared" si="10"/>
        <v>2003</v>
      </c>
      <c r="C115" s="77">
        <v>2.6915</v>
      </c>
      <c r="D115" s="78">
        <f>IF(GasSwitch=0,VLOOKUP($A115,[5]!GasCurve,4),VLOOKUP($A115,[5]!AecoCurve,5))</f>
        <v>2.6680000000000001</v>
      </c>
      <c r="E115" s="91">
        <v>2.0104598217706972E-2</v>
      </c>
      <c r="F115" s="80">
        <f t="shared" si="9"/>
        <v>2.703729246056124</v>
      </c>
      <c r="G115" s="80"/>
      <c r="H115" s="81">
        <v>18.975000000000001</v>
      </c>
      <c r="I115" s="78">
        <f>IF(OilSwitch=0,VLOOKUP($A115,[5]!OilCurve,4),VLOOKUP($A115,[5]!BrentCurve,4))</f>
        <v>19.975000000000001</v>
      </c>
      <c r="J115" s="91">
        <v>-1.5511361471739676E-2</v>
      </c>
      <c r="K115" s="80">
        <f t="shared" si="11"/>
        <v>18.996253520670798</v>
      </c>
      <c r="M115" s="80"/>
      <c r="AP115" s="21"/>
      <c r="AQ115" s="21"/>
      <c r="AR115" s="21"/>
      <c r="AS115" s="21"/>
    </row>
    <row r="116" spans="1:45" x14ac:dyDescent="0.15">
      <c r="A116" s="75">
        <v>37895</v>
      </c>
      <c r="B116" s="76">
        <f t="shared" si="10"/>
        <v>2003</v>
      </c>
      <c r="C116" s="77">
        <v>2.7174999999999998</v>
      </c>
      <c r="D116" s="78">
        <f>IF(GasSwitch=0,VLOOKUP($A116,[5]!GasCurve,4),VLOOKUP($A116,[5]!AecoCurve,5))</f>
        <v>2.6949999999999998</v>
      </c>
      <c r="E116" s="91">
        <v>1.7410330785524432E-2</v>
      </c>
      <c r="F116" s="80">
        <f t="shared" ref="F116:F179" si="12">IF(shiftswitch2=1,IF(F115+$D$8*(D116-F115)+($E$8*(F115^$F$8)*E116)+(1-$D$8)*(D116-D115)&lt;0,0.01,F115+$D$8*(D116-F115)+($E$8*(F115^$F$8)*E116)+(1-$D$8)*(D116-D115)),IF(F115+$D$10*(C116-F115)+($E$10*(F115^$F$10)*E116)+(1-$D$10)*(C116-C115)&lt;0,0.01,F115+$D$10*(C116-F115)+($E$10*(F115^$F$10)*E116)+(1-$D$10)*(C116-C115)))</f>
        <v>2.7338343889561809</v>
      </c>
      <c r="G116" s="80"/>
      <c r="H116" s="81">
        <v>18.923333333333304</v>
      </c>
      <c r="I116" s="78">
        <f>IF(OilSwitch=0,VLOOKUP($A116,[5]!OilCurve,4),VLOOKUP($A116,[5]!BrentCurve,4))</f>
        <v>19.923333333333304</v>
      </c>
      <c r="J116" s="91">
        <v>-6.6960724699947341E-3</v>
      </c>
      <c r="K116" s="80">
        <f t="shared" si="11"/>
        <v>18.931340490867623</v>
      </c>
      <c r="M116" s="80"/>
      <c r="AP116" s="21"/>
      <c r="AQ116" s="21"/>
      <c r="AR116" s="21"/>
      <c r="AS116" s="21"/>
    </row>
    <row r="117" spans="1:45" x14ac:dyDescent="0.15">
      <c r="A117" s="75">
        <v>37926</v>
      </c>
      <c r="B117" s="76">
        <f t="shared" si="10"/>
        <v>2003</v>
      </c>
      <c r="C117" s="77">
        <v>2.8525</v>
      </c>
      <c r="D117" s="78">
        <f>IF(GasSwitch=0,VLOOKUP($A117,[5]!GasCurve,4),VLOOKUP($A117,[5]!AecoCurve,5))</f>
        <v>2.8310000000000004</v>
      </c>
      <c r="E117" s="91">
        <v>1.4079103552984669E-2</v>
      </c>
      <c r="F117" s="80">
        <f t="shared" si="12"/>
        <v>2.8696279477318178</v>
      </c>
      <c r="G117" s="80"/>
      <c r="H117" s="81">
        <v>18.871666666666698</v>
      </c>
      <c r="I117" s="78">
        <f>IF(OilSwitch=0,VLOOKUP($A117,[5]!OilCurve,4),VLOOKUP($A117,[5]!BrentCurve,4))</f>
        <v>19.871666666666698</v>
      </c>
      <c r="J117" s="91">
        <v>-1.5487056443897269E-2</v>
      </c>
      <c r="K117" s="80">
        <f t="shared" si="11"/>
        <v>18.853110653682474</v>
      </c>
      <c r="M117" s="80"/>
      <c r="AP117" s="21"/>
      <c r="AQ117" s="21"/>
      <c r="AR117" s="21"/>
      <c r="AS117" s="21"/>
    </row>
    <row r="118" spans="1:45" x14ac:dyDescent="0.15">
      <c r="A118" s="75">
        <v>37956</v>
      </c>
      <c r="B118" s="76">
        <f t="shared" si="10"/>
        <v>2003</v>
      </c>
      <c r="C118" s="77">
        <v>2.9765000000000006</v>
      </c>
      <c r="D118" s="78">
        <f>IF(GasSwitch=0,VLOOKUP($A118,[5]!GasCurve,4),VLOOKUP($A118,[5]!AecoCurve,5))</f>
        <v>2.9569999999999999</v>
      </c>
      <c r="E118" s="91">
        <v>1.717672318217256E-2</v>
      </c>
      <c r="F118" s="80">
        <f t="shared" si="12"/>
        <v>2.9959296113503209</v>
      </c>
      <c r="G118" s="80"/>
      <c r="H118" s="81">
        <v>18.82</v>
      </c>
      <c r="I118" s="78">
        <f>IF(OilSwitch=0,VLOOKUP($A118,[5]!OilCurve,4),VLOOKUP($A118,[5]!BrentCurve,4))</f>
        <v>19.82</v>
      </c>
      <c r="J118" s="91">
        <v>2.6841934525961526E-2</v>
      </c>
      <c r="K118" s="80">
        <f t="shared" si="11"/>
        <v>18.847946011352413</v>
      </c>
      <c r="M118" s="80"/>
      <c r="AP118" s="21"/>
      <c r="AQ118" s="21"/>
      <c r="AR118" s="21"/>
      <c r="AS118" s="21"/>
    </row>
    <row r="119" spans="1:45" x14ac:dyDescent="0.15">
      <c r="A119" s="75">
        <v>37987</v>
      </c>
      <c r="B119" s="84">
        <f t="shared" si="10"/>
        <v>2004</v>
      </c>
      <c r="C119" s="85">
        <v>3.0150000000000001</v>
      </c>
      <c r="D119" s="78">
        <f>IF(GasSwitch=0,VLOOKUP($A119,[5]!GasCurve,4),VLOOKUP($A119,[5]!AecoCurve,5))</f>
        <v>2.9895</v>
      </c>
      <c r="E119" s="91">
        <v>-1.6539474118901637E-2</v>
      </c>
      <c r="F119" s="80">
        <f t="shared" si="12"/>
        <v>3.0177179346246992</v>
      </c>
      <c r="G119" s="88"/>
      <c r="H119" s="89">
        <v>18.811666666666696</v>
      </c>
      <c r="I119" s="78">
        <f>IF(OilSwitch=0,VLOOKUP($A119,[5]!OilCurve,4),VLOOKUP($A119,[5]!BrentCurve,4))</f>
        <v>19.805833333333304</v>
      </c>
      <c r="J119" s="92">
        <v>-3.9464570055787185E-2</v>
      </c>
      <c r="K119" s="87">
        <f t="shared" si="11"/>
        <v>18.771176978322387</v>
      </c>
      <c r="M119" s="80"/>
      <c r="AP119" s="21"/>
      <c r="AQ119" s="21"/>
      <c r="AR119" s="21"/>
      <c r="AS119" s="21"/>
    </row>
    <row r="120" spans="1:45" x14ac:dyDescent="0.15">
      <c r="A120" s="75">
        <v>38018</v>
      </c>
      <c r="B120" s="76">
        <f t="shared" si="10"/>
        <v>2004</v>
      </c>
      <c r="C120" s="77">
        <v>2.8969999999999998</v>
      </c>
      <c r="D120" s="78">
        <f>IF(GasSwitch=0,VLOOKUP($A120,[5]!GasCurve,4),VLOOKUP($A120,[5]!AecoCurve,5))</f>
        <v>2.8805000000000001</v>
      </c>
      <c r="E120" s="91">
        <v>-3.924352743715994E-2</v>
      </c>
      <c r="F120" s="80">
        <f t="shared" si="12"/>
        <v>2.8772636659008191</v>
      </c>
      <c r="G120" s="80"/>
      <c r="H120" s="81">
        <v>18.803333333333303</v>
      </c>
      <c r="I120" s="78">
        <f>IF(OilSwitch=0,VLOOKUP($A120,[5]!OilCurve,4),VLOOKUP($A120,[5]!BrentCurve,4))</f>
        <v>19.7916666666667</v>
      </c>
      <c r="J120" s="91">
        <v>-3.6366367056457814E-2</v>
      </c>
      <c r="K120" s="80">
        <f t="shared" si="11"/>
        <v>18.706338489353136</v>
      </c>
      <c r="M120" s="80"/>
      <c r="AP120" s="21"/>
      <c r="AQ120" s="21"/>
      <c r="AR120" s="21"/>
      <c r="AS120" s="21"/>
    </row>
    <row r="121" spans="1:45" x14ac:dyDescent="0.15">
      <c r="A121" s="75">
        <v>38047</v>
      </c>
      <c r="B121" s="76">
        <f t="shared" si="10"/>
        <v>2004</v>
      </c>
      <c r="C121" s="77">
        <v>2.7770000000000001</v>
      </c>
      <c r="D121" s="78">
        <f>IF(GasSwitch=0,VLOOKUP($A121,[5]!GasCurve,4),VLOOKUP($A121,[5]!AecoCurve,5))</f>
        <v>2.7685000000000004</v>
      </c>
      <c r="E121" s="91">
        <v>-2.9003146690556775E-2</v>
      </c>
      <c r="F121" s="80">
        <f t="shared" si="12"/>
        <v>2.7496995449976636</v>
      </c>
      <c r="G121" s="80"/>
      <c r="H121" s="81">
        <v>18.795000000000002</v>
      </c>
      <c r="I121" s="78">
        <f>IF(OilSwitch=0,VLOOKUP($A121,[5]!OilCurve,4),VLOOKUP($A121,[5]!BrentCurve,4))</f>
        <v>19.7775</v>
      </c>
      <c r="J121" s="91">
        <v>4.6406519265048719E-2</v>
      </c>
      <c r="K121" s="80">
        <f t="shared" si="11"/>
        <v>18.78482809363091</v>
      </c>
      <c r="M121" s="80"/>
      <c r="AP121" s="21"/>
      <c r="AQ121" s="21"/>
      <c r="AR121" s="21"/>
      <c r="AS121" s="21"/>
    </row>
    <row r="122" spans="1:45" x14ac:dyDescent="0.15">
      <c r="A122" s="75">
        <v>38078</v>
      </c>
      <c r="B122" s="76">
        <f t="shared" si="10"/>
        <v>2004</v>
      </c>
      <c r="C122" s="77">
        <v>2.7275</v>
      </c>
      <c r="D122" s="78">
        <f>IF(GasSwitch=0,VLOOKUP($A122,[5]!GasCurve,4),VLOOKUP($A122,[5]!AecoCurve,5))</f>
        <v>2.6715</v>
      </c>
      <c r="E122" s="91">
        <v>-2.7759624384436618E-2</v>
      </c>
      <c r="F122" s="80">
        <f t="shared" si="12"/>
        <v>2.6966396750737536</v>
      </c>
      <c r="G122" s="80"/>
      <c r="H122" s="81">
        <v>18.786666666666697</v>
      </c>
      <c r="I122" s="78">
        <f>IF(OilSwitch=0,VLOOKUP($A122,[5]!OilCurve,4),VLOOKUP($A122,[5]!BrentCurve,4))</f>
        <v>19.763333333333303</v>
      </c>
      <c r="J122" s="91">
        <v>-3.871205875983199E-2</v>
      </c>
      <c r="K122" s="80">
        <f t="shared" si="11"/>
        <v>18.71308491325178</v>
      </c>
      <c r="M122" s="80"/>
      <c r="AP122" s="21"/>
      <c r="AQ122" s="21"/>
      <c r="AR122" s="21"/>
      <c r="AS122" s="21"/>
    </row>
    <row r="123" spans="1:45" x14ac:dyDescent="0.15">
      <c r="A123" s="75">
        <v>38108</v>
      </c>
      <c r="B123" s="76">
        <f t="shared" si="10"/>
        <v>2004</v>
      </c>
      <c r="C123" s="77">
        <v>2.7014999999999998</v>
      </c>
      <c r="D123" s="78">
        <f>IF(GasSwitch=0,VLOOKUP($A123,[5]!GasCurve,4),VLOOKUP($A123,[5]!AecoCurve,5))</f>
        <v>2.6724999999999999</v>
      </c>
      <c r="E123" s="91">
        <v>6.4529025262845388E-2</v>
      </c>
      <c r="F123" s="80">
        <f t="shared" si="12"/>
        <v>2.7161485992953902</v>
      </c>
      <c r="G123" s="80"/>
      <c r="H123" s="81">
        <v>18.778333333333304</v>
      </c>
      <c r="I123" s="78">
        <f>IF(OilSwitch=0,VLOOKUP($A123,[5]!OilCurve,4),VLOOKUP($A123,[5]!BrentCurve,4))</f>
        <v>19.749166666666699</v>
      </c>
      <c r="J123" s="91">
        <v>-2.1075246961167339E-2</v>
      </c>
      <c r="K123" s="80">
        <f t="shared" si="11"/>
        <v>18.676966962563082</v>
      </c>
      <c r="M123" s="80"/>
      <c r="AP123" s="21"/>
      <c r="AQ123" s="21"/>
      <c r="AR123" s="21"/>
      <c r="AS123" s="21"/>
    </row>
    <row r="124" spans="1:45" x14ac:dyDescent="0.15">
      <c r="A124" s="75">
        <v>38139</v>
      </c>
      <c r="B124" s="76">
        <f t="shared" si="10"/>
        <v>2004</v>
      </c>
      <c r="C124" s="77">
        <v>2.7075</v>
      </c>
      <c r="D124" s="78">
        <f>IF(GasSwitch=0,VLOOKUP($A124,[5]!GasCurve,4),VLOOKUP($A124,[5]!AecoCurve,5))</f>
        <v>2.6825000000000001</v>
      </c>
      <c r="E124" s="91">
        <v>-2.4342119896789798E-2</v>
      </c>
      <c r="F124" s="80">
        <f t="shared" si="12"/>
        <v>2.7037386531856171</v>
      </c>
      <c r="G124" s="80"/>
      <c r="H124" s="81">
        <v>18.77</v>
      </c>
      <c r="I124" s="78">
        <f>IF(OilSwitch=0,VLOOKUP($A124,[5]!OilCurve,4),VLOOKUP($A124,[5]!BrentCurve,4))</f>
        <v>19.734999999999999</v>
      </c>
      <c r="J124" s="91">
        <v>6.2650386966777161E-2</v>
      </c>
      <c r="K124" s="80">
        <f t="shared" si="11"/>
        <v>18.782919143848744</v>
      </c>
      <c r="M124" s="80"/>
      <c r="AP124" s="21"/>
      <c r="AQ124" s="21"/>
      <c r="AR124" s="21"/>
      <c r="AS124" s="21"/>
    </row>
    <row r="125" spans="1:45" x14ac:dyDescent="0.15">
      <c r="A125" s="75">
        <v>38169</v>
      </c>
      <c r="B125" s="76">
        <f t="shared" si="10"/>
        <v>2004</v>
      </c>
      <c r="C125" s="77">
        <v>2.7174999999999998</v>
      </c>
      <c r="D125" s="78">
        <f>IF(GasSwitch=0,VLOOKUP($A125,[5]!GasCurve,4),VLOOKUP($A125,[5]!AecoCurve,5))</f>
        <v>2.6935000000000002</v>
      </c>
      <c r="E125" s="91">
        <v>-2.887512919202255E-2</v>
      </c>
      <c r="F125" s="80">
        <f t="shared" si="12"/>
        <v>2.700351592954942</v>
      </c>
      <c r="G125" s="80"/>
      <c r="H125" s="81">
        <v>18.761666666666699</v>
      </c>
      <c r="I125" s="78">
        <f>IF(OilSwitch=0,VLOOKUP($A125,[5]!OilCurve,4),VLOOKUP($A125,[5]!BrentCurve,4))</f>
        <v>19.720833333333303</v>
      </c>
      <c r="J125" s="91">
        <v>1.5833026537254543E-2</v>
      </c>
      <c r="K125" s="80">
        <f t="shared" si="11"/>
        <v>18.799652971432408</v>
      </c>
      <c r="M125" s="80"/>
      <c r="AP125" s="21"/>
      <c r="AQ125" s="21"/>
      <c r="AR125" s="21"/>
      <c r="AS125" s="21"/>
    </row>
    <row r="126" spans="1:45" x14ac:dyDescent="0.15">
      <c r="A126" s="75">
        <v>38200</v>
      </c>
      <c r="B126" s="76">
        <f t="shared" si="10"/>
        <v>2004</v>
      </c>
      <c r="C126" s="77">
        <v>2.7244999999999999</v>
      </c>
      <c r="D126" s="78">
        <f>IF(GasSwitch=0,VLOOKUP($A126,[5]!GasCurve,4),VLOOKUP($A126,[5]!AecoCurve,5))</f>
        <v>2.7025000000000001</v>
      </c>
      <c r="E126" s="91">
        <v>-1.5729526152292981E-3</v>
      </c>
      <c r="F126" s="80">
        <f t="shared" si="12"/>
        <v>2.7133697559825265</v>
      </c>
      <c r="G126" s="80"/>
      <c r="H126" s="81">
        <v>18.753333333333302</v>
      </c>
      <c r="I126" s="78">
        <f>IF(OilSwitch=0,VLOOKUP($A126,[5]!OilCurve,4),VLOOKUP($A126,[5]!BrentCurve,4))</f>
        <v>19.706666666666699</v>
      </c>
      <c r="J126" s="91">
        <v>2.8306529270002392E-2</v>
      </c>
      <c r="K126" s="80">
        <f t="shared" si="11"/>
        <v>18.834661058632491</v>
      </c>
      <c r="M126" s="80"/>
      <c r="AP126" s="21"/>
      <c r="AQ126" s="21"/>
      <c r="AR126" s="21"/>
      <c r="AS126" s="21"/>
    </row>
    <row r="127" spans="1:45" x14ac:dyDescent="0.15">
      <c r="A127" s="75">
        <v>38231</v>
      </c>
      <c r="B127" s="76">
        <f t="shared" si="10"/>
        <v>2004</v>
      </c>
      <c r="C127" s="77">
        <v>2.7315000000000005</v>
      </c>
      <c r="D127" s="78">
        <f>IF(GasSwitch=0,VLOOKUP($A127,[5]!GasCurve,4),VLOOKUP($A127,[5]!AecoCurve,5))</f>
        <v>2.7085000000000004</v>
      </c>
      <c r="E127" s="91">
        <v>-2.0295785985047211E-2</v>
      </c>
      <c r="F127" s="80">
        <f t="shared" si="12"/>
        <v>2.7143209352594551</v>
      </c>
      <c r="G127" s="80"/>
      <c r="H127" s="81">
        <v>18.745000000000001</v>
      </c>
      <c r="I127" s="78">
        <f>IF(OilSwitch=0,VLOOKUP($A127,[5]!OilCurve,4),VLOOKUP($A127,[5]!BrentCurve,4))</f>
        <v>19.692499999999999</v>
      </c>
      <c r="J127" s="91">
        <v>-9.5054789581695137E-3</v>
      </c>
      <c r="K127" s="80">
        <f t="shared" si="11"/>
        <v>18.802459163508175</v>
      </c>
      <c r="M127" s="80"/>
      <c r="AP127" s="21"/>
      <c r="AQ127" s="21"/>
      <c r="AR127" s="21"/>
      <c r="AS127" s="21"/>
    </row>
    <row r="128" spans="1:45" x14ac:dyDescent="0.15">
      <c r="A128" s="75">
        <v>38261</v>
      </c>
      <c r="B128" s="76">
        <f t="shared" si="10"/>
        <v>2004</v>
      </c>
      <c r="C128" s="77">
        <v>2.7574999999999998</v>
      </c>
      <c r="D128" s="78">
        <f>IF(GasSwitch=0,VLOOKUP($A128,[5]!GasCurve,4),VLOOKUP($A128,[5]!AecoCurve,5))</f>
        <v>2.7345000000000002</v>
      </c>
      <c r="E128" s="91">
        <v>-1.6728585197503254E-2</v>
      </c>
      <c r="F128" s="80">
        <f t="shared" si="12"/>
        <v>2.7385213680055478</v>
      </c>
      <c r="G128" s="80"/>
      <c r="H128" s="81">
        <v>18.736666666666697</v>
      </c>
      <c r="I128" s="78">
        <f>IF(OilSwitch=0,VLOOKUP($A128,[5]!OilCurve,4),VLOOKUP($A128,[5]!BrentCurve,4))</f>
        <v>19.678333333333303</v>
      </c>
      <c r="J128" s="91">
        <v>-2.6849137336627778E-3</v>
      </c>
      <c r="K128" s="80">
        <f t="shared" si="11"/>
        <v>18.783969676534745</v>
      </c>
      <c r="M128" s="80"/>
      <c r="AP128" s="21"/>
      <c r="AQ128" s="21"/>
      <c r="AR128" s="21"/>
      <c r="AS128" s="21"/>
    </row>
    <row r="129" spans="1:45" x14ac:dyDescent="0.15">
      <c r="A129" s="75">
        <v>38292</v>
      </c>
      <c r="B129" s="76">
        <f t="shared" si="10"/>
        <v>2004</v>
      </c>
      <c r="C129" s="77">
        <v>2.8925000000000001</v>
      </c>
      <c r="D129" s="78">
        <f>IF(GasSwitch=0,VLOOKUP($A129,[5]!GasCurve,4),VLOOKUP($A129,[5]!AecoCurve,5))</f>
        <v>2.8655000000000004</v>
      </c>
      <c r="E129" s="91">
        <v>-5.9562943412468934E-2</v>
      </c>
      <c r="F129" s="80">
        <f t="shared" si="12"/>
        <v>2.8501777141106079</v>
      </c>
      <c r="G129" s="80"/>
      <c r="H129" s="81">
        <v>18.728333333333303</v>
      </c>
      <c r="I129" s="78">
        <f>IF(OilSwitch=0,VLOOKUP($A129,[5]!OilCurve,4),VLOOKUP($A129,[5]!BrentCurve,4))</f>
        <v>19.664166666666699</v>
      </c>
      <c r="J129" s="91">
        <v>9.6273881575188684E-3</v>
      </c>
      <c r="K129" s="80">
        <f t="shared" si="11"/>
        <v>18.786973319118527</v>
      </c>
      <c r="M129" s="80"/>
      <c r="AP129" s="21"/>
      <c r="AQ129" s="21"/>
      <c r="AR129" s="21"/>
      <c r="AS129" s="21"/>
    </row>
    <row r="130" spans="1:45" x14ac:dyDescent="0.15">
      <c r="A130" s="75">
        <v>38322</v>
      </c>
      <c r="B130" s="76">
        <f t="shared" si="10"/>
        <v>2004</v>
      </c>
      <c r="C130" s="77">
        <v>3.0165000000000006</v>
      </c>
      <c r="D130" s="78">
        <f>IF(GasSwitch=0,VLOOKUP($A130,[5]!GasCurve,4),VLOOKUP($A130,[5]!AecoCurve,5))</f>
        <v>2.9885000000000002</v>
      </c>
      <c r="E130" s="91">
        <v>-2.2582226848656486E-2</v>
      </c>
      <c r="F130" s="80">
        <f t="shared" si="12"/>
        <v>2.9790784567056989</v>
      </c>
      <c r="G130" s="80"/>
      <c r="H130" s="81">
        <v>18.72</v>
      </c>
      <c r="I130" s="78">
        <f>IF(OilSwitch=0,VLOOKUP($A130,[5]!OilCurve,4),VLOOKUP($A130,[5]!BrentCurve,4))</f>
        <v>19.649999999999999</v>
      </c>
      <c r="J130" s="91">
        <v>1.2363629679717873E-3</v>
      </c>
      <c r="K130" s="80">
        <f t="shared" si="11"/>
        <v>18.77489193517119</v>
      </c>
      <c r="M130" s="80"/>
      <c r="AP130" s="21"/>
      <c r="AQ130" s="21"/>
      <c r="AR130" s="21"/>
      <c r="AS130" s="21"/>
    </row>
    <row r="131" spans="1:45" x14ac:dyDescent="0.15">
      <c r="A131" s="75">
        <v>38353</v>
      </c>
      <c r="B131" s="84">
        <f t="shared" si="10"/>
        <v>2005</v>
      </c>
      <c r="C131" s="85">
        <v>3.0649999999999999</v>
      </c>
      <c r="D131" s="78">
        <f>IF(GasSwitch=0,VLOOKUP($A131,[5]!GasCurve,4),VLOOKUP($A131,[5]!AecoCurve,5))</f>
        <v>3.0290000000000004</v>
      </c>
      <c r="E131" s="91">
        <v>-2.6386999305197906E-3</v>
      </c>
      <c r="F131" s="80">
        <f t="shared" si="12"/>
        <v>3.0410519114856638</v>
      </c>
      <c r="G131" s="88"/>
      <c r="H131" s="89">
        <v>18.717500000000001</v>
      </c>
      <c r="I131" s="78">
        <f>IF(OilSwitch=0,VLOOKUP($A131,[5]!OilCurve,4),VLOOKUP($A131,[5]!BrentCurve,4))</f>
        <v>19.644166666666699</v>
      </c>
      <c r="J131" s="92">
        <v>2.0006757775049757E-2</v>
      </c>
      <c r="K131" s="87">
        <f t="shared" si="11"/>
        <v>18.800248878526929</v>
      </c>
      <c r="M131" s="80"/>
      <c r="AP131" s="21"/>
      <c r="AQ131" s="21"/>
      <c r="AR131" s="21"/>
      <c r="AS131" s="21"/>
    </row>
    <row r="132" spans="1:45" x14ac:dyDescent="0.15">
      <c r="A132" s="75">
        <v>38384</v>
      </c>
      <c r="B132" s="76">
        <f t="shared" si="10"/>
        <v>2005</v>
      </c>
      <c r="C132" s="77">
        <v>2.9470000000000001</v>
      </c>
      <c r="D132" s="78">
        <f>IF(GasSwitch=0,VLOOKUP($A132,[5]!GasCurve,4),VLOOKUP($A132,[5]!AecoCurve,5))</f>
        <v>2.9240000000000004</v>
      </c>
      <c r="E132" s="91">
        <v>-1.2806273241344809E-2</v>
      </c>
      <c r="F132" s="80">
        <f t="shared" si="12"/>
        <v>2.9255868444939765</v>
      </c>
      <c r="G132" s="80"/>
      <c r="H132" s="81">
        <v>18.715</v>
      </c>
      <c r="I132" s="78">
        <f>IF(OilSwitch=0,VLOOKUP($A132,[5]!OilCurve,4),VLOOKUP($A132,[5]!BrentCurve,4))</f>
        <v>19.638333333333303</v>
      </c>
      <c r="J132" s="91">
        <v>-6.175282025117238E-3</v>
      </c>
      <c r="K132" s="80">
        <f t="shared" si="11"/>
        <v>18.779281070262968</v>
      </c>
      <c r="M132" s="80"/>
      <c r="AP132" s="21"/>
      <c r="AQ132" s="21"/>
      <c r="AR132" s="21"/>
      <c r="AS132" s="21"/>
    </row>
    <row r="133" spans="1:45" x14ac:dyDescent="0.15">
      <c r="A133" s="75">
        <v>38412</v>
      </c>
      <c r="B133" s="76">
        <f t="shared" si="10"/>
        <v>2005</v>
      </c>
      <c r="C133" s="77">
        <v>2.827</v>
      </c>
      <c r="D133" s="78">
        <f>IF(GasSwitch=0,VLOOKUP($A133,[5]!GasCurve,4),VLOOKUP($A133,[5]!AecoCurve,5))</f>
        <v>2.8149999999999999</v>
      </c>
      <c r="E133" s="91">
        <v>-2.1857879484453301E-2</v>
      </c>
      <c r="F133" s="80">
        <f t="shared" si="12"/>
        <v>2.8023929029721137</v>
      </c>
      <c r="G133" s="80"/>
      <c r="H133" s="81">
        <v>18.712499999999999</v>
      </c>
      <c r="I133" s="78">
        <f>IF(OilSwitch=0,VLOOKUP($A133,[5]!OilCurve,4),VLOOKUP($A133,[5]!BrentCurve,4))</f>
        <v>19.6325</v>
      </c>
      <c r="J133" s="91">
        <v>-1.6955246230882761E-2</v>
      </c>
      <c r="K133" s="80">
        <f t="shared" si="11"/>
        <v>18.742203714578746</v>
      </c>
      <c r="M133" s="80"/>
      <c r="AP133" s="21"/>
      <c r="AQ133" s="21"/>
      <c r="AR133" s="21"/>
      <c r="AS133" s="21"/>
    </row>
    <row r="134" spans="1:45" x14ac:dyDescent="0.15">
      <c r="A134" s="75">
        <v>38443</v>
      </c>
      <c r="B134" s="76">
        <f t="shared" si="10"/>
        <v>2005</v>
      </c>
      <c r="C134" s="77">
        <v>2.7774999999999999</v>
      </c>
      <c r="D134" s="78">
        <f>IF(GasSwitch=0,VLOOKUP($A134,[5]!GasCurve,4),VLOOKUP($A134,[5]!AecoCurve,5))</f>
        <v>2.7210000000000001</v>
      </c>
      <c r="E134" s="91">
        <v>-1.145029018601141E-2</v>
      </c>
      <c r="F134" s="80">
        <f t="shared" si="12"/>
        <v>2.756682222829312</v>
      </c>
      <c r="G134" s="80"/>
      <c r="H134" s="81">
        <v>18.71</v>
      </c>
      <c r="I134" s="78">
        <f>IF(OilSwitch=0,VLOOKUP($A134,[5]!OilCurve,4),VLOOKUP($A134,[5]!BrentCurve,4))</f>
        <v>19.626666666666697</v>
      </c>
      <c r="J134" s="91">
        <v>-1.6505734461433379E-2</v>
      </c>
      <c r="K134" s="80">
        <f t="shared" si="11"/>
        <v>18.709297504691627</v>
      </c>
      <c r="M134" s="80"/>
      <c r="AP134" s="21"/>
      <c r="AQ134" s="21"/>
      <c r="AR134" s="21"/>
      <c r="AS134" s="21"/>
    </row>
    <row r="135" spans="1:45" x14ac:dyDescent="0.15">
      <c r="A135" s="75">
        <v>38473</v>
      </c>
      <c r="B135" s="76">
        <f t="shared" si="10"/>
        <v>2005</v>
      </c>
      <c r="C135" s="77">
        <v>2.7515000000000005</v>
      </c>
      <c r="D135" s="78">
        <f>IF(GasSwitch=0,VLOOKUP($A135,[5]!GasCurve,4),VLOOKUP($A135,[5]!AecoCurve,5))</f>
        <v>2.7230000000000003</v>
      </c>
      <c r="E135" s="91">
        <v>-2.1583649987263937E-2</v>
      </c>
      <c r="F135" s="80">
        <f t="shared" si="12"/>
        <v>2.7277373089527583</v>
      </c>
      <c r="G135" s="80"/>
      <c r="H135" s="81">
        <v>18.7075</v>
      </c>
      <c r="I135" s="78">
        <f>IF(OilSwitch=0,VLOOKUP($A135,[5]!OilCurve,4),VLOOKUP($A135,[5]!BrentCurve,4))</f>
        <v>19.620833333333305</v>
      </c>
      <c r="J135" s="91">
        <v>4.2075379480582674E-2</v>
      </c>
      <c r="K135" s="80">
        <f t="shared" si="11"/>
        <v>18.776880483182843</v>
      </c>
      <c r="M135" s="80"/>
      <c r="AP135" s="21"/>
      <c r="AQ135" s="21"/>
      <c r="AR135" s="21"/>
      <c r="AS135" s="21"/>
    </row>
    <row r="136" spans="1:45" x14ac:dyDescent="0.15">
      <c r="A136" s="75">
        <v>38504</v>
      </c>
      <c r="B136" s="76">
        <f t="shared" si="10"/>
        <v>2005</v>
      </c>
      <c r="C136" s="77">
        <v>2.7574999999999998</v>
      </c>
      <c r="D136" s="78">
        <f>IF(GasSwitch=0,VLOOKUP($A136,[5]!GasCurve,4),VLOOKUP($A136,[5]!AecoCurve,5))</f>
        <v>2.7340000000000004</v>
      </c>
      <c r="E136" s="91">
        <v>-4.903574398897638E-3</v>
      </c>
      <c r="F136" s="80">
        <f t="shared" si="12"/>
        <v>2.7406606775070559</v>
      </c>
      <c r="G136" s="80"/>
      <c r="H136" s="81">
        <v>18.704999999999998</v>
      </c>
      <c r="I136" s="78">
        <f>IF(OilSwitch=0,VLOOKUP($A136,[5]!OilCurve,4),VLOOKUP($A136,[5]!BrentCurve,4))</f>
        <v>19.614999999999998</v>
      </c>
      <c r="J136" s="91">
        <v>-7.9691589333979428E-3</v>
      </c>
      <c r="K136" s="80">
        <f t="shared" si="11"/>
        <v>18.754251134882569</v>
      </c>
      <c r="M136" s="80"/>
      <c r="AP136" s="21"/>
      <c r="AQ136" s="21"/>
      <c r="AR136" s="21"/>
      <c r="AS136" s="21"/>
    </row>
    <row r="137" spans="1:45" x14ac:dyDescent="0.15">
      <c r="A137" s="75">
        <v>38534</v>
      </c>
      <c r="B137" s="76">
        <f t="shared" si="10"/>
        <v>2005</v>
      </c>
      <c r="C137" s="77">
        <v>2.7675000000000001</v>
      </c>
      <c r="D137" s="78">
        <f>IF(GasSwitch=0,VLOOKUP($A137,[5]!GasCurve,4),VLOOKUP($A137,[5]!AecoCurve,5))</f>
        <v>2.7450000000000001</v>
      </c>
      <c r="E137" s="91">
        <v>-2.1242409124111798E-2</v>
      </c>
      <c r="F137" s="80">
        <f t="shared" si="12"/>
        <v>2.7463413406868433</v>
      </c>
      <c r="G137" s="80"/>
      <c r="H137" s="81">
        <v>18.702500000000001</v>
      </c>
      <c r="I137" s="78">
        <f>IF(OilSwitch=0,VLOOKUP($A137,[5]!OilCurve,4),VLOOKUP($A137,[5]!BrentCurve,4))</f>
        <v>19.609166666666699</v>
      </c>
      <c r="J137" s="91">
        <v>-4.6510462226895921E-2</v>
      </c>
      <c r="K137" s="80">
        <f t="shared" si="11"/>
        <v>18.669481863383645</v>
      </c>
      <c r="M137" s="80"/>
      <c r="AP137" s="21"/>
      <c r="AQ137" s="21"/>
      <c r="AR137" s="21"/>
      <c r="AS137" s="21"/>
    </row>
    <row r="138" spans="1:45" x14ac:dyDescent="0.15">
      <c r="A138" s="75">
        <v>38565</v>
      </c>
      <c r="B138" s="76">
        <f t="shared" si="10"/>
        <v>2005</v>
      </c>
      <c r="C138" s="77">
        <v>2.7744999999999997</v>
      </c>
      <c r="D138" s="78">
        <f>IF(GasSwitch=0,VLOOKUP($A138,[5]!GasCurve,4),VLOOKUP($A138,[5]!AecoCurve,5))</f>
        <v>2.7540000000000004</v>
      </c>
      <c r="E138" s="91">
        <v>-1.60278879802799E-2</v>
      </c>
      <c r="F138" s="80">
        <f t="shared" si="12"/>
        <v>2.7534396701976713</v>
      </c>
      <c r="G138" s="80"/>
      <c r="H138" s="81">
        <v>18.7</v>
      </c>
      <c r="I138" s="78">
        <f>IF(OilSwitch=0,VLOOKUP($A138,[5]!OilCurve,4),VLOOKUP($A138,[5]!BrentCurve,4))</f>
        <v>19.603333333333303</v>
      </c>
      <c r="J138" s="91">
        <v>-2.5959610148694658E-2</v>
      </c>
      <c r="K138" s="80">
        <f t="shared" si="11"/>
        <v>18.627053867621235</v>
      </c>
      <c r="M138" s="80"/>
      <c r="AP138" s="21"/>
      <c r="AQ138" s="21"/>
      <c r="AR138" s="21"/>
      <c r="AS138" s="21"/>
    </row>
    <row r="139" spans="1:45" x14ac:dyDescent="0.15">
      <c r="A139" s="75">
        <v>38596</v>
      </c>
      <c r="B139" s="76">
        <f t="shared" si="10"/>
        <v>2005</v>
      </c>
      <c r="C139" s="77">
        <v>2.7815000000000003</v>
      </c>
      <c r="D139" s="78">
        <f>IF(GasSwitch=0,VLOOKUP($A139,[5]!GasCurve,4),VLOOKUP($A139,[5]!AecoCurve,5))</f>
        <v>2.7590000000000003</v>
      </c>
      <c r="E139" s="91">
        <v>9.7425341144445152E-3</v>
      </c>
      <c r="F139" s="80">
        <f t="shared" si="12"/>
        <v>2.7738940178855529</v>
      </c>
      <c r="G139" s="80"/>
      <c r="H139" s="81">
        <v>18.697500000000002</v>
      </c>
      <c r="I139" s="78">
        <f>IF(OilSwitch=0,VLOOKUP($A139,[5]!OilCurve,4),VLOOKUP($A139,[5]!BrentCurve,4))</f>
        <v>19.5975</v>
      </c>
      <c r="J139" s="91">
        <v>1.7358735047067156E-2</v>
      </c>
      <c r="K139" s="80">
        <f t="shared" si="11"/>
        <v>18.660660469845055</v>
      </c>
      <c r="M139" s="80"/>
      <c r="AP139" s="21"/>
      <c r="AQ139" s="21"/>
      <c r="AR139" s="21"/>
      <c r="AS139" s="21"/>
    </row>
    <row r="140" spans="1:45" x14ac:dyDescent="0.15">
      <c r="A140" s="75">
        <v>38626</v>
      </c>
      <c r="B140" s="76">
        <f t="shared" si="10"/>
        <v>2005</v>
      </c>
      <c r="C140" s="77">
        <v>2.8075000000000001</v>
      </c>
      <c r="D140" s="78">
        <f>IF(GasSwitch=0,VLOOKUP($A140,[5]!GasCurve,4),VLOOKUP($A140,[5]!AecoCurve,5))</f>
        <v>2.7840000000000003</v>
      </c>
      <c r="E140" s="91">
        <v>9.8275232971448724E-3</v>
      </c>
      <c r="F140" s="80">
        <f t="shared" si="12"/>
        <v>2.8080540099546525</v>
      </c>
      <c r="G140" s="80"/>
      <c r="H140" s="81">
        <v>18.695</v>
      </c>
      <c r="I140" s="78">
        <f>IF(OilSwitch=0,VLOOKUP($A140,[5]!OilCurve,4),VLOOKUP($A140,[5]!BrentCurve,4))</f>
        <v>19.591666666666697</v>
      </c>
      <c r="J140" s="91">
        <v>1.3143118066611548E-2</v>
      </c>
      <c r="K140" s="80">
        <f t="shared" si="11"/>
        <v>18.683677731793235</v>
      </c>
      <c r="M140" s="80"/>
      <c r="AP140" s="21"/>
      <c r="AQ140" s="21"/>
      <c r="AR140" s="21"/>
      <c r="AS140" s="21"/>
    </row>
    <row r="141" spans="1:45" x14ac:dyDescent="0.15">
      <c r="A141" s="75">
        <v>38657</v>
      </c>
      <c r="B141" s="76">
        <f t="shared" si="10"/>
        <v>2005</v>
      </c>
      <c r="C141" s="77">
        <v>2.9424999999999999</v>
      </c>
      <c r="D141" s="78">
        <f>IF(GasSwitch=0,VLOOKUP($A141,[5]!GasCurve,4),VLOOKUP($A141,[5]!AecoCurve,5))</f>
        <v>2.91</v>
      </c>
      <c r="E141" s="91">
        <v>-8.4984815444149459E-3</v>
      </c>
      <c r="F141" s="80">
        <f t="shared" si="12"/>
        <v>2.9383688129132914</v>
      </c>
      <c r="G141" s="80"/>
      <c r="H141" s="81">
        <v>18.692499999999999</v>
      </c>
      <c r="I141" s="78">
        <f>IF(OilSwitch=0,VLOOKUP($A141,[5]!OilCurve,4),VLOOKUP($A141,[5]!BrentCurve,4))</f>
        <v>19.585833333333305</v>
      </c>
      <c r="J141" s="91">
        <v>-1.0867739430038457E-2</v>
      </c>
      <c r="K141" s="80">
        <f t="shared" si="11"/>
        <v>18.664214717934119</v>
      </c>
      <c r="M141" s="80"/>
      <c r="AP141" s="21"/>
      <c r="AQ141" s="21"/>
      <c r="AR141" s="21"/>
      <c r="AS141" s="21"/>
    </row>
    <row r="142" spans="1:45" x14ac:dyDescent="0.15">
      <c r="A142" s="75">
        <v>38687</v>
      </c>
      <c r="B142" s="76">
        <f t="shared" si="10"/>
        <v>2005</v>
      </c>
      <c r="C142" s="77">
        <v>3.0665000000000004</v>
      </c>
      <c r="D142" s="78">
        <f>IF(GasSwitch=0,VLOOKUP($A142,[5]!GasCurve,4),VLOOKUP($A142,[5]!AecoCurve,5))</f>
        <v>3.03</v>
      </c>
      <c r="E142" s="91">
        <v>-4.4228889288131679E-2</v>
      </c>
      <c r="F142" s="80">
        <f t="shared" si="12"/>
        <v>3.0402456276388037</v>
      </c>
      <c r="G142" s="80"/>
      <c r="H142" s="81">
        <v>18.690000000000001</v>
      </c>
      <c r="I142" s="78">
        <f>IF(OilSwitch=0,VLOOKUP($A142,[5]!OilCurve,4),VLOOKUP($A142,[5]!BrentCurve,4))</f>
        <v>19.579999999999998</v>
      </c>
      <c r="J142" s="91">
        <v>-1.6415235374725803E-2</v>
      </c>
      <c r="K142" s="80">
        <f t="shared" si="11"/>
        <v>18.637200009195098</v>
      </c>
      <c r="M142" s="80"/>
      <c r="AP142" s="21"/>
      <c r="AQ142" s="21"/>
      <c r="AR142" s="21"/>
      <c r="AS142" s="21"/>
    </row>
    <row r="143" spans="1:45" x14ac:dyDescent="0.15">
      <c r="A143" s="75">
        <v>38718</v>
      </c>
      <c r="B143" s="84">
        <f t="shared" si="10"/>
        <v>2006</v>
      </c>
      <c r="C143" s="85">
        <v>3.12</v>
      </c>
      <c r="D143" s="78">
        <f>IF(GasSwitch=0,VLOOKUP($A143,[5]!GasCurve,4),VLOOKUP($A143,[5]!AecoCurve,5))</f>
        <v>3.0760000000000005</v>
      </c>
      <c r="E143" s="91">
        <v>-5.1609460391381576E-2</v>
      </c>
      <c r="F143" s="80">
        <f t="shared" si="12"/>
        <v>3.0759889421047557</v>
      </c>
      <c r="G143" s="88"/>
      <c r="H143" s="89">
        <v>18.690000000000001</v>
      </c>
      <c r="I143" s="78">
        <f>IF(OilSwitch=0,VLOOKUP($A143,[5]!OilCurve,4),VLOOKUP($A143,[5]!BrentCurve,4))</f>
        <v>19.579999999999998</v>
      </c>
      <c r="J143" s="92">
        <v>1.9352335636502512E-2</v>
      </c>
      <c r="K143" s="87">
        <f t="shared" si="11"/>
        <v>18.674629494783922</v>
      </c>
      <c r="M143" s="80"/>
      <c r="AP143" s="21"/>
      <c r="AQ143" s="21"/>
      <c r="AR143" s="21"/>
      <c r="AS143" s="21"/>
    </row>
    <row r="144" spans="1:45" x14ac:dyDescent="0.15">
      <c r="A144" s="75">
        <v>38749</v>
      </c>
      <c r="B144" s="76">
        <f t="shared" si="10"/>
        <v>2006</v>
      </c>
      <c r="C144" s="77">
        <v>3.0019999999999998</v>
      </c>
      <c r="D144" s="78">
        <f>IF(GasSwitch=0,VLOOKUP($A144,[5]!GasCurve,4),VLOOKUP($A144,[5]!AecoCurve,5))</f>
        <v>2.9750000000000001</v>
      </c>
      <c r="E144" s="91">
        <v>5.7803954905058498E-2</v>
      </c>
      <c r="F144" s="80">
        <f t="shared" si="12"/>
        <v>3.0072966034985873</v>
      </c>
      <c r="G144" s="80"/>
      <c r="H144" s="81">
        <v>18.690000000000001</v>
      </c>
      <c r="I144" s="78">
        <f>IF(OilSwitch=0,VLOOKUP($A144,[5]!OilCurve,4),VLOOKUP($A144,[5]!BrentCurve,4))</f>
        <v>19.579999999999998</v>
      </c>
      <c r="J144" s="91">
        <v>6.1430701387244543E-3</v>
      </c>
      <c r="K144" s="80">
        <f t="shared" si="11"/>
        <v>18.686373243511152</v>
      </c>
      <c r="M144" s="80"/>
      <c r="AP144" s="21"/>
      <c r="AQ144" s="21"/>
      <c r="AR144" s="21"/>
      <c r="AS144" s="21"/>
    </row>
    <row r="145" spans="1:45" x14ac:dyDescent="0.15">
      <c r="A145" s="75">
        <v>38777</v>
      </c>
      <c r="B145" s="76">
        <f t="shared" si="10"/>
        <v>2006</v>
      </c>
      <c r="C145" s="77">
        <v>2.8820000000000001</v>
      </c>
      <c r="D145" s="78">
        <f>IF(GasSwitch=0,VLOOKUP($A145,[5]!GasCurve,4),VLOOKUP($A145,[5]!AecoCurve,5))</f>
        <v>2.8690000000000002</v>
      </c>
      <c r="E145" s="91">
        <v>1.341694602081844E-2</v>
      </c>
      <c r="F145" s="80">
        <f t="shared" si="12"/>
        <v>2.8924817242439689</v>
      </c>
      <c r="G145" s="80"/>
      <c r="H145" s="81">
        <v>18.690000000000001</v>
      </c>
      <c r="I145" s="78">
        <f>IF(OilSwitch=0,VLOOKUP($A145,[5]!OilCurve,4),VLOOKUP($A145,[5]!BrentCurve,4))</f>
        <v>19.579999999999998</v>
      </c>
      <c r="J145" s="91">
        <v>-3.5035978865411509E-2</v>
      </c>
      <c r="K145" s="80">
        <f t="shared" si="11"/>
        <v>18.628432423571503</v>
      </c>
      <c r="M145" s="80"/>
      <c r="AP145" s="21"/>
      <c r="AQ145" s="21"/>
      <c r="AR145" s="21"/>
      <c r="AS145" s="21"/>
    </row>
    <row r="146" spans="1:45" x14ac:dyDescent="0.15">
      <c r="A146" s="75">
        <v>38808</v>
      </c>
      <c r="B146" s="76">
        <f t="shared" si="10"/>
        <v>2006</v>
      </c>
      <c r="C146" s="77">
        <v>2.8325</v>
      </c>
      <c r="D146" s="78">
        <f>IF(GasSwitch=0,VLOOKUP($A146,[5]!GasCurve,4),VLOOKUP($A146,[5]!AecoCurve,5))</f>
        <v>2.778</v>
      </c>
      <c r="E146" s="91">
        <v>1.6078605126608421E-2</v>
      </c>
      <c r="F146" s="80">
        <f t="shared" si="12"/>
        <v>2.8473806727230708</v>
      </c>
      <c r="G146" s="80"/>
      <c r="H146" s="81">
        <v>18.690000000000001</v>
      </c>
      <c r="I146" s="78">
        <f>IF(OilSwitch=0,VLOOKUP($A146,[5]!OilCurve,4),VLOOKUP($A146,[5]!BrentCurve,4))</f>
        <v>19.579999999999998</v>
      </c>
      <c r="J146" s="91">
        <v>-2.3340644947072837E-3</v>
      </c>
      <c r="K146" s="80">
        <f t="shared" si="11"/>
        <v>18.630643730318731</v>
      </c>
      <c r="M146" s="80"/>
      <c r="AP146" s="21"/>
      <c r="AQ146" s="21"/>
      <c r="AR146" s="21"/>
      <c r="AS146" s="21"/>
    </row>
    <row r="147" spans="1:45" x14ac:dyDescent="0.15">
      <c r="A147" s="75">
        <v>38838</v>
      </c>
      <c r="B147" s="76">
        <f t="shared" si="10"/>
        <v>2006</v>
      </c>
      <c r="C147" s="77">
        <v>2.8065000000000002</v>
      </c>
      <c r="D147" s="78">
        <f>IF(GasSwitch=0,VLOOKUP($A147,[5]!GasCurve,4),VLOOKUP($A147,[5]!AecoCurve,5))</f>
        <v>2.7810000000000001</v>
      </c>
      <c r="E147" s="91">
        <v>-3.4835997471036821E-2</v>
      </c>
      <c r="F147" s="80">
        <f t="shared" si="12"/>
        <v>2.7970267493134191</v>
      </c>
      <c r="G147" s="80"/>
      <c r="H147" s="81">
        <v>18.690000000000001</v>
      </c>
      <c r="I147" s="78">
        <f>IF(OilSwitch=0,VLOOKUP($A147,[5]!OilCurve,4),VLOOKUP($A147,[5]!BrentCurve,4))</f>
        <v>19.579999999999998</v>
      </c>
      <c r="J147" s="91">
        <v>1.4523376577255654E-3</v>
      </c>
      <c r="K147" s="80">
        <f t="shared" si="11"/>
        <v>18.638936690879632</v>
      </c>
      <c r="M147" s="80"/>
      <c r="AP147" s="21"/>
      <c r="AQ147" s="21"/>
      <c r="AR147" s="21"/>
      <c r="AS147" s="21"/>
    </row>
    <row r="148" spans="1:45" x14ac:dyDescent="0.15">
      <c r="A148" s="75">
        <v>38869</v>
      </c>
      <c r="B148" s="76">
        <f t="shared" si="10"/>
        <v>2006</v>
      </c>
      <c r="C148" s="77">
        <v>2.8125</v>
      </c>
      <c r="D148" s="78">
        <f>IF(GasSwitch=0,VLOOKUP($A148,[5]!GasCurve,4),VLOOKUP($A148,[5]!AecoCurve,5))</f>
        <v>2.7930000000000001</v>
      </c>
      <c r="E148" s="91">
        <v>-2.7095813825916793E-2</v>
      </c>
      <c r="F148" s="80">
        <f t="shared" si="12"/>
        <v>2.7925924663660222</v>
      </c>
      <c r="G148" s="80"/>
      <c r="H148" s="81">
        <v>18.690000000000001</v>
      </c>
      <c r="I148" s="78">
        <f>IF(OilSwitch=0,VLOOKUP($A148,[5]!OilCurve,4),VLOOKUP($A148,[5]!BrentCurve,4))</f>
        <v>19.579999999999998</v>
      </c>
      <c r="J148" s="91">
        <v>6.3582125992053045E-3</v>
      </c>
      <c r="K148" s="80">
        <f t="shared" si="11"/>
        <v>18.654572024247624</v>
      </c>
      <c r="M148" s="80"/>
      <c r="AP148" s="21"/>
      <c r="AQ148" s="21"/>
      <c r="AR148" s="21"/>
      <c r="AS148" s="21"/>
    </row>
    <row r="149" spans="1:45" x14ac:dyDescent="0.15">
      <c r="A149" s="75">
        <v>38899</v>
      </c>
      <c r="B149" s="76">
        <f t="shared" si="10"/>
        <v>2006</v>
      </c>
      <c r="C149" s="77">
        <v>2.8224999999999998</v>
      </c>
      <c r="D149" s="78">
        <f>IF(GasSwitch=0,VLOOKUP($A149,[5]!GasCurve,4),VLOOKUP($A149,[5]!AecoCurve,5))</f>
        <v>2.8040000000000003</v>
      </c>
      <c r="E149" s="91">
        <v>-6.9351379631655474E-3</v>
      </c>
      <c r="F149" s="80">
        <f t="shared" si="12"/>
        <v>2.8068863866462377</v>
      </c>
      <c r="G149" s="80"/>
      <c r="H149" s="81">
        <v>18.690000000000001</v>
      </c>
      <c r="I149" s="78">
        <f>IF(OilSwitch=0,VLOOKUP($A149,[5]!OilCurve,4),VLOOKUP($A149,[5]!BrentCurve,4))</f>
        <v>19.579999999999998</v>
      </c>
      <c r="J149" s="91">
        <v>-2.5625140823705362E-2</v>
      </c>
      <c r="K149" s="80">
        <f t="shared" si="11"/>
        <v>18.615439159516466</v>
      </c>
      <c r="M149" s="80"/>
      <c r="AP149" s="21"/>
      <c r="AQ149" s="21"/>
      <c r="AR149" s="21"/>
      <c r="AS149" s="21"/>
    </row>
    <row r="150" spans="1:45" x14ac:dyDescent="0.15">
      <c r="A150" s="75">
        <v>38930</v>
      </c>
      <c r="B150" s="76">
        <f t="shared" si="10"/>
        <v>2006</v>
      </c>
      <c r="C150" s="77">
        <v>2.8294999999999999</v>
      </c>
      <c r="D150" s="78">
        <f>IF(GasSwitch=0,VLOOKUP($A150,[5]!GasCurve,4),VLOOKUP($A150,[5]!AecoCurve,5))</f>
        <v>2.8130000000000002</v>
      </c>
      <c r="E150" s="91">
        <v>2.6741155930040481E-3</v>
      </c>
      <c r="F150" s="80">
        <f t="shared" si="12"/>
        <v>2.8215082546337227</v>
      </c>
      <c r="G150" s="80"/>
      <c r="H150" s="81">
        <v>18.690000000000001</v>
      </c>
      <c r="I150" s="78">
        <f>IF(OilSwitch=0,VLOOKUP($A150,[5]!OilCurve,4),VLOOKUP($A150,[5]!BrentCurve,4))</f>
        <v>19.579999999999998</v>
      </c>
      <c r="J150" s="91">
        <v>4.1202935362907596E-2</v>
      </c>
      <c r="K150" s="80">
        <f t="shared" si="11"/>
        <v>18.691382367168213</v>
      </c>
      <c r="M150" s="80"/>
      <c r="AP150" s="21"/>
      <c r="AQ150" s="21"/>
      <c r="AR150" s="21"/>
      <c r="AS150" s="21"/>
    </row>
    <row r="151" spans="1:45" x14ac:dyDescent="0.15">
      <c r="A151" s="75">
        <v>38961</v>
      </c>
      <c r="B151" s="76">
        <f t="shared" ref="B151:B214" si="13">YEAR(A151)</f>
        <v>2006</v>
      </c>
      <c r="C151" s="77">
        <v>2.8365000000000005</v>
      </c>
      <c r="D151" s="78">
        <f>IF(GasSwitch=0,VLOOKUP($A151,[5]!GasCurve,4),VLOOKUP($A151,[5]!AecoCurve,5))</f>
        <v>2.8169999999999997</v>
      </c>
      <c r="E151" s="91">
        <v>5.7591914495512063E-2</v>
      </c>
      <c r="F151" s="80">
        <f t="shared" si="12"/>
        <v>2.8620182849648694</v>
      </c>
      <c r="G151" s="80"/>
      <c r="H151" s="81">
        <v>18.690000000000001</v>
      </c>
      <c r="I151" s="78">
        <f>IF(OilSwitch=0,VLOOKUP($A151,[5]!OilCurve,4),VLOOKUP($A151,[5]!BrentCurve,4))</f>
        <v>19.579999999999998</v>
      </c>
      <c r="J151" s="91">
        <v>5.6034693371676325E-2</v>
      </c>
      <c r="K151" s="80">
        <f t="shared" si="11"/>
        <v>18.78448724258903</v>
      </c>
      <c r="M151" s="80"/>
      <c r="AP151" s="21"/>
      <c r="AQ151" s="21"/>
      <c r="AR151" s="21"/>
      <c r="AS151" s="21"/>
    </row>
    <row r="152" spans="1:45" x14ac:dyDescent="0.15">
      <c r="A152" s="75">
        <v>38991</v>
      </c>
      <c r="B152" s="76">
        <f t="shared" si="13"/>
        <v>2006</v>
      </c>
      <c r="C152" s="77">
        <v>2.8624999999999998</v>
      </c>
      <c r="D152" s="78">
        <f>IF(GasSwitch=0,VLOOKUP($A152,[5]!GasCurve,4),VLOOKUP($A152,[5]!AecoCurve,5))</f>
        <v>2.8410000000000002</v>
      </c>
      <c r="E152" s="91">
        <v>1.2754770429977962E-2</v>
      </c>
      <c r="F152" s="80">
        <f t="shared" si="12"/>
        <v>2.8846215704360527</v>
      </c>
      <c r="G152" s="80"/>
      <c r="H152" s="81">
        <v>18.690000000000001</v>
      </c>
      <c r="I152" s="78">
        <f>IF(OilSwitch=0,VLOOKUP($A152,[5]!OilCurve,4),VLOOKUP($A152,[5]!BrentCurve,4))</f>
        <v>19.579999999999998</v>
      </c>
      <c r="J152" s="91">
        <v>7.2774326324312614E-3</v>
      </c>
      <c r="K152" s="80">
        <f t="shared" si="11"/>
        <v>18.787242653473083</v>
      </c>
      <c r="M152" s="80"/>
      <c r="AP152" s="21"/>
      <c r="AQ152" s="21"/>
      <c r="AR152" s="21"/>
      <c r="AS152" s="21"/>
    </row>
    <row r="153" spans="1:45" x14ac:dyDescent="0.15">
      <c r="A153" s="75">
        <v>39022</v>
      </c>
      <c r="B153" s="76">
        <f t="shared" si="13"/>
        <v>2006</v>
      </c>
      <c r="C153" s="77">
        <v>2.9975000000000001</v>
      </c>
      <c r="D153" s="78">
        <f>IF(GasSwitch=0,VLOOKUP($A153,[5]!GasCurve,4),VLOOKUP($A153,[5]!AecoCurve,5))</f>
        <v>2.9619999999999997</v>
      </c>
      <c r="E153" s="91">
        <v>-6.1392846978437377E-3</v>
      </c>
      <c r="F153" s="80">
        <f t="shared" si="12"/>
        <v>3.0075438753380879</v>
      </c>
      <c r="G153" s="80"/>
      <c r="H153" s="81">
        <v>18.690000000000001</v>
      </c>
      <c r="I153" s="78">
        <f>IF(OilSwitch=0,VLOOKUP($A153,[5]!OilCurve,4),VLOOKUP($A153,[5]!BrentCurve,4))</f>
        <v>19.579999999999998</v>
      </c>
      <c r="J153" s="91">
        <v>6.3162277587753682E-2</v>
      </c>
      <c r="K153" s="80">
        <f t="shared" si="11"/>
        <v>18.88271766068527</v>
      </c>
      <c r="M153" s="80"/>
      <c r="AP153" s="21"/>
      <c r="AQ153" s="21"/>
      <c r="AR153" s="21"/>
      <c r="AS153" s="21"/>
    </row>
    <row r="154" spans="1:45" x14ac:dyDescent="0.15">
      <c r="A154" s="75">
        <v>39052</v>
      </c>
      <c r="B154" s="76">
        <f t="shared" si="13"/>
        <v>2006</v>
      </c>
      <c r="C154" s="77">
        <v>3.1215000000000006</v>
      </c>
      <c r="D154" s="78">
        <f>IF(GasSwitch=0,VLOOKUP($A154,[5]!GasCurve,4),VLOOKUP($A154,[5]!AecoCurve,5))</f>
        <v>3.0790000000000006</v>
      </c>
      <c r="E154" s="91">
        <v>3.4537726852863063E-2</v>
      </c>
      <c r="F154" s="80">
        <f t="shared" si="12"/>
        <v>3.1463218830302639</v>
      </c>
      <c r="G154" s="80"/>
      <c r="H154" s="81">
        <v>18.690000000000001</v>
      </c>
      <c r="I154" s="78">
        <f>IF(OilSwitch=0,VLOOKUP($A154,[5]!OilCurve,4),VLOOKUP($A154,[5]!BrentCurve,4))</f>
        <v>19.579999999999998</v>
      </c>
      <c r="J154" s="91">
        <v>5.4268187991329863E-3</v>
      </c>
      <c r="K154" s="80">
        <f t="shared" si="11"/>
        <v>18.872668838759186</v>
      </c>
      <c r="M154" s="80"/>
      <c r="AP154" s="21"/>
      <c r="AQ154" s="21"/>
      <c r="AR154" s="21"/>
      <c r="AS154" s="21"/>
    </row>
    <row r="155" spans="1:45" x14ac:dyDescent="0.15">
      <c r="A155" s="75">
        <v>39083</v>
      </c>
      <c r="B155" s="84">
        <f t="shared" si="13"/>
        <v>2007</v>
      </c>
      <c r="C155" s="85">
        <v>3.18</v>
      </c>
      <c r="D155" s="78">
        <f>IF(GasSwitch=0,VLOOKUP($A155,[5]!GasCurve,4),VLOOKUP($A155,[5]!AecoCurve,5))</f>
        <v>3.1280000000000001</v>
      </c>
      <c r="E155" s="91">
        <v>-6.7022775126275524E-2</v>
      </c>
      <c r="F155" s="80">
        <f t="shared" si="12"/>
        <v>3.1576676260737937</v>
      </c>
      <c r="G155" s="88"/>
      <c r="H155" s="89">
        <v>18.739999999999998</v>
      </c>
      <c r="I155" s="78">
        <f>IF(OilSwitch=0,VLOOKUP($A155,[5]!OilCurve,4),VLOOKUP($A155,[5]!BrentCurve,4))</f>
        <v>19.63</v>
      </c>
      <c r="J155" s="92">
        <v>1.3053664976474782E-3</v>
      </c>
      <c r="K155" s="87">
        <f t="shared" si="11"/>
        <v>18.906756753574108</v>
      </c>
      <c r="M155" s="80"/>
      <c r="AP155" s="21"/>
      <c r="AQ155" s="21"/>
      <c r="AR155" s="21"/>
      <c r="AS155" s="21"/>
    </row>
    <row r="156" spans="1:45" x14ac:dyDescent="0.15">
      <c r="A156" s="75">
        <v>39114</v>
      </c>
      <c r="B156" s="76">
        <f t="shared" si="13"/>
        <v>2007</v>
      </c>
      <c r="C156" s="77">
        <v>3.0619999999999998</v>
      </c>
      <c r="D156" s="78">
        <f>IF(GasSwitch=0,VLOOKUP($A156,[5]!GasCurve,4),VLOOKUP($A156,[5]!AecoCurve,5))</f>
        <v>3.0310000000000001</v>
      </c>
      <c r="E156" s="91">
        <v>-1.4580548495955395E-2</v>
      </c>
      <c r="F156" s="80">
        <f t="shared" si="12"/>
        <v>3.0404377858367591</v>
      </c>
      <c r="G156" s="80"/>
      <c r="H156" s="81">
        <v>18.79</v>
      </c>
      <c r="I156" s="78">
        <f>IF(OilSwitch=0,VLOOKUP($A156,[5]!OilCurve,4),VLOOKUP($A156,[5]!BrentCurve,4))</f>
        <v>19.68</v>
      </c>
      <c r="J156" s="91">
        <v>2.6592453654036553E-2</v>
      </c>
      <c r="K156" s="80">
        <f t="shared" si="11"/>
        <v>18.984497677850587</v>
      </c>
      <c r="M156" s="80"/>
      <c r="AP156" s="21"/>
      <c r="AQ156" s="21"/>
      <c r="AR156" s="21"/>
      <c r="AS156" s="21"/>
    </row>
    <row r="157" spans="1:45" x14ac:dyDescent="0.15">
      <c r="A157" s="75">
        <v>39142</v>
      </c>
      <c r="B157" s="76">
        <f t="shared" si="13"/>
        <v>2007</v>
      </c>
      <c r="C157" s="77">
        <v>2.9419999999999997</v>
      </c>
      <c r="D157" s="78">
        <f>IF(GasSwitch=0,VLOOKUP($A157,[5]!GasCurve,4),VLOOKUP($A157,[5]!AecoCurve,5))</f>
        <v>2.9280000000000004</v>
      </c>
      <c r="E157" s="91">
        <v>3.4290014881071168E-2</v>
      </c>
      <c r="F157" s="80">
        <f t="shared" si="12"/>
        <v>2.9477683344413959</v>
      </c>
      <c r="G157" s="80"/>
      <c r="H157" s="81">
        <v>18.84</v>
      </c>
      <c r="I157" s="78">
        <f>IF(OilSwitch=0,VLOOKUP($A157,[5]!OilCurve,4),VLOOKUP($A157,[5]!BrentCurve,4))</f>
        <v>19.73</v>
      </c>
      <c r="J157" s="91">
        <v>-5.3362609328085939E-2</v>
      </c>
      <c r="K157" s="80">
        <f t="shared" si="11"/>
        <v>18.926447025821446</v>
      </c>
      <c r="M157" s="80"/>
      <c r="AP157" s="21"/>
      <c r="AQ157" s="21"/>
      <c r="AR157" s="21"/>
      <c r="AS157" s="21"/>
    </row>
    <row r="158" spans="1:45" x14ac:dyDescent="0.15">
      <c r="A158" s="75">
        <v>39173</v>
      </c>
      <c r="B158" s="76">
        <f t="shared" si="13"/>
        <v>2007</v>
      </c>
      <c r="C158" s="77">
        <v>2.8925000000000001</v>
      </c>
      <c r="D158" s="78">
        <f>IF(GasSwitch=0,VLOOKUP($A158,[5]!GasCurve,4),VLOOKUP($A158,[5]!AecoCurve,5))</f>
        <v>2.84</v>
      </c>
      <c r="E158" s="91">
        <v>3.2850288356896301E-3</v>
      </c>
      <c r="F158" s="80">
        <f t="shared" si="12"/>
        <v>2.897739551175782</v>
      </c>
      <c r="G158" s="80"/>
      <c r="H158" s="81">
        <v>18.89</v>
      </c>
      <c r="I158" s="78">
        <f>IF(OilSwitch=0,VLOOKUP($A158,[5]!OilCurve,4),VLOOKUP($A158,[5]!BrentCurve,4))</f>
        <v>19.78</v>
      </c>
      <c r="J158" s="91">
        <v>-3.9065895746240462E-2</v>
      </c>
      <c r="K158" s="80">
        <f t="shared" si="11"/>
        <v>18.902883119743379</v>
      </c>
      <c r="M158" s="80"/>
      <c r="AP158" s="21"/>
      <c r="AQ158" s="21"/>
      <c r="AR158" s="21"/>
      <c r="AS158" s="21"/>
    </row>
    <row r="159" spans="1:45" x14ac:dyDescent="0.15">
      <c r="A159" s="75">
        <v>39203</v>
      </c>
      <c r="B159" s="76">
        <f t="shared" si="13"/>
        <v>2007</v>
      </c>
      <c r="C159" s="77">
        <v>2.8665000000000003</v>
      </c>
      <c r="D159" s="78">
        <f>IF(GasSwitch=0,VLOOKUP($A159,[5]!GasCurve,4),VLOOKUP($A159,[5]!AecoCurve,5))</f>
        <v>2.8440000000000003</v>
      </c>
      <c r="E159" s="91">
        <v>5.8908003626514435E-3</v>
      </c>
      <c r="F159" s="80">
        <f t="shared" si="12"/>
        <v>2.8727968650045881</v>
      </c>
      <c r="G159" s="80"/>
      <c r="H159" s="81">
        <v>18.940000000000001</v>
      </c>
      <c r="I159" s="78">
        <f>IF(OilSwitch=0,VLOOKUP($A159,[5]!OilCurve,4),VLOOKUP($A159,[5]!BrentCurve,4))</f>
        <v>19.829999999999998</v>
      </c>
      <c r="J159" s="91">
        <v>2.4782213879631153E-2</v>
      </c>
      <c r="K159" s="80">
        <f t="shared" si="11"/>
        <v>18.992845294784491</v>
      </c>
      <c r="M159" s="80"/>
      <c r="AP159" s="21"/>
      <c r="AQ159" s="21"/>
      <c r="AR159" s="21"/>
      <c r="AS159" s="21"/>
    </row>
    <row r="160" spans="1:45" x14ac:dyDescent="0.15">
      <c r="A160" s="75">
        <v>39234</v>
      </c>
      <c r="B160" s="76">
        <f t="shared" si="13"/>
        <v>2007</v>
      </c>
      <c r="C160" s="77">
        <v>2.8725000000000001</v>
      </c>
      <c r="D160" s="78">
        <f>IF(GasSwitch=0,VLOOKUP($A160,[5]!GasCurve,4),VLOOKUP($A160,[5]!AecoCurve,5))</f>
        <v>2.8569999999999998</v>
      </c>
      <c r="E160" s="91">
        <v>2.5470215888713187E-2</v>
      </c>
      <c r="F160" s="80">
        <f t="shared" si="12"/>
        <v>2.8898233429872295</v>
      </c>
      <c r="G160" s="80"/>
      <c r="H160" s="81">
        <v>18.989999999999998</v>
      </c>
      <c r="I160" s="78">
        <f>IF(OilSwitch=0,VLOOKUP($A160,[5]!OilCurve,4),VLOOKUP($A160,[5]!BrentCurve,4))</f>
        <v>19.88</v>
      </c>
      <c r="J160" s="91">
        <v>-3.2841892064921302E-2</v>
      </c>
      <c r="K160" s="80">
        <f t="shared" si="11"/>
        <v>18.982964702204793</v>
      </c>
      <c r="M160" s="80"/>
      <c r="AP160" s="21"/>
      <c r="AQ160" s="21"/>
      <c r="AR160" s="21"/>
      <c r="AS160" s="21"/>
    </row>
    <row r="161" spans="1:45" x14ac:dyDescent="0.15">
      <c r="A161" s="75">
        <v>39264</v>
      </c>
      <c r="B161" s="76">
        <f t="shared" si="13"/>
        <v>2007</v>
      </c>
      <c r="C161" s="77">
        <v>2.8824999999999998</v>
      </c>
      <c r="D161" s="78">
        <f>IF(GasSwitch=0,VLOOKUP($A161,[5]!GasCurve,4),VLOOKUP($A161,[5]!AecoCurve,5))</f>
        <v>2.8680000000000003</v>
      </c>
      <c r="E161" s="91">
        <v>9.6446258299118012E-3</v>
      </c>
      <c r="F161" s="80">
        <f t="shared" si="12"/>
        <v>2.8980651340438324</v>
      </c>
      <c r="G161" s="80"/>
      <c r="H161" s="81">
        <v>19.04</v>
      </c>
      <c r="I161" s="78">
        <f>IF(OilSwitch=0,VLOOKUP($A161,[5]!OilCurve,4),VLOOKUP($A161,[5]!BrentCurve,4))</f>
        <v>19.93</v>
      </c>
      <c r="J161" s="91">
        <v>-4.626688576094487E-2</v>
      </c>
      <c r="K161" s="80">
        <f t="shared" ref="K161:K224" si="14">IF(shiftswitch2=1,K160+$D$9*(I161-K160)+($E$9*(K160^$F$9)*J161)+(1-$D$9)*(I161-I160),K160+$D$11*(H161-K160)+($E$11*(K160^$F$11)*J161)+(1-$D$11)*(H161-H160))</f>
        <v>18.956673098780307</v>
      </c>
      <c r="M161" s="80"/>
      <c r="AP161" s="21"/>
      <c r="AQ161" s="21"/>
      <c r="AR161" s="21"/>
      <c r="AS161" s="21"/>
    </row>
    <row r="162" spans="1:45" x14ac:dyDescent="0.15">
      <c r="A162" s="75">
        <v>39295</v>
      </c>
      <c r="B162" s="76">
        <f t="shared" si="13"/>
        <v>2007</v>
      </c>
      <c r="C162" s="77">
        <v>2.8895</v>
      </c>
      <c r="D162" s="78">
        <f>IF(GasSwitch=0,VLOOKUP($A162,[5]!GasCurve,4),VLOOKUP($A162,[5]!AecoCurve,5))</f>
        <v>2.8769999999999998</v>
      </c>
      <c r="E162" s="91">
        <v>1.3498810682736053E-2</v>
      </c>
      <c r="F162" s="80">
        <f t="shared" si="12"/>
        <v>2.9060713202554997</v>
      </c>
      <c r="G162" s="80"/>
      <c r="H162" s="81">
        <v>19.09</v>
      </c>
      <c r="I162" s="78">
        <f>IF(OilSwitch=0,VLOOKUP($A162,[5]!OilCurve,4),VLOOKUP($A162,[5]!BrentCurve,4))</f>
        <v>19.98</v>
      </c>
      <c r="J162" s="91">
        <v>1.3168038122206599E-2</v>
      </c>
      <c r="K162" s="80">
        <f t="shared" si="14"/>
        <v>19.036834077436406</v>
      </c>
      <c r="M162" s="80"/>
      <c r="AP162" s="21"/>
      <c r="AQ162" s="21"/>
      <c r="AR162" s="21"/>
      <c r="AS162" s="21"/>
    </row>
    <row r="163" spans="1:45" x14ac:dyDescent="0.15">
      <c r="A163" s="75">
        <v>39326</v>
      </c>
      <c r="B163" s="76">
        <f t="shared" si="13"/>
        <v>2007</v>
      </c>
      <c r="C163" s="77">
        <v>2.8965000000000005</v>
      </c>
      <c r="D163" s="78">
        <f>IF(GasSwitch=0,VLOOKUP($A163,[5]!GasCurve,4),VLOOKUP($A163,[5]!AecoCurve,5))</f>
        <v>2.88</v>
      </c>
      <c r="E163" s="91">
        <v>2.7790439825525943E-2</v>
      </c>
      <c r="F163" s="80">
        <f t="shared" si="12"/>
        <v>2.9213246601666949</v>
      </c>
      <c r="G163" s="80"/>
      <c r="H163" s="81">
        <v>19.14</v>
      </c>
      <c r="I163" s="78">
        <f>IF(OilSwitch=0,VLOOKUP($A163,[5]!OilCurve,4),VLOOKUP($A163,[5]!BrentCurve,4))</f>
        <v>20.03</v>
      </c>
      <c r="J163" s="91">
        <v>2.8901676197935777E-2</v>
      </c>
      <c r="K163" s="80">
        <f t="shared" si="14"/>
        <v>19.140189892963566</v>
      </c>
      <c r="M163" s="80"/>
      <c r="AP163" s="21"/>
      <c r="AQ163" s="21"/>
      <c r="AR163" s="21"/>
      <c r="AS163" s="21"/>
    </row>
    <row r="164" spans="1:45" x14ac:dyDescent="0.15">
      <c r="A164" s="75">
        <v>39356</v>
      </c>
      <c r="B164" s="76">
        <f t="shared" si="13"/>
        <v>2007</v>
      </c>
      <c r="C164" s="77">
        <v>2.9224999999999999</v>
      </c>
      <c r="D164" s="78">
        <f>IF(GasSwitch=0,VLOOKUP($A164,[5]!GasCurve,4),VLOOKUP($A164,[5]!AecoCurve,5))</f>
        <v>2.903</v>
      </c>
      <c r="E164" s="91">
        <v>-5.9781311399800911E-3</v>
      </c>
      <c r="F164" s="80">
        <f t="shared" si="12"/>
        <v>2.9342362152905221</v>
      </c>
      <c r="G164" s="80"/>
      <c r="H164" s="81">
        <v>19.190000000000001</v>
      </c>
      <c r="I164" s="78">
        <f>IF(OilSwitch=0,VLOOKUP($A164,[5]!OilCurve,4),VLOOKUP($A164,[5]!BrentCurve,4))</f>
        <v>20.079999999999998</v>
      </c>
      <c r="J164" s="91">
        <v>1.8645417532169726E-2</v>
      </c>
      <c r="K164" s="80">
        <f t="shared" si="14"/>
        <v>19.221197068333705</v>
      </c>
      <c r="M164" s="80"/>
      <c r="AP164" s="21"/>
      <c r="AQ164" s="21"/>
      <c r="AR164" s="21"/>
      <c r="AS164" s="21"/>
    </row>
    <row r="165" spans="1:45" x14ac:dyDescent="0.15">
      <c r="A165" s="75">
        <v>39387</v>
      </c>
      <c r="B165" s="76">
        <f t="shared" si="13"/>
        <v>2007</v>
      </c>
      <c r="C165" s="77">
        <v>3.0575000000000001</v>
      </c>
      <c r="D165" s="78">
        <f>IF(GasSwitch=0,VLOOKUP($A165,[5]!GasCurve,4),VLOOKUP($A165,[5]!AecoCurve,5))</f>
        <v>3.0190000000000006</v>
      </c>
      <c r="E165" s="91">
        <v>4.0034400702948912E-2</v>
      </c>
      <c r="F165" s="80">
        <f t="shared" si="12"/>
        <v>3.0860618619684517</v>
      </c>
      <c r="G165" s="80"/>
      <c r="H165" s="81">
        <v>19.239999999999998</v>
      </c>
      <c r="I165" s="78">
        <f>IF(OilSwitch=0,VLOOKUP($A165,[5]!OilCurve,4),VLOOKUP($A165,[5]!BrentCurve,4))</f>
        <v>20.13</v>
      </c>
      <c r="J165" s="91">
        <v>1.6784809533681132E-2</v>
      </c>
      <c r="K165" s="80">
        <f t="shared" si="14"/>
        <v>19.29603848163271</v>
      </c>
      <c r="M165" s="80"/>
      <c r="AP165" s="21"/>
      <c r="AQ165" s="21"/>
      <c r="AR165" s="21"/>
      <c r="AS165" s="21"/>
    </row>
    <row r="166" spans="1:45" x14ac:dyDescent="0.15">
      <c r="A166" s="75">
        <v>39417</v>
      </c>
      <c r="B166" s="76">
        <f t="shared" si="13"/>
        <v>2007</v>
      </c>
      <c r="C166" s="77">
        <v>3.1815000000000002</v>
      </c>
      <c r="D166" s="78">
        <f>IF(GasSwitch=0,VLOOKUP($A166,[5]!GasCurve,4),VLOOKUP($A166,[5]!AecoCurve,5))</f>
        <v>3.133</v>
      </c>
      <c r="E166" s="91">
        <v>2.1997747507573797E-2</v>
      </c>
      <c r="F166" s="80">
        <f t="shared" si="12"/>
        <v>3.210803379383242</v>
      </c>
      <c r="G166" s="80"/>
      <c r="H166" s="81">
        <v>19.29</v>
      </c>
      <c r="I166" s="78">
        <f>IF(OilSwitch=0,VLOOKUP($A166,[5]!OilCurve,4),VLOOKUP($A166,[5]!BrentCurve,4))</f>
        <v>20.18</v>
      </c>
      <c r="J166" s="91">
        <v>-4.5952734890830467E-2</v>
      </c>
      <c r="K166" s="80">
        <f t="shared" si="14"/>
        <v>19.264025321092728</v>
      </c>
      <c r="M166" s="80"/>
      <c r="AP166" s="21"/>
      <c r="AQ166" s="21"/>
      <c r="AR166" s="21"/>
      <c r="AS166" s="21"/>
    </row>
    <row r="167" spans="1:45" x14ac:dyDescent="0.15">
      <c r="A167" s="75">
        <v>39448</v>
      </c>
      <c r="B167" s="84">
        <f t="shared" si="13"/>
        <v>2008</v>
      </c>
      <c r="C167" s="85">
        <v>3.2450000000000001</v>
      </c>
      <c r="D167" s="78">
        <f>IF(GasSwitch=0,VLOOKUP($A167,[5]!GasCurve,4),VLOOKUP($A167,[5]!AecoCurve,5))</f>
        <v>3.1825000000000001</v>
      </c>
      <c r="E167" s="91">
        <v>5.0615292211514194E-2</v>
      </c>
      <c r="F167" s="80">
        <f t="shared" si="12"/>
        <v>3.2910680005181816</v>
      </c>
      <c r="G167" s="88"/>
      <c r="H167" s="89">
        <v>19.34</v>
      </c>
      <c r="I167" s="78">
        <f>IF(OilSwitch=0,VLOOKUP($A167,[5]!OilCurve,4),VLOOKUP($A167,[5]!BrentCurve,4))</f>
        <v>20.23</v>
      </c>
      <c r="J167" s="92">
        <v>-2.9475880927156528E-2</v>
      </c>
      <c r="K167" s="87">
        <f t="shared" si="14"/>
        <v>19.267548948441757</v>
      </c>
      <c r="M167" s="80"/>
      <c r="AP167" s="21"/>
      <c r="AQ167" s="21"/>
      <c r="AR167" s="21"/>
      <c r="AS167" s="21"/>
    </row>
    <row r="168" spans="1:45" x14ac:dyDescent="0.15">
      <c r="A168" s="75">
        <v>39479</v>
      </c>
      <c r="B168" s="76">
        <f t="shared" si="13"/>
        <v>2008</v>
      </c>
      <c r="C168" s="77">
        <v>3.1269999999999998</v>
      </c>
      <c r="D168" s="78">
        <f>IF(GasSwitch=0,VLOOKUP($A168,[5]!GasCurve,4),VLOOKUP($A168,[5]!AecoCurve,5))</f>
        <v>3.0895000000000001</v>
      </c>
      <c r="E168" s="91">
        <v>2.1790487007803366E-2</v>
      </c>
      <c r="F168" s="80">
        <f t="shared" si="12"/>
        <v>3.1671166216960871</v>
      </c>
      <c r="G168" s="80"/>
      <c r="H168" s="81">
        <v>19.39</v>
      </c>
      <c r="I168" s="78">
        <f>IF(OilSwitch=0,VLOOKUP($A168,[5]!OilCurve,4),VLOOKUP($A168,[5]!BrentCurve,4))</f>
        <v>20.28</v>
      </c>
      <c r="J168" s="91">
        <v>5.4347563285498453E-4</v>
      </c>
      <c r="K168" s="80">
        <f t="shared" si="14"/>
        <v>19.325625945999096</v>
      </c>
      <c r="M168" s="80"/>
      <c r="AP168" s="21"/>
      <c r="AQ168" s="21"/>
      <c r="AR168" s="21"/>
      <c r="AS168" s="21"/>
    </row>
    <row r="169" spans="1:45" x14ac:dyDescent="0.15">
      <c r="A169" s="75">
        <v>39508</v>
      </c>
      <c r="B169" s="76">
        <f t="shared" si="13"/>
        <v>2008</v>
      </c>
      <c r="C169" s="77">
        <v>3.0070000000000001</v>
      </c>
      <c r="D169" s="78">
        <f>IF(GasSwitch=0,VLOOKUP($A169,[5]!GasCurve,4),VLOOKUP($A169,[5]!AecoCurve,5))</f>
        <v>2.9895</v>
      </c>
      <c r="E169" s="91">
        <v>-4.5277312807510531E-2</v>
      </c>
      <c r="F169" s="80">
        <f t="shared" si="12"/>
        <v>3.0058812016769916</v>
      </c>
      <c r="G169" s="80"/>
      <c r="H169" s="81">
        <v>19.440000000000001</v>
      </c>
      <c r="I169" s="78">
        <f>IF(OilSwitch=0,VLOOKUP($A169,[5]!OilCurve,4),VLOOKUP($A169,[5]!BrentCurve,4))</f>
        <v>20.329999999999998</v>
      </c>
      <c r="J169" s="91">
        <v>-2.1748861000571815E-2</v>
      </c>
      <c r="K169" s="80">
        <f t="shared" si="14"/>
        <v>19.345808872640237</v>
      </c>
      <c r="M169" s="80"/>
      <c r="AP169" s="21"/>
      <c r="AQ169" s="21"/>
      <c r="AR169" s="21"/>
      <c r="AS169" s="21"/>
    </row>
    <row r="170" spans="1:45" x14ac:dyDescent="0.15">
      <c r="A170" s="75">
        <v>39539</v>
      </c>
      <c r="B170" s="76">
        <f t="shared" si="13"/>
        <v>2008</v>
      </c>
      <c r="C170" s="77">
        <v>2.9575</v>
      </c>
      <c r="D170" s="78">
        <f>IF(GasSwitch=0,VLOOKUP($A170,[5]!GasCurve,4),VLOOKUP($A170,[5]!AecoCurve,5))</f>
        <v>2.9045000000000001</v>
      </c>
      <c r="E170" s="91">
        <v>-2.9875135340952375E-2</v>
      </c>
      <c r="F170" s="80">
        <f t="shared" si="12"/>
        <v>2.9405886774177947</v>
      </c>
      <c r="G170" s="80"/>
      <c r="H170" s="81">
        <v>19.489999999999998</v>
      </c>
      <c r="I170" s="78">
        <f>IF(OilSwitch=0,VLOOKUP($A170,[5]!OilCurve,4),VLOOKUP($A170,[5]!BrentCurve,4))</f>
        <v>20.38</v>
      </c>
      <c r="J170" s="91">
        <v>4.7030589443759929E-2</v>
      </c>
      <c r="K170" s="80">
        <f t="shared" si="14"/>
        <v>19.483392695083268</v>
      </c>
      <c r="M170" s="80"/>
      <c r="AP170" s="21"/>
      <c r="AQ170" s="21"/>
      <c r="AR170" s="21"/>
      <c r="AS170" s="21"/>
    </row>
    <row r="171" spans="1:45" x14ac:dyDescent="0.15">
      <c r="A171" s="75">
        <v>39569</v>
      </c>
      <c r="B171" s="76">
        <f t="shared" si="13"/>
        <v>2008</v>
      </c>
      <c r="C171" s="77">
        <v>2.9315000000000002</v>
      </c>
      <c r="D171" s="78">
        <f>IF(GasSwitch=0,VLOOKUP($A171,[5]!GasCurve,4),VLOOKUP($A171,[5]!AecoCurve,5))</f>
        <v>2.9095</v>
      </c>
      <c r="E171" s="91">
        <v>-2.9576754550431489E-2</v>
      </c>
      <c r="F171" s="80">
        <f t="shared" si="12"/>
        <v>2.9054224703067915</v>
      </c>
      <c r="G171" s="80"/>
      <c r="H171" s="81">
        <v>19.54</v>
      </c>
      <c r="I171" s="78">
        <f>IF(OilSwitch=0,VLOOKUP($A171,[5]!OilCurve,4),VLOOKUP($A171,[5]!BrentCurve,4))</f>
        <v>20.43</v>
      </c>
      <c r="J171" s="91">
        <v>8.3857006991209741E-3</v>
      </c>
      <c r="K171" s="80">
        <f t="shared" si="14"/>
        <v>19.54800062423336</v>
      </c>
      <c r="M171" s="80"/>
      <c r="AP171" s="21"/>
      <c r="AQ171" s="21"/>
      <c r="AR171" s="21"/>
      <c r="AS171" s="21"/>
    </row>
    <row r="172" spans="1:45" x14ac:dyDescent="0.15">
      <c r="A172" s="75">
        <v>39600</v>
      </c>
      <c r="B172" s="76">
        <f t="shared" si="13"/>
        <v>2008</v>
      </c>
      <c r="C172" s="77">
        <v>2.9375</v>
      </c>
      <c r="D172" s="78">
        <f>IF(GasSwitch=0,VLOOKUP($A172,[5]!GasCurve,4),VLOOKUP($A172,[5]!AecoCurve,5))</f>
        <v>2.9235000000000002</v>
      </c>
      <c r="E172" s="91">
        <v>2.9608702617702765E-2</v>
      </c>
      <c r="F172" s="80">
        <f t="shared" si="12"/>
        <v>2.9376285495000403</v>
      </c>
      <c r="G172" s="80"/>
      <c r="H172" s="81">
        <v>19.59</v>
      </c>
      <c r="I172" s="78">
        <f>IF(OilSwitch=0,VLOOKUP($A172,[5]!OilCurve,4),VLOOKUP($A172,[5]!BrentCurve,4))</f>
        <v>20.48</v>
      </c>
      <c r="J172" s="91">
        <v>-1.31412733184289E-2</v>
      </c>
      <c r="K172" s="80">
        <f t="shared" si="14"/>
        <v>19.575341483632393</v>
      </c>
      <c r="M172" s="80"/>
      <c r="AP172" s="21"/>
      <c r="AQ172" s="21"/>
      <c r="AR172" s="21"/>
      <c r="AS172" s="21"/>
    </row>
    <row r="173" spans="1:45" x14ac:dyDescent="0.15">
      <c r="A173" s="75">
        <v>39630</v>
      </c>
      <c r="B173" s="76">
        <f t="shared" si="13"/>
        <v>2008</v>
      </c>
      <c r="C173" s="77">
        <v>2.9474999999999998</v>
      </c>
      <c r="D173" s="78">
        <f>IF(GasSwitch=0,VLOOKUP($A173,[5]!GasCurve,4),VLOOKUP($A173,[5]!AecoCurve,5))</f>
        <v>2.9344999999999999</v>
      </c>
      <c r="E173" s="91">
        <v>1.8098439855501088E-2</v>
      </c>
      <c r="F173" s="80">
        <f t="shared" si="12"/>
        <v>2.957302081502668</v>
      </c>
      <c r="G173" s="80"/>
      <c r="H173" s="81">
        <v>19.64</v>
      </c>
      <c r="I173" s="78">
        <f>IF(OilSwitch=0,VLOOKUP($A173,[5]!OilCurve,4),VLOOKUP($A173,[5]!BrentCurve,4))</f>
        <v>20.53</v>
      </c>
      <c r="J173" s="91">
        <v>-3.3224364043195558E-2</v>
      </c>
      <c r="K173" s="80">
        <f t="shared" si="14"/>
        <v>19.571507334984908</v>
      </c>
      <c r="M173" s="80"/>
      <c r="AP173" s="21"/>
      <c r="AQ173" s="21"/>
      <c r="AR173" s="21"/>
      <c r="AS173" s="21"/>
    </row>
    <row r="174" spans="1:45" x14ac:dyDescent="0.15">
      <c r="A174" s="75">
        <v>39661</v>
      </c>
      <c r="B174" s="76">
        <f t="shared" si="13"/>
        <v>2008</v>
      </c>
      <c r="C174" s="77">
        <v>2.9544999999999999</v>
      </c>
      <c r="D174" s="78">
        <f>IF(GasSwitch=0,VLOOKUP($A174,[5]!GasCurve,4),VLOOKUP($A174,[5]!AecoCurve,5))</f>
        <v>2.9435000000000002</v>
      </c>
      <c r="E174" s="91">
        <v>2.0790347428816226E-2</v>
      </c>
      <c r="F174" s="80">
        <f t="shared" si="12"/>
        <v>2.9716073833677674</v>
      </c>
      <c r="G174" s="80"/>
      <c r="H174" s="81">
        <v>19.690000000000001</v>
      </c>
      <c r="I174" s="78">
        <f>IF(OilSwitch=0,VLOOKUP($A174,[5]!OilCurve,4),VLOOKUP($A174,[5]!BrentCurve,4))</f>
        <v>20.58</v>
      </c>
      <c r="J174" s="91">
        <v>5.3029417979283719E-2</v>
      </c>
      <c r="K174" s="80">
        <f t="shared" si="14"/>
        <v>19.716529060338928</v>
      </c>
      <c r="M174" s="80"/>
      <c r="AP174" s="21"/>
      <c r="AQ174" s="21"/>
      <c r="AR174" s="21"/>
      <c r="AS174" s="21"/>
    </row>
    <row r="175" spans="1:45" x14ac:dyDescent="0.15">
      <c r="A175" s="75">
        <v>39692</v>
      </c>
      <c r="B175" s="76">
        <f t="shared" si="13"/>
        <v>2008</v>
      </c>
      <c r="C175" s="77">
        <v>2.9615000000000005</v>
      </c>
      <c r="D175" s="78">
        <f>IF(GasSwitch=0,VLOOKUP($A175,[5]!GasCurve,4),VLOOKUP($A175,[5]!AecoCurve,5))</f>
        <v>2.9455</v>
      </c>
      <c r="E175" s="91">
        <v>2.8005693690239596E-2</v>
      </c>
      <c r="F175" s="80">
        <f t="shared" si="12"/>
        <v>2.9869301246409621</v>
      </c>
      <c r="G175" s="80"/>
      <c r="H175" s="81">
        <v>19.739999999999998</v>
      </c>
      <c r="I175" s="78">
        <f>IF(OilSwitch=0,VLOOKUP($A175,[5]!OilCurve,4),VLOOKUP($A175,[5]!BrentCurve,4))</f>
        <v>20.63</v>
      </c>
      <c r="J175" s="91">
        <v>-3.1199702767999132E-2</v>
      </c>
      <c r="K175" s="80">
        <f t="shared" si="14"/>
        <v>19.71198637795942</v>
      </c>
      <c r="M175" s="80"/>
      <c r="AP175" s="21"/>
      <c r="AQ175" s="21"/>
      <c r="AR175" s="21"/>
      <c r="AS175" s="21"/>
    </row>
    <row r="176" spans="1:45" x14ac:dyDescent="0.15">
      <c r="A176" s="75">
        <v>39722</v>
      </c>
      <c r="B176" s="76">
        <f t="shared" si="13"/>
        <v>2008</v>
      </c>
      <c r="C176" s="77">
        <v>2.9874999999999998</v>
      </c>
      <c r="D176" s="78">
        <f>IF(GasSwitch=0,VLOOKUP($A176,[5]!GasCurve,4),VLOOKUP($A176,[5]!AecoCurve,5))</f>
        <v>2.9674999999999998</v>
      </c>
      <c r="E176" s="91">
        <v>1.0426762331853086E-2</v>
      </c>
      <c r="F176" s="80">
        <f t="shared" si="12"/>
        <v>3.0084532129160482</v>
      </c>
      <c r="G176" s="80"/>
      <c r="H176" s="81">
        <v>19.79</v>
      </c>
      <c r="I176" s="78">
        <f>IF(OilSwitch=0,VLOOKUP($A176,[5]!OilCurve,4),VLOOKUP($A176,[5]!BrentCurve,4))</f>
        <v>20.68</v>
      </c>
      <c r="J176" s="91">
        <v>-3.5875299932696378E-2</v>
      </c>
      <c r="K176" s="80">
        <f t="shared" si="14"/>
        <v>19.705063227453433</v>
      </c>
      <c r="M176" s="80"/>
      <c r="AP176" s="21"/>
      <c r="AQ176" s="21"/>
      <c r="AR176" s="21"/>
      <c r="AS176" s="21"/>
    </row>
    <row r="177" spans="1:45" x14ac:dyDescent="0.15">
      <c r="A177" s="75">
        <v>39753</v>
      </c>
      <c r="B177" s="76">
        <f t="shared" si="13"/>
        <v>2008</v>
      </c>
      <c r="C177" s="77">
        <v>3.1225000000000001</v>
      </c>
      <c r="D177" s="78">
        <f>IF(GasSwitch=0,VLOOKUP($A177,[5]!GasCurve,4),VLOOKUP($A177,[5]!AecoCurve,5))</f>
        <v>3.0785000000000005</v>
      </c>
      <c r="E177" s="91">
        <v>-1.7161237927201669E-2</v>
      </c>
      <c r="F177" s="80">
        <f t="shared" si="12"/>
        <v>3.1257780075611987</v>
      </c>
      <c r="G177" s="80"/>
      <c r="H177" s="81">
        <v>19.84</v>
      </c>
      <c r="I177" s="78">
        <f>IF(OilSwitch=0,VLOOKUP($A177,[5]!OilCurve,4),VLOOKUP($A177,[5]!BrentCurve,4))</f>
        <v>20.73</v>
      </c>
      <c r="J177" s="91">
        <v>-2.6528049457601625E-2</v>
      </c>
      <c r="K177" s="80">
        <f t="shared" si="14"/>
        <v>19.719329293638094</v>
      </c>
      <c r="M177" s="80"/>
      <c r="AP177" s="21"/>
      <c r="AQ177" s="21"/>
      <c r="AR177" s="21"/>
      <c r="AS177" s="21"/>
    </row>
    <row r="178" spans="1:45" x14ac:dyDescent="0.15">
      <c r="A178" s="75">
        <v>39783</v>
      </c>
      <c r="B178" s="76">
        <f t="shared" si="13"/>
        <v>2008</v>
      </c>
      <c r="C178" s="77">
        <v>3.2465000000000006</v>
      </c>
      <c r="D178" s="78">
        <f>IF(GasSwitch=0,VLOOKUP($A178,[5]!GasCurve,4),VLOOKUP($A178,[5]!AecoCurve,5))</f>
        <v>3.1894999999999998</v>
      </c>
      <c r="E178" s="91">
        <v>-1.3786990647006319E-2</v>
      </c>
      <c r="F178" s="80">
        <f t="shared" si="12"/>
        <v>3.2408310734373553</v>
      </c>
      <c r="G178" s="80"/>
      <c r="H178" s="81">
        <v>19.89</v>
      </c>
      <c r="I178" s="78">
        <f>IF(OilSwitch=0,VLOOKUP($A178,[5]!OilCurve,4),VLOOKUP($A178,[5]!BrentCurve,4))</f>
        <v>20.78</v>
      </c>
      <c r="J178" s="91">
        <v>-1.9178765480754232E-2</v>
      </c>
      <c r="K178" s="80">
        <f t="shared" si="14"/>
        <v>19.749362227807946</v>
      </c>
      <c r="M178" s="80"/>
      <c r="AP178" s="21"/>
      <c r="AQ178" s="21"/>
      <c r="AR178" s="21"/>
      <c r="AS178" s="21"/>
    </row>
    <row r="179" spans="1:45" x14ac:dyDescent="0.15">
      <c r="A179" s="75">
        <v>39814</v>
      </c>
      <c r="B179" s="84">
        <f t="shared" si="13"/>
        <v>2009</v>
      </c>
      <c r="C179" s="85">
        <v>3.3149999999999999</v>
      </c>
      <c r="D179" s="78">
        <f>IF(GasSwitch=0,VLOOKUP($A179,[5]!GasCurve,4),VLOOKUP($A179,[5]!AecoCurve,5))</f>
        <v>3.2395</v>
      </c>
      <c r="E179" s="91">
        <v>-3.9920485932102505E-2</v>
      </c>
      <c r="F179" s="80">
        <f t="shared" si="12"/>
        <v>3.2890584208171969</v>
      </c>
      <c r="G179" s="88"/>
      <c r="H179" s="89">
        <v>19.940000000000001</v>
      </c>
      <c r="I179" s="78">
        <f>IF(OilSwitch=0,VLOOKUP($A179,[5]!OilCurve,4),VLOOKUP($A179,[5]!BrentCurve,4))</f>
        <v>20.83</v>
      </c>
      <c r="J179" s="92">
        <v>-2.7941377761763196E-4</v>
      </c>
      <c r="K179" s="87">
        <f t="shared" si="14"/>
        <v>19.812820422729004</v>
      </c>
      <c r="M179" s="80"/>
      <c r="AP179" s="21"/>
      <c r="AQ179" s="21"/>
      <c r="AR179" s="21"/>
      <c r="AS179" s="21"/>
    </row>
    <row r="180" spans="1:45" x14ac:dyDescent="0.15">
      <c r="A180" s="75">
        <v>39845</v>
      </c>
      <c r="B180" s="76">
        <f t="shared" si="13"/>
        <v>2009</v>
      </c>
      <c r="C180" s="77">
        <v>3.1970000000000001</v>
      </c>
      <c r="D180" s="78">
        <f>IF(GasSwitch=0,VLOOKUP($A180,[5]!GasCurve,4),VLOOKUP($A180,[5]!AecoCurve,5))</f>
        <v>3.1505000000000001</v>
      </c>
      <c r="E180" s="91">
        <v>-2.9498537816227632E-2</v>
      </c>
      <c r="F180" s="80">
        <f t="shared" ref="F180:F243" si="15">IF(shiftswitch2=1,IF(F179+$D$8*(D180-F179)+($E$8*(F179^$F$8)*E180)+(1-$D$8)*(D180-D179)&lt;0,0.01,F179+$D$8*(D180-F179)+($E$8*(F179^$F$8)*E180)+(1-$D$8)*(D180-D179)),IF(F179+$D$10*(C180-F179)+($E$10*(F179^$F$10)*E180)+(1-$D$10)*(C180-C179)&lt;0,0.01,F179+$D$10*(C180-F179)+($E$10*(F179^$F$10)*E180)+(1-$D$10)*(C180-C179)))</f>
        <v>3.1646167834312067</v>
      </c>
      <c r="G180" s="80"/>
      <c r="H180" s="81">
        <v>19.989999999999998</v>
      </c>
      <c r="I180" s="78">
        <f>IF(OilSwitch=0,VLOOKUP($A180,[5]!OilCurve,4),VLOOKUP($A180,[5]!BrentCurve,4))</f>
        <v>20.88</v>
      </c>
      <c r="J180" s="91">
        <v>1.2628992225391987E-2</v>
      </c>
      <c r="K180" s="80">
        <f t="shared" si="14"/>
        <v>19.896425843941881</v>
      </c>
      <c r="M180" s="80"/>
      <c r="AP180" s="21"/>
      <c r="AQ180" s="21"/>
      <c r="AR180" s="21"/>
      <c r="AS180" s="21"/>
    </row>
    <row r="181" spans="1:45" x14ac:dyDescent="0.15">
      <c r="A181" s="75">
        <v>39873</v>
      </c>
      <c r="B181" s="76">
        <f t="shared" si="13"/>
        <v>2009</v>
      </c>
      <c r="C181" s="77">
        <v>3.077</v>
      </c>
      <c r="D181" s="78">
        <f>IF(GasSwitch=0,VLOOKUP($A181,[5]!GasCurve,4),VLOOKUP($A181,[5]!AecoCurve,5))</f>
        <v>3.0535000000000001</v>
      </c>
      <c r="E181" s="91">
        <v>7.1314073021614428E-3</v>
      </c>
      <c r="F181" s="80">
        <f t="shared" si="15"/>
        <v>3.061488942898865</v>
      </c>
      <c r="G181" s="80"/>
      <c r="H181" s="81">
        <v>20.04</v>
      </c>
      <c r="I181" s="78">
        <f>IF(OilSwitch=0,VLOOKUP($A181,[5]!OilCurve,4),VLOOKUP($A181,[5]!BrentCurve,4))</f>
        <v>20.93</v>
      </c>
      <c r="J181" s="91">
        <v>-4.9568414813202739E-2</v>
      </c>
      <c r="K181" s="80">
        <f t="shared" si="14"/>
        <v>19.873207843142463</v>
      </c>
      <c r="M181" s="80"/>
      <c r="AP181" s="21"/>
      <c r="AQ181" s="21"/>
      <c r="AR181" s="21"/>
      <c r="AS181" s="21"/>
    </row>
    <row r="182" spans="1:45" x14ac:dyDescent="0.15">
      <c r="A182" s="75">
        <v>39904</v>
      </c>
      <c r="B182" s="76">
        <f t="shared" si="13"/>
        <v>2009</v>
      </c>
      <c r="C182" s="77">
        <v>3.0274999999999999</v>
      </c>
      <c r="D182" s="78">
        <f>IF(GasSwitch=0,VLOOKUP($A182,[5]!GasCurve,4),VLOOKUP($A182,[5]!AecoCurve,5))</f>
        <v>2.9715000000000003</v>
      </c>
      <c r="E182" s="91">
        <v>-5.1212929806124753E-3</v>
      </c>
      <c r="F182" s="80">
        <f t="shared" si="15"/>
        <v>3.0153562403069927</v>
      </c>
      <c r="G182" s="80"/>
      <c r="H182" s="81">
        <v>20.09</v>
      </c>
      <c r="I182" s="78">
        <f>IF(OilSwitch=0,VLOOKUP($A182,[5]!OilCurve,4),VLOOKUP($A182,[5]!BrentCurve,4))</f>
        <v>20.98</v>
      </c>
      <c r="J182" s="91">
        <v>1.0154595856911228E-2</v>
      </c>
      <c r="K182" s="80">
        <f t="shared" si="14"/>
        <v>19.956617514177257</v>
      </c>
      <c r="M182" s="80"/>
      <c r="AP182" s="21"/>
      <c r="AQ182" s="21"/>
      <c r="AR182" s="21"/>
      <c r="AS182" s="21"/>
    </row>
    <row r="183" spans="1:45" x14ac:dyDescent="0.15">
      <c r="A183" s="75">
        <v>39934</v>
      </c>
      <c r="B183" s="76">
        <f t="shared" si="13"/>
        <v>2009</v>
      </c>
      <c r="C183" s="77">
        <v>3.0015000000000005</v>
      </c>
      <c r="D183" s="78">
        <f>IF(GasSwitch=0,VLOOKUP($A183,[5]!GasCurve,4),VLOOKUP($A183,[5]!AecoCurve,5))</f>
        <v>2.9775</v>
      </c>
      <c r="E183" s="91">
        <v>-1.3018596078467721E-2</v>
      </c>
      <c r="F183" s="80">
        <f t="shared" si="15"/>
        <v>2.9871047454205488</v>
      </c>
      <c r="G183" s="80"/>
      <c r="H183" s="81">
        <v>20.14</v>
      </c>
      <c r="I183" s="78">
        <f>IF(OilSwitch=0,VLOOKUP($A183,[5]!OilCurve,4),VLOOKUP($A183,[5]!BrentCurve,4))</f>
        <v>21.03</v>
      </c>
      <c r="J183" s="91">
        <v>-6.9287275361867746E-3</v>
      </c>
      <c r="K183" s="80">
        <f t="shared" si="14"/>
        <v>20.008292977653493</v>
      </c>
      <c r="M183" s="80"/>
      <c r="AP183" s="21"/>
      <c r="AQ183" s="21"/>
      <c r="AR183" s="21"/>
      <c r="AS183" s="21"/>
    </row>
    <row r="184" spans="1:45" x14ac:dyDescent="0.15">
      <c r="A184" s="75">
        <v>39965</v>
      </c>
      <c r="B184" s="76">
        <f t="shared" si="13"/>
        <v>2009</v>
      </c>
      <c r="C184" s="77">
        <v>3.0074999999999998</v>
      </c>
      <c r="D184" s="78">
        <f>IF(GasSwitch=0,VLOOKUP($A184,[5]!GasCurve,4),VLOOKUP($A184,[5]!AecoCurve,5))</f>
        <v>2.9925000000000002</v>
      </c>
      <c r="E184" s="91">
        <v>-4.3883838184921871E-2</v>
      </c>
      <c r="F184" s="80">
        <f t="shared" si="15"/>
        <v>2.9750593708769837</v>
      </c>
      <c r="G184" s="80"/>
      <c r="H184" s="81">
        <v>20.190000000000001</v>
      </c>
      <c r="I184" s="78">
        <f>IF(OilSwitch=0,VLOOKUP($A184,[5]!OilCurve,4),VLOOKUP($A184,[5]!BrentCurve,4))</f>
        <v>21.08</v>
      </c>
      <c r="J184" s="91">
        <v>-1.1415803125500003E-3</v>
      </c>
      <c r="K184" s="80">
        <f t="shared" si="14"/>
        <v>20.069432383225713</v>
      </c>
      <c r="M184" s="80"/>
      <c r="AP184" s="21"/>
      <c r="AQ184" s="21"/>
      <c r="AR184" s="21"/>
      <c r="AS184" s="21"/>
    </row>
    <row r="185" spans="1:45" x14ac:dyDescent="0.15">
      <c r="A185" s="75">
        <v>39995</v>
      </c>
      <c r="B185" s="76">
        <f t="shared" si="13"/>
        <v>2009</v>
      </c>
      <c r="C185" s="77">
        <v>3.0175000000000001</v>
      </c>
      <c r="D185" s="78">
        <f>IF(GasSwitch=0,VLOOKUP($A185,[5]!GasCurve,4),VLOOKUP($A185,[5]!AecoCurve,5))</f>
        <v>3.0035000000000003</v>
      </c>
      <c r="E185" s="91">
        <v>-3.8452322296719313E-2</v>
      </c>
      <c r="F185" s="80">
        <f t="shared" si="15"/>
        <v>2.9771846706342919</v>
      </c>
      <c r="G185" s="80"/>
      <c r="H185" s="81">
        <v>20.239999999999998</v>
      </c>
      <c r="I185" s="78">
        <f>IF(OilSwitch=0,VLOOKUP($A185,[5]!OilCurve,4),VLOOKUP($A185,[5]!BrentCurve,4))</f>
        <v>21.13</v>
      </c>
      <c r="J185" s="91">
        <v>-5.3770413990050135E-2</v>
      </c>
      <c r="K185" s="80">
        <f t="shared" si="14"/>
        <v>20.04189460840692</v>
      </c>
      <c r="M185" s="80"/>
      <c r="AP185" s="21"/>
      <c r="AQ185" s="21"/>
      <c r="AR185" s="21"/>
      <c r="AS185" s="21"/>
    </row>
    <row r="186" spans="1:45" x14ac:dyDescent="0.15">
      <c r="A186" s="75">
        <v>40026</v>
      </c>
      <c r="B186" s="76">
        <f t="shared" si="13"/>
        <v>2009</v>
      </c>
      <c r="C186" s="77">
        <v>3.0244999999999997</v>
      </c>
      <c r="D186" s="78">
        <f>IF(GasSwitch=0,VLOOKUP($A186,[5]!GasCurve,4),VLOOKUP($A186,[5]!AecoCurve,5))</f>
        <v>3.0125000000000002</v>
      </c>
      <c r="E186" s="91">
        <v>-3.3365764432608934E-2</v>
      </c>
      <c r="F186" s="80">
        <f t="shared" si="15"/>
        <v>2.9821897182580095</v>
      </c>
      <c r="G186" s="80"/>
      <c r="H186" s="81">
        <v>20.29</v>
      </c>
      <c r="I186" s="78">
        <f>IF(OilSwitch=0,VLOOKUP($A186,[5]!OilCurve,4),VLOOKUP($A186,[5]!BrentCurve,4))</f>
        <v>21.18</v>
      </c>
      <c r="J186" s="91">
        <v>-4.6543211628978553E-3</v>
      </c>
      <c r="K186" s="80">
        <f t="shared" si="14"/>
        <v>20.103762251759576</v>
      </c>
      <c r="M186" s="80"/>
      <c r="AP186" s="21"/>
      <c r="AQ186" s="21"/>
      <c r="AR186" s="21"/>
      <c r="AS186" s="21"/>
    </row>
    <row r="187" spans="1:45" x14ac:dyDescent="0.15">
      <c r="A187" s="75">
        <v>40057</v>
      </c>
      <c r="B187" s="76">
        <f t="shared" si="13"/>
        <v>2009</v>
      </c>
      <c r="C187" s="77">
        <v>3.0315000000000003</v>
      </c>
      <c r="D187" s="78">
        <f>IF(GasSwitch=0,VLOOKUP($A187,[5]!GasCurve,4),VLOOKUP($A187,[5]!AecoCurve,5))</f>
        <v>3.0135000000000005</v>
      </c>
      <c r="E187" s="91">
        <v>-3.1223948027160428E-2</v>
      </c>
      <c r="F187" s="80">
        <f t="shared" si="15"/>
        <v>2.9891335357973667</v>
      </c>
      <c r="G187" s="80"/>
      <c r="H187" s="81">
        <v>20.34</v>
      </c>
      <c r="I187" s="78">
        <f>IF(OilSwitch=0,VLOOKUP($A187,[5]!OilCurve,4),VLOOKUP($A187,[5]!BrentCurve,4))</f>
        <v>21.23</v>
      </c>
      <c r="J187" s="91">
        <v>1.7232766876760994E-3</v>
      </c>
      <c r="K187" s="80">
        <f t="shared" si="14"/>
        <v>20.17506732124367</v>
      </c>
      <c r="M187" s="80"/>
      <c r="AP187" s="21"/>
      <c r="AQ187" s="21"/>
      <c r="AR187" s="21"/>
      <c r="AS187" s="21"/>
    </row>
    <row r="188" spans="1:45" x14ac:dyDescent="0.15">
      <c r="A188" s="75">
        <v>40087</v>
      </c>
      <c r="B188" s="76">
        <f t="shared" si="13"/>
        <v>2009</v>
      </c>
      <c r="C188" s="77">
        <v>3.0575000000000001</v>
      </c>
      <c r="D188" s="78">
        <f>IF(GasSwitch=0,VLOOKUP($A188,[5]!GasCurve,4),VLOOKUP($A188,[5]!AecoCurve,5))</f>
        <v>3.0345</v>
      </c>
      <c r="E188" s="91">
        <v>-2.6073905274159526E-2</v>
      </c>
      <c r="F188" s="80">
        <f t="shared" si="15"/>
        <v>3.0178714499330024</v>
      </c>
      <c r="G188" s="80"/>
      <c r="H188" s="81">
        <v>20.39</v>
      </c>
      <c r="I188" s="78">
        <f>IF(OilSwitch=0,VLOOKUP($A188,[5]!OilCurve,4),VLOOKUP($A188,[5]!BrentCurve,4))</f>
        <v>21.28</v>
      </c>
      <c r="J188" s="91">
        <v>-4.7912165074602123E-2</v>
      </c>
      <c r="K188" s="80">
        <f t="shared" si="14"/>
        <v>20.161669813756408</v>
      </c>
      <c r="M188" s="80"/>
      <c r="AP188" s="21"/>
      <c r="AQ188" s="21"/>
      <c r="AR188" s="21"/>
      <c r="AS188" s="21"/>
    </row>
    <row r="189" spans="1:45" x14ac:dyDescent="0.15">
      <c r="A189" s="75">
        <v>40118</v>
      </c>
      <c r="B189" s="76">
        <f t="shared" si="13"/>
        <v>2009</v>
      </c>
      <c r="C189" s="77">
        <v>3.1924999999999999</v>
      </c>
      <c r="D189" s="78">
        <f>IF(GasSwitch=0,VLOOKUP($A189,[5]!GasCurve,4),VLOOKUP($A189,[5]!AecoCurve,5))</f>
        <v>3.1405000000000003</v>
      </c>
      <c r="E189" s="91">
        <v>3.0252520090164477E-3</v>
      </c>
      <c r="F189" s="80">
        <f t="shared" si="15"/>
        <v>3.1702991297991683</v>
      </c>
      <c r="G189" s="80"/>
      <c r="H189" s="81">
        <v>20.440000000000001</v>
      </c>
      <c r="I189" s="78">
        <f>IF(OilSwitch=0,VLOOKUP($A189,[5]!OilCurve,4),VLOOKUP($A189,[5]!BrentCurve,4))</f>
        <v>21.33</v>
      </c>
      <c r="J189" s="91">
        <v>2.3724402922849816E-2</v>
      </c>
      <c r="K189" s="80">
        <f t="shared" si="14"/>
        <v>20.273751908658145</v>
      </c>
      <c r="M189" s="80"/>
      <c r="AP189" s="21"/>
      <c r="AQ189" s="21"/>
      <c r="AR189" s="21"/>
      <c r="AS189" s="21"/>
    </row>
    <row r="190" spans="1:45" x14ac:dyDescent="0.15">
      <c r="A190" s="75">
        <v>40148</v>
      </c>
      <c r="B190" s="76">
        <f t="shared" si="13"/>
        <v>2009</v>
      </c>
      <c r="C190" s="77">
        <v>3.3165000000000004</v>
      </c>
      <c r="D190" s="78">
        <f>IF(GasSwitch=0,VLOOKUP($A190,[5]!GasCurve,4),VLOOKUP($A190,[5]!AecoCurve,5))</f>
        <v>3.2485000000000004</v>
      </c>
      <c r="E190" s="91">
        <v>1.7719862175097859E-2</v>
      </c>
      <c r="F190" s="80">
        <f t="shared" si="15"/>
        <v>3.3130306940424146</v>
      </c>
      <c r="G190" s="80"/>
      <c r="H190" s="81">
        <v>20.49</v>
      </c>
      <c r="I190" s="78">
        <f>IF(OilSwitch=0,VLOOKUP($A190,[5]!OilCurve,4),VLOOKUP($A190,[5]!BrentCurve,4))</f>
        <v>21.38</v>
      </c>
      <c r="J190" s="91">
        <v>-2.7241977220897301E-2</v>
      </c>
      <c r="K190" s="80">
        <f t="shared" si="14"/>
        <v>20.294879819605413</v>
      </c>
      <c r="M190" s="80"/>
      <c r="AP190" s="21"/>
      <c r="AQ190" s="21"/>
      <c r="AR190" s="21"/>
      <c r="AS190" s="21"/>
    </row>
    <row r="191" spans="1:45" x14ac:dyDescent="0.15">
      <c r="A191" s="75">
        <v>40179</v>
      </c>
      <c r="B191" s="84">
        <f t="shared" si="13"/>
        <v>2010</v>
      </c>
      <c r="C191" s="85">
        <v>3.39</v>
      </c>
      <c r="D191" s="78">
        <f>IF(GasSwitch=0,VLOOKUP($A191,[5]!GasCurve,4),VLOOKUP($A191,[5]!AecoCurve,5))</f>
        <v>3.2990000000000004</v>
      </c>
      <c r="E191" s="91">
        <v>-8.9592657017003433E-2</v>
      </c>
      <c r="F191" s="80">
        <f t="shared" si="15"/>
        <v>3.3367884229736231</v>
      </c>
      <c r="G191" s="88"/>
      <c r="H191" s="89">
        <v>20.54</v>
      </c>
      <c r="I191" s="78">
        <f>IF(OilSwitch=0,VLOOKUP($A191,[5]!OilCurve,4),VLOOKUP($A191,[5]!BrentCurve,4))</f>
        <v>21.43</v>
      </c>
      <c r="J191" s="92">
        <v>8.429724552742357E-2</v>
      </c>
      <c r="K191" s="87">
        <f t="shared" si="14"/>
        <v>20.50446733402211</v>
      </c>
      <c r="M191" s="80"/>
      <c r="AP191" s="21"/>
      <c r="AQ191" s="21"/>
      <c r="AR191" s="21"/>
      <c r="AS191" s="21"/>
    </row>
    <row r="192" spans="1:45" x14ac:dyDescent="0.15">
      <c r="A192" s="75">
        <v>40210</v>
      </c>
      <c r="B192" s="76">
        <f t="shared" si="13"/>
        <v>2010</v>
      </c>
      <c r="C192" s="77">
        <v>3.2719999999999998</v>
      </c>
      <c r="D192" s="78">
        <f>IF(GasSwitch=0,VLOOKUP($A192,[5]!GasCurve,4),VLOOKUP($A192,[5]!AecoCurve,5))</f>
        <v>3.2140000000000004</v>
      </c>
      <c r="E192" s="91">
        <v>5.1768202293772539E-4</v>
      </c>
      <c r="F192" s="80">
        <f t="shared" si="15"/>
        <v>3.2402737321672137</v>
      </c>
      <c r="G192" s="80"/>
      <c r="H192" s="81">
        <v>20.59</v>
      </c>
      <c r="I192" s="78">
        <f>IF(OilSwitch=0,VLOOKUP($A192,[5]!OilCurve,4),VLOOKUP($A192,[5]!BrentCurve,4))</f>
        <v>21.48</v>
      </c>
      <c r="J192" s="91">
        <v>-8.8838732772162949E-4</v>
      </c>
      <c r="K192" s="80">
        <f t="shared" si="14"/>
        <v>20.556506791440594</v>
      </c>
      <c r="M192" s="80"/>
      <c r="AP192" s="21"/>
      <c r="AQ192" s="21"/>
      <c r="AR192" s="21"/>
      <c r="AS192" s="21"/>
    </row>
    <row r="193" spans="1:45" x14ac:dyDescent="0.15">
      <c r="A193" s="75">
        <v>40238</v>
      </c>
      <c r="B193" s="76">
        <f t="shared" si="13"/>
        <v>2010</v>
      </c>
      <c r="C193" s="77">
        <v>3.1520000000000001</v>
      </c>
      <c r="D193" s="78">
        <f>IF(GasSwitch=0,VLOOKUP($A193,[5]!GasCurve,4),VLOOKUP($A193,[5]!AecoCurve,5))</f>
        <v>3.12</v>
      </c>
      <c r="E193" s="91">
        <v>-7.2958535074592965E-3</v>
      </c>
      <c r="F193" s="80">
        <f t="shared" si="15"/>
        <v>3.1287899079726658</v>
      </c>
      <c r="G193" s="80"/>
      <c r="H193" s="81">
        <v>20.64</v>
      </c>
      <c r="I193" s="78">
        <f>IF(OilSwitch=0,VLOOKUP($A193,[5]!OilCurve,4),VLOOKUP($A193,[5]!BrentCurve,4))</f>
        <v>21.53</v>
      </c>
      <c r="J193" s="91">
        <v>6.5801643169925053E-2</v>
      </c>
      <c r="K193" s="80">
        <f t="shared" si="14"/>
        <v>20.719316553322731</v>
      </c>
      <c r="M193" s="80"/>
      <c r="AP193" s="21"/>
      <c r="AQ193" s="21"/>
      <c r="AR193" s="21"/>
      <c r="AS193" s="21"/>
    </row>
    <row r="194" spans="1:45" x14ac:dyDescent="0.15">
      <c r="A194" s="75">
        <v>40269</v>
      </c>
      <c r="B194" s="76">
        <f t="shared" si="13"/>
        <v>2010</v>
      </c>
      <c r="C194" s="77">
        <v>3.1025</v>
      </c>
      <c r="D194" s="78">
        <f>IF(GasSwitch=0,VLOOKUP($A194,[5]!GasCurve,4),VLOOKUP($A194,[5]!AecoCurve,5))</f>
        <v>3.0410000000000004</v>
      </c>
      <c r="E194" s="91">
        <v>2.5215043461557611E-2</v>
      </c>
      <c r="F194" s="80">
        <f t="shared" si="15"/>
        <v>3.1025146872003058</v>
      </c>
      <c r="G194" s="80"/>
      <c r="H194" s="81">
        <v>20.69</v>
      </c>
      <c r="I194" s="78">
        <f>IF(OilSwitch=0,VLOOKUP($A194,[5]!OilCurve,4),VLOOKUP($A194,[5]!BrentCurve,4))</f>
        <v>21.58</v>
      </c>
      <c r="J194" s="91">
        <v>3.2386270090594181E-3</v>
      </c>
      <c r="K194" s="80">
        <f t="shared" si="14"/>
        <v>20.766853289886857</v>
      </c>
      <c r="M194" s="80"/>
      <c r="AP194" s="21"/>
      <c r="AQ194" s="21"/>
      <c r="AR194" s="21"/>
      <c r="AS194" s="21"/>
    </row>
    <row r="195" spans="1:45" x14ac:dyDescent="0.15">
      <c r="A195" s="75">
        <v>40299</v>
      </c>
      <c r="B195" s="76">
        <f t="shared" si="13"/>
        <v>2010</v>
      </c>
      <c r="C195" s="77">
        <v>3.0765000000000002</v>
      </c>
      <c r="D195" s="78">
        <f>IF(GasSwitch=0,VLOOKUP($A195,[5]!GasCurve,4),VLOOKUP($A195,[5]!AecoCurve,5))</f>
        <v>3.048</v>
      </c>
      <c r="E195" s="91">
        <v>-6.6794364374994546E-3</v>
      </c>
      <c r="F195" s="80">
        <f t="shared" si="15"/>
        <v>3.0728204703821214</v>
      </c>
      <c r="G195" s="80"/>
      <c r="H195" s="81">
        <v>20.74</v>
      </c>
      <c r="I195" s="78">
        <f>IF(OilSwitch=0,VLOOKUP($A195,[5]!OilCurve,4),VLOOKUP($A195,[5]!BrentCurve,4))</f>
        <v>21.63</v>
      </c>
      <c r="J195" s="91">
        <v>1.0044317810406772E-2</v>
      </c>
      <c r="K195" s="80">
        <f t="shared" si="14"/>
        <v>20.825958559024571</v>
      </c>
      <c r="M195" s="80"/>
      <c r="AP195" s="21"/>
      <c r="AQ195" s="21"/>
      <c r="AR195" s="21"/>
      <c r="AS195" s="21"/>
    </row>
    <row r="196" spans="1:45" x14ac:dyDescent="0.15">
      <c r="A196" s="75">
        <v>40330</v>
      </c>
      <c r="B196" s="76">
        <f t="shared" si="13"/>
        <v>2010</v>
      </c>
      <c r="C196" s="77">
        <v>3.0825</v>
      </c>
      <c r="D196" s="78">
        <f>IF(GasSwitch=0,VLOOKUP($A196,[5]!GasCurve,4),VLOOKUP($A196,[5]!AecoCurve,5))</f>
        <v>3.0640000000000005</v>
      </c>
      <c r="E196" s="91">
        <v>-4.2832689184522224E-2</v>
      </c>
      <c r="F196" s="80">
        <f t="shared" si="15"/>
        <v>3.0567470129110954</v>
      </c>
      <c r="G196" s="80"/>
      <c r="H196" s="81">
        <v>20.79</v>
      </c>
      <c r="I196" s="78">
        <f>IF(OilSwitch=0,VLOOKUP($A196,[5]!OilCurve,4),VLOOKUP($A196,[5]!BrentCurve,4))</f>
        <v>21.68</v>
      </c>
      <c r="J196" s="91">
        <v>-4.6460790858293868E-2</v>
      </c>
      <c r="K196" s="80">
        <f t="shared" si="14"/>
        <v>20.790137905692937</v>
      </c>
      <c r="M196" s="80"/>
      <c r="AP196" s="21"/>
      <c r="AQ196" s="21"/>
      <c r="AR196" s="21"/>
      <c r="AS196" s="21"/>
    </row>
    <row r="197" spans="1:45" x14ac:dyDescent="0.15">
      <c r="A197" s="75">
        <v>40360</v>
      </c>
      <c r="B197" s="76">
        <f t="shared" si="13"/>
        <v>2010</v>
      </c>
      <c r="C197" s="77">
        <v>3.0924999999999998</v>
      </c>
      <c r="D197" s="78">
        <f>IF(GasSwitch=0,VLOOKUP($A197,[5]!GasCurve,4),VLOOKUP($A197,[5]!AecoCurve,5))</f>
        <v>3.0750000000000002</v>
      </c>
      <c r="E197" s="91">
        <v>-1.9023919989964482E-2</v>
      </c>
      <c r="F197" s="80">
        <f t="shared" si="15"/>
        <v>3.0665746619617917</v>
      </c>
      <c r="G197" s="80"/>
      <c r="H197" s="81">
        <v>20.84</v>
      </c>
      <c r="I197" s="78">
        <f>IF(OilSwitch=0,VLOOKUP($A197,[5]!OilCurve,4),VLOOKUP($A197,[5]!BrentCurve,4))</f>
        <v>21.73</v>
      </c>
      <c r="J197" s="91">
        <v>-4.0081850051257835E-3</v>
      </c>
      <c r="K197" s="80">
        <f t="shared" si="14"/>
        <v>20.833454633180807</v>
      </c>
      <c r="M197" s="80"/>
      <c r="AP197" s="21"/>
      <c r="AQ197" s="21"/>
      <c r="AR197" s="21"/>
      <c r="AS197" s="21"/>
    </row>
    <row r="198" spans="1:45" x14ac:dyDescent="0.15">
      <c r="A198" s="75">
        <v>40391</v>
      </c>
      <c r="B198" s="76">
        <f t="shared" si="13"/>
        <v>2010</v>
      </c>
      <c r="C198" s="77">
        <v>3.0994999999999999</v>
      </c>
      <c r="D198" s="78">
        <f>IF(GasSwitch=0,VLOOKUP($A198,[5]!GasCurve,4),VLOOKUP($A198,[5]!AecoCurve,5))</f>
        <v>3.0840000000000005</v>
      </c>
      <c r="E198" s="91">
        <v>-6.0176088028532741E-2</v>
      </c>
      <c r="F198" s="80">
        <f t="shared" si="15"/>
        <v>3.0508620699094391</v>
      </c>
      <c r="G198" s="80"/>
      <c r="H198" s="81">
        <v>20.89</v>
      </c>
      <c r="I198" s="78">
        <f>IF(OilSwitch=0,VLOOKUP($A198,[5]!OilCurve,4),VLOOKUP($A198,[5]!BrentCurve,4))</f>
        <v>21.78</v>
      </c>
      <c r="J198" s="91">
        <v>-5.1306948952598956E-3</v>
      </c>
      <c r="K198" s="80">
        <f t="shared" si="14"/>
        <v>20.875565148190194</v>
      </c>
      <c r="M198" s="80"/>
      <c r="AP198" s="21"/>
      <c r="AQ198" s="21"/>
      <c r="AR198" s="21"/>
      <c r="AS198" s="21"/>
    </row>
    <row r="199" spans="1:45" x14ac:dyDescent="0.15">
      <c r="A199" s="75">
        <v>40422</v>
      </c>
      <c r="B199" s="76">
        <f t="shared" si="13"/>
        <v>2010</v>
      </c>
      <c r="C199" s="77">
        <v>3.1065000000000005</v>
      </c>
      <c r="D199" s="78">
        <f>IF(GasSwitch=0,VLOOKUP($A199,[5]!GasCurve,4),VLOOKUP($A199,[5]!AecoCurve,5))</f>
        <v>3.0840000000000005</v>
      </c>
      <c r="E199" s="91">
        <v>1.5732649626803485E-2</v>
      </c>
      <c r="F199" s="80">
        <f t="shared" si="15"/>
        <v>3.0858446028392432</v>
      </c>
      <c r="G199" s="80"/>
      <c r="H199" s="81">
        <v>20.94</v>
      </c>
      <c r="I199" s="78">
        <f>IF(OilSwitch=0,VLOOKUP($A199,[5]!OilCurve,4),VLOOKUP($A199,[5]!BrentCurve,4))</f>
        <v>21.83</v>
      </c>
      <c r="J199" s="91">
        <v>-0.10349257296274111</v>
      </c>
      <c r="K199" s="80">
        <f t="shared" si="14"/>
        <v>20.754782557109362</v>
      </c>
      <c r="M199" s="80"/>
      <c r="AP199" s="21"/>
      <c r="AQ199" s="21"/>
      <c r="AR199" s="21"/>
      <c r="AS199" s="21"/>
    </row>
    <row r="200" spans="1:45" x14ac:dyDescent="0.15">
      <c r="A200" s="75">
        <v>40452</v>
      </c>
      <c r="B200" s="76">
        <f t="shared" si="13"/>
        <v>2010</v>
      </c>
      <c r="C200" s="77">
        <v>3.1324999999999998</v>
      </c>
      <c r="D200" s="78">
        <f>IF(GasSwitch=0,VLOOKUP($A200,[5]!GasCurve,4),VLOOKUP($A200,[5]!AecoCurve,5))</f>
        <v>3.1040000000000005</v>
      </c>
      <c r="E200" s="91">
        <v>2.0894606469310878E-2</v>
      </c>
      <c r="F200" s="80">
        <f t="shared" si="15"/>
        <v>3.1315764933369881</v>
      </c>
      <c r="G200" s="80"/>
      <c r="H200" s="81">
        <v>20.99</v>
      </c>
      <c r="I200" s="78">
        <f>IF(OilSwitch=0,VLOOKUP($A200,[5]!OilCurve,4),VLOOKUP($A200,[5]!BrentCurve,4))</f>
        <v>21.88</v>
      </c>
      <c r="J200" s="91">
        <v>-9.4407279003321711E-3</v>
      </c>
      <c r="K200" s="80">
        <f t="shared" si="14"/>
        <v>20.807409712729381</v>
      </c>
      <c r="M200" s="80"/>
      <c r="AP200" s="21"/>
      <c r="AQ200" s="21"/>
      <c r="AR200" s="21"/>
      <c r="AS200" s="21"/>
    </row>
    <row r="201" spans="1:45" x14ac:dyDescent="0.15">
      <c r="A201" s="75">
        <v>40483</v>
      </c>
      <c r="B201" s="76">
        <f t="shared" si="13"/>
        <v>2010</v>
      </c>
      <c r="C201" s="77">
        <v>3.2675000000000001</v>
      </c>
      <c r="D201" s="78">
        <f>IF(GasSwitch=0,VLOOKUP($A201,[5]!GasCurve,4),VLOOKUP($A201,[5]!AecoCurve,5))</f>
        <v>3.2050000000000001</v>
      </c>
      <c r="E201" s="91">
        <v>4.9018436781021024E-2</v>
      </c>
      <c r="F201" s="80">
        <f t="shared" si="15"/>
        <v>3.2941385731661441</v>
      </c>
      <c r="G201" s="80"/>
      <c r="H201" s="81">
        <v>21.04</v>
      </c>
      <c r="I201" s="78">
        <f>IF(OilSwitch=0,VLOOKUP($A201,[5]!OilCurve,4),VLOOKUP($A201,[5]!BrentCurve,4))</f>
        <v>21.93</v>
      </c>
      <c r="J201" s="91">
        <v>1.4789276933475011E-2</v>
      </c>
      <c r="K201" s="80">
        <f t="shared" si="14"/>
        <v>20.900095507986475</v>
      </c>
      <c r="M201" s="80"/>
      <c r="AP201" s="21"/>
      <c r="AQ201" s="21"/>
      <c r="AR201" s="21"/>
      <c r="AS201" s="21"/>
    </row>
    <row r="202" spans="1:45" x14ac:dyDescent="0.15">
      <c r="A202" s="75">
        <v>40513</v>
      </c>
      <c r="B202" s="76">
        <f t="shared" si="13"/>
        <v>2010</v>
      </c>
      <c r="C202" s="77">
        <v>3.3915000000000006</v>
      </c>
      <c r="D202" s="78">
        <f>IF(GasSwitch=0,VLOOKUP($A202,[5]!GasCurve,4),VLOOKUP($A202,[5]!AecoCurve,5))</f>
        <v>3.31</v>
      </c>
      <c r="E202" s="91">
        <v>-2.206110492655013E-2</v>
      </c>
      <c r="F202" s="80">
        <f t="shared" si="15"/>
        <v>3.3949784341435767</v>
      </c>
      <c r="G202" s="80"/>
      <c r="H202" s="81">
        <v>21.09</v>
      </c>
      <c r="I202" s="78">
        <f>IF(OilSwitch=0,VLOOKUP($A202,[5]!OilCurve,4),VLOOKUP($A202,[5]!BrentCurve,4))</f>
        <v>21.98</v>
      </c>
      <c r="J202" s="91">
        <v>1.0256863248874785E-2</v>
      </c>
      <c r="K202" s="80">
        <f t="shared" si="14"/>
        <v>20.981013473141942</v>
      </c>
      <c r="M202" s="80"/>
      <c r="AP202" s="21"/>
      <c r="AQ202" s="21"/>
      <c r="AR202" s="21"/>
      <c r="AS202" s="21"/>
    </row>
    <row r="203" spans="1:45" x14ac:dyDescent="0.15">
      <c r="A203" s="75">
        <v>40544</v>
      </c>
      <c r="B203" s="84">
        <f t="shared" si="13"/>
        <v>2011</v>
      </c>
      <c r="C203" s="85">
        <v>3.47</v>
      </c>
      <c r="D203" s="78">
        <f>IF(GasSwitch=0,VLOOKUP($A203,[5]!GasCurve,4),VLOOKUP($A203,[5]!AecoCurve,5))</f>
        <v>3.3585000000000003</v>
      </c>
      <c r="E203" s="91">
        <v>1.5401677731826964E-2</v>
      </c>
      <c r="F203" s="80">
        <f t="shared" si="15"/>
        <v>3.4809899221239964</v>
      </c>
      <c r="G203" s="88"/>
      <c r="H203" s="89">
        <v>21.14</v>
      </c>
      <c r="I203" s="78">
        <f>IF(OilSwitch=0,VLOOKUP($A203,[5]!OilCurve,4),VLOOKUP($A203,[5]!BrentCurve,4))</f>
        <v>22.03</v>
      </c>
      <c r="J203" s="92">
        <v>1.2145448530149427E-2</v>
      </c>
      <c r="K203" s="87">
        <f t="shared" si="14"/>
        <v>21.062013165655056</v>
      </c>
      <c r="M203" s="80"/>
      <c r="AP203" s="21"/>
      <c r="AQ203" s="21"/>
      <c r="AR203" s="21"/>
      <c r="AS203" s="21"/>
    </row>
    <row r="204" spans="1:45" x14ac:dyDescent="0.15">
      <c r="A204" s="75">
        <v>40575</v>
      </c>
      <c r="B204" s="76">
        <f t="shared" si="13"/>
        <v>2011</v>
      </c>
      <c r="C204" s="77">
        <v>3.3519999999999999</v>
      </c>
      <c r="D204" s="78">
        <f>IF(GasSwitch=0,VLOOKUP($A204,[5]!GasCurve,4),VLOOKUP($A204,[5]!AecoCurve,5))</f>
        <v>3.2774999999999999</v>
      </c>
      <c r="E204" s="91">
        <v>-5.6340647227621644E-2</v>
      </c>
      <c r="F204" s="80">
        <f t="shared" si="15"/>
        <v>3.3256595361381267</v>
      </c>
      <c r="G204" s="80"/>
      <c r="H204" s="81">
        <v>21.19</v>
      </c>
      <c r="I204" s="78">
        <f>IF(OilSwitch=0,VLOOKUP($A204,[5]!OilCurve,4),VLOOKUP($A204,[5]!BrentCurve,4))</f>
        <v>22.08</v>
      </c>
      <c r="J204" s="91">
        <v>-1.6969694417918856E-2</v>
      </c>
      <c r="K204" s="80">
        <f t="shared" si="14"/>
        <v>21.091496290743788</v>
      </c>
      <c r="M204" s="80"/>
      <c r="AP204" s="21"/>
      <c r="AQ204" s="21"/>
      <c r="AR204" s="21"/>
      <c r="AS204" s="21"/>
    </row>
    <row r="205" spans="1:45" x14ac:dyDescent="0.15">
      <c r="A205" s="75">
        <v>40603</v>
      </c>
      <c r="B205" s="76">
        <f t="shared" si="13"/>
        <v>2011</v>
      </c>
      <c r="C205" s="77">
        <v>3.2319999999999998</v>
      </c>
      <c r="D205" s="78">
        <f>IF(GasSwitch=0,VLOOKUP($A205,[5]!GasCurve,4),VLOOKUP($A205,[5]!AecoCurve,5))</f>
        <v>3.1865000000000006</v>
      </c>
      <c r="E205" s="91">
        <v>-3.9011241848899779E-2</v>
      </c>
      <c r="F205" s="80">
        <f t="shared" si="15"/>
        <v>3.1938451584083456</v>
      </c>
      <c r="G205" s="80"/>
      <c r="H205" s="81">
        <v>21.24</v>
      </c>
      <c r="I205" s="78">
        <f>IF(OilSwitch=0,VLOOKUP($A205,[5]!OilCurve,4),VLOOKUP($A205,[5]!BrentCurve,4))</f>
        <v>22.13</v>
      </c>
      <c r="J205" s="91">
        <v>3.580271240872655E-3</v>
      </c>
      <c r="K205" s="80">
        <f t="shared" si="14"/>
        <v>21.157205729304959</v>
      </c>
      <c r="M205" s="80"/>
      <c r="AP205" s="21"/>
      <c r="AQ205" s="21"/>
      <c r="AR205" s="21"/>
      <c r="AS205" s="21"/>
    </row>
    <row r="206" spans="1:45" x14ac:dyDescent="0.15">
      <c r="A206" s="75">
        <v>40634</v>
      </c>
      <c r="B206" s="76">
        <f t="shared" si="13"/>
        <v>2011</v>
      </c>
      <c r="C206" s="77">
        <v>3.1825000000000001</v>
      </c>
      <c r="D206" s="78">
        <f>IF(GasSwitch=0,VLOOKUP($A206,[5]!GasCurve,4),VLOOKUP($A206,[5]!AecoCurve,5))</f>
        <v>3.1105</v>
      </c>
      <c r="E206" s="91">
        <v>-3.5078259779363609E-2</v>
      </c>
      <c r="F206" s="80">
        <f t="shared" si="15"/>
        <v>3.1398852507213579</v>
      </c>
      <c r="G206" s="80"/>
      <c r="H206" s="81">
        <v>21.29</v>
      </c>
      <c r="I206" s="78">
        <f>IF(OilSwitch=0,VLOOKUP($A206,[5]!OilCurve,4),VLOOKUP($A206,[5]!BrentCurve,4))</f>
        <v>22.18</v>
      </c>
      <c r="J206" s="91">
        <v>-1.3128144126901956E-2</v>
      </c>
      <c r="K206" s="80">
        <f t="shared" si="14"/>
        <v>21.193557130276602</v>
      </c>
      <c r="M206" s="80"/>
      <c r="AP206" s="21"/>
      <c r="AQ206" s="21"/>
      <c r="AR206" s="21"/>
      <c r="AS206" s="21"/>
    </row>
    <row r="207" spans="1:45" x14ac:dyDescent="0.15">
      <c r="A207" s="75">
        <v>40664</v>
      </c>
      <c r="B207" s="76">
        <f t="shared" si="13"/>
        <v>2011</v>
      </c>
      <c r="C207" s="77">
        <v>3.1565000000000003</v>
      </c>
      <c r="D207" s="78">
        <f>IF(GasSwitch=0,VLOOKUP($A207,[5]!GasCurve,4),VLOOKUP($A207,[5]!AecoCurve,5))</f>
        <v>3.1185000000000005</v>
      </c>
      <c r="E207" s="91">
        <v>-2.4336977250830769E-2</v>
      </c>
      <c r="F207" s="80">
        <f t="shared" si="15"/>
        <v>3.1173349302002165</v>
      </c>
      <c r="G207" s="80"/>
      <c r="H207" s="81">
        <v>21.34</v>
      </c>
      <c r="I207" s="78">
        <f>IF(OilSwitch=0,VLOOKUP($A207,[5]!OilCurve,4),VLOOKUP($A207,[5]!BrentCurve,4))</f>
        <v>22.23</v>
      </c>
      <c r="J207" s="91">
        <v>2.875447028625306E-2</v>
      </c>
      <c r="K207" s="80">
        <f t="shared" si="14"/>
        <v>21.300952412935544</v>
      </c>
      <c r="M207" s="80"/>
      <c r="AP207" s="21"/>
      <c r="AQ207" s="21"/>
      <c r="AR207" s="21"/>
      <c r="AS207" s="21"/>
    </row>
    <row r="208" spans="1:45" x14ac:dyDescent="0.15">
      <c r="A208" s="75">
        <v>40695</v>
      </c>
      <c r="B208" s="76">
        <f t="shared" si="13"/>
        <v>2011</v>
      </c>
      <c r="C208" s="77">
        <v>3.1625000000000001</v>
      </c>
      <c r="D208" s="78">
        <f>IF(GasSwitch=0,VLOOKUP($A208,[5]!GasCurve,4),VLOOKUP($A208,[5]!AecoCurve,5))</f>
        <v>3.1355000000000004</v>
      </c>
      <c r="E208" s="91">
        <v>-6.4587857828860409E-2</v>
      </c>
      <c r="F208" s="80">
        <f t="shared" si="15"/>
        <v>3.1031801224530753</v>
      </c>
      <c r="G208" s="80"/>
      <c r="H208" s="81">
        <v>21.39</v>
      </c>
      <c r="I208" s="78">
        <f>IF(OilSwitch=0,VLOOKUP($A208,[5]!OilCurve,4),VLOOKUP($A208,[5]!BrentCurve,4))</f>
        <v>22.28</v>
      </c>
      <c r="J208" s="91">
        <v>-2.342808108166387E-2</v>
      </c>
      <c r="K208" s="80">
        <f t="shared" si="14"/>
        <v>21.315833797135038</v>
      </c>
      <c r="M208" s="80"/>
      <c r="AP208" s="21"/>
      <c r="AQ208" s="21"/>
      <c r="AR208" s="21"/>
      <c r="AS208" s="21"/>
    </row>
    <row r="209" spans="1:45" x14ac:dyDescent="0.15">
      <c r="A209" s="75">
        <v>40725</v>
      </c>
      <c r="B209" s="76">
        <f t="shared" si="13"/>
        <v>2011</v>
      </c>
      <c r="C209" s="77">
        <v>3.1724999999999999</v>
      </c>
      <c r="D209" s="78">
        <f>IF(GasSwitch=0,VLOOKUP($A209,[5]!GasCurve,4),VLOOKUP($A209,[5]!AecoCurve,5))</f>
        <v>3.1465000000000005</v>
      </c>
      <c r="E209" s="91">
        <v>-6.8073199088743971E-2</v>
      </c>
      <c r="F209" s="80">
        <f t="shared" si="15"/>
        <v>3.0992074135903604</v>
      </c>
      <c r="G209" s="80"/>
      <c r="H209" s="81">
        <v>21.44</v>
      </c>
      <c r="I209" s="78">
        <f>IF(OilSwitch=0,VLOOKUP($A209,[5]!OilCurve,4),VLOOKUP($A209,[5]!BrentCurve,4))</f>
        <v>22.33</v>
      </c>
      <c r="J209" s="91">
        <v>8.1487197502082026E-4</v>
      </c>
      <c r="K209" s="80">
        <f t="shared" si="14"/>
        <v>21.374532198185104</v>
      </c>
      <c r="M209" s="80"/>
      <c r="AP209" s="21"/>
      <c r="AQ209" s="21"/>
      <c r="AR209" s="21"/>
      <c r="AS209" s="21"/>
    </row>
    <row r="210" spans="1:45" x14ac:dyDescent="0.15">
      <c r="A210" s="75">
        <v>40756</v>
      </c>
      <c r="B210" s="76">
        <f t="shared" si="13"/>
        <v>2011</v>
      </c>
      <c r="C210" s="77">
        <v>3.1795</v>
      </c>
      <c r="D210" s="78">
        <f>IF(GasSwitch=0,VLOOKUP($A210,[5]!GasCurve,4),VLOOKUP($A210,[5]!AecoCurve,5))</f>
        <v>3.1555</v>
      </c>
      <c r="E210" s="91">
        <v>3.8474652048049958E-2</v>
      </c>
      <c r="F210" s="80">
        <f t="shared" si="15"/>
        <v>3.1566268028400217</v>
      </c>
      <c r="G210" s="80"/>
      <c r="H210" s="81">
        <v>21.49</v>
      </c>
      <c r="I210" s="78">
        <f>IF(OilSwitch=0,VLOOKUP($A210,[5]!OilCurve,4),VLOOKUP($A210,[5]!BrentCurve,4))</f>
        <v>22.38</v>
      </c>
      <c r="J210" s="91">
        <v>6.4912466547973169E-2</v>
      </c>
      <c r="K210" s="80">
        <f t="shared" si="14"/>
        <v>21.539027854900603</v>
      </c>
      <c r="M210" s="80"/>
      <c r="AP210" s="21"/>
      <c r="AQ210" s="21"/>
      <c r="AR210" s="21"/>
      <c r="AS210" s="21"/>
    </row>
    <row r="211" spans="1:45" x14ac:dyDescent="0.15">
      <c r="A211" s="75">
        <v>40787</v>
      </c>
      <c r="B211" s="76">
        <f t="shared" si="13"/>
        <v>2011</v>
      </c>
      <c r="C211" s="77">
        <v>3.1865000000000006</v>
      </c>
      <c r="D211" s="78">
        <f>IF(GasSwitch=0,VLOOKUP($A211,[5]!GasCurve,4),VLOOKUP($A211,[5]!AecoCurve,5))</f>
        <v>3.1545000000000001</v>
      </c>
      <c r="E211" s="91">
        <v>-1.5212419222575466E-2</v>
      </c>
      <c r="F211" s="80">
        <f t="shared" si="15"/>
        <v>3.1642617100921391</v>
      </c>
      <c r="G211" s="80"/>
      <c r="H211" s="81">
        <v>21.54</v>
      </c>
      <c r="I211" s="78">
        <f>IF(OilSwitch=0,VLOOKUP($A211,[5]!OilCurve,4),VLOOKUP($A211,[5]!BrentCurve,4))</f>
        <v>22.43</v>
      </c>
      <c r="J211" s="91">
        <v>-4.8549898385678962E-2</v>
      </c>
      <c r="K211" s="80">
        <f t="shared" si="14"/>
        <v>21.503387066351674</v>
      </c>
      <c r="M211" s="80"/>
      <c r="AP211" s="21"/>
      <c r="AQ211" s="21"/>
      <c r="AR211" s="21"/>
      <c r="AS211" s="21"/>
    </row>
    <row r="212" spans="1:45" x14ac:dyDescent="0.15">
      <c r="A212" s="75">
        <v>40817</v>
      </c>
      <c r="B212" s="76">
        <f t="shared" si="13"/>
        <v>2011</v>
      </c>
      <c r="C212" s="77">
        <v>3.2124999999999999</v>
      </c>
      <c r="D212" s="78">
        <f>IF(GasSwitch=0,VLOOKUP($A212,[5]!GasCurve,4),VLOOKUP($A212,[5]!AecoCurve,5))</f>
        <v>3.1735000000000002</v>
      </c>
      <c r="E212" s="91">
        <v>5.4281686339588041E-2</v>
      </c>
      <c r="F212" s="80">
        <f t="shared" si="15"/>
        <v>3.2293880184809929</v>
      </c>
      <c r="G212" s="80"/>
      <c r="H212" s="81">
        <v>21.59</v>
      </c>
      <c r="I212" s="78">
        <f>IF(OilSwitch=0,VLOOKUP($A212,[5]!OilCurve,4),VLOOKUP($A212,[5]!BrentCurve,4))</f>
        <v>22.48</v>
      </c>
      <c r="J212" s="91">
        <v>-2.4070875290133722E-3</v>
      </c>
      <c r="K212" s="80">
        <f t="shared" si="14"/>
        <v>21.553006353134581</v>
      </c>
      <c r="M212" s="80"/>
      <c r="AP212" s="21"/>
      <c r="AQ212" s="21"/>
      <c r="AR212" s="21"/>
      <c r="AS212" s="21"/>
    </row>
    <row r="213" spans="1:45" x14ac:dyDescent="0.15">
      <c r="A213" s="75">
        <v>40848</v>
      </c>
      <c r="B213" s="76">
        <f t="shared" si="13"/>
        <v>2011</v>
      </c>
      <c r="C213" s="77">
        <v>3.3475000000000001</v>
      </c>
      <c r="D213" s="78">
        <f>IF(GasSwitch=0,VLOOKUP($A213,[5]!GasCurve,4),VLOOKUP($A213,[5]!AecoCurve,5))</f>
        <v>3.2694999999999999</v>
      </c>
      <c r="E213" s="91">
        <v>1.4219066153858319E-2</v>
      </c>
      <c r="F213" s="80">
        <f t="shared" si="15"/>
        <v>3.3656738775562554</v>
      </c>
      <c r="G213" s="80"/>
      <c r="H213" s="81">
        <v>21.64</v>
      </c>
      <c r="I213" s="78">
        <f>IF(OilSwitch=0,VLOOKUP($A213,[5]!OilCurve,4),VLOOKUP($A213,[5]!BrentCurve,4))</f>
        <v>22.53</v>
      </c>
      <c r="J213" s="91">
        <v>5.3272925460528628E-2</v>
      </c>
      <c r="K213" s="80">
        <f t="shared" si="14"/>
        <v>21.695314872140575</v>
      </c>
      <c r="M213" s="80"/>
      <c r="AP213" s="21"/>
      <c r="AQ213" s="21"/>
      <c r="AR213" s="21"/>
      <c r="AS213" s="21"/>
    </row>
    <row r="214" spans="1:45" x14ac:dyDescent="0.15">
      <c r="A214" s="75">
        <v>40878</v>
      </c>
      <c r="B214" s="76">
        <f t="shared" si="13"/>
        <v>2011</v>
      </c>
      <c r="C214" s="77">
        <v>3.4715000000000003</v>
      </c>
      <c r="D214" s="78">
        <f>IF(GasSwitch=0,VLOOKUP($A214,[5]!GasCurve,4),VLOOKUP($A214,[5]!AecoCurve,5))</f>
        <v>3.3715000000000006</v>
      </c>
      <c r="E214" s="91">
        <v>-4.467181208132818E-3</v>
      </c>
      <c r="F214" s="80">
        <f t="shared" si="15"/>
        <v>3.479867784983786</v>
      </c>
      <c r="G214" s="80"/>
      <c r="H214" s="81">
        <v>21.69</v>
      </c>
      <c r="I214" s="78">
        <f>IF(OilSwitch=0,VLOOKUP($A214,[5]!OilCurve,4),VLOOKUP($A214,[5]!BrentCurve,4))</f>
        <v>22.58</v>
      </c>
      <c r="J214" s="91">
        <v>-3.8115626247335305E-2</v>
      </c>
      <c r="K214" s="80">
        <f t="shared" si="14"/>
        <v>21.676414297723092</v>
      </c>
      <c r="M214" s="80"/>
      <c r="AP214" s="21"/>
      <c r="AQ214" s="21"/>
      <c r="AR214" s="21"/>
      <c r="AS214" s="21"/>
    </row>
    <row r="215" spans="1:45" x14ac:dyDescent="0.15">
      <c r="A215" s="75">
        <v>40909</v>
      </c>
      <c r="B215" s="84">
        <f t="shared" ref="B215:B278" si="16">YEAR(A215)</f>
        <v>2012</v>
      </c>
      <c r="C215" s="85">
        <v>3.5550000000000002</v>
      </c>
      <c r="D215" s="78">
        <f>IF(GasSwitch=0,VLOOKUP($A215,[5]!GasCurve,4),VLOOKUP($A215,[5]!AecoCurve,5))</f>
        <v>3.4180000000000001</v>
      </c>
      <c r="E215" s="91">
        <v>8.9320402970275298E-3</v>
      </c>
      <c r="F215" s="80">
        <f t="shared" si="15"/>
        <v>3.5652593291239429</v>
      </c>
      <c r="G215" s="88"/>
      <c r="H215" s="89">
        <v>21.74</v>
      </c>
      <c r="I215" s="78">
        <f>IF(OilSwitch=0,VLOOKUP($A215,[5]!OilCurve,4),VLOOKUP($A215,[5]!BrentCurve,4))</f>
        <v>22.63</v>
      </c>
      <c r="J215" s="92">
        <v>-4.3704526176768656E-2</v>
      </c>
      <c r="K215" s="87">
        <f t="shared" si="14"/>
        <v>21.655034950690361</v>
      </c>
      <c r="M215" s="80"/>
      <c r="AP215" s="21"/>
      <c r="AQ215" s="21"/>
      <c r="AR215" s="21"/>
      <c r="AS215" s="21"/>
    </row>
    <row r="216" spans="1:45" x14ac:dyDescent="0.15">
      <c r="A216" s="75">
        <v>40940</v>
      </c>
      <c r="B216" s="76">
        <f t="shared" si="16"/>
        <v>2012</v>
      </c>
      <c r="C216" s="77">
        <v>3.4369999999999998</v>
      </c>
      <c r="D216" s="78">
        <f>IF(GasSwitch=0,VLOOKUP($A216,[5]!GasCurve,4),VLOOKUP($A216,[5]!AecoCurve,5))</f>
        <v>3.3410000000000002</v>
      </c>
      <c r="E216" s="91">
        <v>7.9822390064628514E-3</v>
      </c>
      <c r="F216" s="80">
        <f t="shared" si="15"/>
        <v>3.4478991297872104</v>
      </c>
      <c r="G216" s="80"/>
      <c r="H216" s="81">
        <v>21.79</v>
      </c>
      <c r="I216" s="78">
        <f>IF(OilSwitch=0,VLOOKUP($A216,[5]!OilCurve,4),VLOOKUP($A216,[5]!BrentCurve,4))</f>
        <v>22.68</v>
      </c>
      <c r="J216" s="91">
        <v>-3.3193076570367089E-2</v>
      </c>
      <c r="K216" s="80">
        <f t="shared" si="14"/>
        <v>21.658213211158923</v>
      </c>
      <c r="M216" s="80"/>
      <c r="AP216" s="21"/>
      <c r="AQ216" s="21"/>
      <c r="AR216" s="21"/>
      <c r="AS216" s="21"/>
    </row>
    <row r="217" spans="1:45" x14ac:dyDescent="0.15">
      <c r="A217" s="75">
        <v>40969</v>
      </c>
      <c r="B217" s="76">
        <f t="shared" si="16"/>
        <v>2012</v>
      </c>
      <c r="C217" s="77">
        <v>3.3170000000000002</v>
      </c>
      <c r="D217" s="78">
        <f>IF(GasSwitch=0,VLOOKUP($A217,[5]!GasCurve,4),VLOOKUP($A217,[5]!AecoCurve,5))</f>
        <v>3.2530000000000001</v>
      </c>
      <c r="E217" s="91">
        <v>-1.8193887055536075E-2</v>
      </c>
      <c r="F217" s="80">
        <f t="shared" si="15"/>
        <v>3.312968014673809</v>
      </c>
      <c r="G217" s="80"/>
      <c r="H217" s="81">
        <v>21.84</v>
      </c>
      <c r="I217" s="78">
        <f>IF(OilSwitch=0,VLOOKUP($A217,[5]!OilCurve,4),VLOOKUP($A217,[5]!BrentCurve,4))</f>
        <v>22.73</v>
      </c>
      <c r="J217" s="91">
        <v>7.2704146750342299E-2</v>
      </c>
      <c r="K217" s="80">
        <f t="shared" si="14"/>
        <v>21.842239803446759</v>
      </c>
      <c r="M217" s="80"/>
      <c r="AP217" s="21"/>
      <c r="AQ217" s="21"/>
      <c r="AR217" s="21"/>
      <c r="AS217" s="21"/>
    </row>
    <row r="218" spans="1:45" x14ac:dyDescent="0.15">
      <c r="A218" s="75">
        <v>41000</v>
      </c>
      <c r="B218" s="76">
        <f t="shared" si="16"/>
        <v>2012</v>
      </c>
      <c r="C218" s="77">
        <v>3.2675000000000001</v>
      </c>
      <c r="D218" s="78">
        <f>IF(GasSwitch=0,VLOOKUP($A218,[5]!GasCurve,4),VLOOKUP($A218,[5]!AecoCurve,5))</f>
        <v>3.18</v>
      </c>
      <c r="E218" s="91">
        <v>-9.6239449454121381E-3</v>
      </c>
      <c r="F218" s="80">
        <f t="shared" si="15"/>
        <v>3.2595819461699427</v>
      </c>
      <c r="G218" s="80"/>
      <c r="H218" s="81">
        <v>21.89</v>
      </c>
      <c r="I218" s="78">
        <f>IF(OilSwitch=0,VLOOKUP($A218,[5]!OilCurve,4),VLOOKUP($A218,[5]!BrentCurve,4))</f>
        <v>22.78</v>
      </c>
      <c r="J218" s="91">
        <v>-2.1961305107410508E-2</v>
      </c>
      <c r="K218" s="80">
        <f t="shared" si="14"/>
        <v>21.855474451206796</v>
      </c>
      <c r="M218" s="80"/>
      <c r="AP218" s="21"/>
      <c r="AQ218" s="21"/>
      <c r="AR218" s="21"/>
      <c r="AS218" s="21"/>
    </row>
    <row r="219" spans="1:45" x14ac:dyDescent="0.15">
      <c r="A219" s="75">
        <v>41030</v>
      </c>
      <c r="B219" s="76">
        <f t="shared" si="16"/>
        <v>2012</v>
      </c>
      <c r="C219" s="77">
        <v>3.2415000000000003</v>
      </c>
      <c r="D219" s="78">
        <f>IF(GasSwitch=0,VLOOKUP($A219,[5]!GasCurve,4),VLOOKUP($A219,[5]!AecoCurve,5))</f>
        <v>3.1890000000000005</v>
      </c>
      <c r="E219" s="91">
        <v>-1.1811852120740315E-2</v>
      </c>
      <c r="F219" s="80">
        <f t="shared" si="15"/>
        <v>3.2300493751032859</v>
      </c>
      <c r="G219" s="80"/>
      <c r="H219" s="81">
        <v>21.94</v>
      </c>
      <c r="I219" s="78">
        <f>IF(OilSwitch=0,VLOOKUP($A219,[5]!OilCurve,4),VLOOKUP($A219,[5]!BrentCurve,4))</f>
        <v>22.83</v>
      </c>
      <c r="J219" s="91">
        <v>3.8472782464977845E-2</v>
      </c>
      <c r="K219" s="80">
        <f t="shared" si="14"/>
        <v>21.972911190559046</v>
      </c>
      <c r="M219" s="80"/>
      <c r="AP219" s="21"/>
      <c r="AQ219" s="21"/>
      <c r="AR219" s="21"/>
      <c r="AS219" s="21"/>
    </row>
    <row r="220" spans="1:45" x14ac:dyDescent="0.15">
      <c r="A220" s="75">
        <v>41061</v>
      </c>
      <c r="B220" s="76">
        <f t="shared" si="16"/>
        <v>2012</v>
      </c>
      <c r="C220" s="77">
        <v>3.2475000000000001</v>
      </c>
      <c r="D220" s="78">
        <f>IF(GasSwitch=0,VLOOKUP($A220,[5]!GasCurve,4),VLOOKUP($A220,[5]!AecoCurve,5))</f>
        <v>3.2069999999999999</v>
      </c>
      <c r="E220" s="91">
        <v>-2.9062521130855123E-2</v>
      </c>
      <c r="F220" s="80">
        <f t="shared" si="15"/>
        <v>3.2242342362792669</v>
      </c>
      <c r="G220" s="80"/>
      <c r="H220" s="81">
        <v>21.99</v>
      </c>
      <c r="I220" s="78">
        <f>IF(OilSwitch=0,VLOOKUP($A220,[5]!OilCurve,4),VLOOKUP($A220,[5]!BrentCurve,4))</f>
        <v>22.88</v>
      </c>
      <c r="J220" s="91">
        <v>-2.90695666954181E-2</v>
      </c>
      <c r="K220" s="80">
        <f t="shared" si="14"/>
        <v>21.97128122371252</v>
      </c>
      <c r="M220" s="80"/>
      <c r="AP220" s="21"/>
      <c r="AQ220" s="21"/>
      <c r="AR220" s="21"/>
      <c r="AS220" s="21"/>
    </row>
    <row r="221" spans="1:45" x14ac:dyDescent="0.15">
      <c r="A221" s="75">
        <v>41091</v>
      </c>
      <c r="B221" s="76">
        <f t="shared" si="16"/>
        <v>2012</v>
      </c>
      <c r="C221" s="77">
        <v>3.2574999999999998</v>
      </c>
      <c r="D221" s="78">
        <f>IF(GasSwitch=0,VLOOKUP($A221,[5]!GasCurve,4),VLOOKUP($A221,[5]!AecoCurve,5))</f>
        <v>3.218</v>
      </c>
      <c r="E221" s="91">
        <v>-3.3063510686134667E-2</v>
      </c>
      <c r="F221" s="80">
        <f t="shared" si="15"/>
        <v>3.2248863737285993</v>
      </c>
      <c r="G221" s="80"/>
      <c r="H221" s="81">
        <v>22.04</v>
      </c>
      <c r="I221" s="78">
        <f>IF(OilSwitch=0,VLOOKUP($A221,[5]!OilCurve,4),VLOOKUP($A221,[5]!BrentCurve,4))</f>
        <v>22.93</v>
      </c>
      <c r="J221" s="91">
        <v>3.4025425546433097E-3</v>
      </c>
      <c r="K221" s="80">
        <f t="shared" si="14"/>
        <v>22.028796213375905</v>
      </c>
      <c r="M221" s="80"/>
      <c r="AP221" s="21"/>
      <c r="AQ221" s="21"/>
      <c r="AR221" s="21"/>
      <c r="AS221" s="21"/>
    </row>
    <row r="222" spans="1:45" x14ac:dyDescent="0.15">
      <c r="A222" s="75">
        <v>41122</v>
      </c>
      <c r="B222" s="76">
        <f t="shared" si="16"/>
        <v>2012</v>
      </c>
      <c r="C222" s="77">
        <v>3.2645</v>
      </c>
      <c r="D222" s="78">
        <f>IF(GasSwitch=0,VLOOKUP($A222,[5]!GasCurve,4),VLOOKUP($A222,[5]!AecoCurve,5))</f>
        <v>3.2269999999999999</v>
      </c>
      <c r="E222" s="91">
        <v>5.0856633782642303E-2</v>
      </c>
      <c r="F222" s="80">
        <f t="shared" si="15"/>
        <v>3.2735045052113052</v>
      </c>
      <c r="G222" s="80"/>
      <c r="H222" s="81">
        <v>22.09</v>
      </c>
      <c r="I222" s="78">
        <f>IF(OilSwitch=0,VLOOKUP($A222,[5]!OilCurve,4),VLOOKUP($A222,[5]!BrentCurve,4))</f>
        <v>22.98</v>
      </c>
      <c r="J222" s="91">
        <v>4.0720846797662816E-3</v>
      </c>
      <c r="K222" s="80">
        <f t="shared" si="14"/>
        <v>22.086681337158819</v>
      </c>
      <c r="M222" s="80"/>
      <c r="AP222" s="21"/>
      <c r="AQ222" s="21"/>
      <c r="AR222" s="21"/>
      <c r="AS222" s="21"/>
    </row>
    <row r="223" spans="1:45" x14ac:dyDescent="0.15">
      <c r="A223" s="75">
        <v>41153</v>
      </c>
      <c r="B223" s="76">
        <f t="shared" si="16"/>
        <v>2012</v>
      </c>
      <c r="C223" s="77">
        <v>3.2715000000000005</v>
      </c>
      <c r="D223" s="78">
        <f>IF(GasSwitch=0,VLOOKUP($A223,[5]!GasCurve,4),VLOOKUP($A223,[5]!AecoCurve,5))</f>
        <v>3.2250000000000001</v>
      </c>
      <c r="E223" s="91">
        <v>1.3352724276348249E-3</v>
      </c>
      <c r="F223" s="80">
        <f t="shared" si="15"/>
        <v>3.277676291350029</v>
      </c>
      <c r="G223" s="80"/>
      <c r="H223" s="81">
        <v>22.14</v>
      </c>
      <c r="I223" s="78">
        <f>IF(OilSwitch=0,VLOOKUP($A223,[5]!OilCurve,4),VLOOKUP($A223,[5]!BrentCurve,4))</f>
        <v>23.03</v>
      </c>
      <c r="J223" s="91">
        <v>6.0838896453741711E-3</v>
      </c>
      <c r="K223" s="80">
        <f t="shared" si="14"/>
        <v>22.14713347715</v>
      </c>
      <c r="M223" s="80"/>
      <c r="AP223" s="21"/>
      <c r="AQ223" s="21"/>
      <c r="AR223" s="21"/>
      <c r="AS223" s="21"/>
    </row>
    <row r="224" spans="1:45" x14ac:dyDescent="0.15">
      <c r="A224" s="75">
        <v>41183</v>
      </c>
      <c r="B224" s="76">
        <f t="shared" si="16"/>
        <v>2012</v>
      </c>
      <c r="C224" s="77">
        <v>3.2974999999999999</v>
      </c>
      <c r="D224" s="78">
        <f>IF(GasSwitch=0,VLOOKUP($A224,[5]!GasCurve,4),VLOOKUP($A224,[5]!AecoCurve,5))</f>
        <v>3.2430000000000003</v>
      </c>
      <c r="E224" s="91">
        <v>-2.2824277593431232E-2</v>
      </c>
      <c r="F224" s="80">
        <f t="shared" si="15"/>
        <v>3.288262482803602</v>
      </c>
      <c r="G224" s="80"/>
      <c r="H224" s="81">
        <v>22.19</v>
      </c>
      <c r="I224" s="78">
        <f>IF(OilSwitch=0,VLOOKUP($A224,[5]!OilCurve,4),VLOOKUP($A224,[5]!BrentCurve,4))</f>
        <v>23.08</v>
      </c>
      <c r="J224" s="91">
        <v>1.8849813321815803E-2</v>
      </c>
      <c r="K224" s="80">
        <f t="shared" si="14"/>
        <v>22.227793352279651</v>
      </c>
      <c r="M224" s="80"/>
      <c r="AP224" s="21"/>
      <c r="AQ224" s="21"/>
      <c r="AR224" s="21"/>
      <c r="AS224" s="21"/>
    </row>
    <row r="225" spans="1:45" x14ac:dyDescent="0.15">
      <c r="A225" s="75">
        <v>41214</v>
      </c>
      <c r="B225" s="76">
        <f t="shared" si="16"/>
        <v>2012</v>
      </c>
      <c r="C225" s="77">
        <v>3.4325000000000001</v>
      </c>
      <c r="D225" s="78">
        <f>IF(GasSwitch=0,VLOOKUP($A225,[5]!GasCurve,4),VLOOKUP($A225,[5]!AecoCurve,5))</f>
        <v>3.3340000000000005</v>
      </c>
      <c r="E225" s="91">
        <v>6.6961054998409576E-3</v>
      </c>
      <c r="F225" s="80">
        <f t="shared" si="15"/>
        <v>3.4307475132353829</v>
      </c>
      <c r="G225" s="80"/>
      <c r="H225" s="81">
        <v>22.24</v>
      </c>
      <c r="I225" s="78">
        <f>IF(OilSwitch=0,VLOOKUP($A225,[5]!OilCurve,4),VLOOKUP($A225,[5]!BrentCurve,4))</f>
        <v>23.13</v>
      </c>
      <c r="J225" s="91">
        <v>3.4718157315234824E-2</v>
      </c>
      <c r="K225" s="80">
        <f t="shared" ref="K225:K286" si="17">IF(shiftswitch2=1,K224+$D$9*(I225-K224)+($E$9*(K224^$F$9)*J225)+(1-$D$9)*(I225-I224),K224+$D$11*(H225-K224)+($E$11*(K224^$F$11)*J225)+(1-$D$11)*(H225-H224))</f>
        <v>22.331822824176513</v>
      </c>
      <c r="M225" s="80"/>
      <c r="AP225" s="21"/>
      <c r="AQ225" s="21"/>
      <c r="AR225" s="21"/>
      <c r="AS225" s="21"/>
    </row>
    <row r="226" spans="1:45" x14ac:dyDescent="0.15">
      <c r="A226" s="75">
        <v>41244</v>
      </c>
      <c r="B226" s="76">
        <f t="shared" si="16"/>
        <v>2012</v>
      </c>
      <c r="C226" s="77">
        <v>3.5565000000000002</v>
      </c>
      <c r="D226" s="78">
        <f>IF(GasSwitch=0,VLOOKUP($A226,[5]!GasCurve,4),VLOOKUP($A226,[5]!AecoCurve,5))</f>
        <v>3.4330000000000003</v>
      </c>
      <c r="E226" s="91">
        <v>4.3069486072174071E-3</v>
      </c>
      <c r="F226" s="80">
        <f t="shared" si="15"/>
        <v>3.5579462839093887</v>
      </c>
      <c r="G226" s="80"/>
      <c r="H226" s="81">
        <v>22.29</v>
      </c>
      <c r="I226" s="78">
        <f>IF(OilSwitch=0,VLOOKUP($A226,[5]!OilCurve,4),VLOOKUP($A226,[5]!BrentCurve,4))</f>
        <v>23.18</v>
      </c>
      <c r="J226" s="91">
        <v>-8.5403787310915663E-2</v>
      </c>
      <c r="K226" s="80">
        <f t="shared" si="17"/>
        <v>22.230620462497672</v>
      </c>
      <c r="M226" s="80"/>
      <c r="AP226" s="21"/>
      <c r="AQ226" s="21"/>
      <c r="AR226" s="21"/>
      <c r="AS226" s="21"/>
    </row>
    <row r="227" spans="1:45" x14ac:dyDescent="0.15">
      <c r="A227" s="75">
        <v>41275</v>
      </c>
      <c r="B227" s="84">
        <f t="shared" si="16"/>
        <v>2013</v>
      </c>
      <c r="C227" s="85">
        <v>3.645</v>
      </c>
      <c r="D227" s="78">
        <f>IF(GasSwitch=0,VLOOKUP($A227,[5]!GasCurve,4),VLOOKUP($A227,[5]!AecoCurve,5))</f>
        <v>3.4775</v>
      </c>
      <c r="E227" s="91">
        <v>-4.6375355912788591E-3</v>
      </c>
      <c r="F227" s="80">
        <f t="shared" si="15"/>
        <v>3.6431280134755566</v>
      </c>
      <c r="G227" s="88"/>
      <c r="H227" s="89">
        <v>22.340000000000106</v>
      </c>
      <c r="I227" s="78">
        <f>IF(OilSwitch=0,VLOOKUP($A227,[5]!OilCurve,4),VLOOKUP($A227,[5]!BrentCurve,4))</f>
        <v>23.230000000000103</v>
      </c>
      <c r="J227" s="92">
        <v>3.3661084361411857E-3</v>
      </c>
      <c r="K227" s="87">
        <f t="shared" si="17"/>
        <v>22.292100241148248</v>
      </c>
      <c r="M227" s="80"/>
      <c r="AP227" s="21"/>
      <c r="AQ227" s="21"/>
      <c r="AR227" s="21"/>
      <c r="AS227" s="21"/>
    </row>
    <row r="228" spans="1:45" x14ac:dyDescent="0.15">
      <c r="A228" s="75">
        <v>41306</v>
      </c>
      <c r="B228" s="76">
        <f t="shared" si="16"/>
        <v>2013</v>
      </c>
      <c r="C228" s="77">
        <v>3.5270000000000001</v>
      </c>
      <c r="D228" s="78">
        <f>IF(GasSwitch=0,VLOOKUP($A228,[5]!GasCurve,4),VLOOKUP($A228,[5]!AecoCurve,5))</f>
        <v>3.4045000000000001</v>
      </c>
      <c r="E228" s="91">
        <v>2.6716347813627871E-2</v>
      </c>
      <c r="F228" s="80">
        <f t="shared" si="15"/>
        <v>3.5418598817449172</v>
      </c>
      <c r="G228" s="80"/>
      <c r="H228" s="81">
        <v>22.390000000000104</v>
      </c>
      <c r="I228" s="78">
        <f>IF(OilSwitch=0,VLOOKUP($A228,[5]!OilCurve,4),VLOOKUP($A228,[5]!BrentCurve,4))</f>
        <v>23.280000000000104</v>
      </c>
      <c r="J228" s="91">
        <v>-1.0100013101195357E-2</v>
      </c>
      <c r="K228" s="80">
        <f t="shared" si="17"/>
        <v>22.33003589547419</v>
      </c>
      <c r="M228" s="80"/>
      <c r="AP228" s="21"/>
      <c r="AQ228" s="21"/>
      <c r="AR228" s="21"/>
      <c r="AS228" s="21"/>
    </row>
    <row r="229" spans="1:45" x14ac:dyDescent="0.15">
      <c r="A229" s="75">
        <v>41334</v>
      </c>
      <c r="B229" s="76">
        <f t="shared" si="16"/>
        <v>2013</v>
      </c>
      <c r="C229" s="77">
        <v>3.407</v>
      </c>
      <c r="D229" s="78">
        <f>IF(GasSwitch=0,VLOOKUP($A229,[5]!GasCurve,4),VLOOKUP($A229,[5]!AecoCurve,5))</f>
        <v>3.3195000000000001</v>
      </c>
      <c r="E229" s="91">
        <v>2.1366893933499088E-2</v>
      </c>
      <c r="F229" s="80">
        <f t="shared" si="15"/>
        <v>3.42854917971593</v>
      </c>
      <c r="G229" s="80"/>
      <c r="H229" s="81">
        <v>22.440000000000104</v>
      </c>
      <c r="I229" s="78">
        <f>IF(OilSwitch=0,VLOOKUP($A229,[5]!OilCurve,4),VLOOKUP($A229,[5]!BrentCurve,4))</f>
        <v>23.330000000000105</v>
      </c>
      <c r="J229" s="91">
        <v>3.7707105666291646E-3</v>
      </c>
      <c r="K229" s="80">
        <f t="shared" si="17"/>
        <v>22.392246804205126</v>
      </c>
      <c r="M229" s="80"/>
      <c r="AP229" s="21"/>
      <c r="AQ229" s="21"/>
      <c r="AR229" s="21"/>
      <c r="AS229" s="21"/>
    </row>
    <row r="230" spans="1:45" x14ac:dyDescent="0.15">
      <c r="A230" s="75">
        <v>41365</v>
      </c>
      <c r="B230" s="76">
        <f t="shared" si="16"/>
        <v>2013</v>
      </c>
      <c r="C230" s="77">
        <v>3.3574999999999999</v>
      </c>
      <c r="D230" s="78">
        <f>IF(GasSwitch=0,VLOOKUP($A230,[5]!GasCurve,4),VLOOKUP($A230,[5]!AecoCurve,5))</f>
        <v>3.2494999999999998</v>
      </c>
      <c r="E230" s="91">
        <v>-3.1886875131246384E-2</v>
      </c>
      <c r="F230" s="80">
        <f t="shared" si="15"/>
        <v>3.3519583696941213</v>
      </c>
      <c r="G230" s="80"/>
      <c r="H230" s="81">
        <v>22.490000000000105</v>
      </c>
      <c r="I230" s="78">
        <f>IF(OilSwitch=0,VLOOKUP($A230,[5]!OilCurve,4),VLOOKUP($A230,[5]!BrentCurve,4))</f>
        <v>23.380000000000106</v>
      </c>
      <c r="J230" s="91">
        <v>-7.5122156634799181E-2</v>
      </c>
      <c r="K230" s="80">
        <f t="shared" si="17"/>
        <v>22.321971101948524</v>
      </c>
      <c r="M230" s="80"/>
      <c r="AP230" s="21"/>
      <c r="AQ230" s="21"/>
      <c r="AR230" s="21"/>
      <c r="AS230" s="21"/>
    </row>
    <row r="231" spans="1:45" x14ac:dyDescent="0.15">
      <c r="A231" s="75">
        <v>41395</v>
      </c>
      <c r="B231" s="76">
        <f t="shared" si="16"/>
        <v>2013</v>
      </c>
      <c r="C231" s="77">
        <v>3.3315000000000006</v>
      </c>
      <c r="D231" s="78">
        <f>IF(GasSwitch=0,VLOOKUP($A231,[5]!GasCurve,4),VLOOKUP($A231,[5]!AecoCurve,5))</f>
        <v>3.2595000000000001</v>
      </c>
      <c r="E231" s="91">
        <v>-2.5232873885767029E-3</v>
      </c>
      <c r="F231" s="80">
        <f t="shared" si="15"/>
        <v>3.3267167634237027</v>
      </c>
      <c r="G231" s="80"/>
      <c r="H231" s="81">
        <v>22.540000000000106</v>
      </c>
      <c r="I231" s="78">
        <f>IF(OilSwitch=0,VLOOKUP($A231,[5]!OilCurve,4),VLOOKUP($A231,[5]!BrentCurve,4))</f>
        <v>23.430000000000106</v>
      </c>
      <c r="J231" s="91">
        <v>6.9527210567587793E-3</v>
      </c>
      <c r="K231" s="80">
        <f t="shared" si="17"/>
        <v>22.400175290694079</v>
      </c>
      <c r="M231" s="80"/>
      <c r="AP231" s="21"/>
      <c r="AQ231" s="21"/>
      <c r="AR231" s="21"/>
      <c r="AS231" s="21"/>
    </row>
    <row r="232" spans="1:45" x14ac:dyDescent="0.15">
      <c r="A232" s="75">
        <v>41426</v>
      </c>
      <c r="B232" s="76">
        <f t="shared" si="16"/>
        <v>2013</v>
      </c>
      <c r="C232" s="77">
        <v>3.3374999999999999</v>
      </c>
      <c r="D232" s="78">
        <f>IF(GasSwitch=0,VLOOKUP($A232,[5]!GasCurve,4),VLOOKUP($A232,[5]!AecoCurve,5))</f>
        <v>3.2785000000000002</v>
      </c>
      <c r="E232" s="91">
        <v>2.5387236576163433E-2</v>
      </c>
      <c r="F232" s="80">
        <f t="shared" si="15"/>
        <v>3.3491379138048005</v>
      </c>
      <c r="G232" s="80"/>
      <c r="H232" s="81">
        <v>22.590000000000106</v>
      </c>
      <c r="I232" s="78">
        <f>IF(OilSwitch=0,VLOOKUP($A232,[5]!OilCurve,4),VLOOKUP($A232,[5]!BrentCurve,4))</f>
        <v>23.480000000000103</v>
      </c>
      <c r="J232" s="91">
        <v>-6.4648961846265202E-2</v>
      </c>
      <c r="K232" s="80">
        <f t="shared" si="17"/>
        <v>22.35644206440319</v>
      </c>
      <c r="M232" s="80"/>
      <c r="AP232" s="21"/>
      <c r="AQ232" s="21"/>
      <c r="AR232" s="21"/>
      <c r="AS232" s="21"/>
    </row>
    <row r="233" spans="1:45" x14ac:dyDescent="0.15">
      <c r="A233" s="75">
        <v>41456</v>
      </c>
      <c r="B233" s="76">
        <f t="shared" si="16"/>
        <v>2013</v>
      </c>
      <c r="C233" s="77">
        <v>3.3475000000000001</v>
      </c>
      <c r="D233" s="78">
        <f>IF(GasSwitch=0,VLOOKUP($A233,[5]!GasCurve,4),VLOOKUP($A233,[5]!AecoCurve,5))</f>
        <v>3.2894999999999999</v>
      </c>
      <c r="E233" s="91">
        <v>-9.7264832501274632E-3</v>
      </c>
      <c r="F233" s="80">
        <f t="shared" si="15"/>
        <v>3.3489233662453213</v>
      </c>
      <c r="G233" s="80"/>
      <c r="H233" s="81">
        <v>22.640000000000104</v>
      </c>
      <c r="I233" s="78">
        <f>IF(OilSwitch=0,VLOOKUP($A233,[5]!OilCurve,4),VLOOKUP($A233,[5]!BrentCurve,4))</f>
        <v>23.530000000000104</v>
      </c>
      <c r="J233" s="91">
        <v>-3.6233955430472253E-2</v>
      </c>
      <c r="K233" s="80">
        <f t="shared" si="17"/>
        <v>22.369270998190974</v>
      </c>
      <c r="M233" s="80"/>
      <c r="AP233" s="21"/>
      <c r="AQ233" s="21"/>
      <c r="AR233" s="21"/>
      <c r="AS233" s="21"/>
    </row>
    <row r="234" spans="1:45" x14ac:dyDescent="0.15">
      <c r="A234" s="75">
        <v>41487</v>
      </c>
      <c r="B234" s="76">
        <f t="shared" si="16"/>
        <v>2013</v>
      </c>
      <c r="C234" s="77">
        <v>3.3544999999999998</v>
      </c>
      <c r="D234" s="78">
        <f>IF(GasSwitch=0,VLOOKUP($A234,[5]!GasCurve,4),VLOOKUP($A234,[5]!AecoCurve,5))</f>
        <v>3.2985000000000002</v>
      </c>
      <c r="E234" s="91">
        <v>-1.8878477879328573E-2</v>
      </c>
      <c r="F234" s="80">
        <f t="shared" si="15"/>
        <v>3.3445258668703541</v>
      </c>
      <c r="G234" s="80"/>
      <c r="H234" s="81">
        <v>22.690000000000104</v>
      </c>
      <c r="I234" s="78">
        <f>IF(OilSwitch=0,VLOOKUP($A234,[5]!OilCurve,4),VLOOKUP($A234,[5]!BrentCurve,4))</f>
        <v>23.580000000000105</v>
      </c>
      <c r="J234" s="91">
        <v>1.4143159531810947E-2</v>
      </c>
      <c r="K234" s="80">
        <f t="shared" si="17"/>
        <v>22.469607386831012</v>
      </c>
      <c r="M234" s="80"/>
      <c r="AP234" s="21"/>
      <c r="AQ234" s="21"/>
      <c r="AR234" s="21"/>
      <c r="AS234" s="21"/>
    </row>
    <row r="235" spans="1:45" x14ac:dyDescent="0.15">
      <c r="A235" s="75">
        <v>41518</v>
      </c>
      <c r="B235" s="76">
        <f t="shared" si="16"/>
        <v>2013</v>
      </c>
      <c r="C235" s="77">
        <v>3.3615000000000004</v>
      </c>
      <c r="D235" s="78">
        <f>IF(GasSwitch=0,VLOOKUP($A235,[5]!GasCurve,4),VLOOKUP($A235,[5]!AecoCurve,5))</f>
        <v>3.2955000000000001</v>
      </c>
      <c r="E235" s="91">
        <v>-1.4371333524146726E-2</v>
      </c>
      <c r="F235" s="80">
        <f t="shared" si="15"/>
        <v>3.3472580470442703</v>
      </c>
      <c r="G235" s="80"/>
      <c r="H235" s="81">
        <v>22.740000000000105</v>
      </c>
      <c r="I235" s="78">
        <f>IF(OilSwitch=0,VLOOKUP($A235,[5]!OilCurve,4),VLOOKUP($A235,[5]!BrentCurve,4))</f>
        <v>23.630000000000106</v>
      </c>
      <c r="J235" s="91">
        <v>-2.0427711223065376E-2</v>
      </c>
      <c r="K235" s="80">
        <f t="shared" si="17"/>
        <v>22.507434544059571</v>
      </c>
      <c r="M235" s="80"/>
      <c r="AP235" s="21"/>
      <c r="AQ235" s="21"/>
      <c r="AR235" s="21"/>
      <c r="AS235" s="21"/>
    </row>
    <row r="236" spans="1:45" x14ac:dyDescent="0.15">
      <c r="A236" s="75">
        <v>41548</v>
      </c>
      <c r="B236" s="76">
        <f t="shared" si="16"/>
        <v>2013</v>
      </c>
      <c r="C236" s="77">
        <v>3.3875000000000002</v>
      </c>
      <c r="D236" s="78">
        <f>IF(GasSwitch=0,VLOOKUP($A236,[5]!GasCurve,4),VLOOKUP($A236,[5]!AecoCurve,5))</f>
        <v>3.3125</v>
      </c>
      <c r="E236" s="91">
        <v>-5.1491993764508567E-2</v>
      </c>
      <c r="F236" s="80">
        <f t="shared" si="15"/>
        <v>3.3493952212890741</v>
      </c>
      <c r="G236" s="80"/>
      <c r="H236" s="81">
        <v>22.790000000000106</v>
      </c>
      <c r="I236" s="78">
        <f>IF(OilSwitch=0,VLOOKUP($A236,[5]!OilCurve,4),VLOOKUP($A236,[5]!BrentCurve,4))</f>
        <v>23.680000000000106</v>
      </c>
      <c r="J236" s="91">
        <v>-9.4791200297049232E-4</v>
      </c>
      <c r="K236" s="80">
        <f t="shared" si="17"/>
        <v>22.578881198624742</v>
      </c>
      <c r="M236" s="80"/>
      <c r="AP236" s="21"/>
      <c r="AQ236" s="21"/>
      <c r="AR236" s="21"/>
      <c r="AS236" s="21"/>
    </row>
    <row r="237" spans="1:45" x14ac:dyDescent="0.15">
      <c r="A237" s="75">
        <v>41579</v>
      </c>
      <c r="B237" s="76">
        <f t="shared" si="16"/>
        <v>2013</v>
      </c>
      <c r="C237" s="77">
        <v>3.5225</v>
      </c>
      <c r="D237" s="78">
        <f>IF(GasSwitch=0,VLOOKUP($A237,[5]!GasCurve,4),VLOOKUP($A237,[5]!AecoCurve,5))</f>
        <v>3.3985000000000003</v>
      </c>
      <c r="E237" s="91">
        <v>2.1516993029418088E-2</v>
      </c>
      <c r="F237" s="80">
        <f t="shared" si="15"/>
        <v>3.511913863343501</v>
      </c>
      <c r="G237" s="80"/>
      <c r="H237" s="81">
        <v>22.840000000000106</v>
      </c>
      <c r="I237" s="78">
        <f>IF(OilSwitch=0,VLOOKUP($A237,[5]!OilCurve,4),VLOOKUP($A237,[5]!BrentCurve,4))</f>
        <v>23.730000000000103</v>
      </c>
      <c r="J237" s="91">
        <v>-2.840473197863647E-3</v>
      </c>
      <c r="K237" s="80">
        <f t="shared" si="17"/>
        <v>22.64505541255966</v>
      </c>
      <c r="M237" s="80"/>
      <c r="AP237" s="21"/>
      <c r="AQ237" s="21"/>
      <c r="AR237" s="21"/>
      <c r="AS237" s="21"/>
    </row>
    <row r="238" spans="1:45" x14ac:dyDescent="0.15">
      <c r="A238" s="75">
        <v>41609</v>
      </c>
      <c r="B238" s="76">
        <f t="shared" si="16"/>
        <v>2013</v>
      </c>
      <c r="C238" s="77">
        <v>3.6465000000000005</v>
      </c>
      <c r="D238" s="78">
        <f>IF(GasSwitch=0,VLOOKUP($A238,[5]!GasCurve,4),VLOOKUP($A238,[5]!AecoCurve,5))</f>
        <v>3.4944999999999999</v>
      </c>
      <c r="E238" s="91">
        <v>-1.7688687072978167E-2</v>
      </c>
      <c r="F238" s="80">
        <f t="shared" si="15"/>
        <v>3.6297371209723677</v>
      </c>
      <c r="G238" s="80"/>
      <c r="H238" s="81">
        <v>22.890000000000104</v>
      </c>
      <c r="I238" s="78">
        <f>IF(OilSwitch=0,VLOOKUP($A238,[5]!OilCurve,4),VLOOKUP($A238,[5]!BrentCurve,4))</f>
        <v>23.780000000000104</v>
      </c>
      <c r="J238" s="91">
        <v>1.8868522219150693E-2</v>
      </c>
      <c r="K238" s="80">
        <f t="shared" si="17"/>
        <v>22.745752147688929</v>
      </c>
      <c r="M238" s="80"/>
      <c r="AP238" s="21"/>
      <c r="AQ238" s="21"/>
      <c r="AR238" s="21"/>
      <c r="AS238" s="21"/>
    </row>
    <row r="239" spans="1:45" x14ac:dyDescent="0.15">
      <c r="A239" s="75">
        <v>41640</v>
      </c>
      <c r="B239" s="84">
        <f t="shared" si="16"/>
        <v>2014</v>
      </c>
      <c r="C239" s="85">
        <v>3.74</v>
      </c>
      <c r="D239" s="78">
        <f>IF(GasSwitch=0,VLOOKUP($A239,[5]!GasCurve,4),VLOOKUP($A239,[5]!AecoCurve,5))</f>
        <v>3.5369999999999999</v>
      </c>
      <c r="E239" s="91">
        <v>-2.5452791495597933E-2</v>
      </c>
      <c r="F239" s="80">
        <f t="shared" si="15"/>
        <v>3.7147097555431152</v>
      </c>
      <c r="G239" s="88"/>
      <c r="H239" s="89">
        <v>22.940000000000104</v>
      </c>
      <c r="I239" s="78">
        <f>IF(OilSwitch=0,VLOOKUP($A239,[5]!OilCurve,4),VLOOKUP($A239,[5]!BrentCurve,4))</f>
        <v>23.830000000000105</v>
      </c>
      <c r="J239" s="92">
        <v>-6.7772131679102371E-2</v>
      </c>
      <c r="K239" s="87">
        <f t="shared" si="17"/>
        <v>22.697259857953711</v>
      </c>
      <c r="M239" s="80"/>
      <c r="AP239" s="21"/>
      <c r="AQ239" s="21"/>
      <c r="AR239" s="21"/>
      <c r="AS239" s="21"/>
    </row>
    <row r="240" spans="1:45" x14ac:dyDescent="0.15">
      <c r="A240" s="75">
        <v>41671</v>
      </c>
      <c r="B240" s="76">
        <f t="shared" si="16"/>
        <v>2014</v>
      </c>
      <c r="C240" s="77">
        <v>3.6219999999999999</v>
      </c>
      <c r="D240" s="78">
        <f>IF(GasSwitch=0,VLOOKUP($A240,[5]!GasCurve,4),VLOOKUP($A240,[5]!AecoCurve,5))</f>
        <v>3.468</v>
      </c>
      <c r="E240" s="91">
        <v>-1.7561618868746923E-2</v>
      </c>
      <c r="F240" s="80">
        <f t="shared" si="15"/>
        <v>3.5961691300117509</v>
      </c>
      <c r="G240" s="80"/>
      <c r="H240" s="81">
        <v>22.990000000000105</v>
      </c>
      <c r="I240" s="78">
        <f>IF(OilSwitch=0,VLOOKUP($A240,[5]!OilCurve,4),VLOOKUP($A240,[5]!BrentCurve,4))</f>
        <v>23.880000000000106</v>
      </c>
      <c r="J240" s="91">
        <v>1.772146327888802E-2</v>
      </c>
      <c r="K240" s="80">
        <f t="shared" si="17"/>
        <v>22.800779646912375</v>
      </c>
      <c r="M240" s="80"/>
      <c r="AP240" s="21"/>
      <c r="AQ240" s="21"/>
      <c r="AR240" s="21"/>
      <c r="AS240" s="21"/>
    </row>
    <row r="241" spans="1:45" x14ac:dyDescent="0.15">
      <c r="A241" s="75">
        <v>41699</v>
      </c>
      <c r="B241" s="76">
        <f t="shared" si="16"/>
        <v>2014</v>
      </c>
      <c r="C241" s="77">
        <v>3.5019999999999998</v>
      </c>
      <c r="D241" s="78">
        <f>IF(GasSwitch=0,VLOOKUP($A241,[5]!GasCurve,4),VLOOKUP($A241,[5]!AecoCurve,5))</f>
        <v>3.3860000000000001</v>
      </c>
      <c r="E241" s="91">
        <v>-1.1974940243106963E-2</v>
      </c>
      <c r="F241" s="80">
        <f t="shared" si="15"/>
        <v>3.4793357863649024</v>
      </c>
      <c r="G241" s="80"/>
      <c r="H241" s="81">
        <v>23.040000000000106</v>
      </c>
      <c r="I241" s="78">
        <f>IF(OilSwitch=0,VLOOKUP($A241,[5]!OilCurve,4),VLOOKUP($A241,[5]!BrentCurve,4))</f>
        <v>23.930000000000106</v>
      </c>
      <c r="J241" s="91">
        <v>3.335353934800437E-2</v>
      </c>
      <c r="K241" s="80">
        <f t="shared" si="17"/>
        <v>22.925012751343139</v>
      </c>
      <c r="M241" s="80"/>
      <c r="AP241" s="21"/>
      <c r="AQ241" s="21"/>
      <c r="AR241" s="21"/>
      <c r="AS241" s="21"/>
    </row>
    <row r="242" spans="1:45" x14ac:dyDescent="0.15">
      <c r="A242" s="75">
        <v>41730</v>
      </c>
      <c r="B242" s="76">
        <f t="shared" si="16"/>
        <v>2014</v>
      </c>
      <c r="C242" s="77">
        <v>3.4525000000000001</v>
      </c>
      <c r="D242" s="78">
        <f>IF(GasSwitch=0,VLOOKUP($A242,[5]!GasCurve,4),VLOOKUP($A242,[5]!AecoCurve,5))</f>
        <v>3.3190000000000004</v>
      </c>
      <c r="E242" s="91">
        <v>-1.7724238971427667E-2</v>
      </c>
      <c r="F242" s="80">
        <f t="shared" si="15"/>
        <v>3.4284960579063779</v>
      </c>
      <c r="G242" s="80"/>
      <c r="H242" s="81">
        <v>23.090000000000106</v>
      </c>
      <c r="I242" s="78">
        <f>IF(OilSwitch=0,VLOOKUP($A242,[5]!OilCurve,4),VLOOKUP($A242,[5]!BrentCurve,4))</f>
        <v>23.980000000000103</v>
      </c>
      <c r="J242" s="91">
        <v>4.8797336478612001E-2</v>
      </c>
      <c r="K242" s="80">
        <f t="shared" si="17"/>
        <v>23.067595256860589</v>
      </c>
      <c r="M242" s="80"/>
      <c r="AP242" s="21"/>
      <c r="AQ242" s="21"/>
      <c r="AR242" s="21"/>
      <c r="AS242" s="21"/>
    </row>
    <row r="243" spans="1:45" x14ac:dyDescent="0.15">
      <c r="A243" s="75">
        <v>41760</v>
      </c>
      <c r="B243" s="76">
        <f t="shared" si="16"/>
        <v>2014</v>
      </c>
      <c r="C243" s="77">
        <v>3.4265000000000003</v>
      </c>
      <c r="D243" s="78">
        <f>IF(GasSwitch=0,VLOOKUP($A243,[5]!GasCurve,4),VLOOKUP($A243,[5]!AecoCurve,5))</f>
        <v>3.33</v>
      </c>
      <c r="E243" s="91">
        <v>-1.9663420965625997E-2</v>
      </c>
      <c r="F243" s="80">
        <f t="shared" si="15"/>
        <v>3.4006401495549099</v>
      </c>
      <c r="G243" s="80"/>
      <c r="H243" s="81">
        <v>23.140000000000104</v>
      </c>
      <c r="I243" s="78">
        <f>IF(OilSwitch=0,VLOOKUP($A243,[5]!OilCurve,4),VLOOKUP($A243,[5]!BrentCurve,4))</f>
        <v>24.030000000000104</v>
      </c>
      <c r="J243" s="91">
        <v>-2.8494719726270941E-2</v>
      </c>
      <c r="K243" s="80">
        <f t="shared" si="17"/>
        <v>23.072398112806884</v>
      </c>
      <c r="M243" s="80"/>
      <c r="AP243" s="21"/>
      <c r="AQ243" s="21"/>
      <c r="AR243" s="21"/>
      <c r="AS243" s="21"/>
    </row>
    <row r="244" spans="1:45" x14ac:dyDescent="0.15">
      <c r="A244" s="75">
        <v>41791</v>
      </c>
      <c r="B244" s="76">
        <f t="shared" si="16"/>
        <v>2014</v>
      </c>
      <c r="C244" s="77">
        <v>3.4325000000000001</v>
      </c>
      <c r="D244" s="78">
        <f>IF(GasSwitch=0,VLOOKUP($A244,[5]!GasCurve,4),VLOOKUP($A244,[5]!AecoCurve,5))</f>
        <v>3.35</v>
      </c>
      <c r="E244" s="91">
        <v>2.0154766588911854E-2</v>
      </c>
      <c r="F244" s="80">
        <f t="shared" ref="F244:F286" si="18">IF(shiftswitch2=1,IF(F243+$D$8*(D244-F243)+($E$8*(F243^$F$8)*E244)+(1-$D$8)*(D244-D243)&lt;0,0.01,F243+$D$8*(D244-F243)+($E$8*(F243^$F$8)*E244)+(1-$D$8)*(D244-D243)),IF(F243+$D$10*(C244-F243)+($E$10*(F243^$F$10)*E244)+(1-$D$10)*(C244-C243)&lt;0,0.01,F243+$D$10*(C244-F243)+($E$10*(F243^$F$10)*E244)+(1-$D$10)*(C244-C243)))</f>
        <v>3.4285894127155654</v>
      </c>
      <c r="G244" s="80"/>
      <c r="H244" s="81">
        <v>23.190000000000104</v>
      </c>
      <c r="I244" s="78">
        <f>IF(OilSwitch=0,VLOOKUP($A244,[5]!OilCurve,4),VLOOKUP($A244,[5]!BrentCurve,4))</f>
        <v>24.080000000000105</v>
      </c>
      <c r="J244" s="91">
        <v>3.8996192135874602E-2</v>
      </c>
      <c r="K244" s="80">
        <f t="shared" si="17"/>
        <v>23.193980363353106</v>
      </c>
      <c r="M244" s="80"/>
      <c r="AP244" s="21"/>
      <c r="AQ244" s="21"/>
      <c r="AR244" s="21"/>
      <c r="AS244" s="21"/>
    </row>
    <row r="245" spans="1:45" x14ac:dyDescent="0.15">
      <c r="A245" s="75">
        <v>41821</v>
      </c>
      <c r="B245" s="76">
        <f t="shared" si="16"/>
        <v>2014</v>
      </c>
      <c r="C245" s="77">
        <v>3.4424999999999999</v>
      </c>
      <c r="D245" s="78">
        <f>IF(GasSwitch=0,VLOOKUP($A245,[5]!GasCurve,4),VLOOKUP($A245,[5]!AecoCurve,5))</f>
        <v>3.3610000000000002</v>
      </c>
      <c r="E245" s="91">
        <v>3.1452437263638618E-2</v>
      </c>
      <c r="F245" s="80">
        <f t="shared" si="18"/>
        <v>3.4584044566823282</v>
      </c>
      <c r="G245" s="80"/>
      <c r="H245" s="81">
        <v>23.240000000000105</v>
      </c>
      <c r="I245" s="78">
        <f>IF(OilSwitch=0,VLOOKUP($A245,[5]!OilCurve,4),VLOOKUP($A245,[5]!BrentCurve,4))</f>
        <v>24.130000000000106</v>
      </c>
      <c r="J245" s="91">
        <v>-3.3216338599619693E-4</v>
      </c>
      <c r="K245" s="80">
        <f t="shared" si="17"/>
        <v>23.243033587506861</v>
      </c>
      <c r="M245" s="80"/>
      <c r="AP245" s="21"/>
      <c r="AQ245" s="21"/>
      <c r="AR245" s="21"/>
      <c r="AS245" s="21"/>
    </row>
    <row r="246" spans="1:45" x14ac:dyDescent="0.15">
      <c r="A246" s="75">
        <v>41852</v>
      </c>
      <c r="B246" s="76">
        <f t="shared" si="16"/>
        <v>2014</v>
      </c>
      <c r="C246" s="77">
        <v>3.4495</v>
      </c>
      <c r="D246" s="78">
        <f>IF(GasSwitch=0,VLOOKUP($A246,[5]!GasCurve,4),VLOOKUP($A246,[5]!AecoCurve,5))</f>
        <v>3.37</v>
      </c>
      <c r="E246" s="91">
        <v>-2.7783344900087794E-2</v>
      </c>
      <c r="F246" s="80">
        <f t="shared" si="18"/>
        <v>3.4428733552964368</v>
      </c>
      <c r="G246" s="80"/>
      <c r="H246" s="81">
        <v>23.290000000000106</v>
      </c>
      <c r="I246" s="78">
        <f>IF(OilSwitch=0,VLOOKUP($A246,[5]!OilCurve,4),VLOOKUP($A246,[5]!BrentCurve,4))</f>
        <v>24.180000000000106</v>
      </c>
      <c r="J246" s="91">
        <v>5.398354576547313E-2</v>
      </c>
      <c r="K246" s="80">
        <f t="shared" si="17"/>
        <v>23.382561882497438</v>
      </c>
      <c r="M246" s="80"/>
      <c r="AP246" s="21"/>
      <c r="AQ246" s="21"/>
      <c r="AR246" s="21"/>
      <c r="AS246" s="21"/>
    </row>
    <row r="247" spans="1:45" x14ac:dyDescent="0.15">
      <c r="A247" s="75">
        <v>41883</v>
      </c>
      <c r="B247" s="76">
        <f t="shared" si="16"/>
        <v>2014</v>
      </c>
      <c r="C247" s="77">
        <v>3.4565000000000006</v>
      </c>
      <c r="D247" s="78">
        <f>IF(GasSwitch=0,VLOOKUP($A247,[5]!GasCurve,4),VLOOKUP($A247,[5]!AecoCurve,5))</f>
        <v>3.3660000000000001</v>
      </c>
      <c r="E247" s="91">
        <v>7.6282294643596218E-4</v>
      </c>
      <c r="F247" s="80">
        <f t="shared" si="18"/>
        <v>3.4529558183089106</v>
      </c>
      <c r="G247" s="80"/>
      <c r="H247" s="81">
        <v>23.340000000000106</v>
      </c>
      <c r="I247" s="78">
        <f>IF(OilSwitch=0,VLOOKUP($A247,[5]!OilCurve,4),VLOOKUP($A247,[5]!BrentCurve,4))</f>
        <v>24.230000000000103</v>
      </c>
      <c r="J247" s="91">
        <v>-2.6147639601704069E-2</v>
      </c>
      <c r="K247" s="80">
        <f t="shared" si="17"/>
        <v>23.379888583832965</v>
      </c>
      <c r="M247" s="80"/>
      <c r="AP247" s="21"/>
      <c r="AQ247" s="21"/>
      <c r="AR247" s="21"/>
      <c r="AS247" s="21"/>
    </row>
    <row r="248" spans="1:45" x14ac:dyDescent="0.15">
      <c r="A248" s="75">
        <v>41913</v>
      </c>
      <c r="B248" s="76">
        <f t="shared" si="16"/>
        <v>2014</v>
      </c>
      <c r="C248" s="77">
        <v>3.4824999999999999</v>
      </c>
      <c r="D248" s="78">
        <f>IF(GasSwitch=0,VLOOKUP($A248,[5]!GasCurve,4),VLOOKUP($A248,[5]!AecoCurve,5))</f>
        <v>3.3820000000000001</v>
      </c>
      <c r="E248" s="91">
        <v>3.5814544922772404E-2</v>
      </c>
      <c r="F248" s="80">
        <f t="shared" si="18"/>
        <v>3.5012308673631192</v>
      </c>
      <c r="G248" s="80"/>
      <c r="H248" s="81">
        <v>23.390000000000104</v>
      </c>
      <c r="I248" s="78">
        <f>IF(OilSwitch=0,VLOOKUP($A248,[5]!OilCurve,4),VLOOKUP($A248,[5]!BrentCurve,4))</f>
        <v>24.280000000000104</v>
      </c>
      <c r="J248" s="91">
        <v>-3.6845890170907804E-3</v>
      </c>
      <c r="K248" s="80">
        <f t="shared" si="17"/>
        <v>23.41980845790907</v>
      </c>
      <c r="M248" s="80"/>
      <c r="AP248" s="21"/>
      <c r="AQ248" s="21"/>
      <c r="AR248" s="21"/>
      <c r="AS248" s="21"/>
    </row>
    <row r="249" spans="1:45" x14ac:dyDescent="0.15">
      <c r="A249" s="75">
        <v>41944</v>
      </c>
      <c r="B249" s="76">
        <f t="shared" si="16"/>
        <v>2014</v>
      </c>
      <c r="C249" s="77">
        <v>3.6175000000000002</v>
      </c>
      <c r="D249" s="78">
        <f>IF(GasSwitch=0,VLOOKUP($A249,[5]!GasCurve,4),VLOOKUP($A249,[5]!AecoCurve,5))</f>
        <v>3.4630000000000001</v>
      </c>
      <c r="E249" s="91">
        <v>-2.2519503712519675E-2</v>
      </c>
      <c r="F249" s="80">
        <f t="shared" si="18"/>
        <v>3.6155621168312106</v>
      </c>
      <c r="G249" s="80"/>
      <c r="H249" s="81">
        <v>23.440000000000104</v>
      </c>
      <c r="I249" s="78">
        <f>IF(OilSwitch=0,VLOOKUP($A249,[5]!OilCurve,4),VLOOKUP($A249,[5]!BrentCurve,4))</f>
        <v>24.330000000000105</v>
      </c>
      <c r="J249" s="91">
        <v>2.3956668043551611E-2</v>
      </c>
      <c r="K249" s="80">
        <f t="shared" si="17"/>
        <v>23.506721316200554</v>
      </c>
      <c r="M249" s="80"/>
      <c r="AP249" s="21"/>
      <c r="AQ249" s="21"/>
      <c r="AR249" s="21"/>
      <c r="AS249" s="21"/>
    </row>
    <row r="250" spans="1:45" x14ac:dyDescent="0.15">
      <c r="A250" s="75">
        <v>41974</v>
      </c>
      <c r="B250" s="76">
        <f t="shared" si="16"/>
        <v>2014</v>
      </c>
      <c r="C250" s="77">
        <v>3.7415000000000003</v>
      </c>
      <c r="D250" s="78">
        <f>IF(GasSwitch=0,VLOOKUP($A250,[5]!GasCurve,4),VLOOKUP($A250,[5]!AecoCurve,5))</f>
        <v>3.5560000000000005</v>
      </c>
      <c r="E250" s="91">
        <v>-5.5769521095550056E-2</v>
      </c>
      <c r="F250" s="80">
        <f t="shared" si="18"/>
        <v>3.7070890852994696</v>
      </c>
      <c r="G250" s="80"/>
      <c r="H250" s="81">
        <v>23.490000000000105</v>
      </c>
      <c r="I250" s="78">
        <f>IF(OilSwitch=0,VLOOKUP($A250,[5]!OilCurve,4),VLOOKUP($A250,[5]!BrentCurve,4))</f>
        <v>24.380000000000106</v>
      </c>
      <c r="J250" s="91">
        <v>-1.4485813175465594E-3</v>
      </c>
      <c r="K250" s="80">
        <f t="shared" si="17"/>
        <v>23.547705466584311</v>
      </c>
      <c r="M250" s="80"/>
      <c r="AP250" s="21"/>
      <c r="AQ250" s="21"/>
      <c r="AR250" s="21"/>
      <c r="AS250" s="21"/>
    </row>
    <row r="251" spans="1:45" x14ac:dyDescent="0.15">
      <c r="A251" s="75">
        <v>42005</v>
      </c>
      <c r="B251" s="84">
        <f t="shared" si="16"/>
        <v>2015</v>
      </c>
      <c r="C251" s="85">
        <v>3.84</v>
      </c>
      <c r="D251" s="78">
        <f>IF(GasSwitch=0,VLOOKUP($A251,[5]!GasCurve,4),VLOOKUP($A251,[5]!AecoCurve,5))</f>
        <v>3.5965000000000003</v>
      </c>
      <c r="E251" s="91">
        <v>3.8556496802041401E-2</v>
      </c>
      <c r="F251" s="80">
        <f t="shared" si="18"/>
        <v>3.8425644715859715</v>
      </c>
      <c r="G251" s="88"/>
      <c r="H251" s="89">
        <v>23.540000000000106</v>
      </c>
      <c r="I251" s="78">
        <f>IF(OilSwitch=0,VLOOKUP($A251,[5]!OilCurve,4),VLOOKUP($A251,[5]!BrentCurve,4))</f>
        <v>24.430000000000106</v>
      </c>
      <c r="J251" s="92">
        <v>2.158548135413095E-2</v>
      </c>
      <c r="K251" s="87">
        <f t="shared" si="17"/>
        <v>23.627910866365749</v>
      </c>
      <c r="M251" s="80"/>
      <c r="AP251" s="21"/>
      <c r="AQ251" s="21"/>
      <c r="AR251" s="21"/>
      <c r="AS251" s="21"/>
    </row>
    <row r="252" spans="1:45" x14ac:dyDescent="0.15">
      <c r="A252" s="75">
        <v>42036</v>
      </c>
      <c r="B252" s="76">
        <f t="shared" si="16"/>
        <v>2015</v>
      </c>
      <c r="C252" s="77">
        <v>3.722</v>
      </c>
      <c r="D252" s="78">
        <f>IF(GasSwitch=0,VLOOKUP($A252,[5]!GasCurve,4),VLOOKUP($A252,[5]!AecoCurve,5))</f>
        <v>3.5315000000000003</v>
      </c>
      <c r="E252" s="91">
        <v>-1.2380513651821457E-2</v>
      </c>
      <c r="F252" s="80">
        <f t="shared" si="18"/>
        <v>3.7159350136941867</v>
      </c>
      <c r="G252" s="80"/>
      <c r="H252" s="81">
        <v>23.590000000000106</v>
      </c>
      <c r="I252" s="78">
        <f>IF(OilSwitch=0,VLOOKUP($A252,[5]!OilCurve,4),VLOOKUP($A252,[5]!BrentCurve,4))</f>
        <v>24.480000000000103</v>
      </c>
      <c r="J252" s="91">
        <v>4.4871811225587158E-2</v>
      </c>
      <c r="K252" s="80">
        <f t="shared" si="17"/>
        <v>23.743874384474925</v>
      </c>
      <c r="M252" s="80"/>
      <c r="AP252" s="21"/>
      <c r="AQ252" s="21"/>
      <c r="AR252" s="21"/>
      <c r="AS252" s="21"/>
    </row>
    <row r="253" spans="1:45" x14ac:dyDescent="0.15">
      <c r="A253" s="75">
        <v>42064</v>
      </c>
      <c r="B253" s="76">
        <f t="shared" si="16"/>
        <v>2015</v>
      </c>
      <c r="C253" s="77">
        <v>3.6019999999999999</v>
      </c>
      <c r="D253" s="78">
        <f>IF(GasSwitch=0,VLOOKUP($A253,[5]!GasCurve,4),VLOOKUP($A253,[5]!AecoCurve,5))</f>
        <v>3.4525000000000001</v>
      </c>
      <c r="E253" s="91">
        <v>1.2657097448009433E-4</v>
      </c>
      <c r="F253" s="80">
        <f t="shared" si="18"/>
        <v>3.5984265814284053</v>
      </c>
      <c r="G253" s="80"/>
      <c r="H253" s="81">
        <v>23.640000000000104</v>
      </c>
      <c r="I253" s="78">
        <f>IF(OilSwitch=0,VLOOKUP($A253,[5]!OilCurve,4),VLOOKUP($A253,[5]!BrentCurve,4))</f>
        <v>24.530000000000104</v>
      </c>
      <c r="J253" s="91">
        <v>-4.8853773398290737E-2</v>
      </c>
      <c r="K253" s="80">
        <f t="shared" si="17"/>
        <v>23.697348141477157</v>
      </c>
      <c r="M253" s="80"/>
      <c r="AP253" s="21"/>
      <c r="AQ253" s="21"/>
      <c r="AR253" s="21"/>
      <c r="AS253" s="21"/>
    </row>
    <row r="254" spans="1:45" x14ac:dyDescent="0.15">
      <c r="A254" s="75">
        <v>42095</v>
      </c>
      <c r="B254" s="76">
        <f t="shared" si="16"/>
        <v>2015</v>
      </c>
      <c r="C254" s="77">
        <v>3.5525000000000002</v>
      </c>
      <c r="D254" s="78">
        <f>IF(GasSwitch=0,VLOOKUP($A254,[5]!GasCurve,4),VLOOKUP($A254,[5]!AecoCurve,5))</f>
        <v>3.3885000000000005</v>
      </c>
      <c r="E254" s="91">
        <v>-2.9060882107041826E-2</v>
      </c>
      <c r="F254" s="80">
        <f t="shared" si="18"/>
        <v>3.5330671720860565</v>
      </c>
      <c r="G254" s="80"/>
      <c r="H254" s="81">
        <v>23.690000000000104</v>
      </c>
      <c r="I254" s="78">
        <f>IF(OilSwitch=0,VLOOKUP($A254,[5]!OilCurve,4),VLOOKUP($A254,[5]!BrentCurve,4))</f>
        <v>24.580000000000105</v>
      </c>
      <c r="J254" s="91">
        <v>2.387030814160708E-2</v>
      </c>
      <c r="K254" s="80">
        <f t="shared" si="17"/>
        <v>23.781390868218562</v>
      </c>
      <c r="M254" s="80"/>
      <c r="AP254" s="21"/>
      <c r="AQ254" s="21"/>
      <c r="AR254" s="21"/>
      <c r="AS254" s="21"/>
    </row>
    <row r="255" spans="1:45" x14ac:dyDescent="0.15">
      <c r="A255" s="75">
        <v>42125</v>
      </c>
      <c r="B255" s="76">
        <f t="shared" si="16"/>
        <v>2015</v>
      </c>
      <c r="C255" s="77">
        <v>3.5265000000000004</v>
      </c>
      <c r="D255" s="78">
        <f>IF(GasSwitch=0,VLOOKUP($A255,[5]!GasCurve,4),VLOOKUP($A255,[5]!AecoCurve,5))</f>
        <v>3.4005000000000001</v>
      </c>
      <c r="E255" s="91">
        <v>-2.5923194543387804E-2</v>
      </c>
      <c r="F255" s="80">
        <f t="shared" si="18"/>
        <v>3.4995295928276784</v>
      </c>
      <c r="G255" s="80"/>
      <c r="H255" s="81">
        <v>23.740000000000105</v>
      </c>
      <c r="I255" s="78">
        <f>IF(OilSwitch=0,VLOOKUP($A255,[5]!OilCurve,4),VLOOKUP($A255,[5]!BrentCurve,4))</f>
        <v>24.630000000000106</v>
      </c>
      <c r="J255" s="91">
        <v>-1.9744283489089839E-2</v>
      </c>
      <c r="K255" s="80">
        <f t="shared" si="17"/>
        <v>23.789488684539087</v>
      </c>
      <c r="AP255" s="21"/>
      <c r="AQ255" s="21"/>
      <c r="AR255" s="21"/>
      <c r="AS255" s="21"/>
    </row>
    <row r="256" spans="1:45" x14ac:dyDescent="0.15">
      <c r="A256" s="75">
        <v>42156</v>
      </c>
      <c r="B256" s="76">
        <f t="shared" si="16"/>
        <v>2015</v>
      </c>
      <c r="C256" s="77">
        <v>3.5325000000000002</v>
      </c>
      <c r="D256" s="78">
        <f>IF(GasSwitch=0,VLOOKUP($A256,[5]!GasCurve,4),VLOOKUP($A256,[5]!AecoCurve,5))</f>
        <v>3.4215000000000004</v>
      </c>
      <c r="E256" s="91">
        <v>8.5635170576563099E-3</v>
      </c>
      <c r="F256" s="80">
        <f t="shared" si="18"/>
        <v>3.5212914152518704</v>
      </c>
      <c r="G256" s="80">
        <f>H256-H255</f>
        <v>5.0000000000000711E-2</v>
      </c>
      <c r="H256" s="81">
        <v>23.790000000000106</v>
      </c>
      <c r="I256" s="78">
        <f>IF(OilSwitch=0,VLOOKUP($A256,[5]!OilCurve,4),VLOOKUP($A256,[5]!BrentCurve,4))</f>
        <v>24.680000000000106</v>
      </c>
      <c r="J256" s="91">
        <v>-2.6159425183083312E-2</v>
      </c>
      <c r="K256" s="80">
        <f t="shared" si="17"/>
        <v>23.791060021265078</v>
      </c>
      <c r="AP256" s="21"/>
      <c r="AQ256" s="21"/>
      <c r="AR256" s="21"/>
      <c r="AS256" s="21"/>
    </row>
    <row r="257" spans="1:45" x14ac:dyDescent="0.15">
      <c r="A257" s="75">
        <v>42186</v>
      </c>
      <c r="B257" s="76">
        <f t="shared" si="16"/>
        <v>2015</v>
      </c>
      <c r="C257" s="77">
        <v>3.5425</v>
      </c>
      <c r="D257" s="78">
        <f>IF(GasSwitch=0,VLOOKUP($A257,[5]!GasCurve,4),VLOOKUP($A257,[5]!AecoCurve,5))</f>
        <v>3.4325000000000001</v>
      </c>
      <c r="E257" s="91">
        <v>-1.9682235102011444E-2</v>
      </c>
      <c r="F257" s="80">
        <f t="shared" si="18"/>
        <v>3.5241758899144404</v>
      </c>
      <c r="G257" s="80"/>
      <c r="H257" s="81">
        <v>23.840000000000106</v>
      </c>
      <c r="I257" s="78">
        <f>IF(OilSwitch=0,VLOOKUP($A257,[5]!OilCurve,4),VLOOKUP($A257,[5]!BrentCurve,4))</f>
        <v>24.730000000000103</v>
      </c>
      <c r="J257" s="91">
        <v>1.8769048350751705E-2</v>
      </c>
      <c r="K257" s="80">
        <f t="shared" si="17"/>
        <v>23.8721867756155</v>
      </c>
      <c r="AP257" s="21"/>
      <c r="AQ257" s="21"/>
      <c r="AR257" s="21"/>
      <c r="AS257" s="21"/>
    </row>
    <row r="258" spans="1:45" x14ac:dyDescent="0.15">
      <c r="A258" s="75">
        <v>42217</v>
      </c>
      <c r="B258" s="76">
        <f t="shared" si="16"/>
        <v>2015</v>
      </c>
      <c r="C258" s="77">
        <v>3.5495000000000001</v>
      </c>
      <c r="D258" s="78">
        <f>IF(GasSwitch=0,VLOOKUP($A258,[5]!GasCurve,4),VLOOKUP($A258,[5]!AecoCurve,5))</f>
        <v>3.4415000000000004</v>
      </c>
      <c r="E258" s="91">
        <v>5.7534551405207159E-3</v>
      </c>
      <c r="F258" s="80">
        <f t="shared" si="18"/>
        <v>3.5418586137851462</v>
      </c>
      <c r="G258" s="80"/>
      <c r="H258" s="81">
        <v>23.890000000000104</v>
      </c>
      <c r="I258" s="78">
        <f>IF(OilSwitch=0,VLOOKUP($A258,[5]!OilCurve,4),VLOOKUP($A258,[5]!BrentCurve,4))</f>
        <v>24.780000000000104</v>
      </c>
      <c r="J258" s="91">
        <v>3.1083041025176793E-2</v>
      </c>
      <c r="K258" s="80">
        <f t="shared" si="17"/>
        <v>23.970722465095466</v>
      </c>
      <c r="AP258" s="21"/>
      <c r="AQ258" s="21"/>
      <c r="AR258" s="21"/>
      <c r="AS258" s="21"/>
    </row>
    <row r="259" spans="1:45" x14ac:dyDescent="0.15">
      <c r="A259" s="75">
        <v>42248</v>
      </c>
      <c r="B259" s="76">
        <f t="shared" si="16"/>
        <v>2015</v>
      </c>
      <c r="C259" s="77">
        <v>3.5565000000000002</v>
      </c>
      <c r="D259" s="78">
        <f>IF(GasSwitch=0,VLOOKUP($A259,[5]!GasCurve,4),VLOOKUP($A259,[5]!AecoCurve,5))</f>
        <v>3.4365000000000006</v>
      </c>
      <c r="E259" s="91">
        <v>3.666699444832254E-2</v>
      </c>
      <c r="F259" s="80">
        <f t="shared" si="18"/>
        <v>3.5735349974816133</v>
      </c>
      <c r="G259" s="80"/>
      <c r="H259" s="81">
        <v>23.940000000000104</v>
      </c>
      <c r="I259" s="78">
        <f>IF(OilSwitch=0,VLOOKUP($A259,[5]!OilCurve,4),VLOOKUP($A259,[5]!BrentCurve,4))</f>
        <v>24.830000000000105</v>
      </c>
      <c r="J259" s="91">
        <v>6.5857371698083589E-2</v>
      </c>
      <c r="K259" s="80">
        <f t="shared" si="17"/>
        <v>24.122317607556635</v>
      </c>
      <c r="AP259" s="21"/>
      <c r="AQ259" s="21"/>
      <c r="AR259" s="21"/>
      <c r="AS259" s="21"/>
    </row>
    <row r="260" spans="1:45" x14ac:dyDescent="0.15">
      <c r="A260" s="75">
        <v>42278</v>
      </c>
      <c r="B260" s="76">
        <f t="shared" si="16"/>
        <v>2015</v>
      </c>
      <c r="C260" s="77">
        <v>3.5825</v>
      </c>
      <c r="D260" s="78">
        <f>IF(GasSwitch=0,VLOOKUP($A260,[5]!GasCurve,4),VLOOKUP($A260,[5]!AecoCurve,5))</f>
        <v>3.4515000000000002</v>
      </c>
      <c r="E260" s="91">
        <v>1.0752859739525717E-2</v>
      </c>
      <c r="F260" s="80">
        <f t="shared" si="18"/>
        <v>3.5991241717819085</v>
      </c>
      <c r="G260" s="80"/>
      <c r="H260" s="81">
        <v>23.990000000000105</v>
      </c>
      <c r="I260" s="78">
        <f>IF(OilSwitch=0,VLOOKUP($A260,[5]!OilCurve,4),VLOOKUP($A260,[5]!BrentCurve,4))</f>
        <v>24.880000000000106</v>
      </c>
      <c r="J260" s="91">
        <v>5.814373940882233E-2</v>
      </c>
      <c r="K260" s="80">
        <f t="shared" si="17"/>
        <v>24.251019346784819</v>
      </c>
      <c r="AP260" s="21"/>
      <c r="AQ260" s="21"/>
      <c r="AR260" s="21"/>
      <c r="AS260" s="21"/>
    </row>
    <row r="261" spans="1:45" x14ac:dyDescent="0.15">
      <c r="A261" s="75">
        <v>42309</v>
      </c>
      <c r="B261" s="76">
        <f t="shared" si="16"/>
        <v>2015</v>
      </c>
      <c r="C261" s="77">
        <v>3.7174999999999998</v>
      </c>
      <c r="D261" s="78">
        <f>IF(GasSwitch=0,VLOOKUP($A261,[5]!GasCurve,4),VLOOKUP($A261,[5]!AecoCurve,5))</f>
        <v>3.5274999999999999</v>
      </c>
      <c r="E261" s="91">
        <v>-2.4514802485652333E-2</v>
      </c>
      <c r="F261" s="80">
        <f t="shared" si="18"/>
        <v>3.7129241971190243</v>
      </c>
      <c r="G261" s="80"/>
      <c r="H261" s="81">
        <v>24.040000000000106</v>
      </c>
      <c r="I261" s="78">
        <f>IF(OilSwitch=0,VLOOKUP($A261,[5]!OilCurve,4),VLOOKUP($A261,[5]!BrentCurve,4))</f>
        <v>24.930000000000106</v>
      </c>
      <c r="J261" s="91">
        <v>5.307697564136462E-2</v>
      </c>
      <c r="K261" s="80">
        <f t="shared" si="17"/>
        <v>24.363498518920363</v>
      </c>
      <c r="AP261" s="21"/>
      <c r="AQ261" s="21"/>
      <c r="AR261" s="21"/>
      <c r="AS261" s="21"/>
    </row>
    <row r="262" spans="1:45" x14ac:dyDescent="0.15">
      <c r="A262" s="75">
        <v>42339</v>
      </c>
      <c r="B262" s="76">
        <f t="shared" si="16"/>
        <v>2015</v>
      </c>
      <c r="C262" s="77">
        <v>3.8415000000000004</v>
      </c>
      <c r="D262" s="78">
        <f>IF(GasSwitch=0,VLOOKUP($A262,[5]!GasCurve,4),VLOOKUP($A262,[5]!AecoCurve,5))</f>
        <v>3.6175000000000002</v>
      </c>
      <c r="E262" s="91">
        <v>-4.6737928807165464E-2</v>
      </c>
      <c r="F262" s="80">
        <f t="shared" si="18"/>
        <v>3.8105127603767639</v>
      </c>
      <c r="G262" s="80"/>
      <c r="H262" s="81">
        <v>24.090000000000106</v>
      </c>
      <c r="I262" s="78">
        <f>IF(OilSwitch=0,VLOOKUP($A262,[5]!OilCurve,4),VLOOKUP($A262,[5]!BrentCurve,4))</f>
        <v>24.980000000000103</v>
      </c>
      <c r="J262" s="91">
        <v>3.990938559833266E-2</v>
      </c>
      <c r="K262" s="80">
        <f t="shared" si="17"/>
        <v>24.447881383182885</v>
      </c>
      <c r="AP262" s="21"/>
      <c r="AQ262" s="21"/>
      <c r="AR262" s="21"/>
      <c r="AS262" s="21"/>
    </row>
    <row r="263" spans="1:45" x14ac:dyDescent="0.15">
      <c r="A263" s="75">
        <v>42370</v>
      </c>
      <c r="B263" s="84">
        <f t="shared" si="16"/>
        <v>2016</v>
      </c>
      <c r="C263" s="85">
        <v>3.9449999999999998</v>
      </c>
      <c r="D263" s="78">
        <f>IF(GasSwitch=0,VLOOKUP($A263,[5]!GasCurve,4),VLOOKUP($A263,[5]!AecoCurve,5))</f>
        <v>3.6560000000000001</v>
      </c>
      <c r="E263" s="91">
        <v>-3.0116890041955644E-2</v>
      </c>
      <c r="F263" s="80">
        <f t="shared" si="18"/>
        <v>3.9079212832292956</v>
      </c>
      <c r="G263" s="88"/>
      <c r="H263" s="89">
        <v>24.140000000000104</v>
      </c>
      <c r="I263" s="78">
        <f>IF(OilSwitch=0,VLOOKUP($A263,[5]!OilCurve,4),VLOOKUP($A263,[5]!BrentCurve,4))</f>
        <v>25.030000000000104</v>
      </c>
      <c r="J263" s="92">
        <v>-3.5787288466077191E-2</v>
      </c>
      <c r="K263" s="87">
        <f t="shared" si="17"/>
        <v>24.402901078240234</v>
      </c>
      <c r="AP263" s="21"/>
      <c r="AQ263" s="21"/>
      <c r="AR263" s="21"/>
      <c r="AS263" s="21"/>
    </row>
    <row r="264" spans="1:45" x14ac:dyDescent="0.15">
      <c r="A264" s="75">
        <v>42401</v>
      </c>
      <c r="B264" s="76">
        <f t="shared" si="16"/>
        <v>2016</v>
      </c>
      <c r="C264" s="77">
        <v>3.827</v>
      </c>
      <c r="D264" s="78">
        <f>IF(GasSwitch=0,VLOOKUP($A264,[5]!GasCurve,4),VLOOKUP($A264,[5]!AecoCurve,5))</f>
        <v>3.5950000000000002</v>
      </c>
      <c r="E264" s="91">
        <v>2.7065534652720557E-2</v>
      </c>
      <c r="F264" s="80">
        <f t="shared" si="18"/>
        <v>3.8214596582628615</v>
      </c>
      <c r="G264" s="80"/>
      <c r="H264" s="81">
        <v>24.190000000000104</v>
      </c>
      <c r="I264" s="78">
        <f>IF(OilSwitch=0,VLOOKUP($A264,[5]!OilCurve,4),VLOOKUP($A264,[5]!BrentCurve,4))</f>
        <v>25.080000000000105</v>
      </c>
      <c r="J264" s="91">
        <v>4.0406271459114296E-2</v>
      </c>
      <c r="K264" s="80">
        <f t="shared" si="17"/>
        <v>24.494109907202429</v>
      </c>
      <c r="AP264" s="21"/>
      <c r="AQ264" s="21"/>
      <c r="AR264" s="21"/>
      <c r="AS264" s="21"/>
    </row>
    <row r="265" spans="1:45" x14ac:dyDescent="0.15">
      <c r="A265" s="75">
        <v>42430</v>
      </c>
      <c r="B265" s="76">
        <f t="shared" si="16"/>
        <v>2016</v>
      </c>
      <c r="C265" s="77">
        <v>3.7069999999999999</v>
      </c>
      <c r="D265" s="78">
        <f>IF(GasSwitch=0,VLOOKUP($A265,[5]!GasCurve,4),VLOOKUP($A265,[5]!AecoCurve,5))</f>
        <v>3.5190000000000006</v>
      </c>
      <c r="E265" s="91">
        <v>2.4885086374114542E-2</v>
      </c>
      <c r="F265" s="80">
        <f t="shared" si="18"/>
        <v>3.7189165770965134</v>
      </c>
      <c r="G265" s="80"/>
      <c r="H265" s="81">
        <v>24.190000000000104</v>
      </c>
      <c r="I265" s="78">
        <f>IF(OilSwitch=0,VLOOKUP($A265,[5]!OilCurve,4),VLOOKUP($A265,[5]!BrentCurve,4))</f>
        <v>25.080000000000105</v>
      </c>
      <c r="J265" s="91">
        <v>-4.7761041682002438E-2</v>
      </c>
      <c r="K265" s="80">
        <f t="shared" si="17"/>
        <v>24.384528653030547</v>
      </c>
      <c r="AP265" s="21"/>
      <c r="AQ265" s="21"/>
      <c r="AR265" s="21"/>
      <c r="AS265" s="21"/>
    </row>
    <row r="266" spans="1:45" x14ac:dyDescent="0.15">
      <c r="A266" s="75">
        <v>42461</v>
      </c>
      <c r="B266" s="76">
        <f t="shared" si="16"/>
        <v>2016</v>
      </c>
      <c r="C266" s="77">
        <v>3.6575000000000002</v>
      </c>
      <c r="D266" s="78">
        <f>IF(GasSwitch=0,VLOOKUP($A266,[5]!GasCurve,4),VLOOKUP($A266,[5]!AecoCurve,5))</f>
        <v>3.4580000000000002</v>
      </c>
      <c r="E266" s="91">
        <v>3.1801456113520941E-2</v>
      </c>
      <c r="F266" s="80">
        <f t="shared" si="18"/>
        <v>3.6838975656994588</v>
      </c>
      <c r="G266" s="80"/>
      <c r="H266" s="81">
        <v>24.190000000000104</v>
      </c>
      <c r="I266" s="78">
        <f>IF(OilSwitch=0,VLOOKUP($A266,[5]!OilCurve,4),VLOOKUP($A266,[5]!BrentCurve,4))</f>
        <v>25.080000000000105</v>
      </c>
      <c r="J266" s="91">
        <v>3.2634139504872428E-2</v>
      </c>
      <c r="K266" s="80">
        <f t="shared" si="17"/>
        <v>24.41957352451664</v>
      </c>
      <c r="AP266" s="21"/>
      <c r="AQ266" s="21"/>
      <c r="AR266" s="21"/>
      <c r="AS266" s="21"/>
    </row>
    <row r="267" spans="1:45" x14ac:dyDescent="0.15">
      <c r="A267" s="75">
        <v>42491</v>
      </c>
      <c r="B267" s="76">
        <f t="shared" si="16"/>
        <v>2016</v>
      </c>
      <c r="C267" s="77">
        <v>3.6315000000000004</v>
      </c>
      <c r="D267" s="78">
        <f>IF(GasSwitch=0,VLOOKUP($A267,[5]!GasCurve,4),VLOOKUP($A267,[5]!AecoCurve,5))</f>
        <v>3.4710000000000001</v>
      </c>
      <c r="E267" s="91">
        <v>4.4178002732468621E-2</v>
      </c>
      <c r="F267" s="80">
        <f t="shared" si="18"/>
        <v>3.6739686513312106</v>
      </c>
      <c r="G267" s="80"/>
      <c r="H267" s="81">
        <v>24.190000000000104</v>
      </c>
      <c r="I267" s="78">
        <f>IF(OilSwitch=0,VLOOKUP($A267,[5]!OilCurve,4),VLOOKUP($A267,[5]!BrentCurve,4))</f>
        <v>25.080000000000105</v>
      </c>
      <c r="J267" s="91">
        <v>2.7129064980192352E-2</v>
      </c>
      <c r="K267" s="80">
        <f t="shared" si="17"/>
        <v>24.441988509716541</v>
      </c>
      <c r="AP267" s="21"/>
      <c r="AQ267" s="21"/>
      <c r="AR267" s="21"/>
      <c r="AS267" s="21"/>
    </row>
    <row r="268" spans="1:45" x14ac:dyDescent="0.15">
      <c r="A268" s="75">
        <v>42522</v>
      </c>
      <c r="B268" s="76">
        <f t="shared" si="16"/>
        <v>2016</v>
      </c>
      <c r="C268" s="77">
        <v>3.6375000000000002</v>
      </c>
      <c r="D268" s="78">
        <f>IF(GasSwitch=0,VLOOKUP($A268,[5]!GasCurve,4),VLOOKUP($A268,[5]!AecoCurve,5))</f>
        <v>3.4930000000000003</v>
      </c>
      <c r="E268" s="91">
        <v>1.9374427241667384E-2</v>
      </c>
      <c r="F268" s="80">
        <f t="shared" si="18"/>
        <v>3.6746998098455088</v>
      </c>
      <c r="G268" s="80"/>
      <c r="H268" s="81">
        <v>24.190000000000104</v>
      </c>
      <c r="I268" s="78">
        <f>IF(OilSwitch=0,VLOOKUP($A268,[5]!OilCurve,4),VLOOKUP($A268,[5]!BrentCurve,4))</f>
        <v>25.080000000000105</v>
      </c>
      <c r="J268" s="91">
        <v>3.8456255179419303E-3</v>
      </c>
      <c r="K268" s="80">
        <f t="shared" si="17"/>
        <v>24.423440768116468</v>
      </c>
      <c r="AP268" s="21"/>
      <c r="AQ268" s="21"/>
      <c r="AR268" s="21"/>
      <c r="AS268" s="21"/>
    </row>
    <row r="269" spans="1:45" x14ac:dyDescent="0.15">
      <c r="A269" s="75">
        <v>42552</v>
      </c>
      <c r="B269" s="76">
        <f t="shared" si="16"/>
        <v>2016</v>
      </c>
      <c r="C269" s="77">
        <v>3.6475</v>
      </c>
      <c r="D269" s="78">
        <f>IF(GasSwitch=0,VLOOKUP($A269,[5]!GasCurve,4),VLOOKUP($A269,[5]!AecoCurve,5))</f>
        <v>3.5040000000000004</v>
      </c>
      <c r="E269" s="91">
        <v>2.6016965355934341E-2</v>
      </c>
      <c r="F269" s="80">
        <f t="shared" si="18"/>
        <v>3.6855221059144001</v>
      </c>
      <c r="G269" s="80"/>
      <c r="H269" s="81">
        <v>24.190000000000104</v>
      </c>
      <c r="I269" s="78">
        <f>IF(OilSwitch=0,VLOOKUP($A269,[5]!OilCurve,4),VLOOKUP($A269,[5]!BrentCurve,4))</f>
        <v>25.080000000000105</v>
      </c>
      <c r="J269" s="91">
        <v>-0.10792368108514455</v>
      </c>
      <c r="K269" s="80">
        <f t="shared" si="17"/>
        <v>24.220745126747268</v>
      </c>
      <c r="AP269" s="21"/>
      <c r="AQ269" s="21"/>
      <c r="AR269" s="21"/>
      <c r="AS269" s="21"/>
    </row>
    <row r="270" spans="1:45" x14ac:dyDescent="0.15">
      <c r="A270" s="75">
        <v>42583</v>
      </c>
      <c r="B270" s="76">
        <f t="shared" si="16"/>
        <v>2016</v>
      </c>
      <c r="C270" s="77">
        <v>3.6545000000000001</v>
      </c>
      <c r="D270" s="78">
        <f>IF(GasSwitch=0,VLOOKUP($A270,[5]!GasCurve,4),VLOOKUP($A270,[5]!AecoCurve,5))</f>
        <v>3.5130000000000003</v>
      </c>
      <c r="E270" s="91">
        <v>3.4173117785427275E-2</v>
      </c>
      <c r="F270" s="80">
        <f t="shared" si="18"/>
        <v>3.6979487370012456</v>
      </c>
      <c r="G270" s="80"/>
      <c r="H270" s="81">
        <v>24.190000000000104</v>
      </c>
      <c r="I270" s="78">
        <f>IF(OilSwitch=0,VLOOKUP($A270,[5]!OilCurve,4),VLOOKUP($A270,[5]!BrentCurve,4))</f>
        <v>25.080000000000105</v>
      </c>
      <c r="J270" s="91">
        <v>1.0093808448981773E-2</v>
      </c>
      <c r="K270" s="80">
        <f t="shared" si="17"/>
        <v>24.234497456458406</v>
      </c>
      <c r="AP270" s="21"/>
      <c r="AQ270" s="21"/>
      <c r="AR270" s="21"/>
      <c r="AS270" s="21"/>
    </row>
    <row r="271" spans="1:45" x14ac:dyDescent="0.15">
      <c r="A271" s="75">
        <v>42614</v>
      </c>
      <c r="B271" s="76">
        <f t="shared" si="16"/>
        <v>2016</v>
      </c>
      <c r="C271" s="77">
        <v>3.6615000000000002</v>
      </c>
      <c r="D271" s="78">
        <f>IF(GasSwitch=0,VLOOKUP($A271,[5]!GasCurve,4),VLOOKUP($A271,[5]!AecoCurve,5))</f>
        <v>3.5070000000000001</v>
      </c>
      <c r="E271" s="91">
        <v>-1.3120342190745224E-2</v>
      </c>
      <c r="F271" s="80">
        <f t="shared" si="18"/>
        <v>3.679737692765729</v>
      </c>
      <c r="G271" s="80"/>
      <c r="H271" s="81">
        <v>24.190000000000104</v>
      </c>
      <c r="I271" s="78">
        <f>IF(OilSwitch=0,VLOOKUP($A271,[5]!OilCurve,4),VLOOKUP($A271,[5]!BrentCurve,4))</f>
        <v>25.080000000000105</v>
      </c>
      <c r="J271" s="91">
        <v>6.2272369262065912E-2</v>
      </c>
      <c r="K271" s="80">
        <f t="shared" si="17"/>
        <v>24.333713430721112</v>
      </c>
      <c r="AP271" s="21"/>
      <c r="AQ271" s="21"/>
      <c r="AR271" s="21"/>
      <c r="AS271" s="21"/>
    </row>
    <row r="272" spans="1:45" x14ac:dyDescent="0.15">
      <c r="A272" s="75">
        <v>42644</v>
      </c>
      <c r="B272" s="76">
        <f t="shared" si="16"/>
        <v>2016</v>
      </c>
      <c r="C272" s="77">
        <v>3.6875</v>
      </c>
      <c r="D272" s="78">
        <f>IF(GasSwitch=0,VLOOKUP($A272,[5]!GasCurve,4),VLOOKUP($A272,[5]!AecoCurve,5))</f>
        <v>3.5210000000000004</v>
      </c>
      <c r="E272" s="91">
        <v>-6.675111118921144E-2</v>
      </c>
      <c r="F272" s="80">
        <f t="shared" si="18"/>
        <v>3.6583329380040577</v>
      </c>
      <c r="G272" s="80"/>
      <c r="H272" s="81">
        <v>24.190000000000104</v>
      </c>
      <c r="I272" s="78">
        <f>IF(OilSwitch=0,VLOOKUP($A272,[5]!OilCurve,4),VLOOKUP($A272,[5]!BrentCurve,4))</f>
        <v>25.080000000000105</v>
      </c>
      <c r="J272" s="91">
        <v>2.5790161608688751E-2</v>
      </c>
      <c r="K272" s="80">
        <f t="shared" si="17"/>
        <v>24.362400629996589</v>
      </c>
      <c r="AP272" s="21"/>
      <c r="AQ272" s="21"/>
      <c r="AR272" s="21"/>
      <c r="AS272" s="21"/>
    </row>
    <row r="273" spans="1:45" x14ac:dyDescent="0.15">
      <c r="A273" s="75">
        <v>42675</v>
      </c>
      <c r="B273" s="76">
        <f t="shared" si="16"/>
        <v>2016</v>
      </c>
      <c r="C273" s="77">
        <v>3.8224999999999998</v>
      </c>
      <c r="D273" s="78">
        <f>IF(GasSwitch=0,VLOOKUP($A273,[5]!GasCurve,4),VLOOKUP($A273,[5]!AecoCurve,5))</f>
        <v>3.5920000000000001</v>
      </c>
      <c r="E273" s="91">
        <v>1.0235582328212964E-2</v>
      </c>
      <c r="F273" s="80">
        <f t="shared" si="18"/>
        <v>3.8110847650512709</v>
      </c>
      <c r="G273" s="80"/>
      <c r="H273" s="81">
        <v>24.190000000000104</v>
      </c>
      <c r="I273" s="78">
        <f>IF(OilSwitch=0,VLOOKUP($A273,[5]!OilCurve,4),VLOOKUP($A273,[5]!BrentCurve,4))</f>
        <v>25.080000000000105</v>
      </c>
      <c r="J273" s="91">
        <v>4.6261397877911973E-3</v>
      </c>
      <c r="K273" s="80">
        <f t="shared" si="17"/>
        <v>24.353030864233823</v>
      </c>
      <c r="AP273" s="21"/>
      <c r="AQ273" s="21"/>
      <c r="AR273" s="21"/>
      <c r="AS273" s="21"/>
    </row>
    <row r="274" spans="1:45" x14ac:dyDescent="0.15">
      <c r="A274" s="75">
        <v>42705</v>
      </c>
      <c r="B274" s="76">
        <f t="shared" si="16"/>
        <v>2016</v>
      </c>
      <c r="C274" s="77">
        <v>3.9465000000000003</v>
      </c>
      <c r="D274" s="78">
        <f>IF(GasSwitch=0,VLOOKUP($A274,[5]!GasCurve,4),VLOOKUP($A274,[5]!AecoCurve,5))</f>
        <v>3.6790000000000003</v>
      </c>
      <c r="E274" s="91">
        <v>4.0893919863710049E-2</v>
      </c>
      <c r="F274" s="80">
        <f t="shared" si="18"/>
        <v>3.9646579914589708</v>
      </c>
      <c r="G274" s="80"/>
      <c r="H274" s="81">
        <v>24.190000000000104</v>
      </c>
      <c r="I274" s="78">
        <f>IF(OilSwitch=0,VLOOKUP($A274,[5]!OilCurve,4),VLOOKUP($A274,[5]!BrentCurve,4))</f>
        <v>25.080000000000105</v>
      </c>
      <c r="J274" s="91">
        <v>2.3237071045713466E-2</v>
      </c>
      <c r="K274" s="80">
        <f t="shared" si="17"/>
        <v>24.375557294894751</v>
      </c>
      <c r="AP274" s="21"/>
      <c r="AQ274" s="21"/>
      <c r="AR274" s="21"/>
      <c r="AS274" s="21"/>
    </row>
    <row r="275" spans="1:45" x14ac:dyDescent="0.15">
      <c r="A275" s="75">
        <v>42736</v>
      </c>
      <c r="B275" s="84">
        <f t="shared" si="16"/>
        <v>2017</v>
      </c>
      <c r="C275" s="85">
        <v>4.0549999999999997</v>
      </c>
      <c r="D275" s="78">
        <f>IF(GasSwitch=0,VLOOKUP($A275,[5]!GasCurve,4),VLOOKUP($A275,[5]!AecoCurve,5))</f>
        <v>3.7155</v>
      </c>
      <c r="E275" s="91">
        <v>-3.8411602132020085E-2</v>
      </c>
      <c r="F275" s="80">
        <f t="shared" si="18"/>
        <v>4.0419500382319677</v>
      </c>
      <c r="G275" s="88"/>
      <c r="H275" s="81">
        <v>24.190000000000104</v>
      </c>
      <c r="I275" s="78">
        <f>IF(OilSwitch=0,VLOOKUP($A275,[5]!OilCurve,4),VLOOKUP($A275,[5]!BrentCurve,4))</f>
        <v>25.080000000000105</v>
      </c>
      <c r="J275" s="92">
        <v>-4.832853220734832E-2</v>
      </c>
      <c r="K275" s="87">
        <f t="shared" si="17"/>
        <v>24.276768445107155</v>
      </c>
      <c r="AP275" s="21"/>
      <c r="AQ275" s="21"/>
      <c r="AR275" s="21"/>
      <c r="AS275" s="21"/>
    </row>
    <row r="276" spans="1:45" x14ac:dyDescent="0.15">
      <c r="A276" s="75">
        <v>42767</v>
      </c>
      <c r="B276" s="76">
        <f t="shared" si="16"/>
        <v>2017</v>
      </c>
      <c r="C276" s="77">
        <v>3.9369999999999998</v>
      </c>
      <c r="D276" s="78">
        <f>IF(GasSwitch=0,VLOOKUP($A276,[5]!GasCurve,4),VLOOKUP($A276,[5]!AecoCurve,5))</f>
        <v>3.6585000000000001</v>
      </c>
      <c r="E276" s="91">
        <v>9.5543196360734373E-3</v>
      </c>
      <c r="F276" s="80">
        <f t="shared" si="18"/>
        <v>3.9351684225071031</v>
      </c>
      <c r="G276" s="80"/>
      <c r="H276" s="81">
        <v>24.190000000000104</v>
      </c>
      <c r="I276" s="78">
        <f>IF(OilSwitch=0,VLOOKUP($A276,[5]!OilCurve,4),VLOOKUP($A276,[5]!BrentCurve,4))</f>
        <v>25.080000000000105</v>
      </c>
      <c r="J276" s="91">
        <v>1.4739929743173225E-2</v>
      </c>
      <c r="K276" s="80">
        <f t="shared" si="17"/>
        <v>24.292705612134199</v>
      </c>
      <c r="AP276" s="21"/>
      <c r="AQ276" s="21"/>
      <c r="AR276" s="21"/>
      <c r="AS276" s="21"/>
    </row>
    <row r="277" spans="1:45" x14ac:dyDescent="0.15">
      <c r="A277" s="75">
        <v>42795</v>
      </c>
      <c r="B277" s="76">
        <f t="shared" si="16"/>
        <v>2017</v>
      </c>
      <c r="C277" s="77">
        <v>3.8170000000000002</v>
      </c>
      <c r="D277" s="78">
        <f>IF(GasSwitch=0,VLOOKUP($A277,[5]!GasCurve,4),VLOOKUP($A277,[5]!AecoCurve,5))</f>
        <v>3.5855000000000001</v>
      </c>
      <c r="E277" s="91">
        <v>5.6062706168659049E-2</v>
      </c>
      <c r="F277" s="80">
        <f t="shared" si="18"/>
        <v>3.8507630453048809</v>
      </c>
      <c r="G277" s="80"/>
      <c r="H277" s="81">
        <v>24.190000000000104</v>
      </c>
      <c r="I277" s="78">
        <f>IF(OilSwitch=0,VLOOKUP($A277,[5]!OilCurve,4),VLOOKUP($A277,[5]!BrentCurve,4))</f>
        <v>25.080000000000105</v>
      </c>
      <c r="J277" s="91">
        <v>2.0515927417163068E-2</v>
      </c>
      <c r="K277" s="80">
        <f t="shared" si="17"/>
        <v>24.316676259755084</v>
      </c>
      <c r="AP277" s="21"/>
      <c r="AQ277" s="21"/>
      <c r="AR277" s="21"/>
      <c r="AS277" s="21"/>
    </row>
    <row r="278" spans="1:45" x14ac:dyDescent="0.15">
      <c r="A278" s="75">
        <v>42826</v>
      </c>
      <c r="B278" s="93">
        <f t="shared" si="16"/>
        <v>2017</v>
      </c>
      <c r="C278" s="77">
        <v>3.7675000000000001</v>
      </c>
      <c r="D278" s="78">
        <f>IF(GasSwitch=0,VLOOKUP($A278,[5]!GasCurve,4),VLOOKUP($A278,[5]!AecoCurve,5))</f>
        <v>3.5274999999999999</v>
      </c>
      <c r="E278" s="91">
        <v>-2.4456711750277672E-2</v>
      </c>
      <c r="F278" s="80">
        <f t="shared" si="18"/>
        <v>3.7727730181168688</v>
      </c>
      <c r="G278" s="80"/>
      <c r="H278" s="81">
        <v>24.190000000000104</v>
      </c>
      <c r="I278" s="78">
        <f>IF(OilSwitch=0,VLOOKUP($A278,[5]!OilCurve,4),VLOOKUP($A278,[5]!BrentCurve,4))</f>
        <v>25.080000000000105</v>
      </c>
      <c r="J278" s="91">
        <v>-1.7076487388408314E-2</v>
      </c>
      <c r="K278" s="80">
        <f t="shared" si="17"/>
        <v>24.275720035025032</v>
      </c>
      <c r="AP278" s="21"/>
      <c r="AQ278" s="21"/>
      <c r="AR278" s="21"/>
      <c r="AS278" s="21"/>
    </row>
    <row r="279" spans="1:45" x14ac:dyDescent="0.15">
      <c r="A279" s="75">
        <v>42856</v>
      </c>
      <c r="B279" s="93">
        <f t="shared" ref="B279:B342" si="19">YEAR(A279)</f>
        <v>2017</v>
      </c>
      <c r="C279" s="77">
        <v>3.7415000000000003</v>
      </c>
      <c r="D279" s="78">
        <f>IF(GasSwitch=0,VLOOKUP($A279,[5]!GasCurve,4),VLOOKUP($A279,[5]!AecoCurve,5))</f>
        <v>3.5415000000000005</v>
      </c>
      <c r="E279" s="91">
        <v>-2.4232450067619746E-2</v>
      </c>
      <c r="F279" s="80">
        <f t="shared" si="18"/>
        <v>3.729917419051608</v>
      </c>
      <c r="G279" s="80"/>
      <c r="H279" s="81">
        <v>24.190000000000104</v>
      </c>
      <c r="I279" s="78">
        <f>IF(OilSwitch=0,VLOOKUP($A279,[5]!OilCurve,4),VLOOKUP($A279,[5]!BrentCurve,4))</f>
        <v>25.080000000000105</v>
      </c>
      <c r="J279" s="91">
        <v>-5.4035305403943634E-2</v>
      </c>
      <c r="K279" s="80">
        <f t="shared" si="17"/>
        <v>24.177319003365401</v>
      </c>
      <c r="AP279" s="21"/>
      <c r="AQ279" s="21"/>
      <c r="AR279" s="21"/>
      <c r="AS279" s="21"/>
    </row>
    <row r="280" spans="1:45" x14ac:dyDescent="0.15">
      <c r="A280" s="75">
        <v>42887</v>
      </c>
      <c r="B280" s="93">
        <f t="shared" si="19"/>
        <v>2017</v>
      </c>
      <c r="C280" s="77">
        <v>3.7475000000000001</v>
      </c>
      <c r="D280" s="78">
        <f>IF(GasSwitch=0,VLOOKUP($A280,[5]!GasCurve,4),VLOOKUP($A280,[5]!AecoCurve,5))</f>
        <v>3.5644999999999998</v>
      </c>
      <c r="E280" s="91">
        <v>2.0800835157702639E-2</v>
      </c>
      <c r="F280" s="80">
        <f t="shared" si="18"/>
        <v>3.7531237256480243</v>
      </c>
      <c r="G280" s="80"/>
      <c r="H280" s="81">
        <v>24.190000000000104</v>
      </c>
      <c r="I280" s="78">
        <f>IF(OilSwitch=0,VLOOKUP($A280,[5]!OilCurve,4),VLOOKUP($A280,[5]!BrentCurve,4))</f>
        <v>25.080000000000105</v>
      </c>
      <c r="J280" s="91">
        <v>2.8834103041193628E-2</v>
      </c>
      <c r="K280" s="80">
        <f t="shared" si="17"/>
        <v>24.226554369492785</v>
      </c>
      <c r="AP280" s="21"/>
      <c r="AQ280" s="21"/>
      <c r="AR280" s="21"/>
      <c r="AS280" s="21"/>
    </row>
    <row r="281" spans="1:45" x14ac:dyDescent="0.15">
      <c r="A281" s="75">
        <v>42917</v>
      </c>
      <c r="B281" s="93">
        <f t="shared" si="19"/>
        <v>2017</v>
      </c>
      <c r="C281" s="77">
        <v>3.7574999999999998</v>
      </c>
      <c r="D281" s="78">
        <f>IF(GasSwitch=0,VLOOKUP($A281,[5]!GasCurve,4),VLOOKUP($A281,[5]!AecoCurve,5))</f>
        <v>3.5755000000000003</v>
      </c>
      <c r="E281" s="91">
        <v>3.1531481815636163E-2</v>
      </c>
      <c r="F281" s="80">
        <f t="shared" si="18"/>
        <v>3.7800347808989971</v>
      </c>
      <c r="G281" s="80"/>
      <c r="H281" s="81">
        <v>24.190000000000104</v>
      </c>
      <c r="I281" s="78">
        <f>IF(OilSwitch=0,VLOOKUP($A281,[5]!OilCurve,4),VLOOKUP($A281,[5]!BrentCurve,4))</f>
        <v>25.080000000000105</v>
      </c>
      <c r="J281" s="91">
        <v>6.2715525616847626E-3</v>
      </c>
      <c r="K281" s="80">
        <f t="shared" si="17"/>
        <v>24.233371350375652</v>
      </c>
      <c r="AP281" s="21"/>
      <c r="AQ281" s="21"/>
      <c r="AR281" s="21"/>
      <c r="AS281" s="21"/>
    </row>
    <row r="282" spans="1:45" x14ac:dyDescent="0.15">
      <c r="A282" s="75">
        <v>42948</v>
      </c>
      <c r="B282" s="93">
        <f t="shared" si="19"/>
        <v>2017</v>
      </c>
      <c r="C282" s="77">
        <v>3.7645</v>
      </c>
      <c r="D282" s="78">
        <f>IF(GasSwitch=0,VLOOKUP($A282,[5]!GasCurve,4),VLOOKUP($A282,[5]!AecoCurve,5))</f>
        <v>3.5844999999999998</v>
      </c>
      <c r="E282" s="91">
        <v>1.2398455458759129E-2</v>
      </c>
      <c r="F282" s="80">
        <f t="shared" si="18"/>
        <v>3.7856184939104711</v>
      </c>
      <c r="G282" s="80"/>
      <c r="H282" s="81">
        <v>24.190000000000104</v>
      </c>
      <c r="I282" s="78">
        <f>IF(OilSwitch=0,VLOOKUP($A282,[5]!OilCurve,4),VLOOKUP($A282,[5]!BrentCurve,4))</f>
        <v>25.080000000000105</v>
      </c>
      <c r="J282" s="91">
        <v>-1.8671034782201702E-2</v>
      </c>
      <c r="K282" s="80">
        <f t="shared" si="17"/>
        <v>24.19800898481089</v>
      </c>
      <c r="AP282" s="21"/>
      <c r="AQ282" s="21"/>
      <c r="AR282" s="21"/>
      <c r="AS282" s="21"/>
    </row>
    <row r="283" spans="1:45" x14ac:dyDescent="0.15">
      <c r="A283" s="75">
        <v>42979</v>
      </c>
      <c r="B283" s="93">
        <f t="shared" si="19"/>
        <v>2017</v>
      </c>
      <c r="C283" s="77">
        <v>3.7715000000000005</v>
      </c>
      <c r="D283" s="78">
        <f>IF(GasSwitch=0,VLOOKUP($A283,[5]!GasCurve,4),VLOOKUP($A283,[5]!AecoCurve,5))</f>
        <v>3.5775000000000001</v>
      </c>
      <c r="E283" s="91">
        <v>1.7691850396095513E-2</v>
      </c>
      <c r="F283" s="80">
        <f t="shared" si="18"/>
        <v>3.7950005452953501</v>
      </c>
      <c r="G283" s="80"/>
      <c r="H283" s="81">
        <v>24.190000000000104</v>
      </c>
      <c r="I283" s="78">
        <f>IF(OilSwitch=0,VLOOKUP($A283,[5]!OilCurve,4),VLOOKUP($A283,[5]!BrentCurve,4))</f>
        <v>25.080000000000105</v>
      </c>
      <c r="J283" s="91">
        <v>2.1704486235703212E-2</v>
      </c>
      <c r="K283" s="80">
        <f t="shared" si="17"/>
        <v>24.233332360410834</v>
      </c>
      <c r="AP283" s="21"/>
      <c r="AQ283" s="21"/>
      <c r="AR283" s="21"/>
      <c r="AS283" s="21"/>
    </row>
    <row r="284" spans="1:45" x14ac:dyDescent="0.15">
      <c r="A284" s="75">
        <v>43009</v>
      </c>
      <c r="B284" s="93">
        <f t="shared" si="19"/>
        <v>2017</v>
      </c>
      <c r="C284" s="77">
        <v>3.7974999999999999</v>
      </c>
      <c r="D284" s="78">
        <f>IF(GasSwitch=0,VLOOKUP($A284,[5]!GasCurve,4),VLOOKUP($A284,[5]!AecoCurve,5))</f>
        <v>3.5905</v>
      </c>
      <c r="E284" s="91">
        <v>3.3880832901541733E-3</v>
      </c>
      <c r="F284" s="80">
        <f t="shared" si="18"/>
        <v>3.8137118046932557</v>
      </c>
      <c r="G284" s="80"/>
      <c r="H284" s="81">
        <v>24.190000000000104</v>
      </c>
      <c r="I284" s="78">
        <f>IF(OilSwitch=0,VLOOKUP($A284,[5]!OilCurve,4),VLOOKUP($A284,[5]!BrentCurve,4))</f>
        <v>25.080000000000105</v>
      </c>
      <c r="J284" s="91">
        <v>4.6368578892790682E-3</v>
      </c>
      <c r="K284" s="80">
        <f t="shared" si="17"/>
        <v>24.236758188257934</v>
      </c>
      <c r="AP284" s="21"/>
      <c r="AQ284" s="21"/>
      <c r="AR284" s="21"/>
      <c r="AS284" s="21"/>
    </row>
    <row r="285" spans="1:45" x14ac:dyDescent="0.15">
      <c r="A285" s="75">
        <v>43040</v>
      </c>
      <c r="B285" s="93">
        <f t="shared" si="19"/>
        <v>2017</v>
      </c>
      <c r="C285" s="77">
        <v>3.9325000000000001</v>
      </c>
      <c r="D285" s="78">
        <f>IF(GasSwitch=0,VLOOKUP($A285,[5]!GasCurve,4),VLOOKUP($A285,[5]!AecoCurve,5))</f>
        <v>3.6565000000000003</v>
      </c>
      <c r="E285" s="91">
        <v>-4.2931771643168172E-2</v>
      </c>
      <c r="F285" s="80">
        <f t="shared" si="18"/>
        <v>3.9159723347013626</v>
      </c>
      <c r="G285" s="80"/>
      <c r="H285" s="81">
        <v>24.190000000000104</v>
      </c>
      <c r="I285" s="78">
        <f>IF(OilSwitch=0,VLOOKUP($A285,[5]!OilCurve,4),VLOOKUP($A285,[5]!BrentCurve,4))</f>
        <v>25.080000000000105</v>
      </c>
      <c r="J285" s="91">
        <v>3.3909311322409118E-2</v>
      </c>
      <c r="K285" s="80">
        <f t="shared" si="17"/>
        <v>24.288554221660895</v>
      </c>
      <c r="AP285" s="21"/>
      <c r="AQ285" s="21"/>
      <c r="AR285" s="21"/>
      <c r="AS285" s="21"/>
    </row>
    <row r="286" spans="1:45" x14ac:dyDescent="0.15">
      <c r="A286" s="75">
        <v>43070</v>
      </c>
      <c r="B286" s="93">
        <f t="shared" si="19"/>
        <v>2017</v>
      </c>
      <c r="C286" s="77">
        <v>4.0565000000000007</v>
      </c>
      <c r="D286" s="78">
        <f>IF(GasSwitch=0,VLOOKUP($A286,[5]!GasCurve,4),VLOOKUP($A286,[5]!AecoCurve,5))</f>
        <v>3.7405000000000004</v>
      </c>
      <c r="E286" s="91">
        <v>5.1933729026282585E-3</v>
      </c>
      <c r="F286" s="80">
        <f t="shared" si="18"/>
        <v>4.0497755124715917</v>
      </c>
      <c r="G286" s="80"/>
      <c r="H286" s="81">
        <v>24.190000000000104</v>
      </c>
      <c r="I286" s="78">
        <f>IF(OilSwitch=0,VLOOKUP($A286,[5]!OilCurve,4),VLOOKUP($A286,[5]!BrentCurve,4))</f>
        <v>25.080000000000105</v>
      </c>
      <c r="J286" s="91">
        <v>-2.79336342199672E-2</v>
      </c>
      <c r="K286" s="80">
        <f t="shared" si="17"/>
        <v>24.232315786374453</v>
      </c>
      <c r="AP286" s="21"/>
      <c r="AQ286" s="21"/>
      <c r="AR286" s="21"/>
      <c r="AS286" s="21"/>
    </row>
    <row r="287" spans="1:45" x14ac:dyDescent="0.15">
      <c r="A287" s="75">
        <v>43101</v>
      </c>
      <c r="B287" s="94">
        <f t="shared" si="19"/>
        <v>2018</v>
      </c>
      <c r="C287" s="77">
        <v>4.17</v>
      </c>
      <c r="D287" s="78">
        <f>IF(GasSwitch=0,VLOOKUP($A287,[5]!GasCurve,4),VLOOKUP($A287,[5]!AecoCurve,5))</f>
        <v>3.7749999999999999</v>
      </c>
      <c r="E287" s="91">
        <v>1.4956029279949629E-3</v>
      </c>
      <c r="F287" s="80">
        <f t="shared" ref="F287:F350" si="20">IF(shiftswitch2=1,IF(F286+$D$8*(D287-F286)+($E$8*(F286^$F$8)*E287)+(1-$D$8)*(D287-D286)&lt;0,0.01,F286+$D$8*(D287-F286)+($E$8*(F286^$F$8)*E287)+(1-$D$8)*(D287-D286)),IF(F286+$D$10*(C287-F286)+($E$10*(F286^$F$10)*E287)+(1-$D$10)*(C287-C286)&lt;0,0.01,F286+$D$10*(C287-F286)+($E$10*(F286^$F$10)*E287)+(1-$D$10)*(C287-C286)))</f>
        <v>4.1668967629821427</v>
      </c>
      <c r="H287" s="81">
        <v>21.167999999999999</v>
      </c>
      <c r="I287" s="78">
        <v>21.167999999999999</v>
      </c>
      <c r="J287" s="91">
        <v>2.0855699797278405E-2</v>
      </c>
      <c r="K287" s="80">
        <f t="shared" ref="K287:K350" si="21">IF(shiftswitch2=1,K286+$D$9*(I287-K286)+($E$9*(K286^$F$9)*J287)+(1-$D$9)*(I287-I286),K286+$D$11*(H287-K286)+($E$11*(K286^$F$11)*J287)+(1-$D$11)*(H287-H286))</f>
        <v>21.24083040798596</v>
      </c>
      <c r="AP287" s="21"/>
      <c r="AQ287" s="21"/>
      <c r="AR287" s="21"/>
      <c r="AS287" s="21"/>
    </row>
    <row r="288" spans="1:45" x14ac:dyDescent="0.15">
      <c r="A288" s="75">
        <v>43132</v>
      </c>
      <c r="B288" s="93">
        <f t="shared" si="19"/>
        <v>2018</v>
      </c>
      <c r="C288" s="77">
        <v>4.0519999999999996</v>
      </c>
      <c r="D288" s="78">
        <f>IF(GasSwitch=0,VLOOKUP($A288,[5]!GasCurve,4),VLOOKUP($A288,[5]!AecoCurve,5))</f>
        <v>3.722</v>
      </c>
      <c r="E288" s="91">
        <v>2.4392254246899977E-3</v>
      </c>
      <c r="F288" s="80">
        <f t="shared" si="20"/>
        <v>4.0516934466249932</v>
      </c>
      <c r="H288" s="81">
        <v>21.167999999999999</v>
      </c>
      <c r="I288" s="78">
        <v>21.167999999999999</v>
      </c>
      <c r="J288" s="91">
        <v>-5.0707797385517721E-2</v>
      </c>
      <c r="K288" s="80">
        <f t="shared" si="21"/>
        <v>21.14924242274585</v>
      </c>
      <c r="AP288" s="21"/>
      <c r="AQ288" s="21"/>
      <c r="AR288" s="21"/>
      <c r="AS288" s="21"/>
    </row>
    <row r="289" spans="1:45" x14ac:dyDescent="0.15">
      <c r="A289" s="75">
        <v>43160</v>
      </c>
      <c r="B289" s="93">
        <f t="shared" si="19"/>
        <v>2018</v>
      </c>
      <c r="C289" s="77">
        <v>3.9319999999999999</v>
      </c>
      <c r="D289" s="78">
        <f>IF(GasSwitch=0,VLOOKUP($A289,[5]!GasCurve,4),VLOOKUP($A289,[5]!AecoCurve,5))</f>
        <v>3.6520000000000001</v>
      </c>
      <c r="E289" s="91">
        <v>-2.95647442798232E-2</v>
      </c>
      <c r="F289" s="80">
        <f t="shared" si="20"/>
        <v>3.9131590252382851</v>
      </c>
      <c r="H289" s="81">
        <v>21.167999999999999</v>
      </c>
      <c r="I289" s="78">
        <v>21.167999999999999</v>
      </c>
      <c r="J289" s="91">
        <v>4.022679147681589E-2</v>
      </c>
      <c r="K289" s="80">
        <f t="shared" si="21"/>
        <v>21.218036803911431</v>
      </c>
      <c r="AP289" s="21"/>
      <c r="AQ289" s="21"/>
      <c r="AR289" s="21"/>
      <c r="AS289" s="21"/>
    </row>
    <row r="290" spans="1:45" x14ac:dyDescent="0.15">
      <c r="A290" s="75">
        <v>43191</v>
      </c>
      <c r="B290" s="93">
        <f t="shared" si="19"/>
        <v>2018</v>
      </c>
      <c r="C290" s="77">
        <v>3.8824999999999998</v>
      </c>
      <c r="D290" s="78">
        <f>IF(GasSwitch=0,VLOOKUP($A290,[5]!GasCurve,4),VLOOKUP($A290,[5]!AecoCurve,5))</f>
        <v>3.597</v>
      </c>
      <c r="E290" s="91">
        <v>-2.156143147819126E-3</v>
      </c>
      <c r="F290" s="80">
        <f t="shared" si="20"/>
        <v>3.8698243552192699</v>
      </c>
      <c r="H290" s="81">
        <v>21.167999999999999</v>
      </c>
      <c r="I290" s="78">
        <v>21.167999999999999</v>
      </c>
      <c r="J290" s="91">
        <v>-7.1719090400795766E-3</v>
      </c>
      <c r="K290" s="80">
        <f t="shared" si="21"/>
        <v>21.201149103681509</v>
      </c>
      <c r="AP290" s="21"/>
      <c r="AQ290" s="21"/>
      <c r="AR290" s="21"/>
      <c r="AS290" s="21"/>
    </row>
    <row r="291" spans="1:45" x14ac:dyDescent="0.15">
      <c r="A291" s="75">
        <v>43221</v>
      </c>
      <c r="B291" s="93">
        <f t="shared" si="19"/>
        <v>2018</v>
      </c>
      <c r="C291" s="77">
        <v>3.8565000000000005</v>
      </c>
      <c r="D291" s="78">
        <f>IF(GasSwitch=0,VLOOKUP($A291,[5]!GasCurve,4),VLOOKUP($A291,[5]!AecoCurve,5))</f>
        <v>3.6120000000000001</v>
      </c>
      <c r="E291" s="91">
        <v>1.8354700274610451E-2</v>
      </c>
      <c r="F291" s="80">
        <f t="shared" si="20"/>
        <v>3.8601913810325996</v>
      </c>
      <c r="H291" s="81">
        <v>21.167999999999999</v>
      </c>
      <c r="I291" s="78">
        <v>21.167999999999999</v>
      </c>
      <c r="J291" s="91">
        <v>-2.2349904118767163E-2</v>
      </c>
      <c r="K291" s="80">
        <f t="shared" si="21"/>
        <v>21.160677101963412</v>
      </c>
      <c r="AP291" s="21"/>
      <c r="AQ291" s="21"/>
      <c r="AR291" s="21"/>
      <c r="AS291" s="21"/>
    </row>
    <row r="292" spans="1:45" x14ac:dyDescent="0.15">
      <c r="A292" s="75">
        <v>43252</v>
      </c>
      <c r="B292" s="93">
        <f t="shared" si="19"/>
        <v>2018</v>
      </c>
      <c r="C292" s="77">
        <v>3.8624999999999998</v>
      </c>
      <c r="D292" s="78">
        <f>IF(GasSwitch=0,VLOOKUP($A292,[5]!GasCurve,4),VLOOKUP($A292,[5]!AecoCurve,5))</f>
        <v>3.6360000000000001</v>
      </c>
      <c r="E292" s="91">
        <v>-4.2864235798536314E-2</v>
      </c>
      <c r="F292" s="80">
        <f t="shared" si="20"/>
        <v>3.8383194596003141</v>
      </c>
      <c r="H292" s="81">
        <v>21.167999999999999</v>
      </c>
      <c r="I292" s="78">
        <v>21.167999999999999</v>
      </c>
      <c r="J292" s="91">
        <v>2.3693906072413977E-3</v>
      </c>
      <c r="K292" s="80">
        <f t="shared" si="21"/>
        <v>21.165344734839483</v>
      </c>
      <c r="AP292" s="21"/>
      <c r="AQ292" s="21"/>
      <c r="AR292" s="21"/>
      <c r="AS292" s="21"/>
    </row>
    <row r="293" spans="1:45" x14ac:dyDescent="0.15">
      <c r="A293" s="75">
        <v>43282</v>
      </c>
      <c r="B293" s="93">
        <f t="shared" si="19"/>
        <v>2018</v>
      </c>
      <c r="C293" s="77">
        <v>3.8725000000000001</v>
      </c>
      <c r="D293" s="78">
        <f>IF(GasSwitch=0,VLOOKUP($A293,[5]!GasCurve,4),VLOOKUP($A293,[5]!AecoCurve,5))</f>
        <v>3.6469999999999998</v>
      </c>
      <c r="E293" s="91">
        <v>-1.0314362750518636E-2</v>
      </c>
      <c r="F293" s="80">
        <f t="shared" si="20"/>
        <v>3.851613094101261</v>
      </c>
      <c r="H293" s="81">
        <v>21.167999999999999</v>
      </c>
      <c r="I293" s="78">
        <v>21.167999999999999</v>
      </c>
      <c r="J293" s="91">
        <v>2.4314020990223194E-2</v>
      </c>
      <c r="K293" s="80">
        <f t="shared" si="21"/>
        <v>21.206066137018105</v>
      </c>
      <c r="AP293" s="21"/>
      <c r="AQ293" s="21"/>
      <c r="AR293" s="21"/>
      <c r="AS293" s="21"/>
    </row>
    <row r="294" spans="1:45" x14ac:dyDescent="0.15">
      <c r="A294" s="75">
        <v>43313</v>
      </c>
      <c r="B294" s="93">
        <f t="shared" si="19"/>
        <v>2018</v>
      </c>
      <c r="C294" s="77">
        <v>3.8795000000000002</v>
      </c>
      <c r="D294" s="78">
        <f>IF(GasSwitch=0,VLOOKUP($A294,[5]!GasCurve,4),VLOOKUP($A294,[5]!AecoCurve,5))</f>
        <v>3.6560000000000001</v>
      </c>
      <c r="E294" s="91">
        <v>-4.4133664543869924E-2</v>
      </c>
      <c r="F294" s="80">
        <f t="shared" si="20"/>
        <v>3.8397765696245649</v>
      </c>
      <c r="H294" s="81">
        <v>21.167999999999999</v>
      </c>
      <c r="I294" s="78">
        <v>21.167999999999999</v>
      </c>
      <c r="J294" s="91">
        <v>-2.8549869832567186E-3</v>
      </c>
      <c r="K294" s="80">
        <f t="shared" si="21"/>
        <v>21.197546891113173</v>
      </c>
      <c r="AP294" s="21"/>
      <c r="AQ294" s="21"/>
      <c r="AR294" s="21"/>
      <c r="AS294" s="21"/>
    </row>
    <row r="295" spans="1:45" x14ac:dyDescent="0.15">
      <c r="A295" s="75">
        <v>43344</v>
      </c>
      <c r="B295" s="93">
        <f t="shared" si="19"/>
        <v>2018</v>
      </c>
      <c r="C295" s="77">
        <v>3.8865000000000003</v>
      </c>
      <c r="D295" s="78">
        <f>IF(GasSwitch=0,VLOOKUP($A295,[5]!GasCurve,4),VLOOKUP($A295,[5]!AecoCurve,5))</f>
        <v>3.6480000000000001</v>
      </c>
      <c r="E295" s="91">
        <v>-4.4808294413906789E-2</v>
      </c>
      <c r="F295" s="80">
        <f t="shared" si="20"/>
        <v>3.8350680700901636</v>
      </c>
      <c r="H295" s="81">
        <v>21.167999999999999</v>
      </c>
      <c r="I295" s="78">
        <v>21.167999999999999</v>
      </c>
      <c r="J295" s="91">
        <v>-3.6740813258955514E-2</v>
      </c>
      <c r="K295" s="80">
        <f t="shared" si="21"/>
        <v>21.13348503563007</v>
      </c>
      <c r="AP295" s="21"/>
      <c r="AQ295" s="21"/>
      <c r="AR295" s="21"/>
      <c r="AS295" s="21"/>
    </row>
    <row r="296" spans="1:45" x14ac:dyDescent="0.15">
      <c r="A296" s="75">
        <v>43374</v>
      </c>
      <c r="B296" s="93">
        <f t="shared" si="19"/>
        <v>2018</v>
      </c>
      <c r="C296" s="77">
        <v>3.9125000000000001</v>
      </c>
      <c r="D296" s="78">
        <f>IF(GasSwitch=0,VLOOKUP($A296,[5]!GasCurve,4),VLOOKUP($A296,[5]!AecoCurve,5))</f>
        <v>3.66</v>
      </c>
      <c r="E296" s="91">
        <v>-5.055577366875387E-2</v>
      </c>
      <c r="F296" s="80">
        <f t="shared" si="20"/>
        <v>3.8505101848449805</v>
      </c>
      <c r="H296" s="81">
        <v>21.167999999999999</v>
      </c>
      <c r="I296" s="78">
        <v>21.167999999999999</v>
      </c>
      <c r="J296" s="91">
        <v>-7.4550303403251736E-2</v>
      </c>
      <c r="K296" s="80">
        <f t="shared" si="21"/>
        <v>21.012850312239681</v>
      </c>
      <c r="AP296" s="21"/>
      <c r="AQ296" s="21"/>
      <c r="AR296" s="21"/>
      <c r="AS296" s="21"/>
    </row>
    <row r="297" spans="1:45" x14ac:dyDescent="0.15">
      <c r="A297" s="75">
        <v>43405</v>
      </c>
      <c r="B297" s="93">
        <f t="shared" si="19"/>
        <v>2018</v>
      </c>
      <c r="C297" s="77">
        <v>4.0475000000000003</v>
      </c>
      <c r="D297" s="78">
        <f>IF(GasSwitch=0,VLOOKUP($A297,[5]!GasCurve,4),VLOOKUP($A297,[5]!AecoCurve,5))</f>
        <v>3.7210000000000001</v>
      </c>
      <c r="E297" s="91">
        <v>1.6764401374567892E-2</v>
      </c>
      <c r="F297" s="80">
        <f t="shared" si="20"/>
        <v>4.0205075224920632</v>
      </c>
      <c r="H297" s="81">
        <v>21.167999999999999</v>
      </c>
      <c r="I297" s="78">
        <v>21.167999999999999</v>
      </c>
      <c r="J297" s="91">
        <v>6.4031731186352428E-2</v>
      </c>
      <c r="K297" s="80">
        <f t="shared" si="21"/>
        <v>21.134758932022041</v>
      </c>
      <c r="AP297" s="21"/>
      <c r="AQ297" s="21"/>
      <c r="AR297" s="21"/>
      <c r="AS297" s="21"/>
    </row>
    <row r="298" spans="1:45" x14ac:dyDescent="0.15">
      <c r="A298" s="75">
        <v>43435</v>
      </c>
      <c r="B298" s="93">
        <f t="shared" si="19"/>
        <v>2018</v>
      </c>
      <c r="C298" s="77">
        <v>4.1715</v>
      </c>
      <c r="D298" s="78">
        <f>IF(GasSwitch=0,VLOOKUP($A298,[5]!GasCurve,4),VLOOKUP($A298,[5]!AecoCurve,5))</f>
        <v>3.802</v>
      </c>
      <c r="E298" s="91">
        <v>1.642354265590525E-3</v>
      </c>
      <c r="F298" s="80">
        <f t="shared" si="20"/>
        <v>4.156288319503874</v>
      </c>
      <c r="H298" s="81">
        <v>21.167999999999999</v>
      </c>
      <c r="I298" s="78">
        <v>21.167999999999999</v>
      </c>
      <c r="J298" s="91">
        <v>4.7575829675122966E-3</v>
      </c>
      <c r="K298" s="80">
        <f t="shared" si="21"/>
        <v>21.145966415809799</v>
      </c>
      <c r="AP298" s="21"/>
      <c r="AQ298" s="21"/>
      <c r="AR298" s="21"/>
      <c r="AS298" s="21"/>
    </row>
    <row r="299" spans="1:45" x14ac:dyDescent="0.15">
      <c r="A299" s="75">
        <v>43466</v>
      </c>
      <c r="B299" s="93">
        <f t="shared" si="19"/>
        <v>2019</v>
      </c>
      <c r="C299" s="77">
        <v>4.29</v>
      </c>
      <c r="D299" s="78">
        <f>IF(GasSwitch=0,VLOOKUP($A299,[5]!GasCurve,4),VLOOKUP($A299,[5]!AecoCurve,5))</f>
        <v>3.8344999999999998</v>
      </c>
      <c r="E299" s="91">
        <v>-3.6006555081319724E-2</v>
      </c>
      <c r="F299" s="80">
        <f t="shared" si="20"/>
        <v>4.2578326788539593</v>
      </c>
      <c r="H299" s="81">
        <v>21.167999999999999</v>
      </c>
      <c r="I299" s="78">
        <v>21.167999999999999</v>
      </c>
      <c r="J299" s="91">
        <v>-9.1839537912651228E-3</v>
      </c>
      <c r="K299" s="80">
        <f t="shared" si="21"/>
        <v>21.132865641535965</v>
      </c>
      <c r="AP299" s="21"/>
      <c r="AQ299" s="21"/>
      <c r="AR299" s="21"/>
      <c r="AS299" s="21"/>
    </row>
    <row r="300" spans="1:45" x14ac:dyDescent="0.15">
      <c r="A300" s="75">
        <v>43497</v>
      </c>
      <c r="B300" s="93">
        <f t="shared" si="19"/>
        <v>2019</v>
      </c>
      <c r="C300" s="77">
        <v>4.1719999999999997</v>
      </c>
      <c r="D300" s="78">
        <f>IF(GasSwitch=0,VLOOKUP($A300,[5]!GasCurve,4),VLOOKUP($A300,[5]!AecoCurve,5))</f>
        <v>3.7855000000000003</v>
      </c>
      <c r="E300" s="91">
        <v>-1.0656811690174215E-2</v>
      </c>
      <c r="F300" s="80">
        <f t="shared" si="20"/>
        <v>4.1457478989498178</v>
      </c>
      <c r="H300" s="81">
        <v>21.167999999999999</v>
      </c>
      <c r="I300" s="78">
        <v>21.167999999999999</v>
      </c>
      <c r="J300" s="91">
        <v>1.4753918275807616E-2</v>
      </c>
      <c r="K300" s="80">
        <f t="shared" si="21"/>
        <v>21.160894463034847</v>
      </c>
      <c r="AP300" s="21"/>
      <c r="AQ300" s="21"/>
      <c r="AR300" s="21"/>
      <c r="AS300" s="21"/>
    </row>
    <row r="301" spans="1:45" x14ac:dyDescent="0.15">
      <c r="A301" s="75">
        <v>43525</v>
      </c>
      <c r="B301" s="93">
        <f t="shared" si="19"/>
        <v>2019</v>
      </c>
      <c r="C301" s="77">
        <v>4.0519999999999996</v>
      </c>
      <c r="D301" s="78">
        <f>IF(GasSwitch=0,VLOOKUP($A301,[5]!GasCurve,4),VLOOKUP($A301,[5]!AecoCurve,5))</f>
        <v>3.7185000000000001</v>
      </c>
      <c r="E301" s="91">
        <v>-4.3835151847908026E-3</v>
      </c>
      <c r="F301" s="80">
        <f t="shared" si="20"/>
        <v>4.0334033967105665</v>
      </c>
      <c r="H301" s="81">
        <v>21.167999999999999</v>
      </c>
      <c r="I301" s="78">
        <v>21.167999999999999</v>
      </c>
      <c r="J301" s="91">
        <v>5.648897982731059E-2</v>
      </c>
      <c r="K301" s="80">
        <f t="shared" si="21"/>
        <v>21.255595573627044</v>
      </c>
      <c r="AP301" s="21"/>
      <c r="AQ301" s="21"/>
      <c r="AR301" s="21"/>
      <c r="AS301" s="21"/>
    </row>
    <row r="302" spans="1:45" x14ac:dyDescent="0.15">
      <c r="A302" s="75">
        <v>43556</v>
      </c>
      <c r="B302" s="93">
        <f t="shared" si="19"/>
        <v>2019</v>
      </c>
      <c r="C302" s="77">
        <v>4.0025000000000004</v>
      </c>
      <c r="D302" s="78">
        <f>IF(GasSwitch=0,VLOOKUP($A302,[5]!GasCurve,4),VLOOKUP($A302,[5]!AecoCurve,5))</f>
        <v>3.6665000000000005</v>
      </c>
      <c r="E302" s="91">
        <v>4.358275077321238E-3</v>
      </c>
      <c r="F302" s="80">
        <f t="shared" si="20"/>
        <v>3.9940525888180778</v>
      </c>
      <c r="H302" s="81">
        <v>21.167999999999999</v>
      </c>
      <c r="I302" s="78">
        <v>21.167999999999999</v>
      </c>
      <c r="J302" s="91">
        <v>-2.6545326189459911E-2</v>
      </c>
      <c r="K302" s="80">
        <f t="shared" si="21"/>
        <v>21.202752189058707</v>
      </c>
      <c r="AP302" s="21"/>
      <c r="AQ302" s="21"/>
      <c r="AR302" s="21"/>
      <c r="AS302" s="21"/>
    </row>
    <row r="303" spans="1:45" x14ac:dyDescent="0.15">
      <c r="A303" s="75">
        <v>43586</v>
      </c>
      <c r="B303" s="93">
        <f t="shared" si="19"/>
        <v>2019</v>
      </c>
      <c r="C303" s="77">
        <v>3.9765000000000006</v>
      </c>
      <c r="D303" s="78">
        <f>IF(GasSwitch=0,VLOOKUP($A303,[5]!GasCurve,4),VLOOKUP($A303,[5]!AecoCurve,5))</f>
        <v>3.6825000000000001</v>
      </c>
      <c r="E303" s="91">
        <v>1.1726093007396403E-2</v>
      </c>
      <c r="F303" s="80">
        <f t="shared" si="20"/>
        <v>3.9787631403687094</v>
      </c>
      <c r="H303" s="81">
        <v>21.167999999999999</v>
      </c>
      <c r="I303" s="78">
        <v>21.167999999999999</v>
      </c>
      <c r="J303" s="91">
        <v>-4.3817538592153982E-2</v>
      </c>
      <c r="K303" s="80">
        <f t="shared" si="21"/>
        <v>21.126399338124553</v>
      </c>
      <c r="AP303" s="21"/>
      <c r="AQ303" s="21"/>
      <c r="AR303" s="21"/>
      <c r="AS303" s="21"/>
    </row>
    <row r="304" spans="1:45" x14ac:dyDescent="0.15">
      <c r="A304" s="75">
        <v>43617</v>
      </c>
      <c r="B304" s="93">
        <f t="shared" si="19"/>
        <v>2019</v>
      </c>
      <c r="C304" s="77">
        <v>3.9824999999999999</v>
      </c>
      <c r="D304" s="78">
        <f>IF(GasSwitch=0,VLOOKUP($A304,[5]!GasCurve,4),VLOOKUP($A304,[5]!AecoCurve,5))</f>
        <v>3.7075</v>
      </c>
      <c r="E304" s="91">
        <v>6.4403171358732178E-2</v>
      </c>
      <c r="F304" s="80">
        <f t="shared" si="20"/>
        <v>4.0241354085143524</v>
      </c>
      <c r="H304" s="81">
        <v>21.167999999999999</v>
      </c>
      <c r="I304" s="78">
        <v>21.167999999999999</v>
      </c>
      <c r="J304" s="91">
        <v>-4.0370376726308506E-2</v>
      </c>
      <c r="K304" s="80">
        <f t="shared" si="21"/>
        <v>21.063341496777642</v>
      </c>
      <c r="AP304" s="21"/>
      <c r="AQ304" s="21"/>
      <c r="AR304" s="21"/>
      <c r="AS304" s="21"/>
    </row>
    <row r="305" spans="1:45" x14ac:dyDescent="0.15">
      <c r="A305" s="75">
        <v>43647</v>
      </c>
      <c r="B305" s="93">
        <f t="shared" si="19"/>
        <v>2019</v>
      </c>
      <c r="C305" s="77">
        <v>3.9925000000000002</v>
      </c>
      <c r="D305" s="78">
        <f>IF(GasSwitch=0,VLOOKUP($A305,[5]!GasCurve,4),VLOOKUP($A305,[5]!AecoCurve,5))</f>
        <v>3.7185000000000001</v>
      </c>
      <c r="E305" s="91">
        <v>1.0358126863586547E-3</v>
      </c>
      <c r="F305" s="80">
        <f t="shared" si="20"/>
        <v>4.0182075998079236</v>
      </c>
      <c r="H305" s="81">
        <v>21.167999999999999</v>
      </c>
      <c r="I305" s="78">
        <v>21.167999999999999</v>
      </c>
      <c r="J305" s="91">
        <v>-2.2971116100893793E-2</v>
      </c>
      <c r="K305" s="80">
        <f t="shared" si="21"/>
        <v>21.035478751404767</v>
      </c>
      <c r="AP305" s="21"/>
      <c r="AQ305" s="21"/>
      <c r="AR305" s="21"/>
      <c r="AS305" s="21"/>
    </row>
    <row r="306" spans="1:45" x14ac:dyDescent="0.15">
      <c r="A306" s="75">
        <v>43678</v>
      </c>
      <c r="B306" s="93">
        <f t="shared" si="19"/>
        <v>2019</v>
      </c>
      <c r="C306" s="77">
        <v>3.9994999999999998</v>
      </c>
      <c r="D306" s="78">
        <f>IF(GasSwitch=0,VLOOKUP($A306,[5]!GasCurve,4),VLOOKUP($A306,[5]!AecoCurve,5))</f>
        <v>3.7275</v>
      </c>
      <c r="E306" s="91">
        <v>1.1256651112216806E-2</v>
      </c>
      <c r="F306" s="80">
        <f t="shared" si="20"/>
        <v>4.0220447990468413</v>
      </c>
      <c r="H306" s="81">
        <v>21.167999999999999</v>
      </c>
      <c r="I306" s="78">
        <v>21.167999999999999</v>
      </c>
      <c r="J306" s="91">
        <v>3.1957298488075138E-2</v>
      </c>
      <c r="K306" s="80">
        <f t="shared" si="21"/>
        <v>21.101775299699852</v>
      </c>
      <c r="AP306" s="21"/>
      <c r="AQ306" s="21"/>
      <c r="AR306" s="21"/>
      <c r="AS306" s="21"/>
    </row>
    <row r="307" spans="1:45" x14ac:dyDescent="0.15">
      <c r="A307" s="75">
        <v>43709</v>
      </c>
      <c r="B307" s="93">
        <f t="shared" si="19"/>
        <v>2019</v>
      </c>
      <c r="C307" s="77">
        <v>4.0065000000000008</v>
      </c>
      <c r="D307" s="78">
        <f>IF(GasSwitch=0,VLOOKUP($A307,[5]!GasCurve,4),VLOOKUP($A307,[5]!AecoCurve,5))</f>
        <v>3.7185000000000001</v>
      </c>
      <c r="E307" s="91">
        <v>-7.2486220805011589E-2</v>
      </c>
      <c r="F307" s="80">
        <f t="shared" si="20"/>
        <v>3.9744935328274766</v>
      </c>
      <c r="H307" s="81">
        <v>21.167999999999999</v>
      </c>
      <c r="I307" s="78">
        <v>21.167999999999999</v>
      </c>
      <c r="J307" s="91">
        <v>-5.3130483999161336E-2</v>
      </c>
      <c r="K307" s="80">
        <f t="shared" si="21"/>
        <v>21.019922419654964</v>
      </c>
      <c r="AP307" s="21"/>
      <c r="AQ307" s="21"/>
      <c r="AR307" s="21"/>
      <c r="AS307" s="21"/>
    </row>
    <row r="308" spans="1:45" x14ac:dyDescent="0.15">
      <c r="A308" s="75">
        <v>43739</v>
      </c>
      <c r="B308" s="93">
        <f t="shared" si="19"/>
        <v>2019</v>
      </c>
      <c r="C308" s="77">
        <v>4.0324999999999998</v>
      </c>
      <c r="D308" s="78">
        <f>IF(GasSwitch=0,VLOOKUP($A308,[5]!GasCurve,4),VLOOKUP($A308,[5]!AecoCurve,5))</f>
        <v>3.7294999999999998</v>
      </c>
      <c r="E308" s="91">
        <v>2.7759757498213033E-2</v>
      </c>
      <c r="F308" s="80">
        <f t="shared" si="20"/>
        <v>4.0305882935775008</v>
      </c>
      <c r="H308" s="81">
        <v>21.167999999999999</v>
      </c>
      <c r="I308" s="78">
        <v>21.167999999999999</v>
      </c>
      <c r="J308" s="91">
        <v>3.077182767499451E-2</v>
      </c>
      <c r="K308" s="80">
        <f t="shared" si="21"/>
        <v>21.085786421360314</v>
      </c>
      <c r="AP308" s="21"/>
      <c r="AQ308" s="21"/>
      <c r="AR308" s="21"/>
      <c r="AS308" s="21"/>
    </row>
    <row r="309" spans="1:45" x14ac:dyDescent="0.15">
      <c r="A309" s="75">
        <v>43770</v>
      </c>
      <c r="B309" s="93">
        <f t="shared" si="19"/>
        <v>2019</v>
      </c>
      <c r="C309" s="77">
        <v>4.1675000000000004</v>
      </c>
      <c r="D309" s="78">
        <f>IF(GasSwitch=0,VLOOKUP($A309,[5]!GasCurve,4),VLOOKUP($A309,[5]!AecoCurve,5))</f>
        <v>3.7855000000000003</v>
      </c>
      <c r="E309" s="91">
        <v>3.2898266018854699E-3</v>
      </c>
      <c r="F309" s="80">
        <f t="shared" si="20"/>
        <v>4.1684201282242999</v>
      </c>
      <c r="H309" s="81">
        <v>21.167999999999999</v>
      </c>
      <c r="I309" s="78">
        <v>21.167999999999999</v>
      </c>
      <c r="J309" s="91">
        <v>-5.5515259519285307E-3</v>
      </c>
      <c r="K309" s="80">
        <f t="shared" si="21"/>
        <v>21.084687826461636</v>
      </c>
      <c r="AP309" s="21"/>
      <c r="AQ309" s="21"/>
      <c r="AR309" s="21"/>
      <c r="AS309" s="21"/>
    </row>
    <row r="310" spans="1:45" x14ac:dyDescent="0.15">
      <c r="A310" s="75">
        <v>43800</v>
      </c>
      <c r="B310" s="93">
        <f t="shared" si="19"/>
        <v>2019</v>
      </c>
      <c r="C310" s="77">
        <v>4.2915000000000001</v>
      </c>
      <c r="D310" s="78">
        <f>IF(GasSwitch=0,VLOOKUP($A310,[5]!GasCurve,4),VLOOKUP($A310,[5]!AecoCurve,5))</f>
        <v>3.8635000000000002</v>
      </c>
      <c r="E310" s="91">
        <v>-2.4983979674121488E-2</v>
      </c>
      <c r="F310" s="80">
        <f t="shared" si="20"/>
        <v>4.2760623913943565</v>
      </c>
      <c r="H310" s="81">
        <v>21.167999999999999</v>
      </c>
      <c r="I310" s="78">
        <v>21.167999999999999</v>
      </c>
      <c r="J310" s="91">
        <v>4.0846765409849536E-2</v>
      </c>
      <c r="K310" s="80">
        <f t="shared" si="21"/>
        <v>21.160904749283922</v>
      </c>
      <c r="AP310" s="21"/>
      <c r="AQ310" s="21"/>
      <c r="AR310" s="21"/>
      <c r="AS310" s="21"/>
    </row>
    <row r="311" spans="1:45" x14ac:dyDescent="0.15">
      <c r="A311" s="75">
        <v>43831</v>
      </c>
      <c r="B311" s="93">
        <f t="shared" si="19"/>
        <v>2020</v>
      </c>
      <c r="C311" s="77">
        <v>4.415</v>
      </c>
      <c r="D311" s="78">
        <f>IF(GasSwitch=0,VLOOKUP($A311,[5]!GasCurve,4),VLOOKUP($A311,[5]!AecoCurve,5))</f>
        <v>3.8940000000000006</v>
      </c>
      <c r="E311" s="91">
        <v>1.0554780470057298E-2</v>
      </c>
      <c r="F311" s="80">
        <f t="shared" si="20"/>
        <v>4.4125520519874817</v>
      </c>
      <c r="H311" s="81">
        <v>21.167999999999999</v>
      </c>
      <c r="I311" s="78">
        <v>21.167999999999999</v>
      </c>
      <c r="J311" s="91">
        <v>3.3873264831525196E-2</v>
      </c>
      <c r="K311" s="80">
        <f t="shared" si="21"/>
        <v>21.21797229178447</v>
      </c>
      <c r="AP311" s="21"/>
      <c r="AQ311" s="21"/>
      <c r="AR311" s="21"/>
      <c r="AS311" s="21"/>
    </row>
    <row r="312" spans="1:45" x14ac:dyDescent="0.15">
      <c r="A312" s="75">
        <v>43862</v>
      </c>
      <c r="B312" s="93">
        <f t="shared" si="19"/>
        <v>2020</v>
      </c>
      <c r="C312" s="77">
        <v>4.2969999999999997</v>
      </c>
      <c r="D312" s="78">
        <f>IF(GasSwitch=0,VLOOKUP($A312,[5]!GasCurve,4),VLOOKUP($A312,[5]!AecoCurve,5))</f>
        <v>3.8490000000000006</v>
      </c>
      <c r="E312" s="91">
        <v>3.0954912739788381E-2</v>
      </c>
      <c r="F312" s="80">
        <f t="shared" si="20"/>
        <v>4.3159118875126836</v>
      </c>
      <c r="H312" s="81">
        <v>21.167999999999999</v>
      </c>
      <c r="I312" s="78">
        <v>21.167999999999999</v>
      </c>
      <c r="J312" s="91">
        <v>3.1302752718386138E-3</v>
      </c>
      <c r="K312" s="80">
        <f t="shared" si="21"/>
        <v>21.218233812950146</v>
      </c>
      <c r="AP312" s="21"/>
      <c r="AQ312" s="21"/>
      <c r="AR312" s="21"/>
      <c r="AS312" s="21"/>
    </row>
    <row r="313" spans="1:45" x14ac:dyDescent="0.15">
      <c r="A313" s="75">
        <v>43891</v>
      </c>
      <c r="B313" s="93">
        <f t="shared" si="19"/>
        <v>2020</v>
      </c>
      <c r="C313" s="77">
        <v>4.1769999999999996</v>
      </c>
      <c r="D313" s="78">
        <f>IF(GasSwitch=0,VLOOKUP($A313,[5]!GasCurve,4),VLOOKUP($A313,[5]!AecoCurve,5))</f>
        <v>3.7850000000000001</v>
      </c>
      <c r="E313" s="91">
        <v>2.490377084328935E-2</v>
      </c>
      <c r="F313" s="80">
        <f t="shared" si="20"/>
        <v>4.204600729156164</v>
      </c>
      <c r="H313" s="81">
        <v>21.167999999999999</v>
      </c>
      <c r="I313" s="78">
        <v>21.167999999999999</v>
      </c>
      <c r="J313" s="91">
        <v>-5.9373832020136576E-3</v>
      </c>
      <c r="K313" s="80">
        <f t="shared" si="21"/>
        <v>21.20338085981993</v>
      </c>
      <c r="AP313" s="21"/>
      <c r="AQ313" s="21"/>
      <c r="AR313" s="21"/>
      <c r="AS313" s="21"/>
    </row>
    <row r="314" spans="1:45" x14ac:dyDescent="0.15">
      <c r="A314" s="75">
        <v>43922</v>
      </c>
      <c r="B314" s="93">
        <f t="shared" si="19"/>
        <v>2020</v>
      </c>
      <c r="C314" s="77">
        <v>4.1275000000000004</v>
      </c>
      <c r="D314" s="78">
        <f>IF(GasSwitch=0,VLOOKUP($A314,[5]!GasCurve,4),VLOOKUP($A314,[5]!AecoCurve,5))</f>
        <v>3.7360000000000002</v>
      </c>
      <c r="E314" s="91">
        <v>-1.8870276984626358E-2</v>
      </c>
      <c r="F314" s="80">
        <f t="shared" si="20"/>
        <v>4.1319796328114888</v>
      </c>
      <c r="H314" s="81">
        <v>21.167999999999999</v>
      </c>
      <c r="I314" s="78">
        <v>21.167999999999999</v>
      </c>
      <c r="J314" s="91">
        <v>-8.6843659424198326E-3</v>
      </c>
      <c r="K314" s="80">
        <f t="shared" si="21"/>
        <v>21.18542736976957</v>
      </c>
      <c r="AP314" s="21"/>
      <c r="AQ314" s="21"/>
      <c r="AR314" s="21"/>
      <c r="AS314" s="21"/>
    </row>
    <row r="315" spans="1:45" x14ac:dyDescent="0.15">
      <c r="A315" s="75">
        <v>43952</v>
      </c>
      <c r="B315" s="93">
        <f t="shared" si="19"/>
        <v>2020</v>
      </c>
      <c r="C315" s="77">
        <v>4.1015000000000006</v>
      </c>
      <c r="D315" s="78">
        <f>IF(GasSwitch=0,VLOOKUP($A315,[5]!GasCurve,4),VLOOKUP($A315,[5]!AecoCurve,5))</f>
        <v>3.7530000000000001</v>
      </c>
      <c r="E315" s="91">
        <v>-2.9099121892687883E-3</v>
      </c>
      <c r="F315" s="80">
        <f t="shared" si="20"/>
        <v>4.1023414725037055</v>
      </c>
      <c r="H315" s="81">
        <v>21.167999999999999</v>
      </c>
      <c r="I315" s="78">
        <v>21.167999999999999</v>
      </c>
      <c r="J315" s="91">
        <v>-5.8835305055808626E-2</v>
      </c>
      <c r="K315" s="80">
        <f t="shared" si="21"/>
        <v>21.085800112549517</v>
      </c>
      <c r="AP315" s="21"/>
      <c r="AQ315" s="21"/>
      <c r="AR315" s="21"/>
      <c r="AS315" s="21"/>
    </row>
    <row r="316" spans="1:45" x14ac:dyDescent="0.15">
      <c r="A316" s="75">
        <v>43983</v>
      </c>
      <c r="B316" s="93">
        <f t="shared" si="19"/>
        <v>2020</v>
      </c>
      <c r="C316" s="77">
        <v>4.1074999999999999</v>
      </c>
      <c r="D316" s="78">
        <f>IF(GasSwitch=0,VLOOKUP($A316,[5]!GasCurve,4),VLOOKUP($A316,[5]!AecoCurve,5))</f>
        <v>3.7790000000000004</v>
      </c>
      <c r="E316" s="91">
        <v>5.0073898496251136E-2</v>
      </c>
      <c r="F316" s="80">
        <f t="shared" si="20"/>
        <v>4.1398018391962941</v>
      </c>
      <c r="H316" s="81">
        <v>21.167999999999999</v>
      </c>
      <c r="I316" s="78">
        <v>21.167999999999999</v>
      </c>
      <c r="J316" s="91">
        <v>-4.7584861730941112E-3</v>
      </c>
      <c r="K316" s="80">
        <f t="shared" si="21"/>
        <v>21.086019780415089</v>
      </c>
      <c r="AP316" s="21"/>
      <c r="AQ316" s="21"/>
      <c r="AR316" s="21"/>
      <c r="AS316" s="21"/>
    </row>
    <row r="317" spans="1:45" x14ac:dyDescent="0.15">
      <c r="A317" s="75">
        <v>44013</v>
      </c>
      <c r="B317" s="93">
        <f t="shared" si="19"/>
        <v>2020</v>
      </c>
      <c r="C317" s="77">
        <v>4.1174999999999997</v>
      </c>
      <c r="D317" s="78">
        <f>IF(GasSwitch=0,VLOOKUP($A317,[5]!GasCurve,4),VLOOKUP($A317,[5]!AecoCurve,5))</f>
        <v>3.79</v>
      </c>
      <c r="E317" s="91">
        <v>-1.5841365254524072E-2</v>
      </c>
      <c r="F317" s="80">
        <f t="shared" si="20"/>
        <v>4.1268346281424062</v>
      </c>
      <c r="H317" s="81">
        <v>21.167999999999999</v>
      </c>
      <c r="I317" s="78">
        <v>21.167999999999999</v>
      </c>
      <c r="J317" s="91">
        <v>-2.359239495708803E-3</v>
      </c>
      <c r="K317" s="80">
        <f t="shared" si="21"/>
        <v>21.090210047633136</v>
      </c>
      <c r="AP317" s="21"/>
      <c r="AQ317" s="21"/>
      <c r="AR317" s="21"/>
      <c r="AS317" s="21"/>
    </row>
    <row r="318" spans="1:45" x14ac:dyDescent="0.15">
      <c r="A318" s="75">
        <v>44044</v>
      </c>
      <c r="B318" s="93">
        <f t="shared" si="19"/>
        <v>2020</v>
      </c>
      <c r="C318" s="77">
        <v>4.1245000000000003</v>
      </c>
      <c r="D318" s="78">
        <f>IF(GasSwitch=0,VLOOKUP($A318,[5]!GasCurve,4),VLOOKUP($A318,[5]!AecoCurve,5))</f>
        <v>3.7990000000000004</v>
      </c>
      <c r="E318" s="91">
        <v>1.0775420806930646E-3</v>
      </c>
      <c r="F318" s="80">
        <f t="shared" si="20"/>
        <v>4.1308038259928708</v>
      </c>
      <c r="H318" s="81">
        <v>21.167999999999999</v>
      </c>
      <c r="I318" s="78">
        <v>21.167999999999999</v>
      </c>
      <c r="J318" s="91">
        <v>-6.9721247770127429E-3</v>
      </c>
      <c r="K318" s="80">
        <f t="shared" si="21"/>
        <v>21.086309637288508</v>
      </c>
      <c r="AP318" s="21"/>
      <c r="AQ318" s="21"/>
      <c r="AR318" s="21"/>
      <c r="AS318" s="21"/>
    </row>
    <row r="319" spans="1:45" x14ac:dyDescent="0.15">
      <c r="A319" s="75">
        <v>44075</v>
      </c>
      <c r="B319" s="93">
        <f t="shared" si="19"/>
        <v>2020</v>
      </c>
      <c r="C319" s="77">
        <v>4.1315000000000008</v>
      </c>
      <c r="D319" s="78">
        <f>IF(GasSwitch=0,VLOOKUP($A319,[5]!GasCurve,4),VLOOKUP($A319,[5]!AecoCurve,5))</f>
        <v>3.7890000000000006</v>
      </c>
      <c r="E319" s="91">
        <v>-7.2106040222814055E-2</v>
      </c>
      <c r="F319" s="80">
        <f t="shared" si="20"/>
        <v>4.0893498885830857</v>
      </c>
      <c r="H319" s="81">
        <v>21.167999999999999</v>
      </c>
      <c r="I319" s="78">
        <v>21.167999999999999</v>
      </c>
      <c r="J319" s="91">
        <v>-1.651827668922053E-2</v>
      </c>
      <c r="K319" s="80">
        <f t="shared" si="21"/>
        <v>21.066910570786082</v>
      </c>
      <c r="AP319" s="21"/>
      <c r="AQ319" s="21"/>
      <c r="AR319" s="21"/>
      <c r="AS319" s="21"/>
    </row>
    <row r="320" spans="1:45" x14ac:dyDescent="0.15">
      <c r="A320" s="75">
        <v>44105</v>
      </c>
      <c r="B320" s="93">
        <f t="shared" si="19"/>
        <v>2020</v>
      </c>
      <c r="C320" s="77">
        <v>4.1574999999999998</v>
      </c>
      <c r="D320" s="78">
        <f>IF(GasSwitch=0,VLOOKUP($A320,[5]!GasCurve,4),VLOOKUP($A320,[5]!AecoCurve,5))</f>
        <v>3.7990000000000004</v>
      </c>
      <c r="E320" s="91">
        <v>2.6907046321834167E-2</v>
      </c>
      <c r="F320" s="80">
        <f t="shared" si="20"/>
        <v>4.1491921649485413</v>
      </c>
      <c r="H320" s="81">
        <v>21.167999999999999</v>
      </c>
      <c r="I320" s="78">
        <v>21.167999999999999</v>
      </c>
      <c r="J320" s="91">
        <v>5.3923483162273807E-2</v>
      </c>
      <c r="K320" s="80">
        <f t="shared" si="21"/>
        <v>21.166647100260281</v>
      </c>
      <c r="AP320" s="21"/>
      <c r="AQ320" s="21"/>
      <c r="AR320" s="21"/>
      <c r="AS320" s="21"/>
    </row>
    <row r="321" spans="1:45" x14ac:dyDescent="0.15">
      <c r="A321" s="75">
        <v>44136</v>
      </c>
      <c r="B321" s="93">
        <f t="shared" si="19"/>
        <v>2020</v>
      </c>
      <c r="C321" s="77">
        <v>4.2925000000000004</v>
      </c>
      <c r="D321" s="78">
        <f>IF(GasSwitch=0,VLOOKUP($A321,[5]!GasCurve,4),VLOOKUP($A321,[5]!AecoCurve,5))</f>
        <v>3.85</v>
      </c>
      <c r="E321" s="91">
        <v>-5.8217243080998342E-3</v>
      </c>
      <c r="F321" s="80">
        <f t="shared" si="20"/>
        <v>4.2837826738548914</v>
      </c>
      <c r="H321" s="81">
        <v>21.167999999999999</v>
      </c>
      <c r="I321" s="78">
        <v>21.167999999999999</v>
      </c>
      <c r="J321" s="91">
        <v>-7.0865785005754548E-3</v>
      </c>
      <c r="K321" s="80">
        <f t="shared" si="21"/>
        <v>21.154988970709557</v>
      </c>
      <c r="AP321" s="21"/>
      <c r="AQ321" s="21"/>
      <c r="AR321" s="21"/>
      <c r="AS321" s="21"/>
    </row>
    <row r="322" spans="1:45" x14ac:dyDescent="0.15">
      <c r="A322" s="75">
        <v>44166</v>
      </c>
      <c r="B322" s="93">
        <f t="shared" si="19"/>
        <v>2020</v>
      </c>
      <c r="C322" s="77">
        <v>4.4165000000000001</v>
      </c>
      <c r="D322" s="78">
        <f>IF(GasSwitch=0,VLOOKUP($A322,[5]!GasCurve,4),VLOOKUP($A322,[5]!AecoCurve,5))</f>
        <v>3.9249999999999998</v>
      </c>
      <c r="E322" s="91">
        <v>-9.8067356602933014E-3</v>
      </c>
      <c r="F322" s="80">
        <f t="shared" si="20"/>
        <v>4.4048907108461517</v>
      </c>
      <c r="H322" s="81">
        <v>21.167999999999999</v>
      </c>
      <c r="I322" s="78">
        <v>21.167999999999999</v>
      </c>
      <c r="J322" s="91">
        <v>5.4417965672497121E-3</v>
      </c>
      <c r="K322" s="80">
        <f t="shared" si="21"/>
        <v>21.165332212097212</v>
      </c>
      <c r="AP322" s="21"/>
      <c r="AQ322" s="21"/>
      <c r="AR322" s="21"/>
      <c r="AS322" s="21"/>
    </row>
    <row r="323" spans="1:45" x14ac:dyDescent="0.15">
      <c r="A323" s="75">
        <v>44197</v>
      </c>
      <c r="B323" s="93">
        <f t="shared" si="19"/>
        <v>2021</v>
      </c>
      <c r="C323" s="77">
        <v>4.5449999999999999</v>
      </c>
      <c r="D323" s="78">
        <f>IF(GasSwitch=0,VLOOKUP($A323,[5]!GasCurve,4),VLOOKUP($A323,[5]!AecoCurve,5))</f>
        <v>3.9535000000000005</v>
      </c>
      <c r="E323" s="91">
        <v>3.0766269207016389E-2</v>
      </c>
      <c r="F323" s="80">
        <f t="shared" si="20"/>
        <v>4.5582567663274105</v>
      </c>
      <c r="H323" s="81">
        <v>21.167999999999999</v>
      </c>
      <c r="I323" s="78">
        <v>21.167999999999999</v>
      </c>
      <c r="J323" s="91">
        <v>1.4721183063859162E-2</v>
      </c>
      <c r="K323" s="80">
        <f t="shared" si="21"/>
        <v>21.190092371717849</v>
      </c>
      <c r="AP323" s="21"/>
      <c r="AQ323" s="21"/>
      <c r="AR323" s="21"/>
      <c r="AS323" s="21"/>
    </row>
    <row r="324" spans="1:45" x14ac:dyDescent="0.15">
      <c r="A324" s="75">
        <v>44228</v>
      </c>
      <c r="B324" s="93">
        <f t="shared" si="19"/>
        <v>2021</v>
      </c>
      <c r="C324" s="77">
        <v>4.4269999999999996</v>
      </c>
      <c r="D324" s="78">
        <f>IF(GasSwitch=0,VLOOKUP($A324,[5]!GasCurve,4),VLOOKUP($A324,[5]!AecoCurve,5))</f>
        <v>3.9125000000000001</v>
      </c>
      <c r="E324" s="91">
        <v>-4.7396409161710576E-2</v>
      </c>
      <c r="F324" s="80">
        <f t="shared" si="20"/>
        <v>4.4032543283642127</v>
      </c>
      <c r="H324" s="81">
        <v>21.167999999999999</v>
      </c>
      <c r="I324" s="78">
        <v>21.167999999999999</v>
      </c>
      <c r="J324" s="91">
        <v>-5.1470398342130221E-2</v>
      </c>
      <c r="K324" s="80">
        <f t="shared" si="21"/>
        <v>21.102258484076476</v>
      </c>
      <c r="AP324" s="21"/>
      <c r="AQ324" s="21"/>
      <c r="AR324" s="21"/>
      <c r="AS324" s="21"/>
    </row>
    <row r="325" spans="1:45" x14ac:dyDescent="0.15">
      <c r="A325" s="75">
        <v>44256</v>
      </c>
      <c r="B325" s="93">
        <f t="shared" si="19"/>
        <v>2021</v>
      </c>
      <c r="C325" s="77">
        <v>4.3070000000000004</v>
      </c>
      <c r="D325" s="78">
        <f>IF(GasSwitch=0,VLOOKUP($A325,[5]!GasCurve,4),VLOOKUP($A325,[5]!AecoCurve,5))</f>
        <v>3.8515000000000006</v>
      </c>
      <c r="E325" s="91">
        <v>-3.0410433688760837E-2</v>
      </c>
      <c r="F325" s="80">
        <f t="shared" si="20"/>
        <v>4.2727044637966944</v>
      </c>
      <c r="H325" s="81">
        <v>21.167999999999999</v>
      </c>
      <c r="I325" s="78">
        <v>21.167999999999999</v>
      </c>
      <c r="J325" s="91">
        <v>7.8242237876494786E-3</v>
      </c>
      <c r="K325" s="80">
        <f t="shared" si="21"/>
        <v>21.121786402535552</v>
      </c>
      <c r="AP325" s="21"/>
      <c r="AQ325" s="21"/>
      <c r="AR325" s="21"/>
      <c r="AS325" s="21"/>
    </row>
    <row r="326" spans="1:45" x14ac:dyDescent="0.15">
      <c r="A326" s="75">
        <v>44287</v>
      </c>
      <c r="B326" s="93">
        <f t="shared" si="19"/>
        <v>2021</v>
      </c>
      <c r="C326" s="77">
        <v>4.2575000000000003</v>
      </c>
      <c r="D326" s="78">
        <f>IF(GasSwitch=0,VLOOKUP($A326,[5]!GasCurve,4),VLOOKUP($A326,[5]!AecoCurve,5))</f>
        <v>3.8055000000000003</v>
      </c>
      <c r="E326" s="91">
        <v>-6.4073859674748995E-3</v>
      </c>
      <c r="F326" s="80">
        <f t="shared" si="20"/>
        <v>4.2327088266798958</v>
      </c>
      <c r="H326" s="81">
        <v>21.167999999999999</v>
      </c>
      <c r="I326" s="78">
        <v>21.167999999999999</v>
      </c>
      <c r="J326" s="91">
        <v>-3.815107897317991E-2</v>
      </c>
      <c r="K326" s="80">
        <f t="shared" si="21"/>
        <v>21.062878153273161</v>
      </c>
      <c r="AP326" s="21"/>
      <c r="AQ326" s="21"/>
      <c r="AR326" s="21"/>
      <c r="AS326" s="21"/>
    </row>
    <row r="327" spans="1:45" x14ac:dyDescent="0.15">
      <c r="A327" s="75">
        <v>44317</v>
      </c>
      <c r="B327" s="93">
        <f t="shared" si="19"/>
        <v>2021</v>
      </c>
      <c r="C327" s="77">
        <v>4.2315000000000005</v>
      </c>
      <c r="D327" s="78">
        <f>IF(GasSwitch=0,VLOOKUP($A327,[5]!GasCurve,4),VLOOKUP($A327,[5]!AecoCurve,5))</f>
        <v>3.8235000000000001</v>
      </c>
      <c r="E327" s="91">
        <v>-4.0052411392795372E-3</v>
      </c>
      <c r="F327" s="80">
        <f t="shared" si="20"/>
        <v>4.2139973685265684</v>
      </c>
      <c r="H327" s="81">
        <v>21.167999999999999</v>
      </c>
      <c r="I327" s="78">
        <v>21.167999999999999</v>
      </c>
      <c r="J327" s="91">
        <v>-2.5591069721146924E-2</v>
      </c>
      <c r="K327" s="80">
        <f t="shared" si="21"/>
        <v>21.03070167608313</v>
      </c>
      <c r="AP327" s="21"/>
      <c r="AQ327" s="21"/>
      <c r="AR327" s="21"/>
      <c r="AS327" s="21"/>
    </row>
    <row r="328" spans="1:45" x14ac:dyDescent="0.15">
      <c r="A328" s="75">
        <v>44348</v>
      </c>
      <c r="B328" s="93">
        <f t="shared" si="19"/>
        <v>2021</v>
      </c>
      <c r="C328" s="77">
        <v>4.2374999999999998</v>
      </c>
      <c r="D328" s="78">
        <f>IF(GasSwitch=0,VLOOKUP($A328,[5]!GasCurve,4),VLOOKUP($A328,[5]!AecoCurve,5))</f>
        <v>3.8505000000000003</v>
      </c>
      <c r="E328" s="91">
        <v>3.3592154672870446E-2</v>
      </c>
      <c r="F328" s="80">
        <f t="shared" si="20"/>
        <v>4.2485852660183463</v>
      </c>
      <c r="H328" s="81">
        <v>21.167999999999999</v>
      </c>
      <c r="I328" s="78">
        <v>21.167999999999999</v>
      </c>
      <c r="J328" s="91">
        <v>-5.6326575197344787E-3</v>
      </c>
      <c r="K328" s="80">
        <f t="shared" si="21"/>
        <v>21.034921468038061</v>
      </c>
      <c r="AP328" s="21"/>
      <c r="AQ328" s="21"/>
      <c r="AR328" s="21"/>
      <c r="AS328" s="21"/>
    </row>
    <row r="329" spans="1:45" x14ac:dyDescent="0.15">
      <c r="A329" s="75">
        <v>44378</v>
      </c>
      <c r="B329" s="93">
        <f t="shared" si="19"/>
        <v>2021</v>
      </c>
      <c r="C329" s="77">
        <v>4.2474999999999996</v>
      </c>
      <c r="D329" s="78">
        <f>IF(GasSwitch=0,VLOOKUP($A329,[5]!GasCurve,4),VLOOKUP($A329,[5]!AecoCurve,5))</f>
        <v>3.8615000000000004</v>
      </c>
      <c r="E329" s="91">
        <v>-1.3634740037062901E-2</v>
      </c>
      <c r="F329" s="80">
        <f t="shared" si="20"/>
        <v>4.2453604909420486</v>
      </c>
      <c r="H329" s="81">
        <v>21.167999999999999</v>
      </c>
      <c r="I329" s="78">
        <v>21.167999999999999</v>
      </c>
      <c r="J329" s="91">
        <v>-1.6997927655443596E-3</v>
      </c>
      <c r="K329" s="80">
        <f t="shared" si="21"/>
        <v>21.045267787540428</v>
      </c>
      <c r="AP329" s="21"/>
      <c r="AQ329" s="21"/>
      <c r="AR329" s="21"/>
      <c r="AS329" s="21"/>
    </row>
    <row r="330" spans="1:45" x14ac:dyDescent="0.15">
      <c r="A330" s="75">
        <v>44409</v>
      </c>
      <c r="B330" s="93">
        <f t="shared" si="19"/>
        <v>2021</v>
      </c>
      <c r="C330" s="77">
        <v>4.2545000000000002</v>
      </c>
      <c r="D330" s="78">
        <f>IF(GasSwitch=0,VLOOKUP($A330,[5]!GasCurve,4),VLOOKUP($A330,[5]!AecoCurve,5))</f>
        <v>3.8705000000000003</v>
      </c>
      <c r="E330" s="91">
        <v>1.3696943616486244E-2</v>
      </c>
      <c r="F330" s="80">
        <f t="shared" si="20"/>
        <v>4.2620599012539087</v>
      </c>
      <c r="H330" s="81">
        <v>21.167999999999999</v>
      </c>
      <c r="I330" s="78">
        <v>21.167999999999999</v>
      </c>
      <c r="J330" s="91">
        <v>3.9624893420728523E-2</v>
      </c>
      <c r="K330" s="80">
        <f t="shared" si="21"/>
        <v>21.12335409922602</v>
      </c>
      <c r="AP330" s="21"/>
      <c r="AQ330" s="21"/>
      <c r="AR330" s="21"/>
      <c r="AS330" s="21"/>
    </row>
    <row r="331" spans="1:45" x14ac:dyDescent="0.15">
      <c r="A331" s="75">
        <v>44440</v>
      </c>
      <c r="B331" s="93">
        <f t="shared" si="19"/>
        <v>2021</v>
      </c>
      <c r="C331" s="77">
        <v>4.2615000000000007</v>
      </c>
      <c r="D331" s="78">
        <f>IF(GasSwitch=0,VLOOKUP($A331,[5]!GasCurve,4),VLOOKUP($A331,[5]!AecoCurve,5))</f>
        <v>3.8595000000000002</v>
      </c>
      <c r="E331" s="91">
        <v>2.1594754065429173E-2</v>
      </c>
      <c r="F331" s="80">
        <f t="shared" si="20"/>
        <v>4.280025956962981</v>
      </c>
      <c r="H331" s="81">
        <v>21.167999999999999</v>
      </c>
      <c r="I331" s="78">
        <v>21.167999999999999</v>
      </c>
      <c r="J331" s="91">
        <v>2.2005347018425311E-2</v>
      </c>
      <c r="K331" s="80">
        <f t="shared" si="21"/>
        <v>21.164390940841304</v>
      </c>
      <c r="AP331" s="21"/>
      <c r="AQ331" s="21"/>
      <c r="AR331" s="21"/>
      <c r="AS331" s="21"/>
    </row>
    <row r="332" spans="1:45" x14ac:dyDescent="0.15">
      <c r="A332" s="75">
        <v>44470</v>
      </c>
      <c r="B332" s="93">
        <f t="shared" si="19"/>
        <v>2021</v>
      </c>
      <c r="C332" s="77">
        <v>4.2874999999999996</v>
      </c>
      <c r="D332" s="78">
        <f>IF(GasSwitch=0,VLOOKUP($A332,[5]!GasCurve,4),VLOOKUP($A332,[5]!AecoCurve,5))</f>
        <v>3.8685000000000005</v>
      </c>
      <c r="E332" s="91">
        <v>1.3322118562084444E-2</v>
      </c>
      <c r="F332" s="80">
        <f t="shared" si="20"/>
        <v>4.3072893247354997</v>
      </c>
      <c r="H332" s="81">
        <v>21.167999999999999</v>
      </c>
      <c r="I332" s="78">
        <v>21.167999999999999</v>
      </c>
      <c r="J332" s="91">
        <v>1.4223816829790546E-2</v>
      </c>
      <c r="K332" s="80">
        <f t="shared" si="21"/>
        <v>21.188416668902786</v>
      </c>
      <c r="AP332" s="21"/>
      <c r="AQ332" s="21"/>
      <c r="AR332" s="21"/>
      <c r="AS332" s="21"/>
    </row>
    <row r="333" spans="1:45" x14ac:dyDescent="0.15">
      <c r="A333" s="75">
        <v>44501</v>
      </c>
      <c r="B333" s="93">
        <f t="shared" si="19"/>
        <v>2021</v>
      </c>
      <c r="C333" s="77">
        <v>4.4225000000000003</v>
      </c>
      <c r="D333" s="78">
        <f>IF(GasSwitch=0,VLOOKUP($A333,[5]!GasCurve,4),VLOOKUP($A333,[5]!AecoCurve,5))</f>
        <v>3.9144999999999999</v>
      </c>
      <c r="E333" s="91">
        <v>1.1310297067151372E-2</v>
      </c>
      <c r="F333" s="80">
        <f t="shared" si="20"/>
        <v>4.4417681271156537</v>
      </c>
      <c r="H333" s="81">
        <v>21.167999999999999</v>
      </c>
      <c r="I333" s="78">
        <v>21.167999999999999</v>
      </c>
      <c r="J333" s="91">
        <v>-7.1494472759578848E-2</v>
      </c>
      <c r="K333" s="80">
        <f t="shared" si="21"/>
        <v>21.067428616009472</v>
      </c>
      <c r="AP333" s="21"/>
      <c r="AQ333" s="21"/>
      <c r="AR333" s="21"/>
      <c r="AS333" s="21"/>
    </row>
    <row r="334" spans="1:45" x14ac:dyDescent="0.15">
      <c r="A334" s="75">
        <v>44531</v>
      </c>
      <c r="B334" s="93">
        <f t="shared" si="19"/>
        <v>2021</v>
      </c>
      <c r="C334" s="77">
        <v>4.5465000000000009</v>
      </c>
      <c r="D334" s="78">
        <f>IF(GasSwitch=0,VLOOKUP($A334,[5]!GasCurve,4),VLOOKUP($A334,[5]!AecoCurve,5))</f>
        <v>3.9865000000000004</v>
      </c>
      <c r="E334" s="91">
        <v>4.4534927119600193E-2</v>
      </c>
      <c r="F334" s="80">
        <f t="shared" si="20"/>
        <v>4.5875205427248336</v>
      </c>
      <c r="H334" s="81">
        <v>21.167999999999999</v>
      </c>
      <c r="I334" s="78">
        <v>21.167999999999999</v>
      </c>
      <c r="J334" s="91">
        <v>-4.0590360314562181E-2</v>
      </c>
      <c r="K334" s="80">
        <f t="shared" si="21"/>
        <v>21.009842823461103</v>
      </c>
      <c r="AP334" s="21"/>
      <c r="AQ334" s="21"/>
      <c r="AR334" s="21"/>
      <c r="AS334" s="21"/>
    </row>
    <row r="335" spans="1:45" x14ac:dyDescent="0.15">
      <c r="A335" s="75">
        <v>44562</v>
      </c>
      <c r="B335" s="93">
        <f t="shared" si="19"/>
        <v>2022</v>
      </c>
      <c r="C335" s="77">
        <v>4.68</v>
      </c>
      <c r="D335" s="78">
        <f>IF(GasSwitch=0,VLOOKUP($A335,[5]!GasCurve,4),VLOOKUP($A335,[5]!AecoCurve,5))</f>
        <v>4.0129999999999999</v>
      </c>
      <c r="E335" s="91">
        <v>2.4665625367786347E-2</v>
      </c>
      <c r="F335" s="80">
        <f t="shared" si="20"/>
        <v>4.7212483878727554</v>
      </c>
      <c r="H335" s="81">
        <v>21.167999999999999</v>
      </c>
      <c r="I335" s="78">
        <v>21.167999999999999</v>
      </c>
      <c r="J335" s="91">
        <v>8.1075526017693449E-3</v>
      </c>
      <c r="K335" s="80">
        <f t="shared" si="21"/>
        <v>21.038991351467796</v>
      </c>
      <c r="AP335" s="21"/>
      <c r="AQ335" s="21"/>
      <c r="AR335" s="21"/>
      <c r="AS335" s="21"/>
    </row>
    <row r="336" spans="1:45" x14ac:dyDescent="0.15">
      <c r="A336" s="75">
        <v>44593</v>
      </c>
      <c r="B336" s="93">
        <f t="shared" si="19"/>
        <v>2022</v>
      </c>
      <c r="C336" s="77">
        <v>4.5620000000000003</v>
      </c>
      <c r="D336" s="78">
        <f>IF(GasSwitch=0,VLOOKUP($A336,[5]!GasCurve,4),VLOOKUP($A336,[5]!AecoCurve,5))</f>
        <v>3.9760000000000004</v>
      </c>
      <c r="E336" s="91">
        <v>1.1405780681438745E-2</v>
      </c>
      <c r="F336" s="80">
        <f t="shared" si="20"/>
        <v>4.5945927425270456</v>
      </c>
      <c r="H336" s="81">
        <v>21.167999999999999</v>
      </c>
      <c r="I336" s="78">
        <v>21.167999999999999</v>
      </c>
      <c r="J336" s="91">
        <v>-7.5568178333117308E-3</v>
      </c>
      <c r="K336" s="80">
        <f t="shared" si="21"/>
        <v>21.039188662797851</v>
      </c>
      <c r="AP336" s="21"/>
      <c r="AQ336" s="21"/>
      <c r="AR336" s="21"/>
      <c r="AS336" s="21"/>
    </row>
    <row r="337" spans="1:45" x14ac:dyDescent="0.15">
      <c r="A337" s="75">
        <v>44621</v>
      </c>
      <c r="B337" s="93">
        <f t="shared" si="19"/>
        <v>2022</v>
      </c>
      <c r="C337" s="77">
        <v>4.4420000000000002</v>
      </c>
      <c r="D337" s="78">
        <f>IF(GasSwitch=0,VLOOKUP($A337,[5]!GasCurve,4),VLOOKUP($A337,[5]!AecoCurve,5))</f>
        <v>3.9180000000000001</v>
      </c>
      <c r="E337" s="91">
        <v>1.6281950748103655E-2</v>
      </c>
      <c r="F337" s="80">
        <f t="shared" si="20"/>
        <v>4.4725555763470659</v>
      </c>
      <c r="H337" s="81">
        <v>21.167999999999999</v>
      </c>
      <c r="I337" s="78">
        <v>21.167999999999999</v>
      </c>
      <c r="J337" s="91">
        <v>-7.6893718872130092E-3</v>
      </c>
      <c r="K337" s="80">
        <f t="shared" si="21"/>
        <v>21.039145870360542</v>
      </c>
      <c r="AP337" s="21"/>
      <c r="AQ337" s="21"/>
      <c r="AR337" s="21"/>
      <c r="AS337" s="21"/>
    </row>
    <row r="338" spans="1:45" x14ac:dyDescent="0.15">
      <c r="A338" s="75">
        <v>44652</v>
      </c>
      <c r="B338" s="93">
        <f t="shared" si="19"/>
        <v>2022</v>
      </c>
      <c r="C338" s="77">
        <v>4.3925000000000001</v>
      </c>
      <c r="D338" s="78">
        <f>IF(GasSwitch=0,VLOOKUP($A338,[5]!GasCurve,4),VLOOKUP($A338,[5]!AecoCurve,5))</f>
        <v>3.875</v>
      </c>
      <c r="E338" s="91">
        <v>-3.6336659831116434E-4</v>
      </c>
      <c r="F338" s="80">
        <f t="shared" si="20"/>
        <v>4.4106474327427323</v>
      </c>
      <c r="H338" s="81">
        <v>21.167999999999999</v>
      </c>
      <c r="I338" s="78">
        <v>21.167999999999999</v>
      </c>
      <c r="J338" s="91">
        <v>-2.3557866886134583E-2</v>
      </c>
      <c r="K338" s="80">
        <f t="shared" si="21"/>
        <v>21.012702138696319</v>
      </c>
      <c r="AP338" s="21"/>
      <c r="AQ338" s="21"/>
      <c r="AR338" s="21"/>
      <c r="AS338" s="21"/>
    </row>
    <row r="339" spans="1:45" x14ac:dyDescent="0.15">
      <c r="A339" s="75">
        <v>44682</v>
      </c>
      <c r="B339" s="93">
        <f t="shared" si="19"/>
        <v>2022</v>
      </c>
      <c r="C339" s="77">
        <v>4.3665000000000003</v>
      </c>
      <c r="D339" s="78">
        <f>IF(GasSwitch=0,VLOOKUP($A339,[5]!GasCurve,4),VLOOKUP($A339,[5]!AecoCurve,5))</f>
        <v>3.8940000000000006</v>
      </c>
      <c r="E339" s="91">
        <v>-1.4944063814414228E-2</v>
      </c>
      <c r="F339" s="80">
        <f t="shared" si="20"/>
        <v>4.3675819784485999</v>
      </c>
      <c r="H339" s="81">
        <v>21.167999999999999</v>
      </c>
      <c r="I339" s="78">
        <v>21.167999999999999</v>
      </c>
      <c r="J339" s="91">
        <v>1.8461153327200067E-2</v>
      </c>
      <c r="K339" s="80">
        <f t="shared" si="21"/>
        <v>21.058795986101845</v>
      </c>
      <c r="AP339" s="21"/>
      <c r="AQ339" s="21"/>
      <c r="AR339" s="21"/>
      <c r="AS339" s="21"/>
    </row>
    <row r="340" spans="1:45" x14ac:dyDescent="0.15">
      <c r="A340" s="75">
        <v>44713</v>
      </c>
      <c r="B340" s="93">
        <f t="shared" si="19"/>
        <v>2022</v>
      </c>
      <c r="C340" s="77">
        <v>4.3724999999999996</v>
      </c>
      <c r="D340" s="78">
        <f>IF(GasSwitch=0,VLOOKUP($A340,[5]!GasCurve,4),VLOOKUP($A340,[5]!AecoCurve,5))</f>
        <v>3.9220000000000002</v>
      </c>
      <c r="E340" s="91">
        <v>2.3167188846900173E-2</v>
      </c>
      <c r="F340" s="80">
        <f t="shared" si="20"/>
        <v>4.3883297241612684</v>
      </c>
      <c r="H340" s="81">
        <v>21.167999999999999</v>
      </c>
      <c r="I340" s="78">
        <v>21.167999999999999</v>
      </c>
      <c r="J340" s="91">
        <v>3.0099658399453961E-2</v>
      </c>
      <c r="K340" s="80">
        <f t="shared" si="21"/>
        <v>21.119693015054455</v>
      </c>
      <c r="AP340" s="21"/>
      <c r="AQ340" s="21"/>
      <c r="AR340" s="21"/>
      <c r="AS340" s="21"/>
    </row>
    <row r="341" spans="1:45" x14ac:dyDescent="0.15">
      <c r="A341" s="75">
        <v>44743</v>
      </c>
      <c r="B341" s="93">
        <f t="shared" si="19"/>
        <v>2022</v>
      </c>
      <c r="C341" s="77">
        <v>4.3825000000000003</v>
      </c>
      <c r="D341" s="78">
        <f>IF(GasSwitch=0,VLOOKUP($A341,[5]!GasCurve,4),VLOOKUP($A341,[5]!AecoCurve,5))</f>
        <v>3.9330000000000003</v>
      </c>
      <c r="E341" s="91">
        <v>2.8026418030744508E-2</v>
      </c>
      <c r="F341" s="80">
        <f t="shared" si="20"/>
        <v>4.4104321308739003</v>
      </c>
      <c r="H341" s="81">
        <v>21.167999999999999</v>
      </c>
      <c r="I341" s="78">
        <v>21.167999999999999</v>
      </c>
      <c r="J341" s="91">
        <v>-5.1629167617202728E-3</v>
      </c>
      <c r="K341" s="80">
        <f t="shared" si="21"/>
        <v>21.115884313072559</v>
      </c>
      <c r="AP341" s="21"/>
      <c r="AQ341" s="21"/>
      <c r="AR341" s="21"/>
      <c r="AS341" s="21"/>
    </row>
    <row r="342" spans="1:45" x14ac:dyDescent="0.15">
      <c r="A342" s="75">
        <v>44774</v>
      </c>
      <c r="B342" s="93">
        <f t="shared" si="19"/>
        <v>2022</v>
      </c>
      <c r="C342" s="77">
        <v>4.3895</v>
      </c>
      <c r="D342" s="78">
        <f>IF(GasSwitch=0,VLOOKUP($A342,[5]!GasCurve,4),VLOOKUP($A342,[5]!AecoCurve,5))</f>
        <v>3.9420000000000002</v>
      </c>
      <c r="E342" s="91">
        <v>-1.8769119025229885E-2</v>
      </c>
      <c r="F342" s="80">
        <f t="shared" si="20"/>
        <v>4.3939523014574817</v>
      </c>
      <c r="H342" s="81">
        <v>21.167999999999999</v>
      </c>
      <c r="I342" s="78">
        <v>21.167999999999999</v>
      </c>
      <c r="J342" s="91">
        <v>5.3689172511408534E-2</v>
      </c>
      <c r="K342" s="80">
        <f t="shared" si="21"/>
        <v>21.210382549137361</v>
      </c>
      <c r="AP342" s="21"/>
      <c r="AQ342" s="21"/>
      <c r="AR342" s="21"/>
      <c r="AS342" s="21"/>
    </row>
    <row r="343" spans="1:45" x14ac:dyDescent="0.15">
      <c r="A343" s="75">
        <v>44805</v>
      </c>
      <c r="B343" s="93">
        <f t="shared" ref="B343:B363" si="22">YEAR(A343)</f>
        <v>2022</v>
      </c>
      <c r="C343" s="77">
        <v>4.3965000000000005</v>
      </c>
      <c r="D343" s="78">
        <f>IF(GasSwitch=0,VLOOKUP($A343,[5]!GasCurve,4),VLOOKUP($A343,[5]!AecoCurve,5))</f>
        <v>3.93</v>
      </c>
      <c r="E343" s="91">
        <v>3.4089126447791246E-2</v>
      </c>
      <c r="F343" s="80">
        <f t="shared" si="20"/>
        <v>4.4215811006725101</v>
      </c>
      <c r="H343" s="81">
        <v>21.167999999999999</v>
      </c>
      <c r="I343" s="78">
        <v>21.167999999999999</v>
      </c>
      <c r="J343" s="91">
        <v>-3.854861100523934E-2</v>
      </c>
      <c r="K343" s="80">
        <f t="shared" si="21"/>
        <v>21.142041788060045</v>
      </c>
      <c r="AP343" s="21"/>
      <c r="AQ343" s="21"/>
      <c r="AR343" s="21"/>
      <c r="AS343" s="21"/>
    </row>
    <row r="344" spans="1:45" x14ac:dyDescent="0.15">
      <c r="A344" s="75">
        <v>44835</v>
      </c>
      <c r="B344" s="93">
        <f t="shared" si="22"/>
        <v>2022</v>
      </c>
      <c r="C344" s="77">
        <v>4.4225000000000003</v>
      </c>
      <c r="D344" s="78">
        <f>IF(GasSwitch=0,VLOOKUP($A344,[5]!GasCurve,4),VLOOKUP($A344,[5]!AecoCurve,5))</f>
        <v>3.9380000000000002</v>
      </c>
      <c r="E344" s="91">
        <v>5.0613435495125241E-4</v>
      </c>
      <c r="F344" s="80">
        <f t="shared" si="20"/>
        <v>4.437927457176472</v>
      </c>
      <c r="H344" s="81">
        <v>21.167999999999999</v>
      </c>
      <c r="I344" s="78">
        <v>21.167999999999999</v>
      </c>
      <c r="J344" s="91">
        <v>9.7249246487925798E-3</v>
      </c>
      <c r="K344" s="80">
        <f t="shared" si="21"/>
        <v>21.160793925657693</v>
      </c>
      <c r="AP344" s="21"/>
      <c r="AQ344" s="21"/>
      <c r="AR344" s="21"/>
      <c r="AS344" s="21"/>
    </row>
    <row r="345" spans="1:45" x14ac:dyDescent="0.15">
      <c r="A345" s="75">
        <v>44866</v>
      </c>
      <c r="B345" s="93">
        <f t="shared" si="22"/>
        <v>2022</v>
      </c>
      <c r="C345" s="77">
        <v>4.5575000000000001</v>
      </c>
      <c r="D345" s="78">
        <f>IF(GasSwitch=0,VLOOKUP($A345,[5]!GasCurve,4),VLOOKUP($A345,[5]!AecoCurve,5))</f>
        <v>3.9790000000000005</v>
      </c>
      <c r="E345" s="91">
        <v>-1.8242037679894536E-2</v>
      </c>
      <c r="F345" s="80">
        <f t="shared" si="20"/>
        <v>4.5547366311547295</v>
      </c>
      <c r="H345" s="81">
        <v>21.167999999999999</v>
      </c>
      <c r="I345" s="78">
        <v>21.167999999999999</v>
      </c>
      <c r="J345" s="91">
        <v>3.9913620974631123E-2</v>
      </c>
      <c r="K345" s="80">
        <f t="shared" si="21"/>
        <v>21.227923592319367</v>
      </c>
      <c r="AP345" s="21"/>
      <c r="AQ345" s="21"/>
      <c r="AR345" s="21"/>
      <c r="AS345" s="21"/>
    </row>
    <row r="346" spans="1:45" x14ac:dyDescent="0.15">
      <c r="A346" s="75">
        <v>44896</v>
      </c>
      <c r="B346" s="93">
        <f t="shared" si="22"/>
        <v>2022</v>
      </c>
      <c r="C346" s="77">
        <v>4.6815000000000007</v>
      </c>
      <c r="D346" s="78">
        <f>IF(GasSwitch=0,VLOOKUP($A346,[5]!GasCurve,4),VLOOKUP($A346,[5]!AecoCurve,5))</f>
        <v>4.048</v>
      </c>
      <c r="E346" s="91">
        <v>-2.078084893665311E-3</v>
      </c>
      <c r="F346" s="80">
        <f t="shared" si="20"/>
        <v>4.6784466279796453</v>
      </c>
      <c r="H346" s="81">
        <v>21.167999999999999</v>
      </c>
      <c r="I346" s="78">
        <v>21.167999999999999</v>
      </c>
      <c r="J346" s="91">
        <v>1.0638787407090639E-2</v>
      </c>
      <c r="K346" s="80">
        <f t="shared" si="21"/>
        <v>21.239694098925149</v>
      </c>
      <c r="AP346" s="21"/>
      <c r="AQ346" s="21"/>
      <c r="AR346" s="21"/>
      <c r="AS346" s="21"/>
    </row>
    <row r="347" spans="1:45" x14ac:dyDescent="0.15">
      <c r="A347" s="75">
        <v>44927</v>
      </c>
      <c r="B347" s="93">
        <f t="shared" si="22"/>
        <v>2023</v>
      </c>
      <c r="C347" s="77">
        <v>4.82</v>
      </c>
      <c r="D347" s="78">
        <f>IF(GasSwitch=0,VLOOKUP($A347,[5]!GasCurve,4),VLOOKUP($A347,[5]!AecoCurve,5))</f>
        <v>4.0724999999999998</v>
      </c>
      <c r="E347" s="91">
        <v>4.7847482089314122E-2</v>
      </c>
      <c r="F347" s="80">
        <f t="shared" si="20"/>
        <v>4.8506074579251059</v>
      </c>
      <c r="H347" s="81">
        <v>21.167999999999999</v>
      </c>
      <c r="I347" s="78">
        <v>21.167999999999999</v>
      </c>
      <c r="J347" s="91">
        <v>2.3711995559155184E-2</v>
      </c>
      <c r="K347" s="80">
        <f t="shared" si="21"/>
        <v>21.272053143741992</v>
      </c>
      <c r="AP347" s="21"/>
      <c r="AQ347" s="21"/>
      <c r="AR347" s="21"/>
      <c r="AS347" s="21"/>
    </row>
    <row r="348" spans="1:45" x14ac:dyDescent="0.15">
      <c r="A348" s="75">
        <v>44958</v>
      </c>
      <c r="B348" s="93">
        <f t="shared" si="22"/>
        <v>2023</v>
      </c>
      <c r="C348" s="77">
        <v>4.702</v>
      </c>
      <c r="D348" s="78">
        <f>IF(GasSwitch=0,VLOOKUP($A348,[5]!GasCurve,4),VLOOKUP($A348,[5]!AecoCurve,5))</f>
        <v>4.0395000000000003</v>
      </c>
      <c r="E348" s="91">
        <v>6.7989733410615191E-2</v>
      </c>
      <c r="F348" s="80">
        <f t="shared" si="20"/>
        <v>4.7673634445634407</v>
      </c>
      <c r="H348" s="81">
        <v>21.167999999999999</v>
      </c>
      <c r="I348" s="78">
        <v>21.167999999999999</v>
      </c>
      <c r="J348" s="91">
        <v>9.7815249748179241E-3</v>
      </c>
      <c r="K348" s="80">
        <f t="shared" si="21"/>
        <v>21.278028340069632</v>
      </c>
      <c r="AP348" s="21"/>
      <c r="AQ348" s="21"/>
      <c r="AR348" s="21"/>
      <c r="AS348" s="21"/>
    </row>
    <row r="349" spans="1:45" x14ac:dyDescent="0.15">
      <c r="A349" s="75">
        <v>44986</v>
      </c>
      <c r="B349" s="93">
        <f t="shared" si="22"/>
        <v>2023</v>
      </c>
      <c r="C349" s="77">
        <v>4.5819999999999999</v>
      </c>
      <c r="D349" s="78">
        <f>IF(GasSwitch=0,VLOOKUP($A349,[5]!GasCurve,4),VLOOKUP($A349,[5]!AecoCurve,5))</f>
        <v>3.9845000000000002</v>
      </c>
      <c r="E349" s="91">
        <v>3.7870397464968036E-2</v>
      </c>
      <c r="F349" s="80">
        <f t="shared" si="20"/>
        <v>4.6472582004221135</v>
      </c>
      <c r="H349" s="81">
        <v>21.167999999999999</v>
      </c>
      <c r="I349" s="78">
        <v>21.167999999999999</v>
      </c>
      <c r="J349" s="91">
        <v>-1.8568178401648368E-2</v>
      </c>
      <c r="K349" s="80">
        <f t="shared" si="21"/>
        <v>21.236238085542393</v>
      </c>
      <c r="AP349" s="21"/>
      <c r="AQ349" s="21"/>
      <c r="AR349" s="21"/>
      <c r="AS349" s="21"/>
    </row>
    <row r="350" spans="1:45" x14ac:dyDescent="0.15">
      <c r="A350" s="75">
        <v>45017</v>
      </c>
      <c r="B350" s="93">
        <f t="shared" si="22"/>
        <v>2023</v>
      </c>
      <c r="C350" s="77">
        <v>4.5324999999999998</v>
      </c>
      <c r="D350" s="78">
        <f>IF(GasSwitch=0,VLOOKUP($A350,[5]!GasCurve,4),VLOOKUP($A350,[5]!AecoCurve,5))</f>
        <v>3.9445000000000001</v>
      </c>
      <c r="E350" s="91">
        <v>4.2402911252829904E-2</v>
      </c>
      <c r="F350" s="80">
        <f t="shared" si="20"/>
        <v>4.600429444244357</v>
      </c>
      <c r="H350" s="81">
        <v>21.167999999999999</v>
      </c>
      <c r="I350" s="78">
        <v>21.167999999999999</v>
      </c>
      <c r="J350" s="91">
        <v>-2.027982105726011E-2</v>
      </c>
      <c r="K350" s="80">
        <f t="shared" si="21"/>
        <v>21.195736892834415</v>
      </c>
      <c r="AP350" s="21"/>
      <c r="AQ350" s="21"/>
      <c r="AR350" s="21"/>
      <c r="AS350" s="21"/>
    </row>
    <row r="351" spans="1:45" x14ac:dyDescent="0.15">
      <c r="A351" s="75">
        <v>45047</v>
      </c>
      <c r="B351" s="93">
        <f t="shared" si="22"/>
        <v>2023</v>
      </c>
      <c r="C351" s="77">
        <v>4.5065000000000008</v>
      </c>
      <c r="D351" s="78">
        <f>IF(GasSwitch=0,VLOOKUP($A351,[5]!GasCurve,4),VLOOKUP($A351,[5]!AecoCurve,5))</f>
        <v>3.9645000000000001</v>
      </c>
      <c r="E351" s="91">
        <v>-1.0506512724201545E-2</v>
      </c>
      <c r="F351" s="80">
        <f t="shared" ref="F351:F363" si="23">IF(shiftswitch2=1,IF(F350+$D$8*(D351-F350)+($E$8*(F350^$F$8)*E351)+(1-$D$8)*(D351-D350)&lt;0,0.01,F350+$D$8*(D351-F350)+($E$8*(F350^$F$8)*E351)+(1-$D$8)*(D351-D350)),IF(F350+$D$10*(C351-F350)+($E$10*(F350^$F$10)*E351)+(1-$D$10)*(C351-C350)&lt;0,0.01,F350+$D$10*(C351-F350)+($E$10*(F350^$F$10)*E351)+(1-$D$10)*(C351-C350)))</f>
        <v>4.5403152135387739</v>
      </c>
      <c r="H351" s="81">
        <v>21.167999999999999</v>
      </c>
      <c r="I351" s="78">
        <v>21.167999999999999</v>
      </c>
      <c r="J351" s="91">
        <v>-1.1117200485566929E-2</v>
      </c>
      <c r="K351" s="80">
        <f t="shared" ref="K351:K363" si="24">IF(shiftswitch2=1,K350+$D$9*(I351-K350)+($E$9*(K350^$F$9)*J351)+(1-$D$9)*(I351-I350),K350+$D$11*(H351-K350)+($E$11*(K350^$F$11)*J351)+(1-$D$11)*(H351-H350))</f>
        <v>21.174491918835823</v>
      </c>
      <c r="AP351" s="21"/>
      <c r="AQ351" s="21"/>
      <c r="AR351" s="21"/>
      <c r="AS351" s="21"/>
    </row>
    <row r="352" spans="1:45" x14ac:dyDescent="0.15">
      <c r="A352" s="75">
        <v>45078</v>
      </c>
      <c r="B352" s="93">
        <f t="shared" si="22"/>
        <v>2023</v>
      </c>
      <c r="C352" s="77">
        <v>4.5125000000000002</v>
      </c>
      <c r="D352" s="78">
        <f>IF(GasSwitch=0,VLOOKUP($A352,[5]!GasCurve,4),VLOOKUP($A352,[5]!AecoCurve,5))</f>
        <v>3.9935000000000005</v>
      </c>
      <c r="E352" s="91">
        <v>1.960592145479665E-2</v>
      </c>
      <c r="F352" s="80">
        <f t="shared" si="23"/>
        <v>4.5459468742347182</v>
      </c>
      <c r="H352" s="81">
        <v>21.167999999999999</v>
      </c>
      <c r="I352" s="78">
        <v>21.167999999999999</v>
      </c>
      <c r="J352" s="91">
        <v>-5.2836208312196008E-2</v>
      </c>
      <c r="K352" s="80">
        <f t="shared" si="24"/>
        <v>21.085929768239584</v>
      </c>
      <c r="AP352" s="21"/>
      <c r="AQ352" s="21"/>
      <c r="AR352" s="21"/>
      <c r="AS352" s="21"/>
    </row>
    <row r="353" spans="1:45" x14ac:dyDescent="0.15">
      <c r="A353" s="75">
        <v>45108</v>
      </c>
      <c r="B353" s="93">
        <f t="shared" si="22"/>
        <v>2023</v>
      </c>
      <c r="C353" s="77">
        <v>4.5225</v>
      </c>
      <c r="D353" s="78">
        <f>IF(GasSwitch=0,VLOOKUP($A353,[5]!GasCurve,4),VLOOKUP($A353,[5]!AecoCurve,5))</f>
        <v>4.0045000000000002</v>
      </c>
      <c r="E353" s="91">
        <v>-2.0985039713113739E-2</v>
      </c>
      <c r="F353" s="80">
        <f t="shared" si="23"/>
        <v>4.5286014993956467</v>
      </c>
      <c r="H353" s="81">
        <v>21.167999999999999</v>
      </c>
      <c r="I353" s="78">
        <v>21.167999999999999</v>
      </c>
      <c r="J353" s="91">
        <v>-1.7335879466942063E-2</v>
      </c>
      <c r="K353" s="80">
        <f t="shared" si="24"/>
        <v>21.065207817750874</v>
      </c>
      <c r="AP353" s="21"/>
      <c r="AQ353" s="21"/>
      <c r="AR353" s="21"/>
      <c r="AS353" s="21"/>
    </row>
    <row r="354" spans="1:45" x14ac:dyDescent="0.15">
      <c r="A354" s="75">
        <v>45139</v>
      </c>
      <c r="B354" s="93">
        <f t="shared" si="22"/>
        <v>2023</v>
      </c>
      <c r="C354" s="77">
        <v>4.5294999999999996</v>
      </c>
      <c r="D354" s="78">
        <f>IF(GasSwitch=0,VLOOKUP($A354,[5]!GasCurve,4),VLOOKUP($A354,[5]!AecoCurve,5))</f>
        <v>4.0135000000000005</v>
      </c>
      <c r="E354" s="91">
        <v>-7.0363920089254774E-3</v>
      </c>
      <c r="F354" s="80">
        <f t="shared" si="23"/>
        <v>4.5284775954783543</v>
      </c>
      <c r="H354" s="81">
        <v>21.167999999999999</v>
      </c>
      <c r="I354" s="78">
        <v>21.167999999999999</v>
      </c>
      <c r="J354" s="91">
        <v>-1.4827507051687431E-2</v>
      </c>
      <c r="K354" s="80">
        <f t="shared" si="24"/>
        <v>21.050711272059527</v>
      </c>
      <c r="AP354" s="21"/>
      <c r="AQ354" s="21"/>
      <c r="AR354" s="21"/>
      <c r="AS354" s="21"/>
    </row>
    <row r="355" spans="1:45" x14ac:dyDescent="0.15">
      <c r="A355" s="75">
        <v>45170</v>
      </c>
      <c r="B355" s="93">
        <f t="shared" si="22"/>
        <v>2023</v>
      </c>
      <c r="C355" s="77">
        <v>4.5365000000000002</v>
      </c>
      <c r="D355" s="78">
        <f>IF(GasSwitch=0,VLOOKUP($A355,[5]!GasCurve,4),VLOOKUP($A355,[5]!AecoCurve,5))</f>
        <v>4.0005000000000006</v>
      </c>
      <c r="E355" s="91">
        <v>3.908063470338701E-3</v>
      </c>
      <c r="F355" s="80">
        <f t="shared" si="23"/>
        <v>4.5384919224689755</v>
      </c>
      <c r="H355" s="81">
        <v>21.167999999999999</v>
      </c>
      <c r="I355" s="78">
        <v>21.167999999999999</v>
      </c>
      <c r="J355" s="91">
        <v>4.0126854887000345E-2</v>
      </c>
      <c r="K355" s="80">
        <f t="shared" si="24"/>
        <v>21.129093942657601</v>
      </c>
      <c r="AP355" s="21"/>
      <c r="AQ355" s="21"/>
      <c r="AR355" s="21"/>
      <c r="AS355" s="21"/>
    </row>
    <row r="356" spans="1:45" x14ac:dyDescent="0.15">
      <c r="A356" s="75">
        <v>45200</v>
      </c>
      <c r="B356" s="93">
        <f t="shared" si="22"/>
        <v>2023</v>
      </c>
      <c r="C356" s="77">
        <v>4.5625</v>
      </c>
      <c r="D356" s="78">
        <f>IF(GasSwitch=0,VLOOKUP($A356,[5]!GasCurve,4),VLOOKUP($A356,[5]!AecoCurve,5))</f>
        <v>4.0075000000000003</v>
      </c>
      <c r="E356" s="91">
        <v>4.403459915320667E-2</v>
      </c>
      <c r="F356" s="80">
        <f t="shared" si="23"/>
        <v>4.5931082209900875</v>
      </c>
      <c r="H356" s="81">
        <v>21.167999999999999</v>
      </c>
      <c r="I356" s="78">
        <v>21.167999999999999</v>
      </c>
      <c r="J356" s="91">
        <v>-2.6778303321712823E-2</v>
      </c>
      <c r="K356" s="80">
        <f t="shared" si="24"/>
        <v>21.088386545607168</v>
      </c>
      <c r="AP356" s="21"/>
      <c r="AQ356" s="21"/>
      <c r="AR356" s="21"/>
      <c r="AS356" s="21"/>
    </row>
    <row r="357" spans="1:45" x14ac:dyDescent="0.15">
      <c r="A357" s="75">
        <v>45231</v>
      </c>
      <c r="B357" s="93">
        <f t="shared" si="22"/>
        <v>2023</v>
      </c>
      <c r="C357" s="77">
        <v>4.6974999999999998</v>
      </c>
      <c r="D357" s="78">
        <f>IF(GasSwitch=0,VLOOKUP($A357,[5]!GasCurve,4),VLOOKUP($A357,[5]!AecoCurve,5))</f>
        <v>4.0434999999999999</v>
      </c>
      <c r="E357" s="91">
        <v>-2.6416793860544123E-2</v>
      </c>
      <c r="F357" s="80">
        <f t="shared" si="23"/>
        <v>4.6981711458236939</v>
      </c>
      <c r="H357" s="81">
        <v>21.167999999999999</v>
      </c>
      <c r="I357" s="78">
        <v>21.167999999999999</v>
      </c>
      <c r="J357" s="91">
        <v>4.7673200853841746E-2</v>
      </c>
      <c r="K357" s="80">
        <f t="shared" si="24"/>
        <v>21.175596483812853</v>
      </c>
      <c r="AP357" s="21"/>
      <c r="AQ357" s="21"/>
      <c r="AR357" s="21"/>
      <c r="AS357" s="21"/>
    </row>
    <row r="358" spans="1:45" x14ac:dyDescent="0.15">
      <c r="A358" s="75">
        <v>45261</v>
      </c>
      <c r="B358" s="93">
        <f t="shared" si="22"/>
        <v>2023</v>
      </c>
      <c r="C358" s="77">
        <v>4.8215000000000003</v>
      </c>
      <c r="D358" s="78">
        <f>IF(GasSwitch=0,VLOOKUP($A358,[5]!GasCurve,4),VLOOKUP($A358,[5]!AecoCurve,5))</f>
        <v>4.1094999999999997</v>
      </c>
      <c r="E358" s="91">
        <v>-2.3891067250505632E-2</v>
      </c>
      <c r="F358" s="80">
        <f t="shared" si="23"/>
        <v>4.8056694480740152</v>
      </c>
      <c r="H358" s="81">
        <v>21.167999999999999</v>
      </c>
      <c r="I358" s="78">
        <v>21.167999999999999</v>
      </c>
      <c r="J358" s="91">
        <v>-4.6637018648115196E-2</v>
      </c>
      <c r="K358" s="80">
        <f t="shared" si="24"/>
        <v>21.097240432884917</v>
      </c>
      <c r="AP358" s="21"/>
      <c r="AQ358" s="21"/>
      <c r="AR358" s="21"/>
      <c r="AS358" s="21"/>
    </row>
    <row r="359" spans="1:45" x14ac:dyDescent="0.15">
      <c r="A359" s="75">
        <v>45292</v>
      </c>
      <c r="B359" s="93">
        <f t="shared" si="22"/>
        <v>2024</v>
      </c>
      <c r="C359" s="77">
        <v>4.9649999999999999</v>
      </c>
      <c r="D359" s="78">
        <f>IF(GasSwitch=0,VLOOKUP($A359,[5]!GasCurve,4),VLOOKUP($A359,[5]!AecoCurve,5))</f>
        <v>4.1319999999999997</v>
      </c>
      <c r="E359" s="91">
        <v>-2.2120216145642517E-2</v>
      </c>
      <c r="F359" s="80">
        <f t="shared" si="23"/>
        <v>4.9402710642589449</v>
      </c>
      <c r="H359" s="81">
        <v>21.167999999999999</v>
      </c>
      <c r="I359" s="78">
        <v>21.167999999999999</v>
      </c>
      <c r="J359" s="91">
        <v>-2.3829490536376785E-2</v>
      </c>
      <c r="K359" s="80">
        <f t="shared" si="24"/>
        <v>21.064593357776779</v>
      </c>
      <c r="AP359" s="21"/>
      <c r="AQ359" s="21"/>
      <c r="AR359" s="21"/>
      <c r="AS359" s="21"/>
    </row>
    <row r="360" spans="1:45" x14ac:dyDescent="0.15">
      <c r="A360" s="75">
        <v>45323</v>
      </c>
      <c r="B360" s="93">
        <f t="shared" si="22"/>
        <v>2024</v>
      </c>
      <c r="C360" s="77">
        <v>4.8470000000000004</v>
      </c>
      <c r="D360" s="78">
        <f>IF(GasSwitch=0,VLOOKUP($A360,[5]!GasCurve,4),VLOOKUP($A360,[5]!AecoCurve,5))</f>
        <v>4.1029999999999998</v>
      </c>
      <c r="E360" s="91">
        <v>2.0479187715707448E-2</v>
      </c>
      <c r="F360" s="80">
        <f t="shared" si="23"/>
        <v>4.8463881819410402</v>
      </c>
      <c r="H360" s="81">
        <v>21.167999999999999</v>
      </c>
      <c r="I360" s="78">
        <v>21.167999999999999</v>
      </c>
      <c r="J360" s="91">
        <v>3.8981546368537165E-2</v>
      </c>
      <c r="K360" s="80">
        <f t="shared" si="24"/>
        <v>21.139695908514124</v>
      </c>
      <c r="AP360" s="21"/>
      <c r="AQ360" s="21"/>
      <c r="AR360" s="21"/>
      <c r="AS360" s="21"/>
    </row>
    <row r="361" spans="1:45" x14ac:dyDescent="0.15">
      <c r="A361" s="75">
        <v>45352</v>
      </c>
      <c r="B361" s="93">
        <f t="shared" si="22"/>
        <v>2024</v>
      </c>
      <c r="C361" s="77">
        <v>4.7270000000000003</v>
      </c>
      <c r="D361" s="78">
        <f>IF(GasSwitch=0,VLOOKUP($A361,[5]!GasCurve,4),VLOOKUP($A361,[5]!AecoCurve,5))</f>
        <v>4.0510000000000002</v>
      </c>
      <c r="E361" s="91">
        <v>-3.8717376249104415E-2</v>
      </c>
      <c r="F361" s="80">
        <f t="shared" si="23"/>
        <v>4.6999108167820278</v>
      </c>
      <c r="H361" s="81">
        <v>21.167999999999999</v>
      </c>
      <c r="I361" s="78">
        <v>21.167999999999999</v>
      </c>
      <c r="J361" s="91">
        <v>-2.0239798713265828E-2</v>
      </c>
      <c r="K361" s="80">
        <f t="shared" si="24"/>
        <v>21.108818988512351</v>
      </c>
      <c r="AP361" s="21"/>
      <c r="AQ361" s="21"/>
      <c r="AR361" s="21"/>
      <c r="AS361" s="21"/>
    </row>
    <row r="362" spans="1:45" x14ac:dyDescent="0.15">
      <c r="A362" s="75">
        <v>45383</v>
      </c>
      <c r="B362" s="93">
        <f t="shared" si="22"/>
        <v>2024</v>
      </c>
      <c r="C362" s="77">
        <v>4.6775000000000002</v>
      </c>
      <c r="D362" s="78">
        <f>IF(GasSwitch=0,VLOOKUP($A362,[5]!GasCurve,4),VLOOKUP($A362,[5]!AecoCurve,5))</f>
        <v>4.0140000000000002</v>
      </c>
      <c r="E362" s="91">
        <v>1.888642116368195E-2</v>
      </c>
      <c r="F362" s="80">
        <f t="shared" si="23"/>
        <v>4.6740337979739515</v>
      </c>
      <c r="H362" s="81">
        <v>21.167999999999999</v>
      </c>
      <c r="I362" s="78">
        <v>21.167999999999999</v>
      </c>
      <c r="J362" s="91">
        <v>2.7208044224935932E-2</v>
      </c>
      <c r="K362" s="80">
        <f t="shared" si="24"/>
        <v>21.159952094239923</v>
      </c>
      <c r="AP362" s="21"/>
      <c r="AQ362" s="21"/>
      <c r="AR362" s="21"/>
      <c r="AS362" s="21"/>
    </row>
    <row r="363" spans="1:45" x14ac:dyDescent="0.15">
      <c r="A363" s="75">
        <v>45413</v>
      </c>
      <c r="B363" s="93">
        <f t="shared" si="22"/>
        <v>2024</v>
      </c>
      <c r="C363" s="77">
        <v>4.6515000000000004</v>
      </c>
      <c r="D363" s="78">
        <f>IF(GasSwitch=0,VLOOKUP($A363,[5]!GasCurve,4),VLOOKUP($A363,[5]!AecoCurve,5))</f>
        <v>4.0350000000000001</v>
      </c>
      <c r="E363" s="91">
        <v>4.3516969703127784E-3</v>
      </c>
      <c r="F363" s="80">
        <f t="shared" si="23"/>
        <v>4.6523634969339556</v>
      </c>
      <c r="H363" s="81">
        <v>21.167999999999999</v>
      </c>
      <c r="I363" s="78">
        <v>21.167999999999999</v>
      </c>
      <c r="J363" s="91">
        <v>2.0149463696835005E-3</v>
      </c>
      <c r="K363" s="80">
        <f t="shared" si="24"/>
        <v>21.164101707669325</v>
      </c>
      <c r="AP363" s="21"/>
      <c r="AQ363" s="21"/>
      <c r="AR363" s="21"/>
      <c r="AS363" s="21"/>
    </row>
    <row r="364" spans="1:45" x14ac:dyDescent="0.15">
      <c r="AP364" s="21"/>
      <c r="AQ364" s="21"/>
      <c r="AR364" s="21"/>
      <c r="AS364" s="21"/>
    </row>
    <row r="365" spans="1:45" x14ac:dyDescent="0.15">
      <c r="AP365" s="21"/>
      <c r="AQ365" s="21"/>
      <c r="AR365" s="21"/>
      <c r="AS365" s="21"/>
    </row>
    <row r="366" spans="1:45" x14ac:dyDescent="0.15">
      <c r="AP366" s="21"/>
      <c r="AQ366" s="21"/>
      <c r="AR366" s="21"/>
      <c r="AS366" s="21"/>
    </row>
    <row r="367" spans="1:45" x14ac:dyDescent="0.15">
      <c r="AP367" s="21"/>
      <c r="AQ367" s="21"/>
      <c r="AR367" s="21"/>
      <c r="AS367" s="21"/>
    </row>
    <row r="368" spans="1:45" x14ac:dyDescent="0.15">
      <c r="AP368" s="21"/>
      <c r="AQ368" s="21"/>
      <c r="AR368" s="21"/>
      <c r="AS368" s="21"/>
    </row>
    <row r="369" spans="42:45" x14ac:dyDescent="0.15">
      <c r="AP369" s="21"/>
      <c r="AQ369" s="21"/>
      <c r="AR369" s="21"/>
      <c r="AS369" s="21"/>
    </row>
    <row r="370" spans="42:45" x14ac:dyDescent="0.15">
      <c r="AP370" s="21"/>
      <c r="AQ370" s="21"/>
      <c r="AR370" s="21"/>
      <c r="AS370" s="21"/>
    </row>
    <row r="371" spans="42:45" x14ac:dyDescent="0.15">
      <c r="AP371" s="21"/>
      <c r="AQ371" s="21"/>
      <c r="AR371" s="21"/>
      <c r="AS371" s="21"/>
    </row>
    <row r="372" spans="42:45" x14ac:dyDescent="0.15">
      <c r="AP372" s="21"/>
      <c r="AQ372" s="21"/>
      <c r="AR372" s="21"/>
      <c r="AS372" s="21"/>
    </row>
    <row r="373" spans="42:45" x14ac:dyDescent="0.15">
      <c r="AP373" s="21"/>
      <c r="AQ373" s="21"/>
      <c r="AR373" s="21"/>
      <c r="AS373" s="21"/>
    </row>
    <row r="374" spans="42:45" x14ac:dyDescent="0.15">
      <c r="AP374" s="21"/>
      <c r="AQ374" s="21"/>
      <c r="AR374" s="21"/>
      <c r="AS374" s="21"/>
    </row>
    <row r="375" spans="42:45" x14ac:dyDescent="0.15">
      <c r="AP375" s="21"/>
      <c r="AQ375" s="21"/>
      <c r="AR375" s="21"/>
      <c r="AS375" s="21"/>
    </row>
    <row r="376" spans="42:45" x14ac:dyDescent="0.15">
      <c r="AP376" s="21"/>
      <c r="AQ376" s="21"/>
      <c r="AR376" s="21"/>
      <c r="AS376" s="21"/>
    </row>
    <row r="377" spans="42:45" x14ac:dyDescent="0.15">
      <c r="AP377" s="21"/>
      <c r="AQ377" s="21"/>
      <c r="AR377" s="21"/>
      <c r="AS377" s="21"/>
    </row>
    <row r="378" spans="42:45" x14ac:dyDescent="0.15">
      <c r="AP378" s="21"/>
      <c r="AQ378" s="21"/>
      <c r="AR378" s="21"/>
      <c r="AS378" s="21"/>
    </row>
    <row r="379" spans="42:45" x14ac:dyDescent="0.15">
      <c r="AP379" s="21"/>
      <c r="AQ379" s="21"/>
      <c r="AR379" s="21"/>
      <c r="AS379" s="21"/>
    </row>
    <row r="380" spans="42:45" x14ac:dyDescent="0.15">
      <c r="AP380" s="21"/>
      <c r="AQ380" s="21"/>
      <c r="AR380" s="21"/>
      <c r="AS380" s="21"/>
    </row>
    <row r="381" spans="42:45" x14ac:dyDescent="0.15">
      <c r="AP381" s="21"/>
      <c r="AQ381" s="21"/>
      <c r="AR381" s="21"/>
      <c r="AS381" s="21"/>
    </row>
    <row r="382" spans="42:45" x14ac:dyDescent="0.15">
      <c r="AP382" s="21"/>
      <c r="AQ382" s="21"/>
      <c r="AR382" s="21"/>
      <c r="AS382" s="21"/>
    </row>
    <row r="383" spans="42:45" x14ac:dyDescent="0.15">
      <c r="AP383" s="21"/>
      <c r="AQ383" s="21"/>
      <c r="AR383" s="21"/>
      <c r="AS383" s="21"/>
    </row>
    <row r="384" spans="42:45" x14ac:dyDescent="0.15">
      <c r="AP384" s="21"/>
      <c r="AQ384" s="21"/>
      <c r="AR384" s="21"/>
      <c r="AS384" s="21"/>
    </row>
    <row r="385" spans="42:45" x14ac:dyDescent="0.15">
      <c r="AP385" s="21"/>
      <c r="AQ385" s="21"/>
      <c r="AR385" s="21"/>
      <c r="AS385" s="21"/>
    </row>
    <row r="386" spans="42:45" x14ac:dyDescent="0.15">
      <c r="AP386" s="21"/>
      <c r="AQ386" s="21"/>
      <c r="AR386" s="21"/>
      <c r="AS386" s="21"/>
    </row>
    <row r="387" spans="42:45" x14ac:dyDescent="0.15">
      <c r="AP387" s="21"/>
      <c r="AQ387" s="21"/>
      <c r="AR387" s="21"/>
      <c r="AS387" s="21"/>
    </row>
    <row r="388" spans="42:45" x14ac:dyDescent="0.15">
      <c r="AP388" s="21"/>
      <c r="AQ388" s="21"/>
      <c r="AR388" s="21"/>
      <c r="AS388" s="21"/>
    </row>
    <row r="389" spans="42:45" x14ac:dyDescent="0.15">
      <c r="AP389" s="21"/>
      <c r="AQ389" s="21"/>
      <c r="AR389" s="21"/>
      <c r="AS389" s="21"/>
    </row>
    <row r="390" spans="42:45" x14ac:dyDescent="0.15">
      <c r="AP390" s="21"/>
      <c r="AQ390" s="21"/>
      <c r="AR390" s="21"/>
      <c r="AS390" s="21"/>
    </row>
    <row r="391" spans="42:45" x14ac:dyDescent="0.15">
      <c r="AP391" s="21"/>
      <c r="AQ391" s="21"/>
      <c r="AR391" s="21"/>
      <c r="AS391" s="21"/>
    </row>
    <row r="392" spans="42:45" x14ac:dyDescent="0.15">
      <c r="AP392" s="21"/>
      <c r="AQ392" s="21"/>
      <c r="AR392" s="21"/>
      <c r="AS392" s="21"/>
    </row>
    <row r="393" spans="42:45" x14ac:dyDescent="0.15">
      <c r="AP393" s="21"/>
      <c r="AQ393" s="21"/>
      <c r="AR393" s="21"/>
      <c r="AS393" s="21"/>
    </row>
    <row r="394" spans="42:45" x14ac:dyDescent="0.15">
      <c r="AP394" s="21"/>
      <c r="AQ394" s="21"/>
      <c r="AR394" s="21"/>
      <c r="AS394" s="21"/>
    </row>
    <row r="395" spans="42:45" x14ac:dyDescent="0.15">
      <c r="AP395" s="21"/>
      <c r="AQ395" s="21"/>
      <c r="AR395" s="21"/>
      <c r="AS395" s="21"/>
    </row>
    <row r="396" spans="42:45" x14ac:dyDescent="0.15">
      <c r="AP396" s="21"/>
      <c r="AQ396" s="21"/>
      <c r="AR396" s="21"/>
      <c r="AS396" s="21"/>
    </row>
    <row r="397" spans="42:45" x14ac:dyDescent="0.15">
      <c r="AP397" s="21"/>
      <c r="AQ397" s="21"/>
      <c r="AR397" s="21"/>
      <c r="AS397" s="21"/>
    </row>
    <row r="398" spans="42:45" x14ac:dyDescent="0.15">
      <c r="AP398" s="21"/>
      <c r="AQ398" s="21"/>
      <c r="AR398" s="21"/>
      <c r="AS398" s="21"/>
    </row>
    <row r="399" spans="42:45" x14ac:dyDescent="0.15">
      <c r="AP399" s="21"/>
      <c r="AQ399" s="21"/>
      <c r="AR399" s="21"/>
      <c r="AS399" s="21"/>
    </row>
    <row r="400" spans="42:45" x14ac:dyDescent="0.15">
      <c r="AP400" s="21"/>
      <c r="AQ400" s="21"/>
      <c r="AR400" s="21"/>
      <c r="AS400" s="21"/>
    </row>
    <row r="401" spans="42:45" x14ac:dyDescent="0.15">
      <c r="AP401" s="21"/>
      <c r="AQ401" s="21"/>
      <c r="AR401" s="21"/>
      <c r="AS401" s="21"/>
    </row>
    <row r="402" spans="42:45" x14ac:dyDescent="0.15">
      <c r="AP402" s="21"/>
      <c r="AQ402" s="21"/>
      <c r="AR402" s="21"/>
      <c r="AS402" s="21"/>
    </row>
    <row r="403" spans="42:45" x14ac:dyDescent="0.15">
      <c r="AP403" s="21"/>
      <c r="AQ403" s="21"/>
      <c r="AR403" s="21"/>
      <c r="AS403" s="21"/>
    </row>
    <row r="404" spans="42:45" x14ac:dyDescent="0.15">
      <c r="AP404" s="21"/>
      <c r="AQ404" s="21"/>
      <c r="AR404" s="21"/>
      <c r="AS404" s="21"/>
    </row>
    <row r="405" spans="42:45" x14ac:dyDescent="0.15">
      <c r="AP405" s="21"/>
      <c r="AQ405" s="21"/>
      <c r="AR405" s="21"/>
      <c r="AS405" s="21"/>
    </row>
    <row r="406" spans="42:45" x14ac:dyDescent="0.15">
      <c r="AP406" s="21"/>
      <c r="AQ406" s="21"/>
      <c r="AR406" s="21"/>
      <c r="AS406" s="21"/>
    </row>
    <row r="407" spans="42:45" x14ac:dyDescent="0.15">
      <c r="AP407" s="21"/>
      <c r="AQ407" s="21"/>
      <c r="AR407" s="21"/>
      <c r="AS407" s="21"/>
    </row>
    <row r="408" spans="42:45" x14ac:dyDescent="0.15">
      <c r="AP408" s="21"/>
      <c r="AQ408" s="21"/>
      <c r="AR408" s="21"/>
      <c r="AS408" s="21"/>
    </row>
    <row r="409" spans="42:45" x14ac:dyDescent="0.15">
      <c r="AP409" s="21"/>
      <c r="AQ409" s="21"/>
      <c r="AR409" s="21"/>
      <c r="AS409" s="21"/>
    </row>
    <row r="410" spans="42:45" x14ac:dyDescent="0.15">
      <c r="AP410" s="21"/>
      <c r="AQ410" s="21"/>
      <c r="AR410" s="21"/>
      <c r="AS410" s="21"/>
    </row>
    <row r="411" spans="42:45" x14ac:dyDescent="0.15">
      <c r="AP411" s="21"/>
      <c r="AQ411" s="21"/>
      <c r="AR411" s="21"/>
      <c r="AS411" s="21"/>
    </row>
    <row r="412" spans="42:45" x14ac:dyDescent="0.15">
      <c r="AP412" s="21"/>
      <c r="AQ412" s="21"/>
      <c r="AR412" s="21"/>
      <c r="AS412" s="21"/>
    </row>
    <row r="413" spans="42:45" x14ac:dyDescent="0.15">
      <c r="AP413" s="21"/>
      <c r="AQ413" s="21"/>
      <c r="AR413" s="21"/>
      <c r="AS413" s="21"/>
    </row>
    <row r="414" spans="42:45" x14ac:dyDescent="0.15">
      <c r="AP414" s="21"/>
      <c r="AQ414" s="21"/>
      <c r="AR414" s="21"/>
      <c r="AS414" s="21"/>
    </row>
    <row r="415" spans="42:45" x14ac:dyDescent="0.15">
      <c r="AP415" s="21"/>
      <c r="AQ415" s="21"/>
      <c r="AR415" s="21"/>
      <c r="AS415" s="21"/>
    </row>
    <row r="416" spans="42:45" x14ac:dyDescent="0.15">
      <c r="AP416" s="21"/>
      <c r="AQ416" s="21"/>
      <c r="AR416" s="21"/>
      <c r="AS416" s="21"/>
    </row>
    <row r="417" spans="42:45" x14ac:dyDescent="0.15">
      <c r="AP417" s="21"/>
      <c r="AQ417" s="21"/>
      <c r="AR417" s="21"/>
      <c r="AS417" s="21"/>
    </row>
    <row r="418" spans="42:45" x14ac:dyDescent="0.15">
      <c r="AP418" s="21"/>
      <c r="AQ418" s="21"/>
      <c r="AR418" s="21"/>
      <c r="AS418" s="21"/>
    </row>
    <row r="419" spans="42:45" x14ac:dyDescent="0.15">
      <c r="AP419" s="21"/>
      <c r="AQ419" s="21"/>
      <c r="AR419" s="21"/>
      <c r="AS419" s="21"/>
    </row>
    <row r="420" spans="42:45" x14ac:dyDescent="0.15">
      <c r="AP420" s="21"/>
      <c r="AQ420" s="21"/>
      <c r="AR420" s="21"/>
      <c r="AS420" s="21"/>
    </row>
    <row r="421" spans="42:45" x14ac:dyDescent="0.15">
      <c r="AP421" s="21"/>
      <c r="AQ421" s="21"/>
      <c r="AR421" s="21"/>
      <c r="AS421" s="21"/>
    </row>
    <row r="422" spans="42:45" x14ac:dyDescent="0.15">
      <c r="AP422" s="21"/>
      <c r="AQ422" s="21"/>
      <c r="AR422" s="21"/>
      <c r="AS422" s="21"/>
    </row>
    <row r="423" spans="42:45" x14ac:dyDescent="0.15">
      <c r="AP423" s="21"/>
      <c r="AQ423" s="21"/>
      <c r="AR423" s="21"/>
      <c r="AS423" s="21"/>
    </row>
    <row r="424" spans="42:45" x14ac:dyDescent="0.15">
      <c r="AP424" s="21"/>
      <c r="AQ424" s="21"/>
      <c r="AR424" s="21"/>
      <c r="AS424" s="21"/>
    </row>
    <row r="425" spans="42:45" x14ac:dyDescent="0.15">
      <c r="AP425" s="21"/>
      <c r="AQ425" s="21"/>
      <c r="AR425" s="21"/>
      <c r="AS425" s="21"/>
    </row>
    <row r="426" spans="42:45" x14ac:dyDescent="0.15">
      <c r="AP426" s="21"/>
      <c r="AQ426" s="21"/>
      <c r="AR426" s="21"/>
      <c r="AS426" s="21"/>
    </row>
    <row r="427" spans="42:45" x14ac:dyDescent="0.15">
      <c r="AP427" s="21"/>
      <c r="AQ427" s="21"/>
      <c r="AR427" s="21"/>
      <c r="AS427" s="21"/>
    </row>
    <row r="428" spans="42:45" x14ac:dyDescent="0.15">
      <c r="AP428" s="21"/>
      <c r="AQ428" s="21"/>
      <c r="AR428" s="21"/>
      <c r="AS428" s="21"/>
    </row>
    <row r="429" spans="42:45" x14ac:dyDescent="0.15">
      <c r="AP429" s="21"/>
      <c r="AQ429" s="21"/>
      <c r="AR429" s="21"/>
      <c r="AS429" s="21"/>
    </row>
    <row r="430" spans="42:45" x14ac:dyDescent="0.15">
      <c r="AP430" s="21"/>
      <c r="AQ430" s="21"/>
      <c r="AR430" s="21"/>
      <c r="AS430" s="21"/>
    </row>
    <row r="431" spans="42:45" x14ac:dyDescent="0.15">
      <c r="AP431" s="21"/>
      <c r="AQ431" s="21"/>
      <c r="AR431" s="21"/>
      <c r="AS431" s="21"/>
    </row>
    <row r="432" spans="42:45" x14ac:dyDescent="0.15">
      <c r="AP432" s="21"/>
      <c r="AQ432" s="21"/>
      <c r="AR432" s="21"/>
      <c r="AS432" s="21"/>
    </row>
    <row r="433" spans="42:45" x14ac:dyDescent="0.15">
      <c r="AP433" s="21"/>
      <c r="AQ433" s="21"/>
      <c r="AR433" s="21"/>
      <c r="AS433" s="21"/>
    </row>
    <row r="434" spans="42:45" x14ac:dyDescent="0.15">
      <c r="AP434" s="21"/>
      <c r="AQ434" s="21"/>
      <c r="AR434" s="21"/>
      <c r="AS434" s="21"/>
    </row>
    <row r="435" spans="42:45" x14ac:dyDescent="0.15">
      <c r="AP435" s="21"/>
      <c r="AQ435" s="21"/>
      <c r="AR435" s="21"/>
      <c r="AS435" s="21"/>
    </row>
    <row r="436" spans="42:45" x14ac:dyDescent="0.15">
      <c r="AP436" s="21"/>
      <c r="AQ436" s="21"/>
      <c r="AR436" s="21"/>
      <c r="AS436" s="21"/>
    </row>
    <row r="437" spans="42:45" x14ac:dyDescent="0.15">
      <c r="AP437" s="21"/>
      <c r="AQ437" s="21"/>
      <c r="AR437" s="21"/>
      <c r="AS437" s="21"/>
    </row>
    <row r="438" spans="42:45" x14ac:dyDescent="0.15">
      <c r="AP438" s="21"/>
      <c r="AQ438" s="21"/>
      <c r="AR438" s="21"/>
      <c r="AS438" s="21"/>
    </row>
    <row r="439" spans="42:45" x14ac:dyDescent="0.15">
      <c r="AP439" s="21"/>
      <c r="AQ439" s="21"/>
      <c r="AR439" s="21"/>
      <c r="AS439" s="21"/>
    </row>
    <row r="440" spans="42:45" x14ac:dyDescent="0.15">
      <c r="AP440" s="21"/>
      <c r="AQ440" s="21"/>
      <c r="AR440" s="21"/>
      <c r="AS440" s="21"/>
    </row>
    <row r="441" spans="42:45" x14ac:dyDescent="0.15">
      <c r="AP441" s="21"/>
      <c r="AQ441" s="21"/>
      <c r="AR441" s="21"/>
      <c r="AS441" s="21"/>
    </row>
    <row r="442" spans="42:45" x14ac:dyDescent="0.15">
      <c r="AP442" s="21"/>
      <c r="AQ442" s="21"/>
      <c r="AR442" s="21"/>
      <c r="AS442" s="21"/>
    </row>
    <row r="443" spans="42:45" x14ac:dyDescent="0.15">
      <c r="AP443" s="21"/>
      <c r="AQ443" s="21"/>
      <c r="AR443" s="21"/>
      <c r="AS443" s="21"/>
    </row>
    <row r="444" spans="42:45" x14ac:dyDescent="0.15">
      <c r="AP444" s="21"/>
      <c r="AQ444" s="21"/>
      <c r="AR444" s="21"/>
      <c r="AS444" s="21"/>
    </row>
    <row r="445" spans="42:45" x14ac:dyDescent="0.15">
      <c r="AP445" s="21"/>
      <c r="AQ445" s="21"/>
      <c r="AR445" s="21"/>
      <c r="AS445" s="21"/>
    </row>
    <row r="446" spans="42:45" x14ac:dyDescent="0.15">
      <c r="AP446" s="21"/>
      <c r="AQ446" s="21"/>
      <c r="AR446" s="21"/>
      <c r="AS446" s="21"/>
    </row>
    <row r="447" spans="42:45" x14ac:dyDescent="0.15">
      <c r="AP447" s="21"/>
      <c r="AQ447" s="21"/>
      <c r="AR447" s="21"/>
      <c r="AS447" s="21"/>
    </row>
    <row r="448" spans="42:45" x14ac:dyDescent="0.15">
      <c r="AP448" s="21"/>
      <c r="AQ448" s="21"/>
      <c r="AR448" s="21"/>
      <c r="AS448" s="21"/>
    </row>
    <row r="449" spans="42:45" x14ac:dyDescent="0.15">
      <c r="AP449" s="21"/>
      <c r="AQ449" s="21"/>
      <c r="AR449" s="21"/>
      <c r="AS449" s="21"/>
    </row>
    <row r="450" spans="42:45" x14ac:dyDescent="0.15">
      <c r="AP450" s="21"/>
      <c r="AQ450" s="21"/>
      <c r="AR450" s="21"/>
      <c r="AS450" s="21"/>
    </row>
    <row r="451" spans="42:45" x14ac:dyDescent="0.15">
      <c r="AP451" s="21"/>
      <c r="AQ451" s="21"/>
      <c r="AR451" s="21"/>
      <c r="AS451" s="21"/>
    </row>
    <row r="452" spans="42:45" x14ac:dyDescent="0.15">
      <c r="AP452" s="21"/>
      <c r="AQ452" s="21"/>
      <c r="AR452" s="21"/>
      <c r="AS452" s="21"/>
    </row>
    <row r="453" spans="42:45" x14ac:dyDescent="0.15">
      <c r="AP453" s="21"/>
      <c r="AQ453" s="21"/>
      <c r="AR453" s="21"/>
      <c r="AS453" s="21"/>
    </row>
    <row r="454" spans="42:45" x14ac:dyDescent="0.15">
      <c r="AP454" s="21"/>
      <c r="AQ454" s="21"/>
      <c r="AR454" s="21"/>
      <c r="AS454" s="21"/>
    </row>
    <row r="455" spans="42:45" x14ac:dyDescent="0.15">
      <c r="AP455" s="21"/>
      <c r="AQ455" s="21"/>
      <c r="AR455" s="21"/>
      <c r="AS455" s="21"/>
    </row>
    <row r="456" spans="42:45" x14ac:dyDescent="0.15">
      <c r="AP456" s="21"/>
      <c r="AQ456" s="21"/>
      <c r="AR456" s="21"/>
      <c r="AS456" s="21"/>
    </row>
    <row r="457" spans="42:45" x14ac:dyDescent="0.15">
      <c r="AP457" s="21"/>
      <c r="AQ457" s="21"/>
      <c r="AR457" s="21"/>
      <c r="AS457" s="21"/>
    </row>
    <row r="458" spans="42:45" x14ac:dyDescent="0.15">
      <c r="AP458" s="21"/>
      <c r="AQ458" s="21"/>
      <c r="AR458" s="21"/>
      <c r="AS458" s="21"/>
    </row>
    <row r="459" spans="42:45" x14ac:dyDescent="0.15">
      <c r="AP459" s="21"/>
      <c r="AQ459" s="21"/>
      <c r="AR459" s="21"/>
      <c r="AS459" s="21"/>
    </row>
    <row r="460" spans="42:45" x14ac:dyDescent="0.15">
      <c r="AP460" s="21"/>
      <c r="AQ460" s="21"/>
      <c r="AR460" s="21"/>
      <c r="AS460" s="21"/>
    </row>
    <row r="461" spans="42:45" x14ac:dyDescent="0.15">
      <c r="AP461" s="21"/>
      <c r="AQ461" s="21"/>
      <c r="AR461" s="21"/>
      <c r="AS461" s="21"/>
    </row>
    <row r="462" spans="42:45" x14ac:dyDescent="0.15">
      <c r="AP462" s="21"/>
      <c r="AQ462" s="21"/>
      <c r="AR462" s="21"/>
      <c r="AS462" s="21"/>
    </row>
    <row r="463" spans="42:45" x14ac:dyDescent="0.15">
      <c r="AP463" s="21"/>
      <c r="AQ463" s="21"/>
      <c r="AR463" s="21"/>
      <c r="AS463" s="21"/>
    </row>
    <row r="464" spans="42:45" x14ac:dyDescent="0.15">
      <c r="AP464" s="21"/>
      <c r="AQ464" s="21"/>
      <c r="AR464" s="21"/>
      <c r="AS464" s="21"/>
    </row>
    <row r="465" spans="42:45" x14ac:dyDescent="0.15">
      <c r="AP465" s="21"/>
      <c r="AQ465" s="21"/>
      <c r="AR465" s="21"/>
      <c r="AS465" s="21"/>
    </row>
    <row r="466" spans="42:45" x14ac:dyDescent="0.15">
      <c r="AP466" s="21"/>
      <c r="AQ466" s="21"/>
      <c r="AR466" s="21"/>
      <c r="AS466" s="21"/>
    </row>
    <row r="467" spans="42:45" x14ac:dyDescent="0.15">
      <c r="AP467" s="21"/>
      <c r="AQ467" s="21"/>
      <c r="AR467" s="21"/>
      <c r="AS467" s="21"/>
    </row>
    <row r="468" spans="42:45" x14ac:dyDescent="0.15">
      <c r="AP468" s="21"/>
      <c r="AQ468" s="21"/>
      <c r="AR468" s="21"/>
      <c r="AS468" s="21"/>
    </row>
    <row r="469" spans="42:45" x14ac:dyDescent="0.15">
      <c r="AP469" s="21"/>
      <c r="AQ469" s="21"/>
      <c r="AR469" s="21"/>
      <c r="AS469" s="21"/>
    </row>
    <row r="470" spans="42:45" x14ac:dyDescent="0.15">
      <c r="AP470" s="21"/>
      <c r="AQ470" s="21"/>
      <c r="AR470" s="21"/>
      <c r="AS470" s="21"/>
    </row>
    <row r="471" spans="42:45" x14ac:dyDescent="0.15">
      <c r="AP471" s="21"/>
      <c r="AQ471" s="21"/>
      <c r="AR471" s="21"/>
      <c r="AS471" s="21"/>
    </row>
    <row r="472" spans="42:45" x14ac:dyDescent="0.15">
      <c r="AP472" s="21"/>
      <c r="AQ472" s="21"/>
      <c r="AR472" s="21"/>
      <c r="AS472" s="21"/>
    </row>
    <row r="473" spans="42:45" x14ac:dyDescent="0.15">
      <c r="AP473" s="21"/>
      <c r="AQ473" s="21"/>
      <c r="AR473" s="21"/>
      <c r="AS473" s="21"/>
    </row>
    <row r="474" spans="42:45" x14ac:dyDescent="0.15">
      <c r="AP474" s="21"/>
      <c r="AQ474" s="21"/>
      <c r="AR474" s="21"/>
      <c r="AS474" s="21"/>
    </row>
    <row r="475" spans="42:45" x14ac:dyDescent="0.15">
      <c r="AP475" s="21"/>
      <c r="AQ475" s="21"/>
      <c r="AR475" s="21"/>
      <c r="AS475" s="21"/>
    </row>
    <row r="476" spans="42:45" x14ac:dyDescent="0.15">
      <c r="AP476" s="21"/>
      <c r="AQ476" s="21"/>
      <c r="AR476" s="21"/>
      <c r="AS476" s="21"/>
    </row>
    <row r="477" spans="42:45" x14ac:dyDescent="0.15">
      <c r="AP477" s="21"/>
      <c r="AQ477" s="21"/>
      <c r="AR477" s="21"/>
      <c r="AS477" s="21"/>
    </row>
    <row r="478" spans="42:45" x14ac:dyDescent="0.15">
      <c r="AP478" s="21"/>
      <c r="AQ478" s="21"/>
      <c r="AR478" s="21"/>
      <c r="AS478" s="21"/>
    </row>
    <row r="479" spans="42:45" x14ac:dyDescent="0.15">
      <c r="AP479" s="21"/>
      <c r="AQ479" s="21"/>
      <c r="AR479" s="21"/>
      <c r="AS479" s="21"/>
    </row>
    <row r="480" spans="42:45" x14ac:dyDescent="0.15">
      <c r="AP480" s="21"/>
      <c r="AQ480" s="21"/>
      <c r="AR480" s="21"/>
      <c r="AS480" s="21"/>
    </row>
    <row r="481" spans="42:45" x14ac:dyDescent="0.15">
      <c r="AP481" s="21"/>
      <c r="AQ481" s="21"/>
      <c r="AR481" s="21"/>
      <c r="AS481" s="21"/>
    </row>
    <row r="482" spans="42:45" x14ac:dyDescent="0.15">
      <c r="AP482" s="21"/>
      <c r="AQ482" s="21"/>
      <c r="AR482" s="21"/>
      <c r="AS482" s="21"/>
    </row>
    <row r="483" spans="42:45" x14ac:dyDescent="0.15">
      <c r="AP483" s="21"/>
      <c r="AQ483" s="21"/>
      <c r="AR483" s="21"/>
      <c r="AS483" s="21"/>
    </row>
    <row r="484" spans="42:45" x14ac:dyDescent="0.15">
      <c r="AP484" s="21"/>
      <c r="AQ484" s="21"/>
      <c r="AR484" s="21"/>
      <c r="AS484" s="21"/>
    </row>
    <row r="485" spans="42:45" x14ac:dyDescent="0.15">
      <c r="AP485" s="21"/>
      <c r="AQ485" s="21"/>
      <c r="AR485" s="21"/>
      <c r="AS485" s="21"/>
    </row>
    <row r="486" spans="42:45" x14ac:dyDescent="0.15">
      <c r="AP486" s="21"/>
      <c r="AQ486" s="21"/>
      <c r="AR486" s="21"/>
      <c r="AS486" s="21"/>
    </row>
    <row r="487" spans="42:45" x14ac:dyDescent="0.15">
      <c r="AP487" s="21"/>
      <c r="AQ487" s="21"/>
      <c r="AR487" s="21"/>
      <c r="AS487" s="21"/>
    </row>
    <row r="488" spans="42:45" x14ac:dyDescent="0.15">
      <c r="AP488" s="21"/>
      <c r="AQ488" s="21"/>
      <c r="AR488" s="21"/>
      <c r="AS488" s="21"/>
    </row>
    <row r="489" spans="42:45" x14ac:dyDescent="0.15">
      <c r="AP489" s="21"/>
      <c r="AQ489" s="21"/>
      <c r="AR489" s="21"/>
      <c r="AS489" s="21"/>
    </row>
    <row r="490" spans="42:45" x14ac:dyDescent="0.15">
      <c r="AP490" s="21"/>
      <c r="AQ490" s="21"/>
      <c r="AR490" s="21"/>
      <c r="AS490" s="21"/>
    </row>
    <row r="491" spans="42:45" x14ac:dyDescent="0.15">
      <c r="AP491" s="21"/>
      <c r="AQ491" s="21"/>
      <c r="AR491" s="21"/>
      <c r="AS491" s="21"/>
    </row>
    <row r="492" spans="42:45" x14ac:dyDescent="0.15">
      <c r="AP492" s="21"/>
      <c r="AQ492" s="21"/>
      <c r="AR492" s="21"/>
      <c r="AS492" s="21"/>
    </row>
    <row r="493" spans="42:45" x14ac:dyDescent="0.15">
      <c r="AP493" s="21"/>
      <c r="AQ493" s="21"/>
      <c r="AR493" s="21"/>
      <c r="AS493" s="21"/>
    </row>
    <row r="494" spans="42:45" x14ac:dyDescent="0.15">
      <c r="AP494" s="21"/>
      <c r="AQ494" s="21"/>
      <c r="AR494" s="21"/>
      <c r="AS494" s="21"/>
    </row>
    <row r="495" spans="42:45" x14ac:dyDescent="0.15">
      <c r="AP495" s="21"/>
      <c r="AQ495" s="21"/>
      <c r="AR495" s="21"/>
      <c r="AS495" s="21"/>
    </row>
    <row r="496" spans="42:45" x14ac:dyDescent="0.15">
      <c r="AP496" s="21"/>
      <c r="AQ496" s="21"/>
      <c r="AR496" s="21"/>
      <c r="AS496" s="21"/>
    </row>
    <row r="497" spans="42:45" x14ac:dyDescent="0.15">
      <c r="AP497" s="21"/>
      <c r="AQ497" s="21"/>
      <c r="AR497" s="21"/>
      <c r="AS497" s="21"/>
    </row>
    <row r="498" spans="42:45" x14ac:dyDescent="0.15">
      <c r="AP498" s="21"/>
      <c r="AQ498" s="21"/>
      <c r="AR498" s="21"/>
      <c r="AS498" s="21"/>
    </row>
    <row r="499" spans="42:45" x14ac:dyDescent="0.15">
      <c r="AP499" s="21"/>
      <c r="AQ499" s="21"/>
      <c r="AR499" s="21"/>
      <c r="AS499" s="21"/>
    </row>
    <row r="500" spans="42:45" x14ac:dyDescent="0.15">
      <c r="AP500" s="21"/>
      <c r="AQ500" s="21"/>
      <c r="AR500" s="21"/>
      <c r="AS500" s="21"/>
    </row>
    <row r="501" spans="42:45" x14ac:dyDescent="0.15">
      <c r="AP501" s="21"/>
      <c r="AQ501" s="21"/>
      <c r="AR501" s="21"/>
      <c r="AS501" s="21"/>
    </row>
    <row r="502" spans="42:45" x14ac:dyDescent="0.15">
      <c r="AP502" s="21"/>
      <c r="AQ502" s="21"/>
      <c r="AR502" s="21"/>
      <c r="AS502" s="21"/>
    </row>
    <row r="503" spans="42:45" x14ac:dyDescent="0.15">
      <c r="AP503" s="21"/>
      <c r="AQ503" s="21"/>
      <c r="AR503" s="21"/>
      <c r="AS503" s="21"/>
    </row>
    <row r="504" spans="42:45" x14ac:dyDescent="0.15">
      <c r="AP504" s="21"/>
      <c r="AQ504" s="21"/>
      <c r="AR504" s="21"/>
      <c r="AS504" s="21"/>
    </row>
    <row r="505" spans="42:45" x14ac:dyDescent="0.15">
      <c r="AP505" s="21"/>
      <c r="AQ505" s="21"/>
      <c r="AR505" s="21"/>
      <c r="AS505" s="21"/>
    </row>
    <row r="506" spans="42:45" x14ac:dyDescent="0.15">
      <c r="AP506" s="21"/>
      <c r="AQ506" s="21"/>
      <c r="AR506" s="21"/>
      <c r="AS506" s="21"/>
    </row>
    <row r="507" spans="42:45" x14ac:dyDescent="0.15">
      <c r="AP507" s="21"/>
      <c r="AQ507" s="21"/>
      <c r="AR507" s="21"/>
      <c r="AS507" s="21"/>
    </row>
    <row r="508" spans="42:45" x14ac:dyDescent="0.15">
      <c r="AP508" s="21"/>
      <c r="AQ508" s="21"/>
      <c r="AR508" s="21"/>
      <c r="AS508" s="21"/>
    </row>
    <row r="509" spans="42:45" x14ac:dyDescent="0.15">
      <c r="AP509" s="21"/>
      <c r="AQ509" s="21"/>
      <c r="AR509" s="21"/>
      <c r="AS509" s="21"/>
    </row>
    <row r="510" spans="42:45" x14ac:dyDescent="0.15">
      <c r="AP510" s="21"/>
      <c r="AQ510" s="21"/>
      <c r="AR510" s="21"/>
      <c r="AS510" s="21"/>
    </row>
    <row r="511" spans="42:45" x14ac:dyDescent="0.15">
      <c r="AP511" s="21"/>
      <c r="AQ511" s="21"/>
      <c r="AR511" s="21"/>
      <c r="AS511" s="21"/>
    </row>
    <row r="512" spans="42:45" x14ac:dyDescent="0.15">
      <c r="AP512" s="21"/>
      <c r="AQ512" s="21"/>
      <c r="AR512" s="21"/>
      <c r="AS512" s="21"/>
    </row>
    <row r="513" spans="42:45" x14ac:dyDescent="0.15">
      <c r="AP513" s="21"/>
      <c r="AQ513" s="21"/>
      <c r="AR513" s="21"/>
      <c r="AS513" s="21"/>
    </row>
    <row r="514" spans="42:45" x14ac:dyDescent="0.15">
      <c r="AP514" s="21"/>
      <c r="AQ514" s="21"/>
      <c r="AR514" s="21"/>
      <c r="AS514" s="21"/>
    </row>
    <row r="515" spans="42:45" x14ac:dyDescent="0.15">
      <c r="AP515" s="21"/>
      <c r="AQ515" s="21"/>
      <c r="AR515" s="21"/>
      <c r="AS515" s="21"/>
    </row>
    <row r="516" spans="42:45" x14ac:dyDescent="0.15">
      <c r="AP516" s="21"/>
      <c r="AQ516" s="21"/>
      <c r="AR516" s="21"/>
      <c r="AS516" s="21"/>
    </row>
    <row r="517" spans="42:45" x14ac:dyDescent="0.15">
      <c r="AP517" s="21"/>
      <c r="AQ517" s="21"/>
      <c r="AR517" s="21"/>
      <c r="AS517" s="21"/>
    </row>
    <row r="518" spans="42:45" x14ac:dyDescent="0.15">
      <c r="AP518" s="21"/>
      <c r="AQ518" s="21"/>
      <c r="AR518" s="21"/>
      <c r="AS518" s="21"/>
    </row>
    <row r="519" spans="42:45" x14ac:dyDescent="0.15">
      <c r="AP519" s="21"/>
      <c r="AQ519" s="21"/>
      <c r="AR519" s="21"/>
      <c r="AS519" s="21"/>
    </row>
  </sheetData>
  <pageMargins left="0" right="0" top="0.25" bottom="0.25" header="0.5" footer="0.5"/>
  <pageSetup scale="64" orientation="landscape" horizontalDpi="4294967292" r:id="rId1"/>
  <headerFooter alignWithMargins="0">
    <oddHeader>&amp;A</oddHeader>
    <oddFooter>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9"/>
  <sheetViews>
    <sheetView zoomScale="75" workbookViewId="0"/>
  </sheetViews>
  <sheetFormatPr defaultRowHeight="12.75" x14ac:dyDescent="0.2"/>
  <cols>
    <col min="9" max="9" width="6.7109375" customWidth="1"/>
  </cols>
  <sheetData>
    <row r="1" spans="1:51" x14ac:dyDescent="0.2">
      <c r="A1" s="95" t="s">
        <v>52</v>
      </c>
      <c r="B1" s="96"/>
      <c r="C1" s="96"/>
      <c r="D1" s="96"/>
      <c r="E1" s="97"/>
      <c r="F1" s="97"/>
      <c r="J1" s="98"/>
      <c r="K1" s="99"/>
      <c r="L1" s="100" t="s">
        <v>56</v>
      </c>
      <c r="M1" s="101"/>
      <c r="N1" s="99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99"/>
      <c r="AR1" s="99"/>
      <c r="AS1" s="99"/>
      <c r="AT1" s="99"/>
      <c r="AU1" s="99"/>
      <c r="AV1" s="99"/>
      <c r="AW1" s="99"/>
      <c r="AX1" s="99"/>
      <c r="AY1" s="102"/>
    </row>
    <row r="2" spans="1:51" x14ac:dyDescent="0.2">
      <c r="A2" s="103"/>
      <c r="B2" s="96"/>
      <c r="C2" s="96" t="s">
        <v>53</v>
      </c>
      <c r="D2" s="96"/>
      <c r="E2" s="103"/>
      <c r="F2" s="103"/>
      <c r="J2" s="104"/>
      <c r="K2" s="105"/>
      <c r="L2" s="106" t="s">
        <v>48</v>
      </c>
      <c r="M2" s="105">
        <f t="array" ref="M2:AY2">TRANSPOSE(J12:J50)</f>
        <v>1997</v>
      </c>
      <c r="N2" s="105">
        <v>1998</v>
      </c>
      <c r="O2" s="105">
        <v>1999</v>
      </c>
      <c r="P2" s="105">
        <v>2000</v>
      </c>
      <c r="Q2" s="105">
        <v>2001</v>
      </c>
      <c r="R2" s="105">
        <v>2002</v>
      </c>
      <c r="S2" s="105">
        <v>2003</v>
      </c>
      <c r="T2" s="105">
        <v>2004</v>
      </c>
      <c r="U2" s="105">
        <v>2005</v>
      </c>
      <c r="V2" s="105">
        <v>2006</v>
      </c>
      <c r="W2" s="105">
        <v>2007</v>
      </c>
      <c r="X2" s="105">
        <v>2008</v>
      </c>
      <c r="Y2" s="105">
        <v>2009</v>
      </c>
      <c r="Z2" s="105">
        <v>2010</v>
      </c>
      <c r="AA2" s="105">
        <v>2011</v>
      </c>
      <c r="AB2" s="105">
        <v>2012</v>
      </c>
      <c r="AC2" s="105">
        <v>2013</v>
      </c>
      <c r="AD2" s="105">
        <v>2014</v>
      </c>
      <c r="AE2" s="105">
        <v>2015</v>
      </c>
      <c r="AF2" s="105">
        <v>2016</v>
      </c>
      <c r="AG2" s="105">
        <v>2017</v>
      </c>
      <c r="AH2" s="105">
        <v>2018</v>
      </c>
      <c r="AI2" s="105">
        <v>2019</v>
      </c>
      <c r="AJ2" s="105">
        <v>2020</v>
      </c>
      <c r="AK2" s="105">
        <v>2021</v>
      </c>
      <c r="AL2" s="105">
        <v>2022</v>
      </c>
      <c r="AM2" s="105">
        <v>2023</v>
      </c>
      <c r="AN2" s="105">
        <v>2024</v>
      </c>
      <c r="AO2" s="105">
        <v>2025</v>
      </c>
      <c r="AP2" s="105">
        <v>2026</v>
      </c>
      <c r="AQ2" s="105">
        <v>2027</v>
      </c>
      <c r="AR2" s="105">
        <v>2028</v>
      </c>
      <c r="AS2" s="107">
        <v>2029</v>
      </c>
      <c r="AT2" s="107">
        <v>2030</v>
      </c>
      <c r="AU2" s="107">
        <v>2031</v>
      </c>
      <c r="AV2" s="107">
        <v>2032</v>
      </c>
      <c r="AW2" s="107">
        <v>2033</v>
      </c>
      <c r="AX2" s="107">
        <v>2034</v>
      </c>
      <c r="AY2" s="108">
        <v>2035</v>
      </c>
    </row>
    <row r="3" spans="1:51" x14ac:dyDescent="0.2">
      <c r="A3" s="96"/>
      <c r="B3" s="109"/>
      <c r="C3" s="110" t="s">
        <v>54</v>
      </c>
      <c r="D3" s="111" t="s">
        <v>55</v>
      </c>
      <c r="E3" s="112"/>
      <c r="F3" s="112"/>
      <c r="J3" s="104"/>
      <c r="K3" s="105"/>
      <c r="L3" s="106" t="s">
        <v>52</v>
      </c>
      <c r="M3" s="528">
        <f t="array" ref="M3:AY3">TRANSPOSE(K12:K50)</f>
        <v>2.079697986908613E-2</v>
      </c>
      <c r="N3" s="528">
        <v>1.5441630636194859E-2</v>
      </c>
      <c r="O3" s="528">
        <v>2.6763990267639759E-2</v>
      </c>
      <c r="P3" s="528">
        <v>3.0693402341235521E-2</v>
      </c>
      <c r="Q3" s="528">
        <v>3.282321933946597E-2</v>
      </c>
      <c r="R3" s="528">
        <v>3.0448841954522354E-2</v>
      </c>
      <c r="S3" s="528">
        <v>2.9448851087382266E-2</v>
      </c>
      <c r="T3" s="528">
        <v>2.8719721246103225E-2</v>
      </c>
      <c r="U3" s="528">
        <v>2.8219725827145714E-2</v>
      </c>
      <c r="V3" s="528">
        <v>2.7557216192924283E-2</v>
      </c>
      <c r="W3" s="528">
        <v>2.6919737737835181E-2</v>
      </c>
      <c r="X3" s="528">
        <v>2.6419742318860795E-2</v>
      </c>
      <c r="Y3" s="528">
        <v>2.5973916699886468E-2</v>
      </c>
      <c r="Z3" s="528">
        <v>2.5573920366116054E-2</v>
      </c>
      <c r="AA3" s="528">
        <v>2.5282261215491264E-2</v>
      </c>
      <c r="AB3" s="528">
        <v>2.5082263049549525E-2</v>
      </c>
      <c r="AC3" s="528">
        <v>2.5153093715253316E-2</v>
      </c>
      <c r="AD3" s="528">
        <v>2.5507254310487504E-2</v>
      </c>
      <c r="AE3" s="528">
        <v>2.5907250644257696E-2</v>
      </c>
      <c r="AF3" s="528">
        <v>2.6415571256082515E-2</v>
      </c>
      <c r="AG3" s="528">
        <v>2.6907241478676402E-2</v>
      </c>
      <c r="AH3" s="528">
        <v>2.7253074461762283E-2</v>
      </c>
      <c r="AI3" s="528">
        <v>2.7823880420446923E-2</v>
      </c>
      <c r="AJ3" s="528">
        <v>2.862387310299197E-2</v>
      </c>
      <c r="AK3" s="528">
        <v>2.9802964295625456E-2</v>
      </c>
      <c r="AL3" s="528">
        <v>3.0815530961819881E-2</v>
      </c>
      <c r="AM3" s="528">
        <v>3.1469686422880727E-2</v>
      </c>
      <c r="AN3" s="528">
        <v>2.9459752895222513E-2</v>
      </c>
      <c r="AO3" s="528">
        <v>3.2390530966397879E-2</v>
      </c>
      <c r="AP3" s="528">
        <v>3.2390530966397879E-2</v>
      </c>
      <c r="AQ3" s="528">
        <v>3.2390530966397879E-2</v>
      </c>
      <c r="AR3" s="528">
        <v>3.2390530966397879E-2</v>
      </c>
      <c r="AS3" s="528">
        <v>3.2390530966397879E-2</v>
      </c>
      <c r="AT3" s="528">
        <v>3.2390530966397879E-2</v>
      </c>
      <c r="AU3" s="528">
        <v>3.2390530966397879E-2</v>
      </c>
      <c r="AV3" s="528">
        <v>3.2390530966397879E-2</v>
      </c>
      <c r="AW3" s="528">
        <v>3.2390530966397879E-2</v>
      </c>
      <c r="AX3" s="528">
        <v>3.2390530966397879E-2</v>
      </c>
      <c r="AY3" s="529">
        <v>3.2390530966397879E-2</v>
      </c>
    </row>
    <row r="4" spans="1:51" x14ac:dyDescent="0.2">
      <c r="A4" s="96"/>
      <c r="B4" s="113" t="s">
        <v>42</v>
      </c>
      <c r="C4" s="114">
        <f>[5]!USCPIDrift</f>
        <v>1.9591222180398681E-3</v>
      </c>
      <c r="D4" s="115">
        <f>[5]!USCPIVol</f>
        <v>1.236386349424937E-3</v>
      </c>
      <c r="E4" s="112"/>
      <c r="F4" s="112"/>
      <c r="J4" s="116"/>
      <c r="K4" s="117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</row>
    <row r="5" spans="1:51" x14ac:dyDescent="0.2">
      <c r="A5" s="96"/>
      <c r="B5" s="118" t="s">
        <v>43</v>
      </c>
      <c r="C5" s="119">
        <v>1.9591222180398681E-3</v>
      </c>
      <c r="D5" s="120">
        <v>1.236386349424937E-3</v>
      </c>
      <c r="E5" s="112"/>
      <c r="F5" s="112"/>
      <c r="J5" s="121"/>
      <c r="K5" s="117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122"/>
      <c r="AS5" s="122"/>
      <c r="AT5" s="122"/>
      <c r="AU5" s="122"/>
      <c r="AV5" s="122"/>
      <c r="AW5" s="122"/>
      <c r="AX5" s="122"/>
      <c r="AY5" s="122"/>
    </row>
    <row r="6" spans="1:51" x14ac:dyDescent="0.2">
      <c r="A6" s="123"/>
      <c r="B6" s="123"/>
      <c r="C6" s="123"/>
      <c r="D6" s="123"/>
      <c r="E6" s="123"/>
      <c r="F6" s="123"/>
      <c r="J6" s="121"/>
      <c r="K6" s="117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122"/>
      <c r="AS6" s="122"/>
      <c r="AT6" s="122"/>
      <c r="AU6" s="122"/>
      <c r="AV6" s="122"/>
      <c r="AW6" s="122"/>
      <c r="AX6" s="122"/>
      <c r="AY6" s="122"/>
    </row>
    <row r="7" spans="1:51" x14ac:dyDescent="0.2">
      <c r="A7" s="124" t="s">
        <v>57</v>
      </c>
      <c r="B7" s="125"/>
      <c r="C7" s="125"/>
      <c r="D7" s="125"/>
      <c r="E7" s="125"/>
      <c r="F7" s="126">
        <v>0</v>
      </c>
      <c r="J7" s="121"/>
      <c r="K7" s="117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122"/>
      <c r="AS7" s="122"/>
      <c r="AT7" s="122"/>
      <c r="AU7" s="122"/>
      <c r="AV7" s="122"/>
      <c r="AW7" s="122"/>
      <c r="AX7" s="122"/>
      <c r="AY7" s="122"/>
    </row>
    <row r="8" spans="1:51" ht="13.5" thickBot="1" x14ac:dyDescent="0.25">
      <c r="A8" s="124" t="s">
        <v>58</v>
      </c>
      <c r="B8" s="125"/>
      <c r="C8" s="125"/>
      <c r="D8" s="125"/>
      <c r="E8" s="125"/>
      <c r="F8" s="126">
        <v>1</v>
      </c>
      <c r="J8" s="116"/>
      <c r="K8" s="127"/>
      <c r="L8" s="96"/>
      <c r="M8" s="96"/>
      <c r="N8" s="96"/>
      <c r="O8" s="122"/>
      <c r="P8" s="96"/>
      <c r="Q8" s="96"/>
      <c r="R8" s="96"/>
      <c r="S8" s="96"/>
      <c r="T8" s="122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</row>
    <row r="9" spans="1:51" x14ac:dyDescent="0.2">
      <c r="A9" s="128"/>
      <c r="B9" s="96"/>
      <c r="C9" s="96"/>
      <c r="D9" s="96"/>
      <c r="E9" s="129"/>
      <c r="F9" s="129"/>
      <c r="J9" s="130" t="s">
        <v>59</v>
      </c>
      <c r="K9" s="131"/>
      <c r="L9" s="96"/>
      <c r="M9" s="132" t="s">
        <v>38</v>
      </c>
      <c r="N9" s="133"/>
      <c r="O9" s="134"/>
      <c r="P9" s="133"/>
      <c r="Q9" s="135"/>
      <c r="R9" s="135"/>
      <c r="S9" s="135"/>
      <c r="T9" s="134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</row>
    <row r="10" spans="1:51" x14ac:dyDescent="0.2">
      <c r="A10" s="128"/>
      <c r="B10" s="123"/>
      <c r="C10" s="123" t="s">
        <v>43</v>
      </c>
      <c r="D10" s="123" t="s">
        <v>42</v>
      </c>
      <c r="E10" s="136" t="s">
        <v>43</v>
      </c>
      <c r="F10" s="136" t="s">
        <v>42</v>
      </c>
      <c r="G10" s="129"/>
      <c r="H10" s="129"/>
      <c r="J10" s="137"/>
      <c r="K10" s="138" t="s">
        <v>63</v>
      </c>
      <c r="L10" s="96"/>
      <c r="M10" s="139" t="s">
        <v>65</v>
      </c>
      <c r="N10" s="140"/>
      <c r="O10" s="140"/>
      <c r="P10" s="140"/>
      <c r="Q10" s="141"/>
      <c r="R10" s="141"/>
      <c r="S10" s="141"/>
      <c r="T10" s="142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</row>
    <row r="11" spans="1:51" x14ac:dyDescent="0.2">
      <c r="A11" s="143" t="s">
        <v>68</v>
      </c>
      <c r="B11" s="144" t="s">
        <v>50</v>
      </c>
      <c r="C11" s="144" t="s">
        <v>60</v>
      </c>
      <c r="D11" s="144" t="s">
        <v>60</v>
      </c>
      <c r="E11" s="145" t="s">
        <v>61</v>
      </c>
      <c r="F11" s="145" t="s">
        <v>61</v>
      </c>
      <c r="G11" s="144" t="s">
        <v>52</v>
      </c>
      <c r="H11" s="144" t="s">
        <v>62</v>
      </c>
      <c r="J11" s="146" t="s">
        <v>48</v>
      </c>
      <c r="K11" s="147" t="s">
        <v>64</v>
      </c>
      <c r="L11" s="96"/>
      <c r="M11" s="148" t="s">
        <v>40</v>
      </c>
      <c r="N11" s="149"/>
      <c r="O11" s="149"/>
      <c r="P11" s="149"/>
      <c r="Q11" s="150"/>
      <c r="R11" s="150"/>
      <c r="S11" s="150"/>
      <c r="T11" s="151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</row>
    <row r="12" spans="1:51" x14ac:dyDescent="0.2">
      <c r="A12" s="152">
        <v>35431</v>
      </c>
      <c r="E12" s="153">
        <v>159.1</v>
      </c>
      <c r="F12" s="154">
        <f>VLOOKUP(A12,[5]!CPIndex,2)</f>
        <v>159.1</v>
      </c>
      <c r="G12" s="155">
        <f>$G$13</f>
        <v>3.1426775612822125E-3</v>
      </c>
      <c r="H12" s="155">
        <f t="shared" ref="H12:H75" si="0">G12+1</f>
        <v>1.0031426775612822</v>
      </c>
      <c r="J12" s="156">
        <v>1997</v>
      </c>
      <c r="K12" s="157">
        <f>PRODUCT(H12:H23)-1</f>
        <v>2.079697986908613E-2</v>
      </c>
      <c r="L12" s="96"/>
      <c r="M12" s="158" t="s">
        <v>66</v>
      </c>
      <c r="N12" s="159"/>
      <c r="O12" s="159"/>
      <c r="P12" s="159"/>
      <c r="Q12" s="160"/>
      <c r="R12" s="160"/>
      <c r="S12" s="160"/>
      <c r="T12" s="161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</row>
    <row r="13" spans="1:51" ht="13.5" thickBot="1" x14ac:dyDescent="0.25">
      <c r="A13" s="152">
        <v>35462</v>
      </c>
      <c r="E13" s="153">
        <v>159.6</v>
      </c>
      <c r="F13" s="154">
        <f>IF(VLOOKUP(A13,[5]!CPIndex,2)=0,(F12*EXP($C$4-1/2*$D$4^2+$D$4*B13)),VLOOKUP(A13,[5]!CPIndex,2))</f>
        <v>159.6</v>
      </c>
      <c r="G13" s="162">
        <f t="shared" ref="G13:G76" si="1">IF(shiftswitch4=1,(F13-F12)/F12,(E13-E12)/E12)</f>
        <v>3.1426775612822125E-3</v>
      </c>
      <c r="H13" s="155">
        <f t="shared" si="0"/>
        <v>1.0031426775612822</v>
      </c>
      <c r="J13" s="156">
        <v>1998</v>
      </c>
      <c r="K13" s="157">
        <f>PRODUCT(H24:H35)-1</f>
        <v>1.5441630636194859E-2</v>
      </c>
      <c r="L13" s="96"/>
      <c r="M13" s="163" t="s">
        <v>67</v>
      </c>
      <c r="N13" s="164"/>
      <c r="O13" s="164"/>
      <c r="P13" s="164"/>
      <c r="Q13" s="165"/>
      <c r="R13" s="165"/>
      <c r="S13" s="165"/>
      <c r="T13" s="16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</row>
    <row r="14" spans="1:51" x14ac:dyDescent="0.2">
      <c r="A14" s="152">
        <v>35490</v>
      </c>
      <c r="E14" s="153">
        <v>160</v>
      </c>
      <c r="F14" s="154">
        <f>IF(VLOOKUP(A14,[5]!CPIndex,2)=0,(F13*EXP($C$4-1/2*$D$4^2+$D$4*B14)),VLOOKUP(A14,[5]!CPIndex,2))</f>
        <v>160</v>
      </c>
      <c r="G14" s="162">
        <f t="shared" si="1"/>
        <v>2.5062656641604369E-3</v>
      </c>
      <c r="H14" s="155">
        <f t="shared" si="0"/>
        <v>1.0025062656641603</v>
      </c>
      <c r="J14" s="156">
        <v>1999</v>
      </c>
      <c r="K14" s="157">
        <f>PRODUCT(H36:H47)-1</f>
        <v>2.6763990267639759E-2</v>
      </c>
      <c r="L14" s="96"/>
      <c r="M14" s="96"/>
      <c r="N14" s="96"/>
      <c r="O14" s="96"/>
      <c r="P14" s="96"/>
      <c r="Q14" s="96"/>
      <c r="R14" s="96"/>
      <c r="S14" s="96"/>
      <c r="T14" s="162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</row>
    <row r="15" spans="1:51" x14ac:dyDescent="0.2">
      <c r="A15" s="152">
        <v>35521</v>
      </c>
      <c r="E15" s="153">
        <v>160.19999999999999</v>
      </c>
      <c r="F15" s="154">
        <f>IF(VLOOKUP(A15,[5]!CPIndex,2)=0,(F14*EXP($C$4-1/2*$D$4^2+$D$4*B15)),VLOOKUP(A15,[5]!CPIndex,2))</f>
        <v>160.19999999999999</v>
      </c>
      <c r="G15" s="162">
        <f t="shared" si="1"/>
        <v>1.2499999999999289E-3</v>
      </c>
      <c r="H15" s="155">
        <f t="shared" si="0"/>
        <v>1.00125</v>
      </c>
      <c r="J15" s="167">
        <v>2000</v>
      </c>
      <c r="K15" s="168">
        <f>PRODUCT(H48:H59)-1</f>
        <v>3.0693402341235521E-2</v>
      </c>
      <c r="L15" s="96"/>
      <c r="M15" s="96"/>
      <c r="N15" s="96"/>
      <c r="O15" s="96"/>
      <c r="P15" s="96"/>
      <c r="Q15" s="96"/>
      <c r="R15" s="96"/>
      <c r="S15" s="96"/>
      <c r="T15" s="162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</row>
    <row r="16" spans="1:51" x14ac:dyDescent="0.2">
      <c r="A16" s="152">
        <v>35551</v>
      </c>
      <c r="E16" s="153">
        <v>160.1</v>
      </c>
      <c r="F16" s="154">
        <f>IF(VLOOKUP(A16,[5]!CPIndex,2)=0,(F15*EXP($C$4-1/2*$D$4^2+$D$4*B16)),VLOOKUP(A16,[5]!CPIndex,2))</f>
        <v>160.1</v>
      </c>
      <c r="G16" s="162">
        <f t="shared" si="1"/>
        <v>-6.242197253432854E-4</v>
      </c>
      <c r="H16" s="155">
        <f t="shared" si="0"/>
        <v>0.99937578027465668</v>
      </c>
      <c r="J16" s="167">
        <v>2001</v>
      </c>
      <c r="K16" s="168">
        <f>PRODUCT(H60:H71)-1</f>
        <v>3.282321933946597E-2</v>
      </c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</row>
    <row r="17" spans="1:51" x14ac:dyDescent="0.2">
      <c r="A17" s="152">
        <v>35582</v>
      </c>
      <c r="E17" s="153">
        <v>160.4</v>
      </c>
      <c r="F17" s="154">
        <f>IF(VLOOKUP(A17,[5]!CPIndex,2)=0,(F16*EXP($C$4-1/2*$D$4^2+$D$4*B17)),VLOOKUP(A17,[5]!CPIndex,2))</f>
        <v>160.4</v>
      </c>
      <c r="G17" s="162">
        <f t="shared" si="1"/>
        <v>1.8738288569644683E-3</v>
      </c>
      <c r="H17" s="155">
        <f t="shared" si="0"/>
        <v>1.0018738288569644</v>
      </c>
      <c r="J17" s="167">
        <v>2002</v>
      </c>
      <c r="K17" s="168">
        <f>PRODUCT(H72:H83)-1</f>
        <v>3.0448841954522354E-2</v>
      </c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</row>
    <row r="18" spans="1:51" x14ac:dyDescent="0.2">
      <c r="A18" s="152">
        <v>35612</v>
      </c>
      <c r="E18" s="153">
        <v>160.6</v>
      </c>
      <c r="F18" s="154">
        <f>IF(VLOOKUP(A18,[5]!CPIndex,2)=0,(F17*EXP($C$4-1/2*$D$4^2+$D$4*B18)),VLOOKUP(A18,[5]!CPIndex,2))</f>
        <v>160.6</v>
      </c>
      <c r="G18" s="162">
        <f t="shared" si="1"/>
        <v>1.2468827930173854E-3</v>
      </c>
      <c r="H18" s="155">
        <f t="shared" si="0"/>
        <v>1.0012468827930174</v>
      </c>
      <c r="J18" s="167">
        <v>2003</v>
      </c>
      <c r="K18" s="168">
        <f>PRODUCT(H84:H95)-1</f>
        <v>2.9448851087382266E-2</v>
      </c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</row>
    <row r="19" spans="1:51" x14ac:dyDescent="0.2">
      <c r="A19" s="152">
        <v>35643</v>
      </c>
      <c r="E19" s="153">
        <v>160.9</v>
      </c>
      <c r="F19" s="154">
        <f>IF(VLOOKUP(A19,[5]!CPIndex,2)=0,(F18*EXP($C$4-1/2*$D$4^2+$D$4*B19)),VLOOKUP(A19,[5]!CPIndex,2))</f>
        <v>160.9</v>
      </c>
      <c r="G19" s="162">
        <f t="shared" si="1"/>
        <v>1.867995018680021E-3</v>
      </c>
      <c r="H19" s="155">
        <f t="shared" si="0"/>
        <v>1.00186799501868</v>
      </c>
      <c r="J19" s="167">
        <v>2004</v>
      </c>
      <c r="K19" s="168">
        <f>PRODUCT(H96:H107)-1</f>
        <v>2.8719721246103225E-2</v>
      </c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</row>
    <row r="20" spans="1:51" x14ac:dyDescent="0.2">
      <c r="A20" s="152">
        <v>35674</v>
      </c>
      <c r="E20" s="153">
        <v>161.30000000000001</v>
      </c>
      <c r="F20" s="154">
        <f>IF(VLOOKUP(A20,[5]!CPIndex,2)=0,(F19*EXP($C$4-1/2*$D$4^2+$D$4*B20)),VLOOKUP(A20,[5]!CPIndex,2))</f>
        <v>161.30000000000001</v>
      </c>
      <c r="G20" s="162">
        <f t="shared" si="1"/>
        <v>2.4860161591050696E-3</v>
      </c>
      <c r="H20" s="155">
        <f t="shared" si="0"/>
        <v>1.0024860161591052</v>
      </c>
      <c r="J20" s="167">
        <v>2005</v>
      </c>
      <c r="K20" s="168">
        <f>PRODUCT(H108:H119)-1</f>
        <v>2.8219725827145714E-2</v>
      </c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</row>
    <row r="21" spans="1:51" x14ac:dyDescent="0.2">
      <c r="A21" s="152">
        <v>35704</v>
      </c>
      <c r="E21" s="153">
        <v>161.6</v>
      </c>
      <c r="F21" s="154">
        <f>IF(VLOOKUP(A21,[5]!CPIndex,2)=0,(F20*EXP($C$4-1/2*$D$4^2+$D$4*B21)),VLOOKUP(A21,[5]!CPIndex,2))</f>
        <v>161.6</v>
      </c>
      <c r="G21" s="162">
        <f t="shared" si="1"/>
        <v>1.8598884066954925E-3</v>
      </c>
      <c r="H21" s="155">
        <f t="shared" si="0"/>
        <v>1.0018598884066956</v>
      </c>
      <c r="J21" s="167">
        <v>2006</v>
      </c>
      <c r="K21" s="168">
        <f>PRODUCT(H120:H131)-1</f>
        <v>2.7557216192924283E-2</v>
      </c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</row>
    <row r="22" spans="1:51" x14ac:dyDescent="0.2">
      <c r="A22" s="152">
        <v>35735</v>
      </c>
      <c r="E22" s="153">
        <v>161.80000000000001</v>
      </c>
      <c r="F22" s="154">
        <f>IF(VLOOKUP(A22,[5]!CPIndex,2)=0,(F21*EXP($C$4-1/2*$D$4^2+$D$4*B22)),VLOOKUP(A22,[5]!CPIndex,2))</f>
        <v>161.80000000000001</v>
      </c>
      <c r="G22" s="162">
        <f t="shared" si="1"/>
        <v>1.2376237623763432E-3</v>
      </c>
      <c r="H22" s="155">
        <f t="shared" si="0"/>
        <v>1.0012376237623763</v>
      </c>
      <c r="J22" s="167">
        <v>2007</v>
      </c>
      <c r="K22" s="168">
        <f>PRODUCT(H132:H143)-1</f>
        <v>2.6919737737835181E-2</v>
      </c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</row>
    <row r="23" spans="1:51" x14ac:dyDescent="0.2">
      <c r="A23" s="152">
        <v>35765</v>
      </c>
      <c r="E23" s="153">
        <v>161.9</v>
      </c>
      <c r="F23" s="154">
        <f>IF(VLOOKUP(A23,[5]!CPIndex,2)=0,(F22*EXP($C$4-1/2*$D$4^2+$D$4*B23)),VLOOKUP(A23,[5]!CPIndex,2))</f>
        <v>161.9</v>
      </c>
      <c r="G23" s="162">
        <f t="shared" si="1"/>
        <v>6.1804697156980413E-4</v>
      </c>
      <c r="H23" s="155">
        <f t="shared" si="0"/>
        <v>1.0006180469715698</v>
      </c>
      <c r="J23" s="167">
        <v>2008</v>
      </c>
      <c r="K23" s="168">
        <f>PRODUCT(H144:H155)-1</f>
        <v>2.6419742318860795E-2</v>
      </c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</row>
    <row r="24" spans="1:51" x14ac:dyDescent="0.2">
      <c r="A24" s="152">
        <v>35796</v>
      </c>
      <c r="B24" s="169">
        <v>0</v>
      </c>
      <c r="C24" s="169"/>
      <c r="D24" s="169"/>
      <c r="E24" s="153">
        <v>161.9</v>
      </c>
      <c r="F24" s="154">
        <f>IF(VLOOKUP(A24,[5]!CPIndex,2)=0,(F23*EXP($C$4-1/2*$D$4^2+$D$4*B24)),VLOOKUP(A24,[5]!CPIndex,2))</f>
        <v>161.9</v>
      </c>
      <c r="G24" s="162">
        <f t="shared" si="1"/>
        <v>0</v>
      </c>
      <c r="H24" s="155">
        <f t="shared" si="0"/>
        <v>1</v>
      </c>
      <c r="J24" s="167">
        <v>2009</v>
      </c>
      <c r="K24" s="168">
        <f>PRODUCT(H156:H167)-1</f>
        <v>2.5973916699886468E-2</v>
      </c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</row>
    <row r="25" spans="1:51" x14ac:dyDescent="0.2">
      <c r="A25" s="152">
        <v>35827</v>
      </c>
      <c r="B25" s="169">
        <v>0</v>
      </c>
      <c r="C25" s="169"/>
      <c r="D25" s="169"/>
      <c r="E25" s="153">
        <v>162</v>
      </c>
      <c r="F25" s="154">
        <f>IF(VLOOKUP(A25,[5]!CPIndex,2)=0,(F24*EXP($C$4-1/2*$D$4^2+$D$4*B25)),VLOOKUP(A25,[5]!CPIndex,2))</f>
        <v>162</v>
      </c>
      <c r="G25" s="162">
        <f t="shared" si="1"/>
        <v>6.176652254477722E-4</v>
      </c>
      <c r="H25" s="155">
        <f t="shared" si="0"/>
        <v>1.0006176652254477</v>
      </c>
      <c r="J25" s="167">
        <v>2010</v>
      </c>
      <c r="K25" s="168">
        <f>PRODUCT(H168:H179)-1</f>
        <v>2.5573920366116054E-2</v>
      </c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</row>
    <row r="26" spans="1:51" x14ac:dyDescent="0.2">
      <c r="A26" s="152">
        <v>35855</v>
      </c>
      <c r="B26" s="169">
        <v>0</v>
      </c>
      <c r="C26" s="169"/>
      <c r="D26" s="169"/>
      <c r="E26" s="153">
        <v>162</v>
      </c>
      <c r="F26" s="154">
        <f>IF(VLOOKUP(A26,[5]!CPIndex,2)=0,(F25*EXP($C$4-1/2*$D$4^2+$D$4*B26)),VLOOKUP(A26,[5]!CPIndex,2))</f>
        <v>162</v>
      </c>
      <c r="G26" s="162">
        <f t="shared" si="1"/>
        <v>0</v>
      </c>
      <c r="H26" s="155">
        <f t="shared" si="0"/>
        <v>1</v>
      </c>
      <c r="J26" s="167">
        <v>2011</v>
      </c>
      <c r="K26" s="168">
        <f>PRODUCT(H180:H191)-1</f>
        <v>2.5282261215491264E-2</v>
      </c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</row>
    <row r="27" spans="1:51" x14ac:dyDescent="0.2">
      <c r="A27" s="152">
        <v>35886</v>
      </c>
      <c r="B27" s="169">
        <v>0</v>
      </c>
      <c r="C27" s="169"/>
      <c r="D27" s="169"/>
      <c r="E27" s="153">
        <v>162.4</v>
      </c>
      <c r="F27" s="154">
        <f>IF(VLOOKUP(A27,[5]!CPIndex,2)=0,(F26*EXP($C$4-1/2*$D$4^2+$D$4*B27)),VLOOKUP(A27,[5]!CPIndex,2))</f>
        <v>162.4</v>
      </c>
      <c r="G27" s="162">
        <f t="shared" si="1"/>
        <v>2.4691358024691709E-3</v>
      </c>
      <c r="H27" s="155">
        <f t="shared" si="0"/>
        <v>1.0024691358024691</v>
      </c>
      <c r="J27" s="167">
        <v>2012</v>
      </c>
      <c r="K27" s="168">
        <f>PRODUCT(H192:H203)-1</f>
        <v>2.5082263049549525E-2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</row>
    <row r="28" spans="1:51" x14ac:dyDescent="0.2">
      <c r="A28" s="152">
        <v>35916</v>
      </c>
      <c r="B28" s="169">
        <v>0</v>
      </c>
      <c r="C28" s="153">
        <v>0</v>
      </c>
      <c r="D28" s="154">
        <f>IF(VLOOKUP(A28,[5]!CPIndex,2)=0,VLOOKUP(A28,[5]!CPIndex,6),0)</f>
        <v>0</v>
      </c>
      <c r="E28" s="153">
        <v>162.9</v>
      </c>
      <c r="F28" s="154">
        <f>IF(VLOOKUP(A28,[5]!CPIndex,2)=0,(F27*EXP(IF(driftswitch=1,D28,$C$4)-1/2*$D$4^2+$D$4*B28)),VLOOKUP(A28,[5]!CPIndex,2))</f>
        <v>162.9</v>
      </c>
      <c r="G28" s="162">
        <f t="shared" si="1"/>
        <v>3.0788177339901475E-3</v>
      </c>
      <c r="H28" s="155">
        <f t="shared" si="0"/>
        <v>1.0030788177339902</v>
      </c>
      <c r="I28">
        <v>162.71022916666666</v>
      </c>
      <c r="J28" s="167">
        <v>2013</v>
      </c>
      <c r="K28" s="168">
        <f>PRODUCT(H204:H215)-1</f>
        <v>2.5153093715253316E-2</v>
      </c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</row>
    <row r="29" spans="1:51" x14ac:dyDescent="0.2">
      <c r="A29" s="152">
        <v>35947</v>
      </c>
      <c r="B29" s="169">
        <v>0</v>
      </c>
      <c r="C29" s="153">
        <v>0</v>
      </c>
      <c r="D29" s="154">
        <f>IF(VLOOKUP(A29,[5]!CPIndex,2)=0,VLOOKUP(A29,[5]!CPIndex,6),0)</f>
        <v>0</v>
      </c>
      <c r="E29" s="153">
        <v>163</v>
      </c>
      <c r="F29" s="154">
        <f>IF(VLOOKUP(A29,[5]!CPIndex,2)=0,(F28*EXP(IF(driftswitch=1,D29,$C$4)-1/2*$D$4^2+$D$4*B29)),VLOOKUP(A29,[5]!CPIndex,2))</f>
        <v>163</v>
      </c>
      <c r="G29" s="162">
        <f t="shared" si="1"/>
        <v>6.1387354205030267E-4</v>
      </c>
      <c r="H29" s="155">
        <f t="shared" si="0"/>
        <v>1.0006138735420502</v>
      </c>
      <c r="I29">
        <v>162.92045833333333</v>
      </c>
      <c r="J29" s="167">
        <v>2014</v>
      </c>
      <c r="K29" s="168">
        <f>PRODUCT(H216:H227)-1</f>
        <v>2.5507254310487504E-2</v>
      </c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</row>
    <row r="30" spans="1:51" x14ac:dyDescent="0.2">
      <c r="A30" s="152">
        <v>35977</v>
      </c>
      <c r="B30" s="169">
        <v>0</v>
      </c>
      <c r="C30" s="153">
        <v>0</v>
      </c>
      <c r="D30" s="154">
        <f>IF(VLOOKUP(A30,[5]!CPIndex,2)=0,VLOOKUP(A30,[5]!CPIndex,6),0)</f>
        <v>0</v>
      </c>
      <c r="E30" s="153">
        <v>163.30000000000001</v>
      </c>
      <c r="F30" s="154">
        <f>IF(VLOOKUP(A30,[5]!CPIndex,2)=0,(F29*EXP(IF(driftswitch=1,D30,$C$4)-1/2*$D$4^2+$D$4*B30)),VLOOKUP(A30,[5]!CPIndex,2))</f>
        <v>163.30000000000001</v>
      </c>
      <c r="G30" s="162">
        <f t="shared" si="1"/>
        <v>1.8404907975460821E-3</v>
      </c>
      <c r="H30" s="155">
        <f t="shared" si="0"/>
        <v>1.001840490797546</v>
      </c>
      <c r="I30">
        <v>163.13068749999999</v>
      </c>
      <c r="J30" s="167">
        <v>2015</v>
      </c>
      <c r="K30" s="168">
        <f>PRODUCT(H228:H239)-1</f>
        <v>2.5907250644257696E-2</v>
      </c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</row>
    <row r="31" spans="1:51" x14ac:dyDescent="0.2">
      <c r="A31" s="152">
        <v>36008</v>
      </c>
      <c r="B31" s="169">
        <v>0</v>
      </c>
      <c r="C31" s="153">
        <v>0</v>
      </c>
      <c r="D31" s="154">
        <f>IF(VLOOKUP(A31,[5]!CPIndex,2)=0,VLOOKUP(A31,[5]!CPIndex,6),0)</f>
        <v>0</v>
      </c>
      <c r="E31" s="153">
        <v>163.5</v>
      </c>
      <c r="F31" s="154">
        <f>IF(VLOOKUP(A31,[5]!CPIndex,2)=0,(F30*EXP(IF(driftswitch=1,D31,$C$4)-1/2*$D$4^2+$D$4*B31)),VLOOKUP(A31,[5]!CPIndex,2))</f>
        <v>163.5</v>
      </c>
      <c r="G31" s="162">
        <f t="shared" si="1"/>
        <v>1.2247397428045844E-3</v>
      </c>
      <c r="H31" s="155">
        <f t="shared" si="0"/>
        <v>1.0012247397428047</v>
      </c>
      <c r="I31">
        <v>163.34091666666666</v>
      </c>
      <c r="J31" s="167">
        <v>2016</v>
      </c>
      <c r="K31" s="168">
        <f>PRODUCT(H240:H251)-1</f>
        <v>2.6415571256082515E-2</v>
      </c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</row>
    <row r="32" spans="1:51" x14ac:dyDescent="0.2">
      <c r="A32" s="152">
        <v>36039</v>
      </c>
      <c r="B32" s="169">
        <v>0</v>
      </c>
      <c r="C32" s="153">
        <v>0</v>
      </c>
      <c r="D32" s="154">
        <f>IF(VLOOKUP(A32,[5]!CPIndex,2)=0,VLOOKUP(A32,[5]!CPIndex,6),0)</f>
        <v>0</v>
      </c>
      <c r="E32" s="153">
        <v>163.6</v>
      </c>
      <c r="F32" s="154">
        <f>IF(VLOOKUP(A32,[5]!CPIndex,2)=0,(F31*EXP(IF(driftswitch=1,D32,$C$4)-1/2*$D$4^2+$D$4*B32)),VLOOKUP(A32,[5]!CPIndex,2))</f>
        <v>163.6</v>
      </c>
      <c r="G32" s="162">
        <f t="shared" si="1"/>
        <v>6.1162079510699891E-4</v>
      </c>
      <c r="H32" s="155">
        <f t="shared" si="0"/>
        <v>1.000611620795107</v>
      </c>
      <c r="I32">
        <v>163.55114583333332</v>
      </c>
      <c r="J32" s="167">
        <v>2017</v>
      </c>
      <c r="K32" s="168">
        <f>PRODUCT(H252:H263)-1</f>
        <v>2.6907241478676402E-2</v>
      </c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</row>
    <row r="33" spans="1:51" x14ac:dyDescent="0.2">
      <c r="A33" s="152">
        <v>36069</v>
      </c>
      <c r="B33" s="169">
        <v>0</v>
      </c>
      <c r="C33" s="153">
        <v>0</v>
      </c>
      <c r="D33" s="154">
        <f>IF(VLOOKUP(A33,[5]!CPIndex,2)=0,VLOOKUP(A33,[5]!CPIndex,6),0)</f>
        <v>0</v>
      </c>
      <c r="E33" s="153">
        <v>163.9</v>
      </c>
      <c r="F33" s="154">
        <f>IF(VLOOKUP(A33,[5]!CPIndex,2)=0,(F32*EXP(IF(driftswitch=1,D33,$C$4)-1/2*$D$4^2+$D$4*B33)),VLOOKUP(A33,[5]!CPIndex,2))</f>
        <v>163.9</v>
      </c>
      <c r="G33" s="162">
        <f t="shared" si="1"/>
        <v>1.8337408312959131E-3</v>
      </c>
      <c r="H33" s="155">
        <f t="shared" si="0"/>
        <v>1.0018337408312958</v>
      </c>
      <c r="I33">
        <v>163.76137499999999</v>
      </c>
      <c r="J33" s="167">
        <v>2018</v>
      </c>
      <c r="K33" s="168">
        <f>PRODUCT(H264:H275)-1</f>
        <v>2.7253074461762283E-2</v>
      </c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</row>
    <row r="34" spans="1:51" x14ac:dyDescent="0.2">
      <c r="A34" s="152">
        <v>36100</v>
      </c>
      <c r="B34" s="171">
        <v>4.798158979613369E-3</v>
      </c>
      <c r="C34" s="153">
        <v>0</v>
      </c>
      <c r="D34" s="154">
        <f>IF(VLOOKUP(A34,[5]!CPIndex,2)=0,VLOOKUP(A34,[5]!CPIndex,6),0)</f>
        <v>0</v>
      </c>
      <c r="E34" s="153">
        <v>164.2</v>
      </c>
      <c r="F34" s="154">
        <f>IF(VLOOKUP(A34,[5]!CPIndex,2)=0,(F33*EXP(IF(driftswitch=1,D34,$C$4)-1/2*$D$4^2+$D$4*B34)),VLOOKUP(A34,[5]!CPIndex,2))</f>
        <v>164.2</v>
      </c>
      <c r="G34" s="162">
        <f t="shared" si="1"/>
        <v>1.8303843807198471E-3</v>
      </c>
      <c r="H34" s="155">
        <f t="shared" si="0"/>
        <v>1.0018303843807199</v>
      </c>
      <c r="I34">
        <v>163.97160416666665</v>
      </c>
      <c r="J34" s="167">
        <v>2019</v>
      </c>
      <c r="K34" s="168">
        <f>PRODUCT(H276:H287)-1</f>
        <v>2.7823880420446923E-2</v>
      </c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</row>
    <row r="35" spans="1:51" x14ac:dyDescent="0.2">
      <c r="A35" s="152">
        <v>36130</v>
      </c>
      <c r="B35" s="171">
        <v>-2.4935860601961759E-2</v>
      </c>
      <c r="C35" s="153">
        <v>0</v>
      </c>
      <c r="D35" s="154">
        <f>IF(VLOOKUP(A35,[5]!CPIndex,2)=0,VLOOKUP(A35,[5]!CPIndex,6),0)</f>
        <v>0</v>
      </c>
      <c r="E35" s="153">
        <v>164.4</v>
      </c>
      <c r="F35" s="154">
        <f>IF(VLOOKUP(A35,[5]!CPIndex,2)=0,(F34*EXP(IF(driftswitch=1,D35,$C$4)-1/2*$D$4^2+$D$4*B35)),VLOOKUP(A35,[5]!CPIndex,2))</f>
        <v>164.4</v>
      </c>
      <c r="G35" s="162">
        <f t="shared" si="1"/>
        <v>1.218026796589629E-3</v>
      </c>
      <c r="H35" s="155">
        <f t="shared" si="0"/>
        <v>1.0012180267965896</v>
      </c>
      <c r="I35">
        <v>164.12275000000002</v>
      </c>
      <c r="J35" s="167">
        <v>2020</v>
      </c>
      <c r="K35" s="168">
        <f>PRODUCT(H288:H299)-1</f>
        <v>2.862387310299197E-2</v>
      </c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</row>
    <row r="36" spans="1:51" x14ac:dyDescent="0.2">
      <c r="A36" s="152">
        <v>36161</v>
      </c>
      <c r="B36" s="171">
        <v>1.0949650579086142E-2</v>
      </c>
      <c r="C36" s="153">
        <v>0</v>
      </c>
      <c r="D36" s="154">
        <f>IF(VLOOKUP(A36,[5]!CPIndex,2)=0,VLOOKUP(A36,[5]!CPIndex,6),0)</f>
        <v>0</v>
      </c>
      <c r="E36" s="153">
        <v>164.6</v>
      </c>
      <c r="F36" s="154">
        <f>IF(VLOOKUP(A36,[5]!CPIndex,2)=0,(F35*EXP(IF(driftswitch=1,D36,$C$4)-1/2*$D$4^2+$D$4*B36)),VLOOKUP(A36,[5]!CPIndex,2))</f>
        <v>164.6</v>
      </c>
      <c r="G36" s="162">
        <f t="shared" si="1"/>
        <v>1.216545012165381E-3</v>
      </c>
      <c r="H36" s="155">
        <f t="shared" si="0"/>
        <v>1.0012165450121653</v>
      </c>
      <c r="I36">
        <v>164.42735157212763</v>
      </c>
      <c r="J36" s="167">
        <v>2021</v>
      </c>
      <c r="K36" s="168">
        <f>PRODUCT(H300:H311)-1</f>
        <v>2.9802964295625456E-2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</row>
    <row r="37" spans="1:51" x14ac:dyDescent="0.2">
      <c r="A37" s="152">
        <v>36192</v>
      </c>
      <c r="B37" s="171">
        <v>1.6175925166724363E-3</v>
      </c>
      <c r="C37" s="153">
        <v>0</v>
      </c>
      <c r="D37" s="154">
        <f>IF(VLOOKUP(A37,[5]!CPIndex,2)=0,VLOOKUP(A37,[5]!CPIndex,6),0)</f>
        <v>0</v>
      </c>
      <c r="E37" s="153">
        <v>164.7</v>
      </c>
      <c r="F37" s="154">
        <f>IF(VLOOKUP(A37,[5]!CPIndex,2)=0,(F36*EXP(IF(driftswitch=1,D37,$C$4)-1/2*$D$4^2+$D$4*B37)),VLOOKUP(A37,[5]!CPIndex,2))</f>
        <v>164.7</v>
      </c>
      <c r="G37" s="162">
        <f t="shared" si="1"/>
        <v>6.0753341433775405E-4</v>
      </c>
      <c r="H37" s="155">
        <f t="shared" si="0"/>
        <v>1.0006075334143378</v>
      </c>
      <c r="I37">
        <v>164.73251846574627</v>
      </c>
      <c r="J37" s="167">
        <v>2022</v>
      </c>
      <c r="K37" s="168">
        <f>PRODUCT(H312:H323)-1</f>
        <v>3.0815530961819881E-2</v>
      </c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</row>
    <row r="38" spans="1:51" x14ac:dyDescent="0.2">
      <c r="A38" s="152">
        <v>36220</v>
      </c>
      <c r="B38" s="171">
        <v>-4.9749086910760116E-3</v>
      </c>
      <c r="C38" s="153">
        <v>0</v>
      </c>
      <c r="D38" s="154">
        <f>IF(VLOOKUP(A38,[5]!CPIndex,2)=0,VLOOKUP(A38,[5]!CPIndex,6),0)</f>
        <v>0</v>
      </c>
      <c r="E38" s="153">
        <v>165</v>
      </c>
      <c r="F38" s="154">
        <f>IF(VLOOKUP(A38,[5]!CPIndex,2)=0,(F37*EXP(IF(driftswitch=1,D38,$C$4)-1/2*$D$4^2+$D$4*B38)),VLOOKUP(A38,[5]!CPIndex,2))</f>
        <v>165</v>
      </c>
      <c r="G38" s="162">
        <f t="shared" si="1"/>
        <v>1.8214936247723825E-3</v>
      </c>
      <c r="H38" s="155">
        <f t="shared" si="0"/>
        <v>1.0018214936247725</v>
      </c>
      <c r="I38">
        <v>165.03825173005731</v>
      </c>
      <c r="J38" s="167">
        <v>2023</v>
      </c>
      <c r="K38" s="170">
        <f>PRODUCT(H324:H335)-1</f>
        <v>3.1469686422880727E-2</v>
      </c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</row>
    <row r="39" spans="1:51" x14ac:dyDescent="0.2">
      <c r="A39" s="152">
        <v>36251</v>
      </c>
      <c r="B39" s="171">
        <v>2.5961078268412048E-2</v>
      </c>
      <c r="C39" s="153">
        <v>0</v>
      </c>
      <c r="D39" s="154">
        <f>IF(VLOOKUP(A39,[5]!CPIndex,2)=0,VLOOKUP(A39,[5]!CPIndex,6),0)</f>
        <v>0</v>
      </c>
      <c r="E39" s="153">
        <v>166.2</v>
      </c>
      <c r="F39" s="154">
        <f>IF(VLOOKUP(A39,[5]!CPIndex,2)=0,(F38*EXP(IF(driftswitch=1,D39,$C$4)-1/2*$D$4^2+$D$4*B39)),VLOOKUP(A39,[5]!CPIndex,2))</f>
        <v>166.2</v>
      </c>
      <c r="G39" s="162">
        <f t="shared" si="1"/>
        <v>7.2727272727272042E-3</v>
      </c>
      <c r="H39" s="155">
        <f t="shared" si="0"/>
        <v>1.0072727272727271</v>
      </c>
      <c r="I39">
        <v>165.34455241620938</v>
      </c>
      <c r="J39" s="167">
        <v>2024</v>
      </c>
      <c r="K39" s="170">
        <f>PRODUCT(H336:H347)-1</f>
        <v>2.9459752895222513E-2</v>
      </c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</row>
    <row r="40" spans="1:51" x14ac:dyDescent="0.2">
      <c r="A40" s="152">
        <v>36281</v>
      </c>
      <c r="B40" s="171">
        <v>3.2704026073417124E-2</v>
      </c>
      <c r="C40" s="153">
        <v>0</v>
      </c>
      <c r="D40" s="154">
        <f>IF(VLOOKUP(A40,[5]!CPIndex,2)=0,VLOOKUP(A40,[5]!CPIndex,6),0)</f>
        <v>0</v>
      </c>
      <c r="E40" s="153">
        <v>166.2</v>
      </c>
      <c r="F40" s="154">
        <f>IF(VLOOKUP(A40,[5]!CPIndex,2)=0,(F39*EXP(IF(driftswitch=1,D40,$C$4)-1/2*$D$4^2+$D$4*B40)),VLOOKUP(A40,[5]!CPIndex,2))</f>
        <v>166.2</v>
      </c>
      <c r="G40" s="162">
        <f t="shared" si="1"/>
        <v>0</v>
      </c>
      <c r="H40" s="155">
        <f t="shared" si="0"/>
        <v>1</v>
      </c>
      <c r="I40">
        <v>165.65142157730199</v>
      </c>
      <c r="J40" s="167">
        <v>2025</v>
      </c>
      <c r="K40" s="170">
        <f>PRODUCT(H348:H359)-1</f>
        <v>3.2390530966397879E-2</v>
      </c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</row>
    <row r="41" spans="1:51" x14ac:dyDescent="0.2">
      <c r="A41" s="152">
        <v>36312</v>
      </c>
      <c r="B41" s="171">
        <v>2.108810378909803E-2</v>
      </c>
      <c r="C41" s="153">
        <v>0</v>
      </c>
      <c r="D41" s="154">
        <f>IF(VLOOKUP(A41,[5]!CPIndex,2)=0,VLOOKUP(A41,[5]!CPIndex,6),0)</f>
        <v>0</v>
      </c>
      <c r="E41" s="153">
        <v>166.2</v>
      </c>
      <c r="F41" s="154">
        <f>IF(VLOOKUP(A41,[5]!CPIndex,2)=0,(F40*EXP(IF(driftswitch=1,D41,$C$4)-1/2*$D$4^2+$D$4*B41)),VLOOKUP(A41,[5]!CPIndex,2))</f>
        <v>166.2</v>
      </c>
      <c r="G41" s="162">
        <f t="shared" si="1"/>
        <v>0</v>
      </c>
      <c r="H41" s="155">
        <f t="shared" si="0"/>
        <v>1</v>
      </c>
      <c r="I41">
        <v>165.95886026838912</v>
      </c>
      <c r="J41" s="167">
        <v>2026</v>
      </c>
      <c r="K41" s="170">
        <f>PRODUCT(H360:H371)-1</f>
        <v>3.2390530966397879E-2</v>
      </c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</row>
    <row r="42" spans="1:51" x14ac:dyDescent="0.2">
      <c r="A42" s="152">
        <v>36342</v>
      </c>
      <c r="B42" s="171">
        <v>-1.0909225040810757E-2</v>
      </c>
      <c r="C42" s="153">
        <v>0</v>
      </c>
      <c r="D42" s="154">
        <f>IF(VLOOKUP(A42,[5]!CPIndex,2)=0,VLOOKUP(A42,[5]!CPIndex,6),0)</f>
        <v>0</v>
      </c>
      <c r="E42" s="153">
        <v>166.7</v>
      </c>
      <c r="F42" s="154">
        <f>IF(VLOOKUP(A42,[5]!CPIndex,2)=0,(F41*EXP(IF(driftswitch=1,D42,$C$4)-1/2*$D$4^2+$D$4*B42)),VLOOKUP(A42,[5]!CPIndex,2))</f>
        <v>166.7</v>
      </c>
      <c r="G42" s="162">
        <f t="shared" si="1"/>
        <v>3.0084235860409147E-3</v>
      </c>
      <c r="H42" s="155">
        <f t="shared" si="0"/>
        <v>1.0030084235860408</v>
      </c>
      <c r="I42">
        <v>166.26686954648284</v>
      </c>
      <c r="J42" s="167">
        <v>2027</v>
      </c>
      <c r="K42" s="170">
        <f>PRODUCT(H372:H383)-1</f>
        <v>3.2390530966397879E-2</v>
      </c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</row>
    <row r="43" spans="1:51" x14ac:dyDescent="0.2">
      <c r="A43" s="152">
        <v>36373</v>
      </c>
      <c r="B43" s="171">
        <v>-2.7071978101692956E-2</v>
      </c>
      <c r="C43" s="153">
        <v>0</v>
      </c>
      <c r="D43" s="154">
        <f>IF(VLOOKUP(A43,[5]!CPIndex,2)=0,VLOOKUP(A43,[5]!CPIndex,6),0)</f>
        <v>0</v>
      </c>
      <c r="E43" s="153">
        <v>167.1</v>
      </c>
      <c r="F43" s="154">
        <f>IF(VLOOKUP(A43,[5]!CPIndex,2)=0,(F42*EXP(IF(driftswitch=1,D43,$C$4)-1/2*$D$4^2+$D$4*B43)),VLOOKUP(A43,[5]!CPIndex,2))</f>
        <v>167.1</v>
      </c>
      <c r="G43" s="162">
        <f t="shared" si="1"/>
        <v>2.3995200959808379E-3</v>
      </c>
      <c r="H43" s="155">
        <f t="shared" si="0"/>
        <v>1.0023995200959808</v>
      </c>
      <c r="I43">
        <v>166.575450470557</v>
      </c>
      <c r="J43" s="167">
        <v>2028</v>
      </c>
      <c r="K43" s="170">
        <f>PRODUCT(H384:H395)-1</f>
        <v>3.2390530966397879E-2</v>
      </c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</row>
    <row r="44" spans="1:51" x14ac:dyDescent="0.2">
      <c r="A44" s="152">
        <v>36404</v>
      </c>
      <c r="B44" s="171">
        <v>3.0164051806785289E-2</v>
      </c>
      <c r="C44" s="153">
        <v>0</v>
      </c>
      <c r="D44" s="154">
        <f>IF(VLOOKUP(A44,[5]!CPIndex,2)=0,VLOOKUP(A44,[5]!CPIndex,6),0)</f>
        <v>0</v>
      </c>
      <c r="E44" s="153">
        <v>167.9</v>
      </c>
      <c r="F44" s="154">
        <f>IF(VLOOKUP(A44,[5]!CPIndex,2)=0,(F43*EXP(IF(driftswitch=1,D44,$C$4)-1/2*$D$4^2+$D$4*B44)),VLOOKUP(A44,[5]!CPIndex,2))</f>
        <v>167.9</v>
      </c>
      <c r="G44" s="162">
        <f t="shared" si="1"/>
        <v>4.7875523638540481E-3</v>
      </c>
      <c r="H44" s="155">
        <f t="shared" si="0"/>
        <v>1.0047875523638541</v>
      </c>
      <c r="I44">
        <v>166.88460410155085</v>
      </c>
      <c r="J44" s="167">
        <v>2029</v>
      </c>
      <c r="K44" s="170">
        <f>PRODUCT(H396:H407)-1</f>
        <v>3.2390530966397879E-2</v>
      </c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</row>
    <row r="45" spans="1:51" x14ac:dyDescent="0.2">
      <c r="A45" s="152">
        <v>36434</v>
      </c>
      <c r="B45" s="171">
        <v>-2.4967619087062274E-2</v>
      </c>
      <c r="C45" s="153">
        <v>0</v>
      </c>
      <c r="D45" s="154">
        <f>IF(VLOOKUP(A45,[5]!CPIndex,2)=0,VLOOKUP(A45,[5]!CPIndex,6),0)</f>
        <v>0</v>
      </c>
      <c r="E45" s="153">
        <v>168.2</v>
      </c>
      <c r="F45" s="154">
        <f>IF(VLOOKUP(A45,[5]!CPIndex,2)=0,(F44*EXP(IF(driftswitch=1,D45,$C$4)-1/2*$D$4^2+$D$4*B45)),VLOOKUP(A45,[5]!CPIndex,2))</f>
        <v>168.2</v>
      </c>
      <c r="G45" s="162">
        <f t="shared" si="1"/>
        <v>1.7867778439546334E-3</v>
      </c>
      <c r="H45" s="155">
        <f t="shared" si="0"/>
        <v>1.0017867778439546</v>
      </c>
      <c r="I45">
        <v>167.19433150237265</v>
      </c>
      <c r="J45" s="167">
        <v>2030</v>
      </c>
      <c r="K45" s="170">
        <f>PRODUCT(H408:H419)-1</f>
        <v>3.2390530966397879E-2</v>
      </c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</row>
    <row r="46" spans="1:51" x14ac:dyDescent="0.2">
      <c r="A46" s="152">
        <v>36465</v>
      </c>
      <c r="B46" s="171">
        <v>1.9036764165214461E-2</v>
      </c>
      <c r="C46" s="153">
        <v>0</v>
      </c>
      <c r="D46" s="154">
        <f>IF(VLOOKUP(A46,[5]!CPIndex,2)=0,VLOOKUP(A46,[5]!CPIndex,6),0)</f>
        <v>0</v>
      </c>
      <c r="E46" s="153">
        <v>168.4</v>
      </c>
      <c r="F46" s="154">
        <f>IF(VLOOKUP(A46,[5]!CPIndex,2)=0,(F45*EXP(IF(driftswitch=1,D46,$C$4)-1/2*$D$4^2+$D$4*B46)),VLOOKUP(A46,[5]!CPIndex,2))</f>
        <v>168.4</v>
      </c>
      <c r="G46" s="162">
        <f t="shared" si="1"/>
        <v>1.1890606420928481E-3</v>
      </c>
      <c r="H46" s="155">
        <f t="shared" si="0"/>
        <v>1.0011890606420928</v>
      </c>
      <c r="I46">
        <v>167.50463373790333</v>
      </c>
      <c r="J46" s="167">
        <v>2031</v>
      </c>
      <c r="K46" s="170">
        <f>PRODUCT(H420:H431)-1</f>
        <v>3.2390530966397879E-2</v>
      </c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</row>
    <row r="47" spans="1:51" x14ac:dyDescent="0.2">
      <c r="A47" s="152">
        <v>36495</v>
      </c>
      <c r="B47" s="171">
        <v>2.3387129904294299E-2</v>
      </c>
      <c r="C47" s="153">
        <v>0</v>
      </c>
      <c r="D47" s="154">
        <f>IF(VLOOKUP(A47,[5]!CPIndex,2)=0,VLOOKUP(A47,[5]!CPIndex,6),0)</f>
        <v>0</v>
      </c>
      <c r="E47" s="153">
        <v>168.8</v>
      </c>
      <c r="F47" s="154">
        <f>IF(VLOOKUP(A47,[5]!CPIndex,2)=0,(F46*EXP(IF(driftswitch=1,D47,$C$4)-1/2*$D$4^2+$D$4*B47)),VLOOKUP(A47,[5]!CPIndex,2))</f>
        <v>168.8</v>
      </c>
      <c r="G47" s="162">
        <f t="shared" si="1"/>
        <v>2.3752969121140478E-3</v>
      </c>
      <c r="H47" s="155">
        <f t="shared" si="0"/>
        <v>1.002375296912114</v>
      </c>
      <c r="I47">
        <v>167.81551187500025</v>
      </c>
      <c r="J47" s="167">
        <v>2032</v>
      </c>
      <c r="K47" s="170">
        <f>PRODUCT(H432:H443)-1</f>
        <v>3.2390530966397879E-2</v>
      </c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</row>
    <row r="48" spans="1:51" x14ac:dyDescent="0.2">
      <c r="A48" s="152">
        <v>36526</v>
      </c>
      <c r="B48" s="171">
        <v>2.4708157872621143E-2</v>
      </c>
      <c r="C48" s="153">
        <v>0</v>
      </c>
      <c r="D48" s="154">
        <f>IF(VLOOKUP(A48,[5]!CPIndex,2)=0,VLOOKUP(A48,[5]!CPIndex,6),0)</f>
        <v>0</v>
      </c>
      <c r="E48" s="153">
        <v>169.1</v>
      </c>
      <c r="F48" s="154">
        <f>IF(VLOOKUP(A48,[5]!CPIndex,2)=0,(F47*EXP(IF(driftswitch=1,D48,$C$4)-1/2*$D$4^2+$D$4*B48)),VLOOKUP(A48,[5]!CPIndex,2))</f>
        <v>169.1</v>
      </c>
      <c r="G48" s="162">
        <f t="shared" si="1"/>
        <v>1.7772511848340221E-3</v>
      </c>
      <c r="H48" s="155">
        <f t="shared" si="0"/>
        <v>1.001777251184834</v>
      </c>
      <c r="I48">
        <v>168.12696698250073</v>
      </c>
      <c r="J48" s="167">
        <v>2033</v>
      </c>
      <c r="K48" s="170">
        <f>PRODUCT(H444:H455)-1</f>
        <v>3.2390530966397879E-2</v>
      </c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</row>
    <row r="49" spans="1:51" x14ac:dyDescent="0.2">
      <c r="A49" s="152">
        <v>36557</v>
      </c>
      <c r="B49" s="171">
        <v>3.1331065369852016E-3</v>
      </c>
      <c r="C49" s="153">
        <v>2.3080189417771985E-3</v>
      </c>
      <c r="D49" s="154">
        <f>IF(VLOOKUP(A49,[5]!CPIndex,2)=0,VLOOKUP(A49,[5]!CPIndex,6),0)</f>
        <v>0</v>
      </c>
      <c r="E49" s="153">
        <v>169.49060719744423</v>
      </c>
      <c r="F49" s="154">
        <f>IF(VLOOKUP(A49,[5]!CPIndex,2)=0,(F48*EXP(IF(driftswitch=1,D49,$C$4)-1/2*$D$4^2+$D$4*B49)),VLOOKUP(A49,[5]!CPIndex,2))</f>
        <v>169.7</v>
      </c>
      <c r="G49" s="162">
        <f t="shared" si="1"/>
        <v>2.3099183763704303E-3</v>
      </c>
      <c r="H49" s="155">
        <f t="shared" si="0"/>
        <v>1.0023099183763704</v>
      </c>
      <c r="I49">
        <v>168.43900013122578</v>
      </c>
      <c r="J49" s="167">
        <v>2034</v>
      </c>
      <c r="K49" s="170">
        <f>PRODUCT(H456:H467)-1</f>
        <v>3.2390530966397879E-2</v>
      </c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</row>
    <row r="50" spans="1:51" ht="13.5" thickBot="1" x14ac:dyDescent="0.25">
      <c r="A50" s="152">
        <v>36586</v>
      </c>
      <c r="B50" s="171">
        <v>2.7947517704616166E-2</v>
      </c>
      <c r="C50" s="153">
        <v>2.3640645042036566E-3</v>
      </c>
      <c r="D50" s="154">
        <f>IF(VLOOKUP(A50,[5]!CPIndex,2)=0,VLOOKUP(A50,[5]!CPIndex,6),0)</f>
        <v>2.6458811094018015E-3</v>
      </c>
      <c r="E50" s="153">
        <v>169.89163807122029</v>
      </c>
      <c r="F50" s="154">
        <f>IF(VLOOKUP(A50,[5]!CPIndex,2)=0,(F49*EXP(IF(driftswitch=1,D50,$C$4)-1/2*$D$4^2+$D$4*B50)),VLOOKUP(A50,[5]!CPIndex,2))</f>
        <v>170.15534994150437</v>
      </c>
      <c r="G50" s="162">
        <f t="shared" si="1"/>
        <v>2.3660949736812216E-3</v>
      </c>
      <c r="H50" s="155">
        <f t="shared" si="0"/>
        <v>1.0023660949736812</v>
      </c>
      <c r="I50">
        <v>168.75161239398383</v>
      </c>
      <c r="J50" s="172">
        <v>2035</v>
      </c>
      <c r="K50" s="173">
        <f>PRODUCT(H468:H479)-1</f>
        <v>3.2390530966397879E-2</v>
      </c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</row>
    <row r="51" spans="1:51" x14ac:dyDescent="0.2">
      <c r="A51" s="152">
        <v>36617</v>
      </c>
      <c r="B51" s="171">
        <v>-3.0350892790396801E-2</v>
      </c>
      <c r="C51" s="153">
        <v>2.4200723987012583E-3</v>
      </c>
      <c r="D51" s="154">
        <f>IF(VLOOKUP(A51,[5]!CPIndex,2)=0,VLOOKUP(A51,[5]!CPIndex,6),0)</f>
        <v>2.6668680104578531E-3</v>
      </c>
      <c r="E51" s="153">
        <v>170.30315587621234</v>
      </c>
      <c r="F51" s="154">
        <f>IF(VLOOKUP(A51,[5]!CPIndex,2)=0,(F50*EXP(IF(driftswitch=1,D51,$C$4)-1/2*$D$4^2+$D$4*B51)),VLOOKUP(A51,[5]!CPIndex,2))</f>
        <v>170.60320494748319</v>
      </c>
      <c r="G51" s="162">
        <f t="shared" si="1"/>
        <v>2.4222369603590864E-3</v>
      </c>
      <c r="H51" s="155">
        <f t="shared" si="0"/>
        <v>1.002422236960359</v>
      </c>
      <c r="I51">
        <v>169.06480484557434</v>
      </c>
    </row>
    <row r="52" spans="1:51" x14ac:dyDescent="0.2">
      <c r="A52" s="152">
        <v>36647</v>
      </c>
      <c r="B52" s="171">
        <v>-2.9717370435494588E-2</v>
      </c>
      <c r="C52" s="153">
        <v>2.4760426758688508E-3</v>
      </c>
      <c r="D52" s="154">
        <f>IF(VLOOKUP(A52,[5]!CPIndex,2)=0,VLOOKUP(A52,[5]!CPIndex,6),0)</f>
        <v>2.68784962744431E-3</v>
      </c>
      <c r="E52" s="153">
        <v>170.72522574563791</v>
      </c>
      <c r="F52" s="154">
        <f>IF(VLOOKUP(A52,[5]!CPIndex,2)=0,(F51*EXP(IF(driftswitch=1,D52,$C$4)-1/2*$D$4^2+$D$4*B52)),VLOOKUP(A52,[5]!CPIndex,2))</f>
        <v>171.05596169855374</v>
      </c>
      <c r="G52" s="162">
        <f t="shared" si="1"/>
        <v>2.4783443809600256E-3</v>
      </c>
      <c r="H52" s="155">
        <f t="shared" si="0"/>
        <v>1.00247834438096</v>
      </c>
      <c r="I52">
        <v>169.37857856279155</v>
      </c>
    </row>
    <row r="53" spans="1:51" x14ac:dyDescent="0.2">
      <c r="A53" s="152">
        <v>36678</v>
      </c>
      <c r="B53" s="171">
        <v>-1.2739017502102592E-3</v>
      </c>
      <c r="C53" s="153">
        <v>2.5319753862033602E-3</v>
      </c>
      <c r="D53" s="154">
        <f>IF(VLOOKUP(A53,[5]!CPIndex,2)=0,VLOOKUP(A53,[5]!CPIndex,6),0)</f>
        <v>2.7088259630216492E-3</v>
      </c>
      <c r="E53" s="153">
        <v>171.15791470789148</v>
      </c>
      <c r="F53" s="154">
        <f>IF(VLOOKUP(A53,[5]!CPIndex,2)=0,(F52*EXP(IF(driftswitch=1,D53,$C$4)-1/2*$D$4^2+$D$4*B53)),VLOOKUP(A53,[5]!CPIndex,2))</f>
        <v>171.5195494312097</v>
      </c>
      <c r="G53" s="162">
        <f t="shared" si="1"/>
        <v>2.5344172799526663E-3</v>
      </c>
      <c r="H53" s="155">
        <f t="shared" si="0"/>
        <v>1.0025344172799526</v>
      </c>
      <c r="I53">
        <v>169.69293462442812</v>
      </c>
    </row>
    <row r="54" spans="1:51" x14ac:dyDescent="0.2">
      <c r="A54" s="152">
        <v>36708</v>
      </c>
      <c r="B54" s="171">
        <v>2.1266554090792467E-2</v>
      </c>
      <c r="C54" s="153">
        <v>2.5878705801002811E-3</v>
      </c>
      <c r="D54" s="154">
        <f>IF(VLOOKUP(A54,[5]!CPIndex,2)=0,VLOOKUP(A54,[5]!CPIndex,6),0)</f>
        <v>2.7297970198476196E-3</v>
      </c>
      <c r="E54" s="153">
        <v>171.60129170394097</v>
      </c>
      <c r="F54" s="154">
        <f>IF(VLOOKUP(A54,[5]!CPIndex,2)=0,(F53*EXP(IF(driftswitch=1,D54,$C$4)-1/2*$D$4^2+$D$4*B54)),VLOOKUP(A54,[5]!CPIndex,2))</f>
        <v>171.99279344042262</v>
      </c>
      <c r="G54" s="162">
        <f t="shared" si="1"/>
        <v>2.5904557017195984E-3</v>
      </c>
      <c r="H54" s="155">
        <f t="shared" si="0"/>
        <v>1.0025904557017196</v>
      </c>
      <c r="I54">
        <v>170.00787411127894</v>
      </c>
    </row>
    <row r="55" spans="1:51" x14ac:dyDescent="0.2">
      <c r="A55" s="152">
        <v>36739</v>
      </c>
      <c r="B55" s="171">
        <v>-3.309115856942671E-2</v>
      </c>
      <c r="C55" s="153">
        <v>2.6437283078534963E-3</v>
      </c>
      <c r="D55" s="154">
        <f>IF(VLOOKUP(A55,[5]!CPIndex,2)=0,VLOOKUP(A55,[5]!CPIndex,6),0)</f>
        <v>2.7507628005787911E-3</v>
      </c>
      <c r="E55" s="153">
        <v>172.05542760528269</v>
      </c>
      <c r="F55" s="154">
        <f>IF(VLOOKUP(A55,[5]!CPIndex,2)=0,(F54*EXP(IF(driftswitch=1,D55,$C$4)-1/2*$D$4^2+$D$4*B55)),VLOOKUP(A55,[5]!CPIndex,2))</f>
        <v>172.45936825043535</v>
      </c>
      <c r="G55" s="162">
        <f t="shared" si="1"/>
        <v>2.6464596905553792E-3</v>
      </c>
      <c r="H55" s="155">
        <f t="shared" si="0"/>
        <v>1.0026464596905553</v>
      </c>
      <c r="I55">
        <v>170.32339810614477</v>
      </c>
    </row>
    <row r="56" spans="1:51" x14ac:dyDescent="0.2">
      <c r="A56" s="152">
        <v>36770</v>
      </c>
      <c r="B56" s="171">
        <v>-6.1651802148343364E-2</v>
      </c>
      <c r="C56" s="153">
        <v>2.6995486196559897E-3</v>
      </c>
      <c r="D56" s="154">
        <f>IF(VLOOKUP(A56,[5]!CPIndex,2)=0,VLOOKUP(A56,[5]!CPIndex,6),0)</f>
        <v>2.7717233078690048E-3</v>
      </c>
      <c r="E56" s="153">
        <v>172.52039523246174</v>
      </c>
      <c r="F56" s="154">
        <f>IF(VLOOKUP(A56,[5]!CPIndex,2)=0,(F55*EXP(IF(driftswitch=1,D56,$C$4)-1/2*$D$4^2+$D$4*B56)),VLOOKUP(A56,[5]!CPIndex,2))</f>
        <v>172.92472702093963</v>
      </c>
      <c r="G56" s="162">
        <f t="shared" si="1"/>
        <v>2.7024292906687336E-3</v>
      </c>
      <c r="H56" s="155">
        <f t="shared" si="0"/>
        <v>1.0027024292906688</v>
      </c>
      <c r="I56">
        <v>170.63950769383598</v>
      </c>
    </row>
    <row r="57" spans="1:51" x14ac:dyDescent="0.2">
      <c r="A57" s="152">
        <v>36800</v>
      </c>
      <c r="B57" s="171">
        <v>-3.9277662519291108E-2</v>
      </c>
      <c r="C57" s="153">
        <v>2.7553315655996662E-3</v>
      </c>
      <c r="D57" s="154">
        <f>IF(VLOOKUP(A57,[5]!CPIndex,2)=0,VLOOKUP(A57,[5]!CPIndex,6),0)</f>
        <v>2.7926785443707037E-3</v>
      </c>
      <c r="E57" s="153">
        <v>172.99626937416417</v>
      </c>
      <c r="F57" s="154">
        <f>IF(VLOOKUP(A57,[5]!CPIndex,2)=0,(F56*EXP(IF(driftswitch=1,D57,$C$4)-1/2*$D$4^2+$D$4*B57)),VLOOKUP(A57,[5]!CPIndex,2))</f>
        <v>173.39977170066052</v>
      </c>
      <c r="G57" s="162">
        <f t="shared" si="1"/>
        <v>2.7583645461814513E-3</v>
      </c>
      <c r="H57" s="155">
        <f t="shared" si="0"/>
        <v>1.0027583645461815</v>
      </c>
      <c r="I57">
        <v>170.95620396117627</v>
      </c>
    </row>
    <row r="58" spans="1:51" x14ac:dyDescent="0.2">
      <c r="A58" s="152">
        <v>36831</v>
      </c>
      <c r="B58" s="171">
        <v>-2.3661621459700626E-2</v>
      </c>
      <c r="C58" s="153">
        <v>2.8110771956765044E-3</v>
      </c>
      <c r="D58" s="154">
        <f>IF(VLOOKUP(A58,[5]!CPIndex,2)=0,VLOOKUP(A58,[5]!CPIndex,6),0)</f>
        <v>2.8136285127338227E-3</v>
      </c>
      <c r="E58" s="153">
        <v>173.48312680688815</v>
      </c>
      <c r="F58" s="154">
        <f>IF(VLOOKUP(A58,[5]!CPIndex,2)=0,(F57*EXP(IF(driftswitch=1,D58,$C$4)-1/2*$D$4^2+$D$4*B58)),VLOOKUP(A58,[5]!CPIndex,2))</f>
        <v>173.88312133070713</v>
      </c>
      <c r="G58" s="162">
        <f t="shared" si="1"/>
        <v>2.8142655011304464E-3</v>
      </c>
      <c r="H58" s="155">
        <f t="shared" si="0"/>
        <v>1.0028142655011305</v>
      </c>
      <c r="I58">
        <v>171.27348799700641</v>
      </c>
    </row>
    <row r="59" spans="1:51" x14ac:dyDescent="0.2">
      <c r="A59" s="152">
        <v>36861</v>
      </c>
      <c r="B59" s="171">
        <v>3.5804401988209E-2</v>
      </c>
      <c r="C59" s="153">
        <v>2.8667855597777144E-3</v>
      </c>
      <c r="D59" s="154">
        <f>IF(VLOOKUP(A59,[5]!CPIndex,2)=0,VLOOKUP(A59,[5]!CPIndex,6),0)</f>
        <v>2.8345732156064571E-3</v>
      </c>
      <c r="E59" s="153">
        <v>173.98104631520059</v>
      </c>
      <c r="F59" s="154">
        <f>IF(VLOOKUP(A59,[5]!CPIndex,2)=0,(F58*EXP(IF(driftswitch=1,D59,$C$4)-1/2*$D$4^2+$D$4*B59)),VLOOKUP(A59,[5]!CPIndex,2))</f>
        <v>174.38429119338738</v>
      </c>
      <c r="G59" s="162">
        <f t="shared" si="1"/>
        <v>2.870132199465668E-3</v>
      </c>
      <c r="H59" s="155">
        <f t="shared" si="0"/>
        <v>1.0028701321994657</v>
      </c>
      <c r="I59">
        <v>171.59136089218802</v>
      </c>
    </row>
    <row r="60" spans="1:51" x14ac:dyDescent="0.2">
      <c r="A60" s="152">
        <v>36892</v>
      </c>
      <c r="B60" s="171">
        <v>2.0426211041076607E-2</v>
      </c>
      <c r="C60" s="153">
        <v>2.8399428044052215E-3</v>
      </c>
      <c r="D60" s="154">
        <f>IF(VLOOKUP(A60,[5]!CPIndex,2)=0,VLOOKUP(A60,[5]!CPIndex,6),0)</f>
        <v>2.8104057834685112E-3</v>
      </c>
      <c r="E60" s="153">
        <v>174.4757114466274</v>
      </c>
      <c r="F60" s="154">
        <f>IF(VLOOKUP(A60,[5]!CPIndex,2)=0,(F59*EXP(IF(driftswitch=1,D60,$C$4)-1/2*$D$4^2+$D$4*B60)),VLOOKUP(A60,[5]!CPIndex,2))</f>
        <v>174.8793539426654</v>
      </c>
      <c r="G60" s="162">
        <f t="shared" si="1"/>
        <v>2.8432127631341604E-3</v>
      </c>
      <c r="H60" s="155">
        <f t="shared" si="0"/>
        <v>1.0028432127631342</v>
      </c>
    </row>
    <row r="61" spans="1:51" x14ac:dyDescent="0.2">
      <c r="A61" s="152">
        <v>36923</v>
      </c>
      <c r="B61" s="171">
        <v>-1.8862055381562375E-2</v>
      </c>
      <c r="C61" s="153">
        <v>2.8130913998445093E-3</v>
      </c>
      <c r="D61" s="154">
        <f>IF(VLOOKUP(A61,[5]!CPIndex,2)=0,VLOOKUP(A61,[5]!CPIndex,6),0)</f>
        <v>2.7862313405197774E-3</v>
      </c>
      <c r="E61" s="153">
        <v>174.96708484121348</v>
      </c>
      <c r="F61" s="154">
        <f>IF(VLOOKUP(A61,[5]!CPIndex,2)=0,(F60*EXP(IF(driftswitch=1,D61,$C$4)-1/2*$D$4^2+$D$4*B61)),VLOOKUP(A61,[5]!CPIndex,2))</f>
        <v>175.36306402180776</v>
      </c>
      <c r="G61" s="162">
        <f t="shared" si="1"/>
        <v>2.8162853758380542E-3</v>
      </c>
      <c r="H61" s="155">
        <f t="shared" si="0"/>
        <v>1.002816285375838</v>
      </c>
    </row>
    <row r="62" spans="1:51" x14ac:dyDescent="0.2">
      <c r="A62" s="152">
        <v>36951</v>
      </c>
      <c r="B62" s="171">
        <v>-1.3066256120073592E-2</v>
      </c>
      <c r="C62" s="153">
        <v>2.7862313405197774E-3</v>
      </c>
      <c r="D62" s="154">
        <f>IF(VLOOKUP(A62,[5]!CPIndex,2)=0,VLOOKUP(A62,[5]!CPIndex,6),0)</f>
        <v>2.7620498826917816E-3</v>
      </c>
      <c r="E62" s="153">
        <v>175.45512928503061</v>
      </c>
      <c r="F62" s="154">
        <f>IF(VLOOKUP(A62,[5]!CPIndex,2)=0,(F61*EXP(IF(driftswitch=1,D62,$C$4)-1/2*$D$4^2+$D$4*B62)),VLOOKUP(A62,[5]!CPIndex,2))</f>
        <v>175.84511988827524</v>
      </c>
      <c r="G62" s="162">
        <f t="shared" si="1"/>
        <v>2.7893500326649561E-3</v>
      </c>
      <c r="H62" s="155">
        <f t="shared" si="0"/>
        <v>1.002789350032665</v>
      </c>
    </row>
    <row r="63" spans="1:51" x14ac:dyDescent="0.2">
      <c r="A63" s="152">
        <v>36982</v>
      </c>
      <c r="B63" s="171">
        <v>-4.4815342694660205E-2</v>
      </c>
      <c r="C63" s="153">
        <v>2.7593626208502323E-3</v>
      </c>
      <c r="D63" s="154">
        <f>IF(VLOOKUP(A63,[5]!CPIndex,2)=0,VLOOKUP(A63,[5]!CPIndex,6),0)</f>
        <v>2.7378614059122112E-3</v>
      </c>
      <c r="E63" s="153">
        <v>175.93980771475233</v>
      </c>
      <c r="F63" s="154">
        <f>IF(VLOOKUP(A63,[5]!CPIndex,2)=0,(F62*EXP(IF(driftswitch=1,D63,$C$4)-1/2*$D$4^2+$D$4*B63)),VLOOKUP(A63,[5]!CPIndex,2))</f>
        <v>176.31731449287534</v>
      </c>
      <c r="G63" s="162">
        <f t="shared" si="1"/>
        <v>2.7624067286990224E-3</v>
      </c>
      <c r="H63" s="155">
        <f t="shared" si="0"/>
        <v>1.0027624067286991</v>
      </c>
    </row>
    <row r="64" spans="1:51" x14ac:dyDescent="0.2">
      <c r="A64" s="152">
        <v>37012</v>
      </c>
      <c r="B64" s="171">
        <v>8.2712050259669528E-3</v>
      </c>
      <c r="C64" s="153">
        <v>2.7324852352491997E-3</v>
      </c>
      <c r="D64" s="154">
        <f>IF(VLOOKUP(A64,[5]!CPIndex,2)=0,VLOOKUP(A64,[5]!CPIndex,6),0)</f>
        <v>2.7136659061051363E-3</v>
      </c>
      <c r="E64" s="153">
        <v>176.42108322222435</v>
      </c>
      <c r="F64" s="154">
        <f>IF(VLOOKUP(A64,[5]!CPIndex,2)=0,(F63*EXP(IF(driftswitch=1,D64,$C$4)-1/2*$D$4^2+$D$4*B64)),VLOOKUP(A64,[5]!CPIndex,2))</f>
        <v>176.7981034341033</v>
      </c>
      <c r="G64" s="162">
        <f t="shared" si="1"/>
        <v>2.7354554590187023E-3</v>
      </c>
      <c r="H64" s="155">
        <f t="shared" si="0"/>
        <v>1.0027354554590187</v>
      </c>
    </row>
    <row r="65" spans="1:8" x14ac:dyDescent="0.2">
      <c r="A65" s="152">
        <v>37043</v>
      </c>
      <c r="B65" s="171">
        <v>-2.2338251990269412E-3</v>
      </c>
      <c r="C65" s="153">
        <v>2.7055991781250082E-3</v>
      </c>
      <c r="D65" s="154">
        <f>IF(VLOOKUP(A65,[5]!CPIndex,2)=0,VLOOKUP(A65,[5]!CPIndex,6),0)</f>
        <v>2.6894633791912296E-3</v>
      </c>
      <c r="E65" s="153">
        <v>176.89891905903039</v>
      </c>
      <c r="F65" s="154">
        <f>IF(VLOOKUP(A65,[5]!CPIndex,2)=0,(F64*EXP(IF(driftswitch=1,D65,$C$4)-1/2*$D$4^2+$D$4*B65)),VLOOKUP(A65,[5]!CPIndex,2))</f>
        <v>177.27361033890008</v>
      </c>
      <c r="G65" s="162">
        <f t="shared" si="1"/>
        <v>2.7084962186982088E-3</v>
      </c>
      <c r="H65" s="155">
        <f t="shared" si="0"/>
        <v>1.0027084962186983</v>
      </c>
    </row>
    <row r="66" spans="1:8" x14ac:dyDescent="0.2">
      <c r="A66" s="152">
        <v>37073</v>
      </c>
      <c r="B66" s="171">
        <v>-2.6054948293618087E-3</v>
      </c>
      <c r="C66" s="153">
        <v>2.678704443880547E-3</v>
      </c>
      <c r="D66" s="154">
        <f>IF(VLOOKUP(A66,[5]!CPIndex,2)=0,VLOOKUP(A66,[5]!CPIndex,6),0)</f>
        <v>2.6652538210875454E-3</v>
      </c>
      <c r="E66" s="153">
        <v>177.37327864105248</v>
      </c>
      <c r="F66" s="154">
        <f>IF(VLOOKUP(A66,[5]!CPIndex,2)=0,(F65*EXP(IF(driftswitch=1,D66,$C$4)-1/2*$D$4^2+$D$4*B66)),VLOOKUP(A66,[5]!CPIndex,2))</f>
        <v>177.74601125651498</v>
      </c>
      <c r="G66" s="162">
        <f t="shared" si="1"/>
        <v>2.6815290028075144E-3</v>
      </c>
      <c r="H66" s="155">
        <f t="shared" si="0"/>
        <v>1.0026815290028075</v>
      </c>
    </row>
    <row r="67" spans="1:8" x14ac:dyDescent="0.2">
      <c r="A67" s="152">
        <v>37104</v>
      </c>
      <c r="B67" s="171">
        <v>-1.8580190091690218E-2</v>
      </c>
      <c r="C67" s="153">
        <v>2.6518010269130422E-3</v>
      </c>
      <c r="D67" s="154">
        <f>IF(VLOOKUP(A67,[5]!CPIndex,2)=0,VLOOKUP(A67,[5]!CPIndex,6),0)</f>
        <v>2.6410372277075179E-3</v>
      </c>
      <c r="E67" s="153">
        <v>177.8441255530247</v>
      </c>
      <c r="F67" s="154">
        <f>IF(VLOOKUP(A67,[5]!CPIndex,2)=0,(F66*EXP(IF(driftswitch=1,D67,$C$4)-1/2*$D$4^2+$D$4*B67)),VLOOKUP(A67,[5]!CPIndex,2))</f>
        <v>178.21183533487553</v>
      </c>
      <c r="G67" s="162">
        <f t="shared" si="1"/>
        <v>2.6545538064110673E-3</v>
      </c>
      <c r="H67" s="155">
        <f t="shared" si="0"/>
        <v>1.0026545538064111</v>
      </c>
    </row>
    <row r="68" spans="1:8" x14ac:dyDescent="0.2">
      <c r="A68" s="152">
        <v>37135</v>
      </c>
      <c r="B68" s="171">
        <v>-4.5877134065527819E-2</v>
      </c>
      <c r="C68" s="153">
        <v>2.6248889216142772E-3</v>
      </c>
      <c r="D68" s="154">
        <f>IF(VLOOKUP(A68,[5]!CPIndex,2)=0,VLOOKUP(A68,[5]!CPIndex,6),0)</f>
        <v>2.6168135949609607E-3</v>
      </c>
      <c r="E68" s="153">
        <v>178.31142355308009</v>
      </c>
      <c r="F68" s="154">
        <f>IF(VLOOKUP(A68,[5]!CPIndex,2)=0,(F67*EXP(IF(driftswitch=1,D68,$C$4)-1/2*$D$4^2+$D$4*B68)),VLOOKUP(A68,[5]!CPIndex,2))</f>
        <v>178.66852192528154</v>
      </c>
      <c r="G68" s="162">
        <f t="shared" si="1"/>
        <v>2.6275706245695888E-3</v>
      </c>
      <c r="H68" s="155">
        <f t="shared" si="0"/>
        <v>1.0026275706245695</v>
      </c>
    </row>
    <row r="69" spans="1:8" x14ac:dyDescent="0.2">
      <c r="A69" s="152">
        <v>37165</v>
      </c>
      <c r="B69" s="171">
        <v>9.9884648606419161E-3</v>
      </c>
      <c r="C69" s="153">
        <v>2.5979681223708135E-3</v>
      </c>
      <c r="D69" s="154">
        <f>IF(VLOOKUP(A69,[5]!CPIndex,2)=0,VLOOKUP(A69,[5]!CPIndex,6),0)</f>
        <v>2.5925829187542879E-3</v>
      </c>
      <c r="E69" s="153">
        <v>178.77513657728946</v>
      </c>
      <c r="F69" s="154">
        <f>IF(VLOOKUP(A69,[5]!CPIndex,2)=0,(F68*EXP(IF(driftswitch=1,D69,$C$4)-1/2*$D$4^2+$D$4*B69)),VLOOKUP(A69,[5]!CPIndex,2))</f>
        <v>179.13441117116875</v>
      </c>
      <c r="G69" s="162">
        <f t="shared" si="1"/>
        <v>2.6005794523385095E-3</v>
      </c>
      <c r="H69" s="155">
        <f t="shared" si="0"/>
        <v>1.0026005794523385</v>
      </c>
    </row>
    <row r="70" spans="1:8" x14ac:dyDescent="0.2">
      <c r="A70" s="152">
        <v>37196</v>
      </c>
      <c r="B70" s="171">
        <v>2.1763755055024047E-2</v>
      </c>
      <c r="C70" s="153">
        <v>2.5710386235637669E-3</v>
      </c>
      <c r="D70" s="154">
        <f>IF(VLOOKUP(A70,[5]!CPIndex,2)=0,VLOOKUP(A70,[5]!CPIndex,6),0)</f>
        <v>2.5683451949905134E-3</v>
      </c>
      <c r="E70" s="153">
        <v>179.23522874419163</v>
      </c>
      <c r="F70" s="154">
        <f>IF(VLOOKUP(A70,[5]!CPIndex,2)=0,(F69*EXP(IF(driftswitch=1,D70,$C$4)-1/2*$D$4^2+$D$4*B70)),VLOOKUP(A70,[5]!CPIndex,2))</f>
        <v>179.59977691262895</v>
      </c>
      <c r="G70" s="162">
        <f t="shared" si="1"/>
        <v>2.573580284768855E-3</v>
      </c>
      <c r="H70" s="155">
        <f t="shared" si="0"/>
        <v>1.0025735802847688</v>
      </c>
    </row>
    <row r="71" spans="1:8" x14ac:dyDescent="0.2">
      <c r="A71" s="152">
        <v>37226</v>
      </c>
      <c r="B71" s="171">
        <v>-2.7606189606492963E-2</v>
      </c>
      <c r="C71" s="153">
        <v>2.5441004195685866E-3</v>
      </c>
      <c r="D71" s="154">
        <f>IF(VLOOKUP(A71,[5]!CPIndex,2)=0,VLOOKUP(A71,[5]!CPIndex,6),0)</f>
        <v>2.5441004195685866E-3</v>
      </c>
      <c r="E71" s="153">
        <v>179.69166435931422</v>
      </c>
      <c r="F71" s="154">
        <f>IF(VLOOKUP(A71,[5]!CPIndex,2)=0,(F70*EXP(IF(driftswitch=1,D71,$C$4)-1/2*$D$4^2+$D$4*B71)),VLOOKUP(A71,[5]!CPIndex,2))</f>
        <v>180.05099528599249</v>
      </c>
      <c r="G71" s="162">
        <f t="shared" si="1"/>
        <v>2.5465731169067285E-3</v>
      </c>
      <c r="H71" s="155">
        <f t="shared" si="0"/>
        <v>1.0025465731169068</v>
      </c>
    </row>
    <row r="72" spans="1:8" x14ac:dyDescent="0.2">
      <c r="A72" s="152">
        <v>37257</v>
      </c>
      <c r="B72" s="171">
        <v>2.1019189265565456E-2</v>
      </c>
      <c r="C72" s="153">
        <v>2.537364507724496E-3</v>
      </c>
      <c r="D72" s="154">
        <f>IF(VLOOKUP(A72,[5]!CPIndex,2)=0,VLOOKUP(A72,[5]!CPIndex,6),0)</f>
        <v>2.537364507724496E-3</v>
      </c>
      <c r="E72" s="153">
        <v>180.14804885564104</v>
      </c>
      <c r="F72" s="154">
        <f>IF(VLOOKUP(A72,[5]!CPIndex,2)=0,(F71*EXP(IF(driftswitch=1,D72,$C$4)-1/2*$D$4^2+$D$4*B72)),VLOOKUP(A72,[5]!CPIndex,2))</f>
        <v>180.51298349955994</v>
      </c>
      <c r="G72" s="162">
        <f t="shared" si="1"/>
        <v>2.5398200743147778E-3</v>
      </c>
      <c r="H72" s="155">
        <f t="shared" si="0"/>
        <v>1.0025398200743147</v>
      </c>
    </row>
    <row r="73" spans="1:8" x14ac:dyDescent="0.2">
      <c r="A73" s="152">
        <v>37288</v>
      </c>
      <c r="B73" s="171">
        <v>4.0455461145000676E-2</v>
      </c>
      <c r="C73" s="153">
        <v>2.5306280513663934E-3</v>
      </c>
      <c r="D73" s="154">
        <f>IF(VLOOKUP(A73,[5]!CPIndex,2)=0,VLOOKUP(A73,[5]!CPIndex,6),0)</f>
        <v>2.5306280513663934E-3</v>
      </c>
      <c r="E73" s="153">
        <v>180.60437584887933</v>
      </c>
      <c r="F73" s="154">
        <f>IF(VLOOKUP(A73,[5]!CPIndex,2)=0,(F72*EXP(IF(driftswitch=1,D73,$C$4)-1/2*$D$4^2+$D$4*B73)),VLOOKUP(A73,[5]!CPIndex,2))</f>
        <v>180.97928699707279</v>
      </c>
      <c r="G73" s="162">
        <f t="shared" si="1"/>
        <v>2.5330665313170455E-3</v>
      </c>
      <c r="H73" s="155">
        <f t="shared" si="0"/>
        <v>1.002533066531317</v>
      </c>
    </row>
    <row r="74" spans="1:8" x14ac:dyDescent="0.2">
      <c r="A74" s="152">
        <v>37316</v>
      </c>
      <c r="B74" s="171">
        <v>1.6253693635197283E-2</v>
      </c>
      <c r="C74" s="153">
        <v>2.5238910504060594E-3</v>
      </c>
      <c r="D74" s="154">
        <f>IF(VLOOKUP(A74,[5]!CPIndex,2)=0,VLOOKUP(A74,[5]!CPIndex,6),0)</f>
        <v>2.5238910504060594E-3</v>
      </c>
      <c r="E74" s="153">
        <v>181.06063893894418</v>
      </c>
      <c r="F74" s="154">
        <f>IF(VLOOKUP(A74,[5]!CPIndex,2)=0,(F73*EXP(IF(driftswitch=1,D74,$C$4)-1/2*$D$4^2+$D$4*B74)),VLOOKUP(A74,[5]!CPIndex,2))</f>
        <v>181.4401433862038</v>
      </c>
      <c r="G74" s="162">
        <f t="shared" si="1"/>
        <v>2.5263124878360061E-3</v>
      </c>
      <c r="H74" s="155">
        <f t="shared" si="0"/>
        <v>1.0025263124878361</v>
      </c>
    </row>
    <row r="75" spans="1:8" x14ac:dyDescent="0.2">
      <c r="A75" s="152">
        <v>37347</v>
      </c>
      <c r="B75" s="171">
        <v>2.0423194919657352E-2</v>
      </c>
      <c r="C75" s="153">
        <v>2.5171535047554951E-3</v>
      </c>
      <c r="D75" s="154">
        <f>IF(VLOOKUP(A75,[5]!CPIndex,2)=0,VLOOKUP(A75,[5]!CPIndex,6),0)</f>
        <v>2.5171535047554951E-3</v>
      </c>
      <c r="E75" s="153">
        <v>181.51683171009128</v>
      </c>
      <c r="F75" s="154">
        <f>IF(VLOOKUP(A75,[5]!CPIndex,2)=0,(F74*EXP(IF(driftswitch=1,D75,$C$4)-1/2*$D$4^2+$D$4*B75)),VLOOKUP(A75,[5]!CPIndex,2))</f>
        <v>181.90188547993176</v>
      </c>
      <c r="G75" s="162">
        <f t="shared" si="1"/>
        <v>2.519557943794372E-3</v>
      </c>
      <c r="H75" s="155">
        <f t="shared" si="0"/>
        <v>1.0025195579437944</v>
      </c>
    </row>
    <row r="76" spans="1:8" x14ac:dyDescent="0.2">
      <c r="A76" s="152">
        <v>37377</v>
      </c>
      <c r="B76" s="171">
        <v>-2.1186673635810182E-2</v>
      </c>
      <c r="C76" s="153">
        <v>2.5104154143266964E-3</v>
      </c>
      <c r="D76" s="154">
        <f>IF(VLOOKUP(A76,[5]!CPIndex,2)=0,VLOOKUP(A76,[5]!CPIndex,6),0)</f>
        <v>2.5104154143266964E-3</v>
      </c>
      <c r="E76" s="153">
        <v>181.97294773105045</v>
      </c>
      <c r="F76" s="154">
        <f>IF(VLOOKUP(A76,[5]!CPIndex,2)=0,(F75*EXP(IF(driftswitch=1,D76,$C$4)-1/2*$D$4^2+$D$4*B76)),VLOOKUP(A76,[5]!CPIndex,2))</f>
        <v>182.3541922501594</v>
      </c>
      <c r="G76" s="162">
        <f t="shared" si="1"/>
        <v>2.5128028991143665E-3</v>
      </c>
      <c r="H76" s="155">
        <f t="shared" ref="H76:H139" si="2">G76+1</f>
        <v>1.0025128028991144</v>
      </c>
    </row>
    <row r="77" spans="1:8" x14ac:dyDescent="0.2">
      <c r="A77" s="152">
        <v>37408</v>
      </c>
      <c r="B77" s="171">
        <v>-1.0613756327428307E-2</v>
      </c>
      <c r="C77" s="153">
        <v>2.503676779031436E-3</v>
      </c>
      <c r="D77" s="154">
        <f>IF(VLOOKUP(A77,[5]!CPIndex,2)=0,VLOOKUP(A77,[5]!CPIndex,6),0)</f>
        <v>2.503676779031436E-3</v>
      </c>
      <c r="E77" s="153">
        <v>182.42898055516019</v>
      </c>
      <c r="F77" s="154">
        <f>IF(VLOOKUP(A77,[5]!CPIndex,2)=0,(F76*EXP(IF(driftswitch=1,D77,$C$4)-1/2*$D$4^2+$D$4*B77)),VLOOKUP(A77,[5]!CPIndex,2))</f>
        <v>182.80878152992085</v>
      </c>
      <c r="G77" s="162">
        <f t="shared" ref="G77:G140" si="3">IF(shiftswitch4=1,(F77-F76)/F76,(E77-E76)/E76)</f>
        <v>2.5060473537184286E-3</v>
      </c>
      <c r="H77" s="155">
        <f t="shared" si="2"/>
        <v>1.0025060473537184</v>
      </c>
    </row>
    <row r="78" spans="1:8" x14ac:dyDescent="0.2">
      <c r="A78" s="152">
        <v>37438</v>
      </c>
      <c r="B78" s="171">
        <v>5.3693374749117305E-2</v>
      </c>
      <c r="C78" s="153">
        <v>2.4969375987817046E-3</v>
      </c>
      <c r="D78" s="154">
        <f>IF(VLOOKUP(A78,[5]!CPIndex,2)=0,VLOOKUP(A78,[5]!CPIndex,6),0)</f>
        <v>2.4969375987817046E-3</v>
      </c>
      <c r="E78" s="153">
        <v>182.88492372050308</v>
      </c>
      <c r="F78" s="154">
        <f>IF(VLOOKUP(A78,[5]!CPIndex,2)=0,(F77*EXP(IF(driftswitch=1,D78,$C$4)-1/2*$D$4^2+$D$4*B78)),VLOOKUP(A78,[5]!CPIndex,2))</f>
        <v>183.27784056261791</v>
      </c>
      <c r="G78" s="162">
        <f t="shared" si="3"/>
        <v>2.4992913075289921E-3</v>
      </c>
      <c r="H78" s="155">
        <f t="shared" si="2"/>
        <v>1.002499291307529</v>
      </c>
    </row>
    <row r="79" spans="1:8" x14ac:dyDescent="0.2">
      <c r="A79" s="152">
        <v>37469</v>
      </c>
      <c r="B79" s="171">
        <v>4.8328128704341583E-2</v>
      </c>
      <c r="C79" s="153">
        <v>2.4901978734890463E-3</v>
      </c>
      <c r="D79" s="154">
        <f>IF(VLOOKUP(A79,[5]!CPIndex,2)=0,VLOOKUP(A79,[5]!CPIndex,6),0)</f>
        <v>2.4901978734890463E-3</v>
      </c>
      <c r="E79" s="153">
        <v>183.340770750042</v>
      </c>
      <c r="F79" s="154">
        <f>IF(VLOOKUP(A79,[5]!CPIndex,2)=0,(F78*EXP(IF(driftswitch=1,D79,$C$4)-1/2*$D$4^2+$D$4*B79)),VLOOKUP(A79,[5]!CPIndex,2))</f>
        <v>183.74564583671005</v>
      </c>
      <c r="G79" s="162">
        <f t="shared" si="3"/>
        <v>2.4925347604681262E-3</v>
      </c>
      <c r="H79" s="155">
        <f t="shared" si="2"/>
        <v>1.0024925347604681</v>
      </c>
    </row>
    <row r="80" spans="1:8" x14ac:dyDescent="0.2">
      <c r="A80" s="152">
        <v>37500</v>
      </c>
      <c r="B80" s="171">
        <v>3.6457789568190693E-2</v>
      </c>
      <c r="C80" s="153">
        <v>2.4834576030658886E-3</v>
      </c>
      <c r="D80" s="154">
        <f>IF(VLOOKUP(A80,[5]!CPIndex,2)=0,VLOOKUP(A80,[5]!CPIndex,6),0)</f>
        <v>2.4834576030658886E-3</v>
      </c>
      <c r="E80" s="153">
        <v>183.79651515175746</v>
      </c>
      <c r="F80" s="154">
        <f>IF(VLOOKUP(A80,[5]!CPIndex,2)=0,(F79*EXP(IF(driftswitch=1,D80,$C$4)-1/2*$D$4^2+$D$4*B80)),VLOOKUP(A80,[5]!CPIndex,2))</f>
        <v>184.21069994630133</v>
      </c>
      <c r="G80" s="162">
        <f t="shared" si="3"/>
        <v>2.4857777124587511E-3</v>
      </c>
      <c r="H80" s="155">
        <f t="shared" si="2"/>
        <v>1.0024857777124587</v>
      </c>
    </row>
    <row r="81" spans="1:8" x14ac:dyDescent="0.2">
      <c r="A81" s="152">
        <v>37530</v>
      </c>
      <c r="B81" s="171">
        <v>-3.0012521384164815E-2</v>
      </c>
      <c r="C81" s="153">
        <v>2.4767167874235481E-3</v>
      </c>
      <c r="D81" s="154">
        <f>IF(VLOOKUP(A81,[5]!CPIndex,2)=0,VLOOKUP(A81,[5]!CPIndex,6),0)</f>
        <v>2.4767167874235481E-3</v>
      </c>
      <c r="E81" s="153">
        <v>184.2521504187855</v>
      </c>
      <c r="F81" s="154">
        <f>IF(VLOOKUP(A81,[5]!CPIndex,2)=0,(F80*EXP(IF(driftswitch=1,D81,$C$4)-1/2*$D$4^2+$D$4*B81)),VLOOKUP(A81,[5]!CPIndex,2))</f>
        <v>184.66050964787104</v>
      </c>
      <c r="G81" s="162">
        <f t="shared" si="3"/>
        <v>2.4790201634227581E-3</v>
      </c>
      <c r="H81" s="155">
        <f t="shared" si="2"/>
        <v>1.0024790201634228</v>
      </c>
    </row>
    <row r="82" spans="1:8" x14ac:dyDescent="0.2">
      <c r="A82" s="152">
        <v>37561</v>
      </c>
      <c r="B82" s="171">
        <v>-3.1320588121098114E-2</v>
      </c>
      <c r="C82" s="153">
        <v>2.4699754264737822E-3</v>
      </c>
      <c r="D82" s="154">
        <f>IF(VLOOKUP(A82,[5]!CPIndex,2)=0,VLOOKUP(A82,[5]!CPIndex,6),0)</f>
        <v>2.4699754264737822E-3</v>
      </c>
      <c r="E82" s="153">
        <v>184.70767002955674</v>
      </c>
      <c r="F82" s="154">
        <f>IF(VLOOKUP(A82,[5]!CPIndex,2)=0,(F81*EXP(IF(driftswitch=1,D82,$C$4)-1/2*$D$4^2+$D$4*B82)),VLOOKUP(A82,[5]!CPIndex,2))</f>
        <v>185.10987043192964</v>
      </c>
      <c r="G82" s="162">
        <f t="shared" si="3"/>
        <v>2.4722621132827259E-3</v>
      </c>
      <c r="H82" s="155">
        <f t="shared" si="2"/>
        <v>1.0024722621132827</v>
      </c>
    </row>
    <row r="83" spans="1:8" x14ac:dyDescent="0.2">
      <c r="A83" s="152">
        <v>37591</v>
      </c>
      <c r="B83" s="171">
        <v>2.137939890678665E-2</v>
      </c>
      <c r="C83" s="153">
        <v>2.4632335201287864E-3</v>
      </c>
      <c r="D83" s="154">
        <f>IF(VLOOKUP(A83,[5]!CPIndex,2)=0,VLOOKUP(A83,[5]!CPIndex,6),0)</f>
        <v>2.4632335201287864E-3</v>
      </c>
      <c r="E83" s="153">
        <v>185.16306744793613</v>
      </c>
      <c r="F83" s="154">
        <f>IF(VLOOKUP(A83,[5]!CPIndex,2)=0,(F82*EXP(IF(driftswitch=1,D83,$C$4)-1/2*$D$4^2+$D$4*B83)),VLOOKUP(A83,[5]!CPIndex,2))</f>
        <v>185.57116465115033</v>
      </c>
      <c r="G83" s="162">
        <f t="shared" si="3"/>
        <v>2.4655035619610107E-3</v>
      </c>
      <c r="H83" s="155">
        <f t="shared" si="2"/>
        <v>1.002465503561961</v>
      </c>
    </row>
    <row r="84" spans="1:8" x14ac:dyDescent="0.2">
      <c r="A84" s="152">
        <v>37622</v>
      </c>
      <c r="B84" s="171">
        <v>1.3387602719390728E-2</v>
      </c>
      <c r="C84" s="153">
        <v>2.4564910682998687E-3</v>
      </c>
      <c r="D84" s="154">
        <f>IF(VLOOKUP(A84,[5]!CPIndex,2)=0,VLOOKUP(A84,[5]!CPIndex,6),0)</f>
        <v>2.4564910682998687E-3</v>
      </c>
      <c r="E84" s="153">
        <v>185.61833612336358</v>
      </c>
      <c r="F84" s="154">
        <f>IF(VLOOKUP(A84,[5]!CPIndex,2)=0,(F83*EXP(IF(driftswitch=1,D84,$C$4)-1/2*$D$4^2+$D$4*B84)),VLOOKUP(A84,[5]!CPIndex,2))</f>
        <v>186.03051593132005</v>
      </c>
      <c r="G84" s="162">
        <f t="shared" si="3"/>
        <v>2.4587445093793301E-3</v>
      </c>
      <c r="H84" s="155">
        <f t="shared" si="2"/>
        <v>1.0024587445093793</v>
      </c>
    </row>
    <row r="85" spans="1:8" x14ac:dyDescent="0.2">
      <c r="A85" s="152">
        <v>37653</v>
      </c>
      <c r="B85" s="171">
        <v>3.8799319261458923E-2</v>
      </c>
      <c r="C85" s="153">
        <v>2.4497480708989975E-3</v>
      </c>
      <c r="D85" s="154">
        <f>IF(VLOOKUP(A85,[5]!CPIndex,2)=0,VLOOKUP(A85,[5]!CPIndex,6),0)</f>
        <v>2.4497480708989975E-3</v>
      </c>
      <c r="E85" s="153">
        <v>186.07346949099568</v>
      </c>
      <c r="F85" s="154">
        <f>IF(VLOOKUP(A85,[5]!CPIndex,2)=0,(F84*EXP(IF(driftswitch=1,D85,$C$4)-1/2*$D$4^2+$D$4*B85)),VLOOKUP(A85,[5]!CPIndex,2))</f>
        <v>186.49560611421467</v>
      </c>
      <c r="G85" s="162">
        <f t="shared" si="3"/>
        <v>2.4519849554605162E-3</v>
      </c>
      <c r="H85" s="155">
        <f t="shared" si="2"/>
        <v>1.0024519849554605</v>
      </c>
    </row>
    <row r="86" spans="1:8" x14ac:dyDescent="0.2">
      <c r="A86" s="152">
        <v>37681</v>
      </c>
      <c r="B86" s="171">
        <v>-9.0273321789338598E-3</v>
      </c>
      <c r="C86" s="153">
        <v>2.4430045278376958E-3</v>
      </c>
      <c r="D86" s="154">
        <f>IF(VLOOKUP(A86,[5]!CPIndex,2)=0,VLOOKUP(A86,[5]!CPIndex,6),0)</f>
        <v>2.4430045278376958E-3</v>
      </c>
      <c r="E86" s="153">
        <v>186.52846097184795</v>
      </c>
      <c r="F86" s="154">
        <f>IF(VLOOKUP(A86,[5]!CPIndex,2)=0,(F85*EXP(IF(driftswitch=1,D86,$C$4)-1/2*$D$4^2+$D$4*B86)),VLOOKUP(A86,[5]!CPIndex,2))</f>
        <v>186.94954320802466</v>
      </c>
      <c r="G86" s="162">
        <f t="shared" si="3"/>
        <v>2.4452249001262862E-3</v>
      </c>
      <c r="H86" s="155">
        <f t="shared" si="2"/>
        <v>1.0024452249001263</v>
      </c>
    </row>
    <row r="87" spans="1:8" x14ac:dyDescent="0.2">
      <c r="A87" s="152">
        <v>37712</v>
      </c>
      <c r="B87" s="171">
        <v>-1.0144509520292061E-2</v>
      </c>
      <c r="C87" s="153">
        <v>2.436260439027926E-3</v>
      </c>
      <c r="D87" s="154">
        <f>IF(VLOOKUP(A87,[5]!CPIndex,2)=0,VLOOKUP(A87,[5]!CPIndex,6),0)</f>
        <v>2.436260439027926E-3</v>
      </c>
      <c r="E87" s="153">
        <v>186.98330397293833</v>
      </c>
      <c r="F87" s="154">
        <f>IF(VLOOKUP(A87,[5]!CPIndex,2)=0,(F86*EXP(IF(driftswitch=1,D87,$C$4)-1/2*$D$4^2+$D$4*B87)),VLOOKUP(A87,[5]!CPIndex,2))</f>
        <v>187.40306247928009</v>
      </c>
      <c r="G87" s="162">
        <f t="shared" si="3"/>
        <v>2.4384643432994882E-3</v>
      </c>
      <c r="H87" s="155">
        <f t="shared" si="2"/>
        <v>1.0024384643432995</v>
      </c>
    </row>
    <row r="88" spans="1:8" x14ac:dyDescent="0.2">
      <c r="A88" s="152">
        <v>37742</v>
      </c>
      <c r="B88" s="171">
        <v>2.8699755934566602E-2</v>
      </c>
      <c r="C88" s="153">
        <v>2.429515804380983E-3</v>
      </c>
      <c r="D88" s="154">
        <f>IF(VLOOKUP(A88,[5]!CPIndex,2)=0,VLOOKUP(A88,[5]!CPIndex,6),0)</f>
        <v>2.429515804380983E-3</v>
      </c>
      <c r="E88" s="153">
        <v>187.43799188743114</v>
      </c>
      <c r="F88" s="154">
        <f>IF(VLOOKUP(A88,[5]!CPIndex,2)=0,(F87*EXP(IF(driftswitch=1,D88,$C$4)-1/2*$D$4^2+$D$4*B88)),VLOOKUP(A88,[5]!CPIndex,2))</f>
        <v>187.86543721827343</v>
      </c>
      <c r="G88" s="162">
        <f t="shared" si="3"/>
        <v>2.4317032849019205E-3</v>
      </c>
      <c r="H88" s="155">
        <f t="shared" si="2"/>
        <v>1.0024317032849019</v>
      </c>
    </row>
    <row r="89" spans="1:8" x14ac:dyDescent="0.2">
      <c r="A89" s="152">
        <v>37773</v>
      </c>
      <c r="B89" s="171">
        <v>-1.3131249094091165E-2</v>
      </c>
      <c r="C89" s="153">
        <v>2.4227706238088226E-3</v>
      </c>
      <c r="D89" s="154">
        <f>IF(VLOOKUP(A89,[5]!CPIndex,2)=0,VLOOKUP(A89,[5]!CPIndex,6),0)</f>
        <v>2.4227706238088226E-3</v>
      </c>
      <c r="E89" s="153">
        <v>187.89251809478222</v>
      </c>
      <c r="F89" s="154">
        <f>IF(VLOOKUP(A89,[5]!CPIndex,2)=0,(F88*EXP(IF(driftswitch=1,D89,$C$4)-1/2*$D$4^2+$D$4*B89)),VLOOKUP(A89,[5]!CPIndex,2))</f>
        <v>188.31794253307123</v>
      </c>
      <c r="G89" s="162">
        <f t="shared" si="3"/>
        <v>2.4249417248561477E-3</v>
      </c>
      <c r="H89" s="155">
        <f t="shared" si="2"/>
        <v>1.0024249417248561</v>
      </c>
    </row>
    <row r="90" spans="1:8" x14ac:dyDescent="0.2">
      <c r="A90" s="152">
        <v>37803</v>
      </c>
      <c r="B90" s="171">
        <v>2.6206267878391334E-2</v>
      </c>
      <c r="C90" s="153">
        <v>2.4160248972229549E-3</v>
      </c>
      <c r="D90" s="154">
        <f>IF(VLOOKUP(A90,[5]!CPIndex,2)=0,VLOOKUP(A90,[5]!CPIndex,6),0)</f>
        <v>2.4160248972229549E-3</v>
      </c>
      <c r="E90" s="153">
        <v>188.34687596088466</v>
      </c>
      <c r="F90" s="154">
        <f>IF(VLOOKUP(A90,[5]!CPIndex,2)=0,(F89*EXP(IF(driftswitch=1,D90,$C$4)-1/2*$D$4^2+$D$4*B90)),VLOOKUP(A90,[5]!CPIndex,2))</f>
        <v>188.77944570919527</v>
      </c>
      <c r="G90" s="162">
        <f t="shared" si="3"/>
        <v>2.4181796630839809E-3</v>
      </c>
      <c r="H90" s="155">
        <f t="shared" si="2"/>
        <v>1.002418179663084</v>
      </c>
    </row>
    <row r="91" spans="1:8" x14ac:dyDescent="0.2">
      <c r="A91" s="152">
        <v>37834</v>
      </c>
      <c r="B91" s="171">
        <v>1.4552318750142733E-2</v>
      </c>
      <c r="C91" s="153">
        <v>2.4092786245348877E-3</v>
      </c>
      <c r="D91" s="154">
        <f>IF(VLOOKUP(A91,[5]!CPIndex,2)=0,VLOOKUP(A91,[5]!CPIndex,6),0)</f>
        <v>2.4092786245348877E-3</v>
      </c>
      <c r="E91" s="153">
        <v>188.80105883821557</v>
      </c>
      <c r="F91" s="154">
        <f>IF(VLOOKUP(A91,[5]!CPIndex,2)=0,(F90*EXP(IF(driftswitch=1,D91,$C$4)-1/2*$D$4^2+$D$4*B91)),VLOOKUP(A91,[5]!CPIndex,2))</f>
        <v>189.23807648800485</v>
      </c>
      <c r="G91" s="162">
        <f t="shared" si="3"/>
        <v>2.4114170995075662E-3</v>
      </c>
      <c r="H91" s="155">
        <f t="shared" si="2"/>
        <v>1.0024114170995075</v>
      </c>
    </row>
    <row r="92" spans="1:8" x14ac:dyDescent="0.2">
      <c r="A92" s="152">
        <v>37865</v>
      </c>
      <c r="B92" s="171">
        <v>-2.9782826320934853E-2</v>
      </c>
      <c r="C92" s="153">
        <v>2.4025318056563457E-3</v>
      </c>
      <c r="D92" s="154">
        <f>IF(VLOOKUP(A92,[5]!CPIndex,2)=0,VLOOKUP(A92,[5]!CPIndex,6),0)</f>
        <v>2.4025318056563457E-3</v>
      </c>
      <c r="E92" s="153">
        <v>189.25506006598366</v>
      </c>
      <c r="F92" s="154">
        <f>IF(VLOOKUP(A92,[5]!CPIndex,2)=0,(F91*EXP(IF(driftswitch=1,D92,$C$4)-1/2*$D$4^2+$D$4*B92)),VLOOKUP(A92,[5]!CPIndex,2))</f>
        <v>189.68614363539942</v>
      </c>
      <c r="G92" s="162">
        <f t="shared" si="3"/>
        <v>2.4046540340492703E-3</v>
      </c>
      <c r="H92" s="155">
        <f t="shared" si="2"/>
        <v>1.0024046540340492</v>
      </c>
    </row>
    <row r="93" spans="1:8" x14ac:dyDescent="0.2">
      <c r="A93" s="152">
        <v>37895</v>
      </c>
      <c r="B93" s="171">
        <v>6.5526121367269537E-3</v>
      </c>
      <c r="C93" s="153">
        <v>2.3957844404988299E-3</v>
      </c>
      <c r="D93" s="154">
        <f>IF(VLOOKUP(A93,[5]!CPIndex,2)=0,VLOOKUP(A93,[5]!CPIndex,6),0)</f>
        <v>2.3957844404988299E-3</v>
      </c>
      <c r="E93" s="153">
        <v>189.70887297027758</v>
      </c>
      <c r="F93" s="154">
        <f>IF(VLOOKUP(A93,[5]!CPIndex,2)=0,(F92*EXP(IF(driftswitch=1,D93,$C$4)-1/2*$D$4^2+$D$4*B93)),VLOOKUP(A93,[5]!CPIndex,2))</f>
        <v>190.14253067579335</v>
      </c>
      <c r="G93" s="162">
        <f t="shared" si="3"/>
        <v>2.3978904666311406E-3</v>
      </c>
      <c r="H93" s="155">
        <f t="shared" si="2"/>
        <v>1.0023978904666311</v>
      </c>
    </row>
    <row r="94" spans="1:8" x14ac:dyDescent="0.2">
      <c r="A94" s="152">
        <v>37926</v>
      </c>
      <c r="B94" s="171">
        <v>-2.6982372357632787E-3</v>
      </c>
      <c r="C94" s="153">
        <v>2.3890365289738372E-3</v>
      </c>
      <c r="D94" s="154">
        <f>IF(VLOOKUP(A94,[5]!CPIndex,2)=0,VLOOKUP(A94,[5]!CPIndex,6),0)</f>
        <v>2.3890365289738372E-3</v>
      </c>
      <c r="E94" s="153">
        <v>190.16249086421513</v>
      </c>
      <c r="F94" s="154">
        <f>IF(VLOOKUP(A94,[5]!CPIndex,2)=0,(F93*EXP(IF(driftswitch=1,D94,$C$4)-1/2*$D$4^2+$D$4*B94)),VLOOKUP(A94,[5]!CPIndex,2))</f>
        <v>190.59654965682935</v>
      </c>
      <c r="G94" s="162">
        <f t="shared" si="3"/>
        <v>2.391126397174989E-3</v>
      </c>
      <c r="H94" s="155">
        <f t="shared" si="2"/>
        <v>1.002391126397175</v>
      </c>
    </row>
    <row r="95" spans="1:8" x14ac:dyDescent="0.2">
      <c r="A95" s="152">
        <v>37956</v>
      </c>
      <c r="B95" s="171">
        <v>4.9443755003270473E-2</v>
      </c>
      <c r="C95" s="153">
        <v>2.3822880709926412E-3</v>
      </c>
      <c r="D95" s="154">
        <f>IF(VLOOKUP(A95,[5]!CPIndex,2)=0,VLOOKUP(A95,[5]!CPIndex,6),0)</f>
        <v>2.3822880709926412E-3</v>
      </c>
      <c r="E95" s="153">
        <v>190.61590704809333</v>
      </c>
      <c r="F95" s="154">
        <f>IF(VLOOKUP(A95,[5]!CPIndex,2)=0,(F94*EXP(IF(driftswitch=1,D95,$C$4)-1/2*$D$4^2+$D$4*B95)),VLOOKUP(A95,[5]!CPIndex,2))</f>
        <v>191.06268040117118</v>
      </c>
      <c r="G95" s="162">
        <f t="shared" si="3"/>
        <v>2.3843618256029486E-3</v>
      </c>
      <c r="H95" s="155">
        <f t="shared" si="2"/>
        <v>1.002384361825603</v>
      </c>
    </row>
    <row r="96" spans="1:8" x14ac:dyDescent="0.2">
      <c r="A96" s="152">
        <v>37987</v>
      </c>
      <c r="B96" s="171">
        <v>6.2709076832116462E-2</v>
      </c>
      <c r="C96" s="153">
        <v>2.3789136370534884E-3</v>
      </c>
      <c r="D96" s="154">
        <f>IF(VLOOKUP(A96,[5]!CPIndex,2)=0,VLOOKUP(A96,[5]!CPIndex,6),0)</f>
        <v>2.3789136370534884E-3</v>
      </c>
      <c r="E96" s="153">
        <v>191.06975958684214</v>
      </c>
      <c r="F96" s="154">
        <f>IF(VLOOKUP(A96,[5]!CPIndex,2)=0,(F95*EXP(IF(driftswitch=1,D96,$C$4)-1/2*$D$4^2+$D$4*B96)),VLOOKUP(A96,[5]!CPIndex,2))</f>
        <v>191.53244613983799</v>
      </c>
      <c r="G96" s="162">
        <f t="shared" si="3"/>
        <v>2.3809793514992209E-3</v>
      </c>
      <c r="H96" s="155">
        <f t="shared" si="2"/>
        <v>1.0023809793514993</v>
      </c>
    </row>
    <row r="97" spans="1:8" x14ac:dyDescent="0.2">
      <c r="A97" s="152">
        <v>38018</v>
      </c>
      <c r="B97" s="171">
        <v>-2.5422719819333976E-2</v>
      </c>
      <c r="C97" s="153">
        <v>2.3755390664671762E-3</v>
      </c>
      <c r="D97" s="154">
        <f>IF(VLOOKUP(A97,[5]!CPIndex,2)=0,VLOOKUP(A97,[5]!CPIndex,6),0)</f>
        <v>2.3755390664671762E-3</v>
      </c>
      <c r="E97" s="153">
        <v>191.5240464266102</v>
      </c>
      <c r="F97" s="154">
        <f>IF(VLOOKUP(A97,[5]!CPIndex,2)=0,(F96*EXP(IF(driftswitch=1,D97,$C$4)-1/2*$D$4^2+$D$4*B97)),VLOOKUP(A97,[5]!CPIndex,2))</f>
        <v>191.9817985366065</v>
      </c>
      <c r="G97" s="162">
        <f t="shared" si="3"/>
        <v>2.3775967518375597E-3</v>
      </c>
      <c r="H97" s="155">
        <f t="shared" si="2"/>
        <v>1.0023775967518376</v>
      </c>
    </row>
    <row r="98" spans="1:8" x14ac:dyDescent="0.2">
      <c r="A98" s="152">
        <v>38047</v>
      </c>
      <c r="B98" s="171">
        <v>6.8098762491541481E-3</v>
      </c>
      <c r="C98" s="153">
        <v>2.3721643592226139E-3</v>
      </c>
      <c r="D98" s="154">
        <f>IF(VLOOKUP(A98,[5]!CPIndex,2)=0,VLOOKUP(A98,[5]!CPIndex,6),0)</f>
        <v>2.3721643592226139E-3</v>
      </c>
      <c r="E98" s="153">
        <v>191.97876550406895</v>
      </c>
      <c r="F98" s="154">
        <f>IF(VLOOKUP(A98,[5]!CPIndex,2)=0,(F97*EXP(IF(driftswitch=1,D98,$C$4)-1/2*$D$4^2+$D$4*B98)),VLOOKUP(A98,[5]!CPIndex,2))</f>
        <v>192.43922467734015</v>
      </c>
      <c r="G98" s="162">
        <f t="shared" si="3"/>
        <v>2.374214026607833E-3</v>
      </c>
      <c r="H98" s="155">
        <f t="shared" si="2"/>
        <v>1.0023742140266079</v>
      </c>
    </row>
    <row r="99" spans="1:8" x14ac:dyDescent="0.2">
      <c r="A99" s="152">
        <v>38078</v>
      </c>
      <c r="B99" s="171">
        <v>5.174923355197765E-2</v>
      </c>
      <c r="C99" s="153">
        <v>2.3687895153087085E-3</v>
      </c>
      <c r="D99" s="154">
        <f>IF(VLOOKUP(A99,[5]!CPIndex,2)=0,VLOOKUP(A99,[5]!CPIndex,6),0)</f>
        <v>2.3687895153087085E-3</v>
      </c>
      <c r="E99" s="153">
        <v>192.43391474641766</v>
      </c>
      <c r="F99" s="154">
        <f>IF(VLOOKUP(A99,[5]!CPIndex,2)=0,(F98*EXP(IF(driftswitch=1,D99,$C$4)-1/2*$D$4^2+$D$4*B99)),VLOOKUP(A99,[5]!CPIndex,2))</f>
        <v>192.90780783203306</v>
      </c>
      <c r="G99" s="162">
        <f t="shared" si="3"/>
        <v>2.3708311758003447E-3</v>
      </c>
      <c r="H99" s="155">
        <f t="shared" si="2"/>
        <v>1.0023708311758004</v>
      </c>
    </row>
    <row r="100" spans="1:8" x14ac:dyDescent="0.2">
      <c r="A100" s="152">
        <v>38108</v>
      </c>
      <c r="B100" s="171">
        <v>-3.279105181042561E-2</v>
      </c>
      <c r="C100" s="153">
        <v>2.3654145347143688E-3</v>
      </c>
      <c r="D100" s="154">
        <f>IF(VLOOKUP(A100,[5]!CPIndex,2)=0,VLOOKUP(A100,[5]!CPIndex,6),0)</f>
        <v>2.3654145347143688E-3</v>
      </c>
      <c r="E100" s="153">
        <v>192.88949207138864</v>
      </c>
      <c r="F100" s="154">
        <f>IF(VLOOKUP(A100,[5]!CPIndex,2)=0,(F99*EXP(IF(driftswitch=1,D100,$C$4)-1/2*$D$4^2+$D$4*B100)),VLOOKUP(A100,[5]!CPIndex,2))</f>
        <v>193.35666777034822</v>
      </c>
      <c r="G100" s="162">
        <f t="shared" si="3"/>
        <v>2.3674481994056594E-3</v>
      </c>
      <c r="H100" s="155">
        <f t="shared" si="2"/>
        <v>1.0023674481994056</v>
      </c>
    </row>
    <row r="101" spans="1:8" x14ac:dyDescent="0.2">
      <c r="A101" s="152">
        <v>38139</v>
      </c>
      <c r="B101" s="171">
        <v>6.9010380191679987E-2</v>
      </c>
      <c r="C101" s="153">
        <v>2.3620394174285022E-3</v>
      </c>
      <c r="D101" s="154">
        <f>IF(VLOOKUP(A101,[5]!CPIndex,2)=0,VLOOKUP(A101,[5]!CPIndex,6),0)</f>
        <v>2.3620394174285022E-3</v>
      </c>
      <c r="E101" s="153">
        <v>193.34549538725247</v>
      </c>
      <c r="F101" s="154">
        <f>IF(VLOOKUP(A101,[5]!CPIndex,2)=0,(F100*EXP(IF(driftswitch=1,D101,$C$4)-1/2*$D$4^2+$D$4*B101)),VLOOKUP(A101,[5]!CPIndex,2))</f>
        <v>193.83031309362039</v>
      </c>
      <c r="G101" s="162">
        <f t="shared" si="3"/>
        <v>2.3640650974136911E-3</v>
      </c>
      <c r="H101" s="155">
        <f t="shared" si="2"/>
        <v>1.0023640650974137</v>
      </c>
    </row>
    <row r="102" spans="1:8" x14ac:dyDescent="0.2">
      <c r="A102" s="152">
        <v>38169</v>
      </c>
      <c r="B102" s="171">
        <v>-1.8785117439017566E-3</v>
      </c>
      <c r="C102" s="153">
        <v>2.3586641634402369E-3</v>
      </c>
      <c r="D102" s="154">
        <f>IF(VLOOKUP(A102,[5]!CPIndex,2)=0,VLOOKUP(A102,[5]!CPIndex,6),0)</f>
        <v>2.3586641634402369E-3</v>
      </c>
      <c r="E102" s="153">
        <v>193.80192259282356</v>
      </c>
      <c r="F102" s="154">
        <f>IF(VLOOKUP(A102,[5]!CPIndex,2)=0,(F101*EXP(IF(driftswitch=1,D102,$C$4)-1/2*$D$4^2+$D$4*B102)),VLOOKUP(A102,[5]!CPIndex,2))</f>
        <v>194.28743355359572</v>
      </c>
      <c r="G102" s="162">
        <f t="shared" si="3"/>
        <v>2.3606818698150111E-3</v>
      </c>
      <c r="H102" s="155">
        <f t="shared" si="2"/>
        <v>1.002360681869815</v>
      </c>
    </row>
    <row r="103" spans="1:8" x14ac:dyDescent="0.2">
      <c r="A103" s="152">
        <v>38200</v>
      </c>
      <c r="B103" s="171">
        <v>-2.5890081415075605E-2</v>
      </c>
      <c r="C103" s="153">
        <v>2.3552887727382598E-3</v>
      </c>
      <c r="D103" s="154">
        <f>IF(VLOOKUP(A103,[5]!CPIndex,2)=0,VLOOKUP(A103,[5]!CPIndex,6),0)</f>
        <v>2.3552887727382598E-3</v>
      </c>
      <c r="E103" s="153">
        <v>194.25877157746572</v>
      </c>
      <c r="F103" s="154">
        <f>IF(VLOOKUP(A103,[5]!CPIndex,2)=0,(F102*EXP(IF(driftswitch=1,D103,$C$4)-1/2*$D$4^2+$D$4*B103)),VLOOKUP(A103,[5]!CPIndex,2))</f>
        <v>194.73919330326129</v>
      </c>
      <c r="G103" s="162">
        <f t="shared" si="3"/>
        <v>2.3572985165993456E-3</v>
      </c>
      <c r="H103" s="155">
        <f t="shared" si="2"/>
        <v>1.0023572985165994</v>
      </c>
    </row>
    <row r="104" spans="1:8" x14ac:dyDescent="0.2">
      <c r="A104" s="152">
        <v>38231</v>
      </c>
      <c r="B104" s="171">
        <v>9.8415082094539755E-3</v>
      </c>
      <c r="C104" s="153">
        <v>2.3519132453116987E-3</v>
      </c>
      <c r="D104" s="154">
        <f>IF(VLOOKUP(A104,[5]!CPIndex,2)=0,VLOOKUP(A104,[5]!CPIndex,6),0)</f>
        <v>2.3519132453116987E-3</v>
      </c>
      <c r="E104" s="153">
        <v>194.71604022109824</v>
      </c>
      <c r="F104" s="154">
        <f>IF(VLOOKUP(A104,[5]!CPIndex,2)=0,(F103*EXP(IF(driftswitch=1,D104,$C$4)-1/2*$D$4^2+$D$4*B104)),VLOOKUP(A104,[5]!CPIndex,2))</f>
        <v>195.19996797930941</v>
      </c>
      <c r="G104" s="162">
        <f t="shared" si="3"/>
        <v>2.3539150377576094E-3</v>
      </c>
      <c r="H104" s="155">
        <f t="shared" si="2"/>
        <v>1.0023539150377576</v>
      </c>
    </row>
    <row r="105" spans="1:8" x14ac:dyDescent="0.2">
      <c r="A105" s="152">
        <v>38261</v>
      </c>
      <c r="B105" s="171">
        <v>4.1334802438220061E-2</v>
      </c>
      <c r="C105" s="153">
        <v>2.3485375811492389E-3</v>
      </c>
      <c r="D105" s="154">
        <f>IF(VLOOKUP(A105,[5]!CPIndex,2)=0,VLOOKUP(A105,[5]!CPIndex,6),0)</f>
        <v>2.3485375811492389E-3</v>
      </c>
      <c r="E105" s="153">
        <v>195.17372639420165</v>
      </c>
      <c r="F105" s="154">
        <f>IF(VLOOKUP(A105,[5]!CPIndex,2)=0,(F104*EXP(IF(driftswitch=1,D105,$C$4)-1/2*$D$4^2+$D$4*B105)),VLOOKUP(A105,[5]!CPIndex,2))</f>
        <v>195.66879119157014</v>
      </c>
      <c r="G105" s="162">
        <f t="shared" si="3"/>
        <v>2.3505314332795237E-3</v>
      </c>
      <c r="H105" s="155">
        <f t="shared" si="2"/>
        <v>1.0023505314332795</v>
      </c>
    </row>
    <row r="106" spans="1:8" x14ac:dyDescent="0.2">
      <c r="A106" s="152">
        <v>38292</v>
      </c>
      <c r="B106" s="171">
        <v>-1.1222015217200898E-2</v>
      </c>
      <c r="C106" s="153">
        <v>2.345161780240009E-3</v>
      </c>
      <c r="D106" s="154">
        <f>IF(VLOOKUP(A106,[5]!CPIndex,2)=0,VLOOKUP(A106,[5]!CPIndex,6),0)</f>
        <v>2.345161780240009E-3</v>
      </c>
      <c r="E106" s="153">
        <v>195.63182795782407</v>
      </c>
      <c r="F106" s="154">
        <f>IF(VLOOKUP(A106,[5]!CPIndex,2)=0,(F105*EXP(IF(driftswitch=1,D106,$C$4)-1/2*$D$4^2+$D$4*B106)),VLOOKUP(A106,[5]!CPIndex,2))</f>
        <v>196.12533353724578</v>
      </c>
      <c r="G106" s="162">
        <f t="shared" si="3"/>
        <v>2.3471477031553486E-3</v>
      </c>
      <c r="H106" s="155">
        <f t="shared" si="2"/>
        <v>1.0023471477031554</v>
      </c>
    </row>
    <row r="107" spans="1:8" x14ac:dyDescent="0.2">
      <c r="A107" s="152">
        <v>38322</v>
      </c>
      <c r="B107" s="171">
        <v>3.7939995659855043E-2</v>
      </c>
      <c r="C107" s="153">
        <v>2.3417858425729154E-3</v>
      </c>
      <c r="D107" s="154">
        <f>IF(VLOOKUP(A107,[5]!CPIndex,2)=0,VLOOKUP(A107,[5]!CPIndex,6),0)</f>
        <v>2.3417858425729154E-3</v>
      </c>
      <c r="E107" s="153">
        <v>196.09034276358767</v>
      </c>
      <c r="F107" s="154">
        <f>IF(VLOOKUP(A107,[5]!CPIndex,2)=0,(F106*EXP(IF(driftswitch=1,D107,$C$4)-1/2*$D$4^2+$D$4*B107)),VLOOKUP(A107,[5]!CPIndex,2))</f>
        <v>196.59422672611004</v>
      </c>
      <c r="G107" s="162">
        <f t="shared" si="3"/>
        <v>2.3437638473758444E-3</v>
      </c>
      <c r="H107" s="155">
        <f t="shared" si="2"/>
        <v>1.0023437638473758</v>
      </c>
    </row>
    <row r="108" spans="1:8" x14ac:dyDescent="0.2">
      <c r="A108" s="152">
        <v>38353</v>
      </c>
      <c r="B108" s="171">
        <v>-3.7520037693560125E-2</v>
      </c>
      <c r="C108" s="153">
        <v>2.3384097681366425E-3</v>
      </c>
      <c r="D108" s="154">
        <f>IF(VLOOKUP(A108,[5]!CPIndex,2)=0,VLOOKUP(A108,[5]!CPIndex,6),0)</f>
        <v>2.3384097681366425E-3</v>
      </c>
      <c r="E108" s="153">
        <v>196.54926865369504</v>
      </c>
      <c r="F108" s="154">
        <f>IF(VLOOKUP(A108,[5]!CPIndex,2)=0,(F107*EXP(IF(driftswitch=1,D108,$C$4)-1/2*$D$4^2+$D$4*B108)),VLOOKUP(A108,[5]!CPIndex,2))</f>
        <v>197.0451909030055</v>
      </c>
      <c r="G108" s="162">
        <f t="shared" si="3"/>
        <v>2.3403798659307816E-3</v>
      </c>
      <c r="H108" s="155">
        <f t="shared" si="2"/>
        <v>1.0023403798659307</v>
      </c>
    </row>
    <row r="109" spans="1:8" x14ac:dyDescent="0.2">
      <c r="A109" s="152">
        <v>38384</v>
      </c>
      <c r="B109" s="171">
        <v>4.8109974696735544E-3</v>
      </c>
      <c r="C109" s="153">
        <v>2.3350335569205394E-3</v>
      </c>
      <c r="D109" s="154">
        <f>IF(VLOOKUP(A109,[5]!CPIndex,2)=0,VLOOKUP(A109,[5]!CPIndex,6),0)</f>
        <v>2.3350335569205394E-3</v>
      </c>
      <c r="E109" s="153">
        <v>197.008603460936</v>
      </c>
      <c r="F109" s="154">
        <f>IF(VLOOKUP(A109,[5]!CPIndex,2)=0,(F108*EXP(IF(driftswitch=1,D109,$C$4)-1/2*$D$4^2+$D$4*B109)),VLOOKUP(A109,[5]!CPIndex,2))</f>
        <v>197.5068594954385</v>
      </c>
      <c r="G109" s="162">
        <f t="shared" si="3"/>
        <v>2.3369957588103632E-3</v>
      </c>
      <c r="H109" s="155">
        <f t="shared" si="2"/>
        <v>1.0023369957588104</v>
      </c>
    </row>
    <row r="110" spans="1:8" x14ac:dyDescent="0.2">
      <c r="A110" s="152">
        <v>38412</v>
      </c>
      <c r="B110" s="171">
        <v>-1.1587924059995021E-2</v>
      </c>
      <c r="C110" s="153">
        <v>2.3316572089130696E-3</v>
      </c>
      <c r="D110" s="154">
        <f>IF(VLOOKUP(A110,[5]!CPIndex,2)=0,VLOOKUP(A110,[5]!CPIndex,6),0)</f>
        <v>2.3316572089130696E-3</v>
      </c>
      <c r="E110" s="153">
        <v>197.46834500869466</v>
      </c>
      <c r="F110" s="154">
        <f>IF(VLOOKUP(A110,[5]!CPIndex,2)=0,(F109*EXP(IF(driftswitch=1,D110,$C$4)-1/2*$D$4^2+$D$4*B110)),VLOOKUP(A110,[5]!CPIndex,2))</f>
        <v>197.96492748547047</v>
      </c>
      <c r="G110" s="162">
        <f t="shared" si="3"/>
        <v>2.3336115260053298E-3</v>
      </c>
      <c r="H110" s="155">
        <f t="shared" si="2"/>
        <v>1.0023336115260053</v>
      </c>
    </row>
    <row r="111" spans="1:8" x14ac:dyDescent="0.2">
      <c r="A111" s="152">
        <v>38443</v>
      </c>
      <c r="B111" s="171">
        <v>-4.7867231163388244E-2</v>
      </c>
      <c r="C111" s="153">
        <v>2.32828072410336E-3</v>
      </c>
      <c r="D111" s="154">
        <f>IF(VLOOKUP(A111,[5]!CPIndex,2)=0,VLOOKUP(A111,[5]!CPIndex,6),0)</f>
        <v>2.32828072410336E-3</v>
      </c>
      <c r="E111" s="153">
        <v>197.9284911109562</v>
      </c>
      <c r="F111" s="154">
        <f>IF(VLOOKUP(A111,[5]!CPIndex,2)=0,(F110*EXP(IF(driftswitch=1,D111,$C$4)-1/2*$D$4^2+$D$4*B111)),VLOOKUP(A111,[5]!CPIndex,2))</f>
        <v>198.41448774639198</v>
      </c>
      <c r="G111" s="162">
        <f t="shared" si="3"/>
        <v>2.3302271675051827E-3</v>
      </c>
      <c r="H111" s="155">
        <f t="shared" si="2"/>
        <v>1.0023302271675052</v>
      </c>
    </row>
    <row r="112" spans="1:8" x14ac:dyDescent="0.2">
      <c r="A112" s="152">
        <v>38473</v>
      </c>
      <c r="B112" s="171">
        <v>-1.652425522871625E-3</v>
      </c>
      <c r="C112" s="153">
        <v>2.3249041024805371E-3</v>
      </c>
      <c r="D112" s="154">
        <f>IF(VLOOKUP(A112,[5]!CPIndex,2)=0,VLOOKUP(A112,[5]!CPIndex,6),0)</f>
        <v>2.3249041024805371E-3</v>
      </c>
      <c r="E112" s="153">
        <v>198.38903957231454</v>
      </c>
      <c r="F112" s="154">
        <f>IF(VLOOKUP(A112,[5]!CPIndex,2)=0,(F111*EXP(IF(driftswitch=1,D112,$C$4)-1/2*$D$4^2+$D$4*B112)),VLOOKUP(A112,[5]!CPIndex,2))</f>
        <v>198.87576073464027</v>
      </c>
      <c r="G112" s="162">
        <f t="shared" si="3"/>
        <v>2.3268426833010373E-3</v>
      </c>
      <c r="H112" s="155">
        <f t="shared" si="2"/>
        <v>1.002326842683301</v>
      </c>
    </row>
    <row r="113" spans="1:8" x14ac:dyDescent="0.2">
      <c r="A113" s="152">
        <v>38504</v>
      </c>
      <c r="B113" s="171">
        <v>3.6864092967648941E-2</v>
      </c>
      <c r="C113" s="153">
        <v>2.3215273440330636E-3</v>
      </c>
      <c r="D113" s="154">
        <f>IF(VLOOKUP(A113,[5]!CPIndex,2)=0,VLOOKUP(A113,[5]!CPIndex,6),0)</f>
        <v>2.3215273440330636E-3</v>
      </c>
      <c r="E113" s="153">
        <v>198.84998818797942</v>
      </c>
      <c r="F113" s="154">
        <f>IF(VLOOKUP(A113,[5]!CPIndex,2)=0,(F112*EXP(IF(driftswitch=1,D113,$C$4)-1/2*$D$4^2+$D$4*B113)),VLOOKUP(A113,[5]!CPIndex,2))</f>
        <v>199.34692590574704</v>
      </c>
      <c r="G113" s="162">
        <f t="shared" si="3"/>
        <v>2.3234580733824052E-3</v>
      </c>
      <c r="H113" s="155">
        <f t="shared" si="2"/>
        <v>1.0023234580733824</v>
      </c>
    </row>
    <row r="114" spans="1:8" x14ac:dyDescent="0.2">
      <c r="A114" s="152">
        <v>38534</v>
      </c>
      <c r="B114" s="171">
        <v>2.7145745340082277E-2</v>
      </c>
      <c r="C114" s="153">
        <v>2.3181504487500659E-3</v>
      </c>
      <c r="D114" s="154">
        <f>IF(VLOOKUP(A114,[5]!CPIndex,2)=0,VLOOKUP(A114,[5]!CPIndex,6),0)</f>
        <v>2.3181504487500659E-3</v>
      </c>
      <c r="E114" s="153">
        <v>199.31133474378422</v>
      </c>
      <c r="F114" s="154">
        <f>IF(VLOOKUP(A114,[5]!CPIndex,2)=0,(F113*EXP(IF(driftswitch=1,D114,$C$4)-1/2*$D$4^2+$D$4*B114)),VLOOKUP(A114,[5]!CPIndex,2))</f>
        <v>199.81613163565217</v>
      </c>
      <c r="G114" s="162">
        <f t="shared" si="3"/>
        <v>2.3200733377397482E-3</v>
      </c>
      <c r="H114" s="155">
        <f t="shared" si="2"/>
        <v>1.0023200733377398</v>
      </c>
    </row>
    <row r="115" spans="1:8" x14ac:dyDescent="0.2">
      <c r="A115" s="152">
        <v>38565</v>
      </c>
      <c r="B115" s="171">
        <v>1.6625980845071282E-2</v>
      </c>
      <c r="C115" s="153">
        <v>2.3147734166204495E-3</v>
      </c>
      <c r="D115" s="154">
        <f>IF(VLOOKUP(A115,[5]!CPIndex,2)=0,VLOOKUP(A115,[5]!CPIndex,6),0)</f>
        <v>2.3147734166204495E-3</v>
      </c>
      <c r="E115" s="153">
        <v>199.77307701619372</v>
      </c>
      <c r="F115" s="154">
        <f>IF(VLOOKUP(A115,[5]!CPIndex,2)=0,(F114*EXP(IF(driftswitch=1,D115,$C$4)-1/2*$D$4^2+$D$4*B115)),VLOOKUP(A115,[5]!CPIndex,2))</f>
        <v>200.28316037072454</v>
      </c>
      <c r="G115" s="162">
        <f t="shared" si="3"/>
        <v>2.3166884763632808E-3</v>
      </c>
      <c r="H115" s="155">
        <f t="shared" si="2"/>
        <v>1.0023166884763632</v>
      </c>
    </row>
    <row r="116" spans="1:8" x14ac:dyDescent="0.2">
      <c r="A116" s="152">
        <v>38596</v>
      </c>
      <c r="B116" s="171">
        <v>1.9302599552593686E-2</v>
      </c>
      <c r="C116" s="153">
        <v>2.3113962476333395E-3</v>
      </c>
      <c r="D116" s="154">
        <f>IF(VLOOKUP(A116,[5]!CPIndex,2)=0,VLOOKUP(A116,[5]!CPIndex,6),0)</f>
        <v>2.3113962476333395E-3</v>
      </c>
      <c r="E116" s="153">
        <v>200.2352127723122</v>
      </c>
      <c r="F116" s="154">
        <f>IF(VLOOKUP(A116,[5]!CPIndex,2)=0,(F115*EXP(IF(driftswitch=1,D116,$C$4)-1/2*$D$4^2+$D$4*B116)),VLOOKUP(A116,[5]!CPIndex,2))</f>
        <v>200.75126707073855</v>
      </c>
      <c r="G116" s="162">
        <f t="shared" si="3"/>
        <v>2.3133034892434978E-3</v>
      </c>
      <c r="H116" s="155">
        <f t="shared" si="2"/>
        <v>1.0023133034892435</v>
      </c>
    </row>
    <row r="117" spans="1:8" x14ac:dyDescent="0.2">
      <c r="A117" s="152">
        <v>38626</v>
      </c>
      <c r="B117" s="171">
        <v>-1.5342407681483107E-2</v>
      </c>
      <c r="C117" s="153">
        <v>2.3080189417771985E-3</v>
      </c>
      <c r="D117" s="154">
        <f>IF(VLOOKUP(A117,[5]!CPIndex,2)=0,VLOOKUP(A117,[5]!CPIndex,6),0)</f>
        <v>2.3080189417771985E-3</v>
      </c>
      <c r="E117" s="153">
        <v>200.6977397698914</v>
      </c>
      <c r="F117" s="154">
        <f>IF(VLOOKUP(A117,[5]!CPIndex,2)=0,(F116*EXP(IF(driftswitch=1,D117,$C$4)-1/2*$D$4^2+$D$4*B117)),VLOOKUP(A117,[5]!CPIndex,2))</f>
        <v>201.21116927189533</v>
      </c>
      <c r="G117" s="162">
        <f t="shared" si="3"/>
        <v>2.3099183763704133E-3</v>
      </c>
      <c r="H117" s="155">
        <f t="shared" si="2"/>
        <v>1.0023099183763704</v>
      </c>
    </row>
    <row r="118" spans="1:8" x14ac:dyDescent="0.2">
      <c r="A118" s="152">
        <v>38657</v>
      </c>
      <c r="B118" s="171">
        <v>-9.5327553259832148E-3</v>
      </c>
      <c r="C118" s="153">
        <v>2.304641499041373E-3</v>
      </c>
      <c r="D118" s="154">
        <f>IF(VLOOKUP(A118,[5]!CPIndex,2)=0,VLOOKUP(A118,[5]!CPIndex,6),0)</f>
        <v>2.304641499041373E-3</v>
      </c>
      <c r="E118" s="153">
        <v>201.16065575733899</v>
      </c>
      <c r="F118" s="154">
        <f>IF(VLOOKUP(A118,[5]!CPIndex,2)=0,(F117*EXP(IF(driftswitch=1,D118,$C$4)-1/2*$D$4^2+$D$4*B118)),VLOOKUP(A118,[5]!CPIndex,2))</f>
        <v>201.67289253679067</v>
      </c>
      <c r="G118" s="162">
        <f t="shared" si="3"/>
        <v>2.3065331377340897E-3</v>
      </c>
      <c r="H118" s="155">
        <f t="shared" si="2"/>
        <v>1.0023065331377341</v>
      </c>
    </row>
    <row r="119" spans="1:8" x14ac:dyDescent="0.2">
      <c r="A119" s="152">
        <v>38687</v>
      </c>
      <c r="B119" s="171">
        <v>2.2899555662142671E-3</v>
      </c>
      <c r="C119" s="153">
        <v>2.3012639194145462E-3</v>
      </c>
      <c r="D119" s="154">
        <f>IF(VLOOKUP(A119,[5]!CPIndex,2)=0,VLOOKUP(A119,[5]!CPIndex,6),0)</f>
        <v>2.3012639194145462E-3</v>
      </c>
      <c r="E119" s="153">
        <v>201.62395847372716</v>
      </c>
      <c r="F119" s="154">
        <f>IF(VLOOKUP(A119,[5]!CPIndex,2)=0,(F118*EXP(IF(driftswitch=1,D119,$C$4)-1/2*$D$4^2+$D$4*B119)),VLOOKUP(A119,[5]!CPIndex,2))</f>
        <v>202.1379473164329</v>
      </c>
      <c r="G119" s="162">
        <f t="shared" si="3"/>
        <v>2.3031477733252911E-3</v>
      </c>
      <c r="H119" s="155">
        <f t="shared" si="2"/>
        <v>1.0023031477733253</v>
      </c>
    </row>
    <row r="120" spans="1:8" x14ac:dyDescent="0.2">
      <c r="A120" s="152">
        <v>38718</v>
      </c>
      <c r="B120" s="171">
        <v>-2.2242274650711318E-2</v>
      </c>
      <c r="C120" s="153">
        <v>2.2958595072503567E-3</v>
      </c>
      <c r="D120" s="154">
        <f>IF(VLOOKUP(A120,[5]!CPIndex,2)=0,VLOOKUP(A120,[5]!CPIndex,6),0)</f>
        <v>2.2958595072503567E-3</v>
      </c>
      <c r="E120" s="153">
        <v>202.08723607906677</v>
      </c>
      <c r="F120" s="154">
        <f>IF(VLOOKUP(A120,[5]!CPIndex,2)=0,(F119*EXP(IF(driftswitch=1,D120,$C$4)-1/2*$D$4^2+$D$4*B120)),VLOOKUP(A120,[5]!CPIndex,2))</f>
        <v>202.59683443121074</v>
      </c>
      <c r="G120" s="162">
        <f t="shared" si="3"/>
        <v>2.2977309286385268E-3</v>
      </c>
      <c r="H120" s="155">
        <f t="shared" si="2"/>
        <v>1.0022977309286385</v>
      </c>
    </row>
    <row r="121" spans="1:8" x14ac:dyDescent="0.2">
      <c r="A121" s="152">
        <v>38749</v>
      </c>
      <c r="B121" s="171">
        <v>1.2175340295299066E-2</v>
      </c>
      <c r="C121" s="153">
        <v>2.2904547445716174E-3</v>
      </c>
      <c r="D121" s="154">
        <f>IF(VLOOKUP(A121,[5]!CPIndex,2)=0,VLOOKUP(A121,[5]!CPIndex,6),0)</f>
        <v>2.2904547445716174E-3</v>
      </c>
      <c r="E121" s="153">
        <v>202.55048343143693</v>
      </c>
      <c r="F121" s="154">
        <f>IF(VLOOKUP(A121,[5]!CPIndex,2)=0,(F120*EXP(IF(driftswitch=1,D121,$C$4)-1/2*$D$4^2+$D$4*B121)),VLOOKUP(A121,[5]!CPIndex,2))</f>
        <v>203.0643067331072</v>
      </c>
      <c r="G121" s="162">
        <f t="shared" si="3"/>
        <v>2.2923137619088162E-3</v>
      </c>
      <c r="H121" s="155">
        <f t="shared" si="2"/>
        <v>1.0022923137619089</v>
      </c>
    </row>
    <row r="122" spans="1:8" x14ac:dyDescent="0.2">
      <c r="A122" s="152">
        <v>38777</v>
      </c>
      <c r="B122" s="171">
        <v>-1.9881570566429262E-2</v>
      </c>
      <c r="C122" s="153">
        <v>2.2850496313327044E-3</v>
      </c>
      <c r="D122" s="154">
        <f>IF(VLOOKUP(A122,[5]!CPIndex,2)=0,VLOOKUP(A122,[5]!CPIndex,6),0)</f>
        <v>2.2850496313327044E-3</v>
      </c>
      <c r="E122" s="153">
        <v>203.01369537710997</v>
      </c>
      <c r="F122" s="154">
        <f>IF(VLOOKUP(A122,[5]!CPIndex,2)=0,(F121*EXP(IF(driftswitch=1,D122,$C$4)-1/2*$D$4^2+$D$4*B122)),VLOOKUP(A122,[5]!CPIndex,2))</f>
        <v>203.52369080048473</v>
      </c>
      <c r="G122" s="162">
        <f t="shared" si="3"/>
        <v>2.2868962730954651E-3</v>
      </c>
      <c r="H122" s="155">
        <f t="shared" si="2"/>
        <v>1.0022868962730955</v>
      </c>
    </row>
    <row r="123" spans="1:8" x14ac:dyDescent="0.2">
      <c r="A123" s="152">
        <v>38808</v>
      </c>
      <c r="B123" s="171">
        <v>-1.9283592209801939E-3</v>
      </c>
      <c r="C123" s="153">
        <v>2.279644167487993E-3</v>
      </c>
      <c r="D123" s="154">
        <f>IF(VLOOKUP(A123,[5]!CPIndex,2)=0,VLOOKUP(A123,[5]!CPIndex,6),0)</f>
        <v>2.279644167487993E-3</v>
      </c>
      <c r="E123" s="153">
        <v>203.47686675063605</v>
      </c>
      <c r="F123" s="154">
        <f>IF(VLOOKUP(A123,[5]!CPIndex,2)=0,(F122*EXP(IF(driftswitch=1,D123,$C$4)-1/2*$D$4^2+$D$4*B123)),VLOOKUP(A123,[5]!CPIndex,2))</f>
        <v>203.98753937052226</v>
      </c>
      <c r="G123" s="162">
        <f t="shared" si="3"/>
        <v>2.2814784621584864E-3</v>
      </c>
      <c r="H123" s="155">
        <f t="shared" si="2"/>
        <v>1.0022814784621585</v>
      </c>
    </row>
    <row r="124" spans="1:8" x14ac:dyDescent="0.2">
      <c r="A124" s="152">
        <v>38838</v>
      </c>
      <c r="B124" s="171">
        <v>5.57746412025098E-2</v>
      </c>
      <c r="C124" s="153">
        <v>2.2742383529920783E-3</v>
      </c>
      <c r="D124" s="154">
        <f>IF(VLOOKUP(A124,[5]!CPIndex,2)=0,VLOOKUP(A124,[5]!CPIndex,6),0)</f>
        <v>2.2742383529920783E-3</v>
      </c>
      <c r="E124" s="153">
        <v>203.93999237492818</v>
      </c>
      <c r="F124" s="154">
        <f>IF(VLOOKUP(A124,[5]!CPIndex,2)=0,(F123*EXP(IF(driftswitch=1,D124,$C$4)-1/2*$D$4^2+$D$4*B124)),VLOOKUP(A124,[5]!CPIndex,2))</f>
        <v>204.46592659722393</v>
      </c>
      <c r="G124" s="162">
        <f t="shared" si="3"/>
        <v>2.2760603290579457E-3</v>
      </c>
      <c r="H124" s="155">
        <f t="shared" si="2"/>
        <v>1.0022760603290579</v>
      </c>
    </row>
    <row r="125" spans="1:8" x14ac:dyDescent="0.2">
      <c r="A125" s="152">
        <v>38869</v>
      </c>
      <c r="B125" s="171">
        <v>-5.5343329455474169E-2</v>
      </c>
      <c r="C125" s="153">
        <v>2.2688321877993322E-3</v>
      </c>
      <c r="D125" s="154">
        <f>IF(VLOOKUP(A125,[5]!CPIndex,2)=0,VLOOKUP(A125,[5]!CPIndex,6),0)</f>
        <v>2.2688321877993322E-3</v>
      </c>
      <c r="E125" s="153">
        <v>204.40306706134771</v>
      </c>
      <c r="F125" s="154">
        <f>IF(VLOOKUP(A125,[5]!CPIndex,2)=0,(F124*EXP(IF(driftswitch=1,D125,$C$4)-1/2*$D$4^2+$D$4*B125)),VLOOKUP(A125,[5]!CPIndex,2))</f>
        <v>204.9161734719759</v>
      </c>
      <c r="G125" s="162">
        <f t="shared" si="3"/>
        <v>2.2706418737537463E-3</v>
      </c>
      <c r="H125" s="155">
        <f t="shared" si="2"/>
        <v>1.0022706418737537</v>
      </c>
    </row>
    <row r="126" spans="1:8" x14ac:dyDescent="0.2">
      <c r="A126" s="152">
        <v>38899</v>
      </c>
      <c r="B126" s="171">
        <v>-5.2796347588521795E-4</v>
      </c>
      <c r="C126" s="153">
        <v>2.263425671864347E-3</v>
      </c>
      <c r="D126" s="154">
        <f>IF(VLOOKUP(A126,[5]!CPIndex,2)=0,VLOOKUP(A126,[5]!CPIndex,6),0)</f>
        <v>2.263425671864347E-3</v>
      </c>
      <c r="E126" s="153">
        <v>204.86608560979036</v>
      </c>
      <c r="F126" s="154">
        <f>IF(VLOOKUP(A126,[5]!CPIndex,2)=0,(F125*EXP(IF(driftswitch=1,D126,$C$4)-1/2*$D$4^2+$D$4*B126)),VLOOKUP(A126,[5]!CPIndex,2))</f>
        <v>205.38022025547065</v>
      </c>
      <c r="G126" s="162">
        <f t="shared" si="3"/>
        <v>2.2652230962057012E-3</v>
      </c>
      <c r="H126" s="155">
        <f t="shared" si="2"/>
        <v>1.0022652230962057</v>
      </c>
    </row>
    <row r="127" spans="1:8" x14ac:dyDescent="0.2">
      <c r="A127" s="152">
        <v>38930</v>
      </c>
      <c r="B127" s="171">
        <v>-2.9733067068048676E-2</v>
      </c>
      <c r="C127" s="153">
        <v>2.2580188051417147E-3</v>
      </c>
      <c r="D127" s="154">
        <f>IF(VLOOKUP(A127,[5]!CPIndex,2)=0,VLOOKUP(A127,[5]!CPIndex,6),0)</f>
        <v>2.2580188051417147E-3</v>
      </c>
      <c r="E127" s="153">
        <v>205.32904280877281</v>
      </c>
      <c r="F127" s="154">
        <f>IF(VLOOKUP(A127,[5]!CPIndex,2)=0,(F126*EXP(IF(driftswitch=1,D127,$C$4)-1/2*$D$4^2+$D$4*B127)),VLOOKUP(A127,[5]!CPIndex,2))</f>
        <v>205.83677227839922</v>
      </c>
      <c r="G127" s="162">
        <f t="shared" si="3"/>
        <v>2.2598039963737508E-3</v>
      </c>
      <c r="H127" s="155">
        <f t="shared" si="2"/>
        <v>1.0022598039963737</v>
      </c>
    </row>
    <row r="128" spans="1:8" x14ac:dyDescent="0.2">
      <c r="A128" s="152">
        <v>38961</v>
      </c>
      <c r="B128" s="171">
        <v>-2.746020942258938E-3</v>
      </c>
      <c r="C128" s="153">
        <v>2.2526115875858032E-3</v>
      </c>
      <c r="D128" s="154">
        <f>IF(VLOOKUP(A128,[5]!CPIndex,2)=0,VLOOKUP(A128,[5]!CPIndex,6),0)</f>
        <v>2.2526115875858032E-3</v>
      </c>
      <c r="E128" s="153">
        <v>205.79193343551987</v>
      </c>
      <c r="F128" s="154">
        <f>IF(VLOOKUP(A128,[5]!CPIndex,2)=0,(F127*EXP(IF(driftswitch=1,D128,$C$4)-1/2*$D$4^2+$D$4*B128)),VLOOKUP(A128,[5]!CPIndex,2))</f>
        <v>206.30010710311646</v>
      </c>
      <c r="G128" s="162">
        <f t="shared" si="3"/>
        <v>2.254384574218045E-3</v>
      </c>
      <c r="H128" s="155">
        <f t="shared" si="2"/>
        <v>1.002254384574218</v>
      </c>
    </row>
    <row r="129" spans="1:8" x14ac:dyDescent="0.2">
      <c r="A129" s="152">
        <v>38991</v>
      </c>
      <c r="B129" s="171">
        <v>9.6275561044653277E-3</v>
      </c>
      <c r="C129" s="153">
        <v>2.2472040191512011E-3</v>
      </c>
      <c r="D129" s="154">
        <f>IF(VLOOKUP(A129,[5]!CPIndex,2)=0,VLOOKUP(A129,[5]!CPIndex,6),0)</f>
        <v>2.2472040191512011E-3</v>
      </c>
      <c r="E129" s="153">
        <v>206.25475225605197</v>
      </c>
      <c r="F129" s="154">
        <f>IF(VLOOKUP(A129,[5]!CPIndex,2)=0,(F128*EXP(IF(driftswitch=1,D129,$C$4)-1/2*$D$4^2+$D$4*B129)),VLOOKUP(A129,[5]!CPIndex,2))</f>
        <v>206.76652999406585</v>
      </c>
      <c r="G129" s="162">
        <f t="shared" si="3"/>
        <v>2.248964829698343E-3</v>
      </c>
      <c r="H129" s="155">
        <f t="shared" si="2"/>
        <v>1.0022489648296984</v>
      </c>
    </row>
    <row r="130" spans="1:8" x14ac:dyDescent="0.2">
      <c r="A130" s="152">
        <v>39022</v>
      </c>
      <c r="B130" s="171">
        <v>-2.5479750183910687E-3</v>
      </c>
      <c r="C130" s="153">
        <v>2.2417960997922742E-3</v>
      </c>
      <c r="D130" s="154">
        <f>IF(VLOOKUP(A130,[5]!CPIndex,2)=0,VLOOKUP(A130,[5]!CPIndex,6),0)</f>
        <v>2.2417960997922742E-3</v>
      </c>
      <c r="E130" s="153">
        <v>206.71749402527342</v>
      </c>
      <c r="F130" s="154">
        <f>IF(VLOOKUP(A130,[5]!CPIndex,2)=0,(F129*EXP(IF(driftswitch=1,D130,$C$4)-1/2*$D$4^2+$D$4*B130)),VLOOKUP(A130,[5]!CPIndex,2))</f>
        <v>207.22976712641469</v>
      </c>
      <c r="G130" s="162">
        <f t="shared" si="3"/>
        <v>2.2435447627746686E-3</v>
      </c>
      <c r="H130" s="155">
        <f t="shared" si="2"/>
        <v>1.0022435447627747</v>
      </c>
    </row>
    <row r="131" spans="1:8" x14ac:dyDescent="0.2">
      <c r="A131" s="152">
        <v>39052</v>
      </c>
      <c r="B131" s="171">
        <v>1.6340069536007258E-2</v>
      </c>
      <c r="C131" s="153">
        <v>2.2363878294633871E-3</v>
      </c>
      <c r="D131" s="154">
        <f>IF(VLOOKUP(A131,[5]!CPIndex,2)=0,VLOOKUP(A131,[5]!CPIndex,6),0)</f>
        <v>2.2363878294633871E-3</v>
      </c>
      <c r="E131" s="153">
        <v>207.18015348706092</v>
      </c>
      <c r="F131" s="154">
        <f>IF(VLOOKUP(A131,[5]!CPIndex,2)=0,(F130*EXP(IF(driftswitch=1,D131,$C$4)-1/2*$D$4^2+$D$4*B131)),VLOOKUP(A131,[5]!CPIndex,2))</f>
        <v>207.69776911976507</v>
      </c>
      <c r="G131" s="162">
        <f t="shared" si="3"/>
        <v>2.2381243734065906E-3</v>
      </c>
      <c r="H131" s="155">
        <f t="shared" si="2"/>
        <v>1.0022381243734066</v>
      </c>
    </row>
    <row r="132" spans="1:8" x14ac:dyDescent="0.2">
      <c r="A132" s="152">
        <v>39083</v>
      </c>
      <c r="B132" s="171">
        <v>5.7864170449343839E-2</v>
      </c>
      <c r="C132" s="153">
        <v>2.2330074822607179E-3</v>
      </c>
      <c r="D132" s="154">
        <f>IF(VLOOKUP(A132,[5]!CPIndex,2)=0,VLOOKUP(A132,[5]!CPIndex,6),0)</f>
        <v>2.2330074822607179E-3</v>
      </c>
      <c r="E132" s="153">
        <v>207.64314653115056</v>
      </c>
      <c r="F132" s="154">
        <f>IF(VLOOKUP(A132,[5]!CPIndex,2)=0,(F131*EXP(IF(driftswitch=1,D132,$C$4)-1/2*$D$4^2+$D$4*B132)),VLOOKUP(A132,[5]!CPIndex,2))</f>
        <v>208.17681184905217</v>
      </c>
      <c r="G132" s="162">
        <f t="shared" si="3"/>
        <v>2.2347364662926483E-3</v>
      </c>
      <c r="H132" s="155">
        <f t="shared" si="2"/>
        <v>1.0022347364662927</v>
      </c>
    </row>
    <row r="133" spans="1:8" x14ac:dyDescent="0.2">
      <c r="A133" s="152">
        <v>39114</v>
      </c>
      <c r="B133" s="171">
        <v>-4.2960492410595762E-2</v>
      </c>
      <c r="C133" s="153">
        <v>2.2296269979315015E-3</v>
      </c>
      <c r="D133" s="154">
        <f>IF(VLOOKUP(A133,[5]!CPIndex,2)=0,VLOOKUP(A133,[5]!CPIndex,6),0)</f>
        <v>2.2296269979315015E-3</v>
      </c>
      <c r="E133" s="153">
        <v>208.10647074082723</v>
      </c>
      <c r="F133" s="154">
        <f>IF(VLOOKUP(A133,[5]!CPIndex,2)=0,(F132*EXP(IF(driftswitch=1,D133,$C$4)-1/2*$D$4^2+$D$4*B133)),VLOOKUP(A133,[5]!CPIndex,2))</f>
        <v>208.63024500233837</v>
      </c>
      <c r="G133" s="162">
        <f t="shared" si="3"/>
        <v>2.2313484331984105E-3</v>
      </c>
      <c r="H133" s="155">
        <f t="shared" si="2"/>
        <v>1.0022313484331984</v>
      </c>
    </row>
    <row r="134" spans="1:8" x14ac:dyDescent="0.2">
      <c r="A134" s="152">
        <v>39142</v>
      </c>
      <c r="B134" s="171">
        <v>-8.2065547242926543E-2</v>
      </c>
      <c r="C134" s="153">
        <v>2.226246376464638E-3</v>
      </c>
      <c r="D134" s="154">
        <f>IF(VLOOKUP(A134,[5]!CPIndex,2)=0,VLOOKUP(A134,[5]!CPIndex,6),0)</f>
        <v>2.226246376464638E-3</v>
      </c>
      <c r="E134" s="153">
        <v>208.57012369042391</v>
      </c>
      <c r="F134" s="154">
        <f>IF(VLOOKUP(A134,[5]!CPIndex,2)=0,(F133*EXP(IF(driftswitch=1,D134,$C$4)-1/2*$D$4^2+$D$4*B134)),VLOOKUP(A134,[5]!CPIndex,2))</f>
        <v>209.07385020376327</v>
      </c>
      <c r="G134" s="162">
        <f t="shared" si="3"/>
        <v>2.2279602741142298E-3</v>
      </c>
      <c r="H134" s="155">
        <f t="shared" si="2"/>
        <v>1.0022279602741142</v>
      </c>
    </row>
    <row r="135" spans="1:8" x14ac:dyDescent="0.2">
      <c r="A135" s="152">
        <v>39173</v>
      </c>
      <c r="B135" s="171">
        <v>2.8168233628007338E-2</v>
      </c>
      <c r="C135" s="153">
        <v>2.2228656178488056E-3</v>
      </c>
      <c r="D135" s="154">
        <f>IF(VLOOKUP(A135,[5]!CPIndex,2)=0,VLOOKUP(A135,[5]!CPIndex,6),0)</f>
        <v>2.2228656178488056E-3</v>
      </c>
      <c r="E135" s="153">
        <v>209.03410294533413</v>
      </c>
      <c r="F135" s="154">
        <f>IF(VLOOKUP(A135,[5]!CPIndex,2)=0,(F134*EXP(IF(driftswitch=1,D135,$C$4)-1/2*$D$4^2+$D$4*B135)),VLOOKUP(A135,[5]!CPIndex,2))</f>
        <v>209.54624773684287</v>
      </c>
      <c r="G135" s="162">
        <f t="shared" si="3"/>
        <v>2.2245719890298778E-3</v>
      </c>
      <c r="H135" s="155">
        <f t="shared" si="2"/>
        <v>1.0022245719890299</v>
      </c>
    </row>
    <row r="136" spans="1:8" x14ac:dyDescent="0.2">
      <c r="A136" s="152">
        <v>39203</v>
      </c>
      <c r="B136" s="171">
        <v>3.9457953509534724E-2</v>
      </c>
      <c r="C136" s="153">
        <v>2.2194847220733463E-3</v>
      </c>
      <c r="D136" s="154">
        <f>IF(VLOOKUP(A136,[5]!CPIndex,2)=0,VLOOKUP(A136,[5]!CPIndex,6),0)</f>
        <v>2.2194847220733463E-3</v>
      </c>
      <c r="E136" s="153">
        <v>209.49840606202497</v>
      </c>
      <c r="F136" s="154">
        <f>IF(VLOOKUP(A136,[5]!CPIndex,2)=0,(F135*EXP(IF(driftswitch=1,D136,$C$4)-1/2*$D$4^2+$D$4*B136)),VLOOKUP(A136,[5]!CPIndex,2))</f>
        <v>210.02193414904534</v>
      </c>
      <c r="G136" s="162">
        <f t="shared" si="3"/>
        <v>2.2211835779363995E-3</v>
      </c>
      <c r="H136" s="155">
        <f t="shared" si="2"/>
        <v>1.0022211835779364</v>
      </c>
    </row>
    <row r="137" spans="1:8" x14ac:dyDescent="0.2">
      <c r="A137" s="152">
        <v>39234</v>
      </c>
      <c r="B137" s="171">
        <v>-3.401645745785143E-2</v>
      </c>
      <c r="C137" s="153">
        <v>2.2161036891267163E-3</v>
      </c>
      <c r="D137" s="154">
        <f>IF(VLOOKUP(A137,[5]!CPIndex,2)=0,VLOOKUP(A137,[5]!CPIndex,6),0)</f>
        <v>2.2161036891267163E-3</v>
      </c>
      <c r="E137" s="153">
        <v>209.96303058804972</v>
      </c>
      <c r="F137" s="154">
        <f>IF(VLOOKUP(A137,[5]!CPIndex,2)=0,(F136*EXP(IF(driftswitch=1,D137,$C$4)-1/2*$D$4^2+$D$4*B137)),VLOOKUP(A137,[5]!CPIndex,2))</f>
        <v>210.47886735538785</v>
      </c>
      <c r="G137" s="162">
        <f t="shared" si="3"/>
        <v>2.2177950408233224E-3</v>
      </c>
      <c r="H137" s="155">
        <f t="shared" si="2"/>
        <v>1.0022177950408233</v>
      </c>
    </row>
    <row r="138" spans="1:8" x14ac:dyDescent="0.2">
      <c r="A138" s="152">
        <v>39264</v>
      </c>
      <c r="B138" s="171">
        <v>2.5595975394594697E-2</v>
      </c>
      <c r="C138" s="153">
        <v>2.2127225189980363E-3</v>
      </c>
      <c r="D138" s="154">
        <f>IF(VLOOKUP(A138,[5]!CPIndex,2)=0,VLOOKUP(A138,[5]!CPIndex,6),0)</f>
        <v>2.2127225189980363E-3</v>
      </c>
      <c r="E138" s="153">
        <v>210.42797406206117</v>
      </c>
      <c r="F138" s="154">
        <f>IF(VLOOKUP(A138,[5]!CPIndex,2)=0,(F137*EXP(IF(driftswitch=1,D138,$C$4)-1/2*$D$4^2+$D$4*B138)),VLOOKUP(A138,[5]!CPIndex,2))</f>
        <v>210.95162887979222</v>
      </c>
      <c r="G138" s="162">
        <f t="shared" si="3"/>
        <v>2.2144063776811927E-3</v>
      </c>
      <c r="H138" s="155">
        <f t="shared" si="2"/>
        <v>1.0022144063776812</v>
      </c>
    </row>
    <row r="139" spans="1:8" x14ac:dyDescent="0.2">
      <c r="A139" s="152">
        <v>39295</v>
      </c>
      <c r="B139" s="171">
        <v>-3.0214047650329739E-2</v>
      </c>
      <c r="C139" s="153">
        <v>2.2093412116757612E-3</v>
      </c>
      <c r="D139" s="154">
        <f>IF(VLOOKUP(A139,[5]!CPIndex,2)=0,VLOOKUP(A139,[5]!CPIndex,6),0)</f>
        <v>2.2093412116757612E-3</v>
      </c>
      <c r="E139" s="153">
        <v>210.89323401382475</v>
      </c>
      <c r="F139" s="154">
        <f>IF(VLOOKUP(A139,[5]!CPIndex,2)=0,(F138*EXP(IF(driftswitch=1,D139,$C$4)-1/2*$D$4^2+$D$4*B139)),VLOOKUP(A139,[5]!CPIndex,2))</f>
        <v>211.41014900662094</v>
      </c>
      <c r="G139" s="162">
        <f t="shared" si="3"/>
        <v>2.2110175884997429E-3</v>
      </c>
      <c r="H139" s="155">
        <f t="shared" si="2"/>
        <v>1.0022110175884997</v>
      </c>
    </row>
    <row r="140" spans="1:8" x14ac:dyDescent="0.2">
      <c r="A140" s="152">
        <v>39326</v>
      </c>
      <c r="B140" s="171">
        <v>-1.3880558066198843E-2</v>
      </c>
      <c r="C140" s="153">
        <v>2.2059597671494555E-3</v>
      </c>
      <c r="D140" s="154">
        <f>IF(VLOOKUP(A140,[5]!CPIndex,2)=0,VLOOKUP(A140,[5]!CPIndex,6),0)</f>
        <v>2.2059597671494555E-3</v>
      </c>
      <c r="E140" s="153">
        <v>211.35880796423226</v>
      </c>
      <c r="F140" s="154">
        <f>IF(VLOOKUP(A140,[5]!CPIndex,2)=0,(F139*EXP(IF(driftswitch=1,D140,$C$4)-1/2*$D$4^2+$D$4*B140)),VLOOKUP(A140,[5]!CPIndex,2))</f>
        <v>211.87322797052141</v>
      </c>
      <c r="G140" s="162">
        <f t="shared" si="3"/>
        <v>2.2076286732697313E-3</v>
      </c>
      <c r="H140" s="155">
        <f t="shared" ref="H140:H203" si="4">G140+1</f>
        <v>1.0022076286732697</v>
      </c>
    </row>
    <row r="141" spans="1:8" x14ac:dyDescent="0.2">
      <c r="A141" s="152">
        <v>39356</v>
      </c>
      <c r="B141" s="171">
        <v>7.0431719281275743E-2</v>
      </c>
      <c r="C141" s="153">
        <v>2.2025781854073515E-3</v>
      </c>
      <c r="D141" s="154">
        <f>IF(VLOOKUP(A141,[5]!CPIndex,2)=0,VLOOKUP(A141,[5]!CPIndex,6),0)</f>
        <v>2.2025781854073515E-3</v>
      </c>
      <c r="E141" s="153">
        <v>211.82469342531527</v>
      </c>
      <c r="F141" s="154">
        <f>IF(VLOOKUP(A141,[5]!CPIndex,2)=0,(F140*EXP(IF(driftswitch=1,D141,$C$4)-1/2*$D$4^2+$D$4*B141)),VLOOKUP(A141,[5]!CPIndex,2))</f>
        <v>212.35873890375692</v>
      </c>
      <c r="G141" s="162">
        <f t="shared" ref="G141:G204" si="5">IF(shiftswitch4=1,(F141-F140)/F140,(E141-E140)/E140)</f>
        <v>2.2042396319809851E-3</v>
      </c>
      <c r="H141" s="155">
        <f t="shared" si="4"/>
        <v>1.002204239631981</v>
      </c>
    </row>
    <row r="142" spans="1:8" x14ac:dyDescent="0.2">
      <c r="A142" s="152">
        <v>39387</v>
      </c>
      <c r="B142" s="171">
        <v>-1.9562346094273283E-3</v>
      </c>
      <c r="C142" s="153">
        <v>2.1991964664385697E-3</v>
      </c>
      <c r="D142" s="154">
        <f>IF(VLOOKUP(A142,[5]!CPIndex,2)=0,VLOOKUP(A142,[5]!CPIndex,6),0)</f>
        <v>2.1991964664385697E-3</v>
      </c>
      <c r="E142" s="153">
        <v>212.29088790025918</v>
      </c>
      <c r="F142" s="154">
        <f>IF(VLOOKUP(A142,[5]!CPIndex,2)=0,(F141*EXP(IF(driftswitch=1,D142,$C$4)-1/2*$D$4^2+$D$4*B142)),VLOOKUP(A142,[5]!CPIndex,2))</f>
        <v>212.82559397919042</v>
      </c>
      <c r="G142" s="162">
        <f t="shared" si="5"/>
        <v>2.2008504646238249E-3</v>
      </c>
      <c r="H142" s="155">
        <f t="shared" si="4"/>
        <v>1.0022008504646238</v>
      </c>
    </row>
    <row r="143" spans="1:8" x14ac:dyDescent="0.2">
      <c r="A143" s="152">
        <v>39417</v>
      </c>
      <c r="B143" s="171">
        <v>-1.1326748467490513E-2</v>
      </c>
      <c r="C143" s="153">
        <v>2.1958146102317865E-3</v>
      </c>
      <c r="D143" s="154">
        <f>IF(VLOOKUP(A143,[5]!CPIndex,2)=0,VLOOKUP(A143,[5]!CPIndex,6),0)</f>
        <v>2.1958146102317865E-3</v>
      </c>
      <c r="E143" s="153">
        <v>212.75738888341709</v>
      </c>
      <c r="F143" s="154">
        <f>IF(VLOOKUP(A143,[5]!CPIndex,2)=0,(F142*EXP(IF(driftswitch=1,D143,$C$4)-1/2*$D$4^2+$D$4*B143)),VLOOKUP(A143,[5]!CPIndex,2))</f>
        <v>213.29028296956682</v>
      </c>
      <c r="G143" s="162">
        <f t="shared" si="5"/>
        <v>2.1974611711883304E-3</v>
      </c>
      <c r="H143" s="155">
        <f t="shared" si="4"/>
        <v>1.0021974611711884</v>
      </c>
    </row>
    <row r="144" spans="1:8" x14ac:dyDescent="0.2">
      <c r="A144" s="152">
        <v>39448</v>
      </c>
      <c r="B144" s="171">
        <v>2.1293182962593585E-2</v>
      </c>
      <c r="C144" s="153">
        <v>2.1924326167761209E-3</v>
      </c>
      <c r="D144" s="154">
        <f>IF(VLOOKUP(A144,[5]!CPIndex,2)=0,VLOOKUP(A144,[5]!CPIndex,6),0)</f>
        <v>2.1924326167761209E-3</v>
      </c>
      <c r="E144" s="153">
        <v>213.22419386032416</v>
      </c>
      <c r="F144" s="154">
        <f>IF(VLOOKUP(A144,[5]!CPIndex,2)=0,(F143*EXP(IF(driftswitch=1,D144,$C$4)-1/2*$D$4^2+$D$4*B144)),VLOOKUP(A144,[5]!CPIndex,2))</f>
        <v>213.76388475670575</v>
      </c>
      <c r="G144" s="162">
        <f t="shared" si="5"/>
        <v>2.1940717516648121E-3</v>
      </c>
      <c r="H144" s="155">
        <f t="shared" si="4"/>
        <v>1.0021940717516649</v>
      </c>
    </row>
    <row r="145" spans="1:8" x14ac:dyDescent="0.2">
      <c r="A145" s="152">
        <v>39479</v>
      </c>
      <c r="B145" s="171">
        <v>-2.6625335769985487E-3</v>
      </c>
      <c r="C145" s="153">
        <v>2.1890504860604706E-3</v>
      </c>
      <c r="D145" s="154">
        <f>IF(VLOOKUP(A145,[5]!CPIndex,2)=0,VLOOKUP(A145,[5]!CPIndex,6),0)</f>
        <v>2.1890504860604706E-3</v>
      </c>
      <c r="E145" s="153">
        <v>213.69130030771197</v>
      </c>
      <c r="F145" s="154">
        <f>IF(VLOOKUP(A145,[5]!CPIndex,2)=0,(F144*EXP(IF(driftswitch=1,D145,$C$4)-1/2*$D$4^2+$D$4*B145)),VLOOKUP(A145,[5]!CPIndex,2))</f>
        <v>214.23146826128493</v>
      </c>
      <c r="G145" s="162">
        <f t="shared" si="5"/>
        <v>2.1906822060436138E-3</v>
      </c>
      <c r="H145" s="155">
        <f t="shared" si="4"/>
        <v>1.0021906822060436</v>
      </c>
    </row>
    <row r="146" spans="1:8" x14ac:dyDescent="0.2">
      <c r="A146" s="152">
        <v>39508</v>
      </c>
      <c r="B146" s="171">
        <v>-6.4785189172557826E-3</v>
      </c>
      <c r="C146" s="153">
        <v>2.1856682180735111E-3</v>
      </c>
      <c r="D146" s="154">
        <f>IF(VLOOKUP(A146,[5]!CPIndex,2)=0,VLOOKUP(A146,[5]!CPIndex,6),0)</f>
        <v>2.1856682180735111E-3</v>
      </c>
      <c r="E146" s="153">
        <v>214.15870569352302</v>
      </c>
      <c r="F146" s="154">
        <f>IF(VLOOKUP(A146,[5]!CPIndex,2)=0,(F145*EXP(IF(driftswitch=1,D146,$C$4)-1/2*$D$4^2+$D$4*B146)),VLOOKUP(A146,[5]!CPIndex,2))</f>
        <v>214.6983354221035</v>
      </c>
      <c r="G146" s="162">
        <f t="shared" si="5"/>
        <v>2.1872925343146502E-3</v>
      </c>
      <c r="H146" s="155">
        <f t="shared" si="4"/>
        <v>1.0021872925343147</v>
      </c>
    </row>
    <row r="147" spans="1:8" x14ac:dyDescent="0.2">
      <c r="A147" s="152">
        <v>39539</v>
      </c>
      <c r="B147" s="171">
        <v>-3.0901513246401911E-2</v>
      </c>
      <c r="C147" s="153">
        <v>2.1822858128039187E-3</v>
      </c>
      <c r="D147" s="154">
        <f>IF(VLOOKUP(A147,[5]!CPIndex,2)=0,VLOOKUP(A147,[5]!CPIndex,6),0)</f>
        <v>2.1822858128039187E-3</v>
      </c>
      <c r="E147" s="153">
        <v>214.62640747692561</v>
      </c>
      <c r="F147" s="154">
        <f>IF(VLOOKUP(A147,[5]!CPIndex,2)=0,(F146*EXP(IF(driftswitch=1,D147,$C$4)-1/2*$D$4^2+$D$4*B147)),VLOOKUP(A147,[5]!CPIndex,2))</f>
        <v>215.15899513773999</v>
      </c>
      <c r="G147" s="162">
        <f t="shared" si="5"/>
        <v>2.1839027364682754E-3</v>
      </c>
      <c r="H147" s="155">
        <f t="shared" si="4"/>
        <v>1.0021839027364683</v>
      </c>
    </row>
    <row r="148" spans="1:8" x14ac:dyDescent="0.2">
      <c r="A148" s="152">
        <v>39569</v>
      </c>
      <c r="B148" s="171">
        <v>-8.0765964039291737E-4</v>
      </c>
      <c r="C148" s="153">
        <v>2.1789032702410325E-3</v>
      </c>
      <c r="D148" s="154">
        <f>IF(VLOOKUP(A148,[5]!CPIndex,2)=0,VLOOKUP(A148,[5]!CPIndex,6),0)</f>
        <v>2.1789032702410325E-3</v>
      </c>
      <c r="E148" s="153">
        <v>215.09440310832878</v>
      </c>
      <c r="F148" s="154">
        <f>IF(VLOOKUP(A148,[5]!CPIndex,2)=0,(F147*EXP(IF(driftswitch=1,D148,$C$4)-1/2*$D$4^2+$D$4*B148)),VLOOKUP(A148,[5]!CPIndex,2))</f>
        <v>215.62793676164793</v>
      </c>
      <c r="G148" s="162">
        <f t="shared" si="5"/>
        <v>2.1805128124948183E-3</v>
      </c>
      <c r="H148" s="155">
        <f t="shared" si="4"/>
        <v>1.0021805128124948</v>
      </c>
    </row>
    <row r="149" spans="1:8" x14ac:dyDescent="0.2">
      <c r="A149" s="152">
        <v>39600</v>
      </c>
      <c r="B149" s="171">
        <v>8.2404334788543816E-3</v>
      </c>
      <c r="C149" s="153">
        <v>2.1755205903733073E-3</v>
      </c>
      <c r="D149" s="154">
        <f>IF(VLOOKUP(A149,[5]!CPIndex,2)=0,VLOOKUP(A149,[5]!CPIndex,6),0)</f>
        <v>2.1755205903733073E-3</v>
      </c>
      <c r="E149" s="153">
        <v>215.56269002939729</v>
      </c>
      <c r="F149" s="154">
        <f>IF(VLOOKUP(A149,[5]!CPIndex,2)=0,(F148*EXP(IF(driftswitch=1,D149,$C$4)-1/2*$D$4^2+$D$4*B149)),VLOOKUP(A149,[5]!CPIndex,2))</f>
        <v>216.0995869400341</v>
      </c>
      <c r="G149" s="162">
        <f t="shared" si="5"/>
        <v>2.1771227623838549E-3</v>
      </c>
      <c r="H149" s="155">
        <f t="shared" si="4"/>
        <v>1.0021771227623839</v>
      </c>
    </row>
    <row r="150" spans="1:8" x14ac:dyDescent="0.2">
      <c r="A150" s="152">
        <v>39630</v>
      </c>
      <c r="B150" s="171">
        <v>-0.10374293276001299</v>
      </c>
      <c r="C150" s="153">
        <v>2.1721377731896384E-3</v>
      </c>
      <c r="D150" s="154">
        <f>IF(VLOOKUP(A150,[5]!CPIndex,2)=0,VLOOKUP(A150,[5]!CPIndex,6),0)</f>
        <v>2.1721377731896384E-3</v>
      </c>
      <c r="E150" s="153">
        <v>216.0312656730672</v>
      </c>
      <c r="F150" s="154">
        <f>IF(VLOOKUP(A150,[5]!CPIndex,2)=0,(F149*EXP(IF(driftswitch=1,D150,$C$4)-1/2*$D$4^2+$D$4*B150)),VLOOKUP(A150,[5]!CPIndex,2))</f>
        <v>216.54155287891314</v>
      </c>
      <c r="G150" s="162">
        <f t="shared" si="5"/>
        <v>2.173732586126134E-3</v>
      </c>
      <c r="H150" s="155">
        <f t="shared" si="4"/>
        <v>1.0021737325861262</v>
      </c>
    </row>
    <row r="151" spans="1:8" x14ac:dyDescent="0.2">
      <c r="A151" s="152">
        <v>39661</v>
      </c>
      <c r="B151" s="171">
        <v>-4.519622407380295E-2</v>
      </c>
      <c r="C151" s="153">
        <v>2.1687548186791446E-3</v>
      </c>
      <c r="D151" s="154">
        <f>IF(VLOOKUP(A151,[5]!CPIndex,2)=0,VLOOKUP(A151,[5]!CPIndex,6),0)</f>
        <v>2.1687548186791446E-3</v>
      </c>
      <c r="E151" s="153">
        <v>216.50012746356123</v>
      </c>
      <c r="F151" s="154">
        <f>IF(VLOOKUP(A151,[5]!CPIndex,2)=0,(F150*EXP(IF(driftswitch=1,D151,$C$4)-1/2*$D$4^2+$D$4*B151)),VLOOKUP(A151,[5]!CPIndex,2))</f>
        <v>216.99939590345474</v>
      </c>
      <c r="G151" s="162">
        <f t="shared" si="5"/>
        <v>2.1703422837117828E-3</v>
      </c>
      <c r="H151" s="155">
        <f t="shared" si="4"/>
        <v>1.0021703422837118</v>
      </c>
    </row>
    <row r="152" spans="1:8" x14ac:dyDescent="0.2">
      <c r="A152" s="152">
        <v>39692</v>
      </c>
      <c r="B152" s="171">
        <v>8.8212296428355888E-2</v>
      </c>
      <c r="C152" s="153">
        <v>2.1653717268305004E-3</v>
      </c>
      <c r="D152" s="154">
        <f>IF(VLOOKUP(A152,[5]!CPIndex,2)=0,VLOOKUP(A152,[5]!CPIndex,6),0)</f>
        <v>2.1653717268305004E-3</v>
      </c>
      <c r="E152" s="153">
        <v>216.9692728164045</v>
      </c>
      <c r="F152" s="154">
        <f>IF(VLOOKUP(A152,[5]!CPIndex,2)=0,(F151*EXP(IF(driftswitch=1,D152,$C$4)-1/2*$D$4^2+$D$4*B152)),VLOOKUP(A152,[5]!CPIndex,2))</f>
        <v>217.49334265160488</v>
      </c>
      <c r="G152" s="162">
        <f t="shared" si="5"/>
        <v>2.1669518551310383E-3</v>
      </c>
      <c r="H152" s="155">
        <f t="shared" si="4"/>
        <v>1.002166951855131</v>
      </c>
    </row>
    <row r="153" spans="1:8" x14ac:dyDescent="0.2">
      <c r="A153" s="152">
        <v>39722</v>
      </c>
      <c r="B153" s="171">
        <v>-8.4193431150578913E-3</v>
      </c>
      <c r="C153" s="153">
        <v>2.1619884976323799E-3</v>
      </c>
      <c r="D153" s="154">
        <f>IF(VLOOKUP(A153,[5]!CPIndex,2)=0,VLOOKUP(A153,[5]!CPIndex,6),0)</f>
        <v>2.1619884976323799E-3</v>
      </c>
      <c r="E153" s="153">
        <v>217.43869913844028</v>
      </c>
      <c r="F153" s="154">
        <f>IF(VLOOKUP(A153,[5]!CPIndex,2)=0,(F152*EXP(IF(driftswitch=1,D153,$C$4)-1/2*$D$4^2+$D$4*B153)),VLOOKUP(A153,[5]!CPIndex,2))</f>
        <v>217.96163393414372</v>
      </c>
      <c r="G153" s="162">
        <f t="shared" si="5"/>
        <v>2.163561300373657E-3</v>
      </c>
      <c r="H153" s="155">
        <f t="shared" si="4"/>
        <v>1.0021635613003737</v>
      </c>
    </row>
    <row r="154" spans="1:8" x14ac:dyDescent="0.2">
      <c r="A154" s="152">
        <v>39753</v>
      </c>
      <c r="B154" s="171">
        <v>1.1427656300139116E-2</v>
      </c>
      <c r="C154" s="153">
        <v>2.1586051310741225E-3</v>
      </c>
      <c r="D154" s="154">
        <f>IF(VLOOKUP(A154,[5]!CPIndex,2)=0,VLOOKUP(A154,[5]!CPIndex,6),0)</f>
        <v>2.1586051310741225E-3</v>
      </c>
      <c r="E154" s="153">
        <v>217.90840382784629</v>
      </c>
      <c r="F154" s="154">
        <f>IF(VLOOKUP(A154,[5]!CPIndex,2)=0,(F153*EXP(IF(driftswitch=1,D154,$C$4)-1/2*$D$4^2+$D$4*B154)),VLOOKUP(A154,[5]!CPIndex,2))</f>
        <v>218.43555450569696</v>
      </c>
      <c r="G154" s="162">
        <f t="shared" si="5"/>
        <v>2.1601706194302891E-3</v>
      </c>
      <c r="H154" s="155">
        <f t="shared" si="4"/>
        <v>1.0021601706194303</v>
      </c>
    </row>
    <row r="155" spans="1:8" x14ac:dyDescent="0.2">
      <c r="A155" s="152">
        <v>39783</v>
      </c>
      <c r="B155" s="171">
        <v>4.1848062858628195E-2</v>
      </c>
      <c r="C155" s="153">
        <v>2.1552216271439584E-3</v>
      </c>
      <c r="D155" s="154">
        <f>IF(VLOOKUP(A155,[5]!CPIndex,2)=0,VLOOKUP(A155,[5]!CPIndex,6),0)</f>
        <v>2.1552216271439584E-3</v>
      </c>
      <c r="E155" s="153">
        <v>218.3783842741507</v>
      </c>
      <c r="F155" s="154">
        <f>IF(VLOOKUP(A155,[5]!CPIndex,2)=0,(F154*EXP(IF(driftswitch=1,D155,$C$4)-1/2*$D$4^2+$D$4*B155)),VLOOKUP(A155,[5]!CPIndex,2))</f>
        <v>218.91799850596288</v>
      </c>
      <c r="G155" s="162">
        <f t="shared" si="5"/>
        <v>2.1567798122908398E-3</v>
      </c>
      <c r="H155" s="155">
        <f t="shared" si="4"/>
        <v>1.0021567798122908</v>
      </c>
    </row>
    <row r="156" spans="1:8" x14ac:dyDescent="0.2">
      <c r="A156" s="152">
        <v>39814</v>
      </c>
      <c r="B156" s="171">
        <v>1.1985087179061108E-2</v>
      </c>
      <c r="C156" s="153">
        <v>2.1525147250849308E-3</v>
      </c>
      <c r="D156" s="154">
        <f>IF(VLOOKUP(A156,[5]!CPIndex,2)=0,VLOOKUP(A156,[5]!CPIndex,6),0)</f>
        <v>2.1525147250849308E-3</v>
      </c>
      <c r="E156" s="153">
        <v>218.84878596176276</v>
      </c>
      <c r="F156" s="154">
        <f>IF(VLOOKUP(A156,[5]!CPIndex,2)=0,(F155*EXP(IF(driftswitch=1,D156,$C$4)-1/2*$D$4^2+$D$4*B156)),VLOOKUP(A156,[5]!CPIndex,2))</f>
        <v>219.39281354092975</v>
      </c>
      <c r="G156" s="162">
        <f t="shared" si="5"/>
        <v>2.1540670757116435E-3</v>
      </c>
      <c r="H156" s="155">
        <f t="shared" si="4"/>
        <v>1.0021540670757116</v>
      </c>
    </row>
    <row r="157" spans="1:8" x14ac:dyDescent="0.2">
      <c r="A157" s="152">
        <v>39845</v>
      </c>
      <c r="B157" s="171">
        <v>1.4311073710802372E-2</v>
      </c>
      <c r="C157" s="153">
        <v>2.1498077350950921E-3</v>
      </c>
      <c r="D157" s="154">
        <f>IF(VLOOKUP(A157,[5]!CPIndex,2)=0,VLOOKUP(A157,[5]!CPIndex,6),0)</f>
        <v>2.1498077350950921E-3</v>
      </c>
      <c r="E157" s="153">
        <v>219.31960722937754</v>
      </c>
      <c r="F157" s="154">
        <f>IF(VLOOKUP(A157,[5]!CPIndex,2)=0,(F156*EXP(IF(driftswitch=1,D157,$C$4)-1/2*$D$4^2+$D$4*B157)),VLOOKUP(A157,[5]!CPIndex,2))</f>
        <v>219.86869553043235</v>
      </c>
      <c r="G157" s="162">
        <f t="shared" si="5"/>
        <v>2.1513542583555516E-3</v>
      </c>
      <c r="H157" s="155">
        <f t="shared" si="4"/>
        <v>1.0021513542583556</v>
      </c>
    </row>
    <row r="158" spans="1:8" x14ac:dyDescent="0.2">
      <c r="A158" s="152">
        <v>39873</v>
      </c>
      <c r="B158" s="171">
        <v>-7.8045154148372861E-2</v>
      </c>
      <c r="C158" s="153">
        <v>2.1471006571688743E-3</v>
      </c>
      <c r="D158" s="154">
        <f>IF(VLOOKUP(A158,[5]!CPIndex,2)=0,VLOOKUP(A158,[5]!CPIndex,6),0)</f>
        <v>2.1471006571688743E-3</v>
      </c>
      <c r="E158" s="153">
        <v>219.79084640857727</v>
      </c>
      <c r="F158" s="154">
        <f>IF(VLOOKUP(A158,[5]!CPIndex,2)=0,(F157*EXP(IF(driftswitch=1,D158,$C$4)-1/2*$D$4^2+$D$4*B158)),VLOOKUP(A158,[5]!CPIndex,2))</f>
        <v>220.31985394184011</v>
      </c>
      <c r="G158" s="162">
        <f t="shared" si="5"/>
        <v>2.1486413602176371E-3</v>
      </c>
      <c r="H158" s="155">
        <f t="shared" si="4"/>
        <v>1.0021486413602176</v>
      </c>
    </row>
    <row r="159" spans="1:8" x14ac:dyDescent="0.2">
      <c r="A159" s="152">
        <v>39904</v>
      </c>
      <c r="B159" s="171">
        <v>-5.6188809277406319E-2</v>
      </c>
      <c r="C159" s="153">
        <v>2.1443934913004861E-3</v>
      </c>
      <c r="D159" s="154">
        <f>IF(VLOOKUP(A159,[5]!CPIndex,2)=0,VLOOKUP(A159,[5]!CPIndex,6),0)</f>
        <v>2.1443934913004861E-3</v>
      </c>
      <c r="E159" s="153">
        <v>220.26250182383384</v>
      </c>
      <c r="F159" s="154">
        <f>IF(VLOOKUP(A159,[5]!CPIndex,2)=0,(F158*EXP(IF(driftswitch=1,D159,$C$4)-1/2*$D$4^2+$D$4*B159)),VLOOKUP(A159,[5]!CPIndex,2))</f>
        <v>220.77730639939844</v>
      </c>
      <c r="G159" s="162">
        <f t="shared" si="5"/>
        <v>2.1459283812930051E-3</v>
      </c>
      <c r="H159" s="155">
        <f t="shared" si="4"/>
        <v>1.002145928381293</v>
      </c>
    </row>
    <row r="160" spans="1:8" x14ac:dyDescent="0.2">
      <c r="A160" s="152">
        <v>39934</v>
      </c>
      <c r="B160" s="171">
        <v>4.3826518512822842E-2</v>
      </c>
      <c r="C160" s="153">
        <v>2.1416862374843589E-3</v>
      </c>
      <c r="D160" s="154">
        <f>IF(VLOOKUP(A160,[5]!CPIndex,2)=0,VLOOKUP(A160,[5]!CPIndex,6),0)</f>
        <v>2.1416862374843589E-3</v>
      </c>
      <c r="E160" s="153">
        <v>220.73457179251147</v>
      </c>
      <c r="F160" s="154">
        <f>IF(VLOOKUP(A160,[5]!CPIndex,2)=0,(F159*EXP(IF(driftswitch=1,D160,$C$4)-1/2*$D$4^2+$D$4*B160)),VLOOKUP(A160,[5]!CPIndex,2))</f>
        <v>221.26246882111241</v>
      </c>
      <c r="G160" s="162">
        <f t="shared" si="5"/>
        <v>2.1432153215765796E-3</v>
      </c>
      <c r="H160" s="155">
        <f t="shared" si="4"/>
        <v>1.0021432153215766</v>
      </c>
    </row>
    <row r="161" spans="1:8" x14ac:dyDescent="0.2">
      <c r="A161" s="152">
        <v>39965</v>
      </c>
      <c r="B161" s="171">
        <v>2.4604807867479012E-2</v>
      </c>
      <c r="C161" s="153">
        <v>2.1389788957149234E-3</v>
      </c>
      <c r="D161" s="154">
        <f>IF(VLOOKUP(A161,[5]!CPIndex,2)=0,VLOOKUP(A161,[5]!CPIndex,6),0)</f>
        <v>2.1389788957149234E-3</v>
      </c>
      <c r="E161" s="153">
        <v>221.20705462486944</v>
      </c>
      <c r="F161" s="154">
        <f>IF(VLOOKUP(A161,[5]!CPIndex,2)=0,(F160*EXP(IF(driftswitch=1,D161,$C$4)-1/2*$D$4^2+$D$4*B161)),VLOOKUP(A161,[5]!CPIndex,2))</f>
        <v>221.74282716492456</v>
      </c>
      <c r="G161" s="162">
        <f t="shared" si="5"/>
        <v>2.1405021810634098E-3</v>
      </c>
      <c r="H161" s="155">
        <f t="shared" si="4"/>
        <v>1.0021405021810634</v>
      </c>
    </row>
    <row r="162" spans="1:8" x14ac:dyDescent="0.2">
      <c r="A162" s="152">
        <v>39995</v>
      </c>
      <c r="B162" s="171">
        <v>-3.4094132802124796E-2</v>
      </c>
      <c r="C162" s="153">
        <v>2.1362714659859464E-3</v>
      </c>
      <c r="D162" s="154">
        <f>IF(VLOOKUP(A162,[5]!CPIndex,2)=0,VLOOKUP(A162,[5]!CPIndex,6),0)</f>
        <v>2.1362714659859464E-3</v>
      </c>
      <c r="E162" s="153">
        <v>221.67994862406491</v>
      </c>
      <c r="F162" s="154">
        <f>IF(VLOOKUP(A162,[5]!CPIndex,2)=0,(F161*EXP(IF(driftswitch=1,D162,$C$4)-1/2*$D$4^2+$D$4*B162)),VLOOKUP(A162,[5]!CPIndex,2))</f>
        <v>222.20749950695421</v>
      </c>
      <c r="G162" s="162">
        <f t="shared" si="5"/>
        <v>2.1377889597482018E-3</v>
      </c>
      <c r="H162" s="155">
        <f t="shared" si="4"/>
        <v>1.0021377889597483</v>
      </c>
    </row>
    <row r="163" spans="1:8" x14ac:dyDescent="0.2">
      <c r="A163" s="152">
        <v>40026</v>
      </c>
      <c r="B163" s="171">
        <v>1.1171690847476969E-2</v>
      </c>
      <c r="C163" s="153">
        <v>2.1335639482920801E-3</v>
      </c>
      <c r="D163" s="154">
        <f>IF(VLOOKUP(A163,[5]!CPIndex,2)=0,VLOOKUP(A163,[5]!CPIndex,6),0)</f>
        <v>2.1335639482920801E-3</v>
      </c>
      <c r="E163" s="153">
        <v>222.1532520861559</v>
      </c>
      <c r="F163" s="154">
        <f>IF(VLOOKUP(A163,[5]!CPIndex,2)=0,(F162*EXP(IF(driftswitch=1,D163,$C$4)-1/2*$D$4^2+$D$4*B163)),VLOOKUP(A163,[5]!CPIndex,2))</f>
        <v>222.68500515128866</v>
      </c>
      <c r="G163" s="162">
        <f t="shared" si="5"/>
        <v>2.1350756576258775E-3</v>
      </c>
      <c r="H163" s="155">
        <f t="shared" si="4"/>
        <v>1.0021350756576259</v>
      </c>
    </row>
    <row r="164" spans="1:8" x14ac:dyDescent="0.2">
      <c r="A164" s="152">
        <v>40057</v>
      </c>
      <c r="B164" s="171">
        <v>1.141531068136842E-2</v>
      </c>
      <c r="C164" s="153">
        <v>2.1308563426275335E-3</v>
      </c>
      <c r="D164" s="154">
        <f>IF(VLOOKUP(A164,[5]!CPIndex,2)=0,VLOOKUP(A164,[5]!CPIndex,6),0)</f>
        <v>2.1308563426275335E-3</v>
      </c>
      <c r="E164" s="153">
        <v>222.62696330010453</v>
      </c>
      <c r="F164" s="154">
        <f>IF(VLOOKUP(A164,[5]!CPIndex,2)=0,(F163*EXP(IF(driftswitch=1,D164,$C$4)-1/2*$D$4^2+$D$4*B164)),VLOOKUP(A164,[5]!CPIndex,2))</f>
        <v>223.16299989647254</v>
      </c>
      <c r="G164" s="162">
        <f t="shared" si="5"/>
        <v>2.1323622746918743E-3</v>
      </c>
      <c r="H164" s="155">
        <f t="shared" si="4"/>
        <v>1.0021323622746918</v>
      </c>
    </row>
    <row r="165" spans="1:8" x14ac:dyDescent="0.2">
      <c r="A165" s="152">
        <v>40087</v>
      </c>
      <c r="B165" s="171">
        <v>-3.5426641915420373E-2</v>
      </c>
      <c r="C165" s="153">
        <v>2.1281486489865163E-3</v>
      </c>
      <c r="D165" s="154">
        <f>IF(VLOOKUP(A165,[5]!CPIndex,2)=0,VLOOKUP(A165,[5]!CPIndex,6),0)</f>
        <v>2.1281486489865163E-3</v>
      </c>
      <c r="E165" s="153">
        <v>223.10108054777996</v>
      </c>
      <c r="F165" s="154">
        <f>IF(VLOOKUP(A165,[5]!CPIndex,2)=0,(F164*EXP(IF(driftswitch=1,D165,$C$4)-1/2*$D$4^2+$D$4*B165)),VLOOKUP(A165,[5]!CPIndex,2))</f>
        <v>223.62846334531989</v>
      </c>
      <c r="G165" s="162">
        <f t="shared" si="5"/>
        <v>2.1296488109407742E-3</v>
      </c>
      <c r="H165" s="155">
        <f t="shared" si="4"/>
        <v>1.0021296488109408</v>
      </c>
    </row>
    <row r="166" spans="1:8" x14ac:dyDescent="0.2">
      <c r="A166" s="152">
        <v>40118</v>
      </c>
      <c r="B166" s="171">
        <v>7.5899816218253256E-3</v>
      </c>
      <c r="C166" s="153">
        <v>2.1254408673634581E-3</v>
      </c>
      <c r="D166" s="154">
        <f>IF(VLOOKUP(A166,[5]!CPIndex,2)=0,VLOOKUP(A166,[5]!CPIndex,6),0)</f>
        <v>2.1254408673634581E-3</v>
      </c>
      <c r="E166" s="153">
        <v>223.57560210396173</v>
      </c>
      <c r="F166" s="154">
        <f>IF(VLOOKUP(A166,[5]!CPIndex,2)=0,(F165*EXP(IF(driftswitch=1,D166,$C$4)-1/2*$D$4^2+$D$4*B166)),VLOOKUP(A166,[5]!CPIndex,2))</f>
        <v>224.10620964691822</v>
      </c>
      <c r="G166" s="162">
        <f t="shared" si="5"/>
        <v>2.1269352663675031E-3</v>
      </c>
      <c r="H166" s="155">
        <f t="shared" si="4"/>
        <v>1.0021269352663675</v>
      </c>
    </row>
    <row r="167" spans="1:8" x14ac:dyDescent="0.2">
      <c r="A167" s="152">
        <v>40148</v>
      </c>
      <c r="B167" s="171">
        <v>-1.0350411688764728E-2</v>
      </c>
      <c r="C167" s="153">
        <v>2.1227329977525685E-3</v>
      </c>
      <c r="D167" s="154">
        <f>IF(VLOOKUP(A167,[5]!CPIndex,2)=0,VLOOKUP(A167,[5]!CPIndex,6),0)</f>
        <v>2.1227329977525685E-3</v>
      </c>
      <c r="E167" s="153">
        <v>224.05052623634327</v>
      </c>
      <c r="F167" s="154">
        <f>IF(VLOOKUP(A167,[5]!CPIndex,2)=0,(F166*EXP(IF(driftswitch=1,D167,$C$4)-1/2*$D$4^2+$D$4*B167)),VLOOKUP(A167,[5]!CPIndex,2))</f>
        <v>224.57938692232929</v>
      </c>
      <c r="G167" s="162">
        <f t="shared" si="5"/>
        <v>2.1242216409673702E-3</v>
      </c>
      <c r="H167" s="155">
        <f t="shared" si="4"/>
        <v>1.0021242216409674</v>
      </c>
    </row>
    <row r="168" spans="1:8" x14ac:dyDescent="0.2">
      <c r="A168" s="152">
        <v>40179</v>
      </c>
      <c r="B168" s="171">
        <v>6.214711634933235E-2</v>
      </c>
      <c r="C168" s="153">
        <v>2.1200250401480565E-3</v>
      </c>
      <c r="D168" s="154">
        <f>IF(VLOOKUP(A168,[5]!CPIndex,2)=0,VLOOKUP(A168,[5]!CPIndex,6),0)</f>
        <v>2.1200250401480565E-3</v>
      </c>
      <c r="E168" s="153">
        <v>224.52585120553522</v>
      </c>
      <c r="F168" s="154">
        <f>IF(VLOOKUP(A168,[5]!CPIndex,2)=0,(F167*EXP(IF(driftswitch=1,D168,$C$4)-1/2*$D$4^2+$D$4*B168)),VLOOKUP(A168,[5]!CPIndex,2))</f>
        <v>225.0731273436254</v>
      </c>
      <c r="G168" s="162">
        <f t="shared" si="5"/>
        <v>2.1215079347349573E-3</v>
      </c>
      <c r="H168" s="155">
        <f t="shared" si="4"/>
        <v>1.002121507934735</v>
      </c>
    </row>
    <row r="169" spans="1:8" x14ac:dyDescent="0.2">
      <c r="A169" s="152">
        <v>40210</v>
      </c>
      <c r="B169" s="171">
        <v>-5.0478552875791741E-2</v>
      </c>
      <c r="C169" s="153">
        <v>2.117316994544352E-3</v>
      </c>
      <c r="D169" s="154">
        <f>IF(VLOOKUP(A169,[5]!CPIndex,2)=0,VLOOKUP(A169,[5]!CPIndex,6),0)</f>
        <v>2.117316994544352E-3</v>
      </c>
      <c r="E169" s="153">
        <v>225.00157526506916</v>
      </c>
      <c r="F169" s="154">
        <f>IF(VLOOKUP(A169,[5]!CPIndex,2)=0,(F168*EXP(IF(driftswitch=1,D169,$C$4)-1/2*$D$4^2+$D$4*B169)),VLOOKUP(A169,[5]!CPIndex,2))</f>
        <v>225.53593460758549</v>
      </c>
      <c r="G169" s="162">
        <f t="shared" si="5"/>
        <v>2.1187941476656894E-3</v>
      </c>
      <c r="H169" s="155">
        <f t="shared" si="4"/>
        <v>1.0021187941476657</v>
      </c>
    </row>
    <row r="170" spans="1:8" x14ac:dyDescent="0.2">
      <c r="A170" s="152">
        <v>40238</v>
      </c>
      <c r="B170" s="171">
        <v>-6.8577031494990073E-2</v>
      </c>
      <c r="C170" s="153">
        <v>2.1146088609356639E-3</v>
      </c>
      <c r="D170" s="154">
        <f>IF(VLOOKUP(A170,[5]!CPIndex,2)=0,VLOOKUP(A170,[5]!CPIndex,6),0)</f>
        <v>2.1146088609356639E-3</v>
      </c>
      <c r="E170" s="153">
        <v>225.47769666140121</v>
      </c>
      <c r="F170" s="154">
        <f>IF(VLOOKUP(A170,[5]!CPIndex,2)=0,(F169*EXP(IF(driftswitch=1,D170,$C$4)-1/2*$D$4^2+$D$4*B170)),VLOOKUP(A170,[5]!CPIndex,2))</f>
        <v>225.99402442401535</v>
      </c>
      <c r="G170" s="162">
        <f t="shared" si="5"/>
        <v>2.1160802797542174E-3</v>
      </c>
      <c r="H170" s="155">
        <f t="shared" si="4"/>
        <v>1.0021160802797542</v>
      </c>
    </row>
    <row r="171" spans="1:8" x14ac:dyDescent="0.2">
      <c r="A171" s="152">
        <v>40269</v>
      </c>
      <c r="B171" s="171">
        <v>3.6847045299722249E-2</v>
      </c>
      <c r="C171" s="153">
        <v>2.111900639316201E-3</v>
      </c>
      <c r="D171" s="154">
        <f>IF(VLOOKUP(A171,[5]!CPIndex,2)=0,VLOOKUP(A171,[5]!CPIndex,6),0)</f>
        <v>2.111900639316201E-3</v>
      </c>
      <c r="E171" s="153">
        <v>225.9542136339158</v>
      </c>
      <c r="F171" s="154">
        <f>IF(VLOOKUP(A171,[5]!CPIndex,2)=0,(F170*EXP(IF(driftswitch=1,D171,$C$4)-1/2*$D$4^2+$D$4*B171)),VLOOKUP(A171,[5]!CPIndex,2))</f>
        <v>226.48195023105575</v>
      </c>
      <c r="G171" s="162">
        <f t="shared" si="5"/>
        <v>2.1133663309953507E-3</v>
      </c>
      <c r="H171" s="155">
        <f t="shared" si="4"/>
        <v>1.0021133663309953</v>
      </c>
    </row>
    <row r="172" spans="1:8" x14ac:dyDescent="0.2">
      <c r="A172" s="152">
        <v>40299</v>
      </c>
      <c r="B172" s="171">
        <v>-1.3638030974557475E-2</v>
      </c>
      <c r="C172" s="153">
        <v>2.109192329680393E-3</v>
      </c>
      <c r="D172" s="154">
        <f>IF(VLOOKUP(A172,[5]!CPIndex,2)=0,VLOOKUP(A172,[5]!CPIndex,6),0)</f>
        <v>2.109192329680393E-3</v>
      </c>
      <c r="E172" s="153">
        <v>226.43112441492971</v>
      </c>
      <c r="F172" s="154">
        <f>IF(VLOOKUP(A172,[5]!CPIndex,2)=0,(F171*EXP(IF(driftswitch=1,D172,$C$4)-1/2*$D$4^2+$D$4*B172)),VLOOKUP(A172,[5]!CPIndex,2))</f>
        <v>226.95614794199636</v>
      </c>
      <c r="G172" s="162">
        <f t="shared" si="5"/>
        <v>2.1106523013843404E-3</v>
      </c>
      <c r="H172" s="155">
        <f t="shared" si="4"/>
        <v>1.0021106523013843</v>
      </c>
    </row>
    <row r="173" spans="1:8" x14ac:dyDescent="0.2">
      <c r="A173" s="152">
        <v>40330</v>
      </c>
      <c r="B173" s="171">
        <v>-4.1563135378840828E-2</v>
      </c>
      <c r="C173" s="153">
        <v>2.1064839320224485E-3</v>
      </c>
      <c r="D173" s="154">
        <f>IF(VLOOKUP(A173,[5]!CPIndex,2)=0,VLOOKUP(A173,[5]!CPIndex,6),0)</f>
        <v>2.1064839320224485E-3</v>
      </c>
      <c r="E173" s="153">
        <v>226.90842722969597</v>
      </c>
      <c r="F173" s="154">
        <f>IF(VLOOKUP(A173,[5]!CPIndex,2)=0,(F172*EXP(IF(driftswitch=1,D173,$C$4)-1/2*$D$4^2+$D$4*B173)),VLOOKUP(A173,[5]!CPIndex,2))</f>
        <v>227.42287034595734</v>
      </c>
      <c r="G173" s="162">
        <f t="shared" si="5"/>
        <v>2.1079381909159065E-3</v>
      </c>
      <c r="H173" s="155">
        <f t="shared" si="4"/>
        <v>1.0021079381909159</v>
      </c>
    </row>
    <row r="174" spans="1:8" x14ac:dyDescent="0.2">
      <c r="A174" s="152">
        <v>40360</v>
      </c>
      <c r="B174" s="171">
        <v>-1.3694138265337229E-2</v>
      </c>
      <c r="C174" s="153">
        <v>2.1037754463365762E-3</v>
      </c>
      <c r="D174" s="154">
        <f>IF(VLOOKUP(A174,[5]!CPIndex,2)=0,VLOOKUP(A174,[5]!CPIndex,6),0)</f>
        <v>2.1037754463365762E-3</v>
      </c>
      <c r="E174" s="153">
        <v>227.38612029640811</v>
      </c>
      <c r="F174" s="154">
        <f>IF(VLOOKUP(A174,[5]!CPIndex,2)=0,(F173*EXP(IF(driftswitch=1,D174,$C$4)-1/2*$D$4^2+$D$4*B174)),VLOOKUP(A174,[5]!CPIndex,2))</f>
        <v>227.89778780457743</v>
      </c>
      <c r="G174" s="162">
        <f t="shared" si="5"/>
        <v>2.1052239995854069E-3</v>
      </c>
      <c r="H174" s="155">
        <f t="shared" si="4"/>
        <v>1.0021052239995853</v>
      </c>
    </row>
    <row r="175" spans="1:8" x14ac:dyDescent="0.2">
      <c r="A175" s="152">
        <v>40391</v>
      </c>
      <c r="B175" s="171">
        <v>-1.688698192800071E-2</v>
      </c>
      <c r="C175" s="153">
        <v>2.1010668726169843E-3</v>
      </c>
      <c r="D175" s="154">
        <f>IF(VLOOKUP(A175,[5]!CPIndex,2)=0,VLOOKUP(A175,[5]!CPIndex,6),0)</f>
        <v>2.1010668726169843E-3</v>
      </c>
      <c r="E175" s="153">
        <v>227.86420182620415</v>
      </c>
      <c r="F175" s="154">
        <f>IF(VLOOKUP(A175,[5]!CPIndex,2)=0,(F174*EXP(IF(driftswitch=1,D175,$C$4)-1/2*$D$4^2+$D$4*B175)),VLOOKUP(A175,[5]!CPIndex,2))</f>
        <v>228.37217692575132</v>
      </c>
      <c r="G175" s="162">
        <f t="shared" si="5"/>
        <v>2.1025097273872392E-3</v>
      </c>
      <c r="H175" s="155">
        <f t="shared" si="4"/>
        <v>1.0021025097273872</v>
      </c>
    </row>
    <row r="176" spans="1:8" x14ac:dyDescent="0.2">
      <c r="A176" s="152">
        <v>40422</v>
      </c>
      <c r="B176" s="171">
        <v>2.3444871865269713E-2</v>
      </c>
      <c r="C176" s="153">
        <v>2.0983582108581021E-3</v>
      </c>
      <c r="D176" s="154">
        <f>IF(VLOOKUP(A176,[5]!CPIndex,2)=0,VLOOKUP(A176,[5]!CPIndex,6),0)</f>
        <v>2.0983582108581021E-3</v>
      </c>
      <c r="E176" s="153">
        <v>228.34267002317122</v>
      </c>
      <c r="F176" s="154">
        <f>IF(VLOOKUP(A176,[5]!CPIndex,2)=0,(F175*EXP(IF(driftswitch=1,D176,$C$4)-1/2*$D$4^2+$D$4*B176)),VLOOKUP(A176,[5]!CPIndex,2))</f>
        <v>228.85834556878413</v>
      </c>
      <c r="G176" s="162">
        <f t="shared" si="5"/>
        <v>2.0997953743168798E-3</v>
      </c>
      <c r="H176" s="155">
        <f t="shared" si="4"/>
        <v>1.0020997953743169</v>
      </c>
    </row>
    <row r="177" spans="1:8" x14ac:dyDescent="0.2">
      <c r="A177" s="152">
        <v>40452</v>
      </c>
      <c r="B177" s="171">
        <v>-2.88987879923783E-2</v>
      </c>
      <c r="C177" s="153">
        <v>2.0956494610543598E-3</v>
      </c>
      <c r="D177" s="154">
        <f>IF(VLOOKUP(A177,[5]!CPIndex,2)=0,VLOOKUP(A177,[5]!CPIndex,6),0)</f>
        <v>2.0956494610543598E-3</v>
      </c>
      <c r="E177" s="153">
        <v>228.82152308434979</v>
      </c>
      <c r="F177" s="154">
        <f>IF(VLOOKUP(A177,[5]!CPIndex,2)=0,(F176*EXP(IF(driftswitch=1,D177,$C$4)-1/2*$D$4^2+$D$4*B177)),VLOOKUP(A177,[5]!CPIndex,2))</f>
        <v>229.33008591760105</v>
      </c>
      <c r="G177" s="162">
        <f t="shared" si="5"/>
        <v>2.0970809403690381E-3</v>
      </c>
      <c r="H177" s="155">
        <f t="shared" si="4"/>
        <v>1.0020970809403691</v>
      </c>
    </row>
    <row r="178" spans="1:8" x14ac:dyDescent="0.2">
      <c r="A178" s="152">
        <v>40483</v>
      </c>
      <c r="B178" s="171">
        <v>5.7819918589708252E-3</v>
      </c>
      <c r="C178" s="153">
        <v>2.0929406231997441E-3</v>
      </c>
      <c r="D178" s="154">
        <f>IF(VLOOKUP(A178,[5]!CPIndex,2)=0,VLOOKUP(A178,[5]!CPIndex,6),0)</f>
        <v>2.0929406231997441E-3</v>
      </c>
      <c r="E178" s="153">
        <v>229.30075919973831</v>
      </c>
      <c r="F178" s="154">
        <f>IF(VLOOKUP(A178,[5]!CPIndex,2)=0,(F177*EXP(IF(driftswitch=1,D178,$C$4)-1/2*$D$4^2+$D$4*B178)),VLOOKUP(A178,[5]!CPIndex,2))</f>
        <v>229.81203001872089</v>
      </c>
      <c r="G178" s="162">
        <f t="shared" si="5"/>
        <v>2.0943664255388132E-3</v>
      </c>
      <c r="H178" s="155">
        <f t="shared" si="4"/>
        <v>1.0020943664255388</v>
      </c>
    </row>
    <row r="179" spans="1:8" x14ac:dyDescent="0.2">
      <c r="A179" s="152">
        <v>40513</v>
      </c>
      <c r="B179" s="171">
        <v>2.681925428364661E-2</v>
      </c>
      <c r="C179" s="153">
        <v>2.0902316972886839E-3</v>
      </c>
      <c r="D179" s="154">
        <f>IF(VLOOKUP(A179,[5]!CPIndex,2)=0,VLOOKUP(A179,[5]!CPIndex,6),0)</f>
        <v>2.0902316972886839E-3</v>
      </c>
      <c r="E179" s="153">
        <v>229.78037655229787</v>
      </c>
      <c r="F179" s="154">
        <f>IF(VLOOKUP(A179,[5]!CPIndex,2)=0,(F178*EXP(IF(driftswitch=1,D179,$C$4)-1/2*$D$4^2+$D$4*B179)),VLOOKUP(A179,[5]!CPIndex,2))</f>
        <v>230.30035316539144</v>
      </c>
      <c r="G179" s="162">
        <f t="shared" si="5"/>
        <v>2.0916518298213513E-3</v>
      </c>
      <c r="H179" s="155">
        <f t="shared" si="4"/>
        <v>1.0020916518298213</v>
      </c>
    </row>
    <row r="180" spans="1:8" x14ac:dyDescent="0.2">
      <c r="A180" s="152">
        <v>40544</v>
      </c>
      <c r="B180" s="171">
        <v>5.2900550332803352E-3</v>
      </c>
      <c r="C180" s="153">
        <v>2.08887720131008E-3</v>
      </c>
      <c r="D180" s="154">
        <f>IF(VLOOKUP(A180,[5]!CPIndex,2)=0,VLOOKUP(A180,[5]!CPIndex,6),0)</f>
        <v>2.08887720131008E-3</v>
      </c>
      <c r="E180" s="153">
        <v>230.26068520998712</v>
      </c>
      <c r="F180" s="154">
        <f>IF(VLOOKUP(A180,[5]!CPIndex,2)=0,(F179*EXP(IF(driftswitch=1,D180,$C$4)-1/2*$D$4^2+$D$4*B180)),VLOOKUP(A180,[5]!CPIndex,2))</f>
        <v>230.7832581722615</v>
      </c>
      <c r="G180" s="162">
        <f t="shared" si="5"/>
        <v>2.0902945016278698E-3</v>
      </c>
      <c r="H180" s="155">
        <f t="shared" si="4"/>
        <v>1.0020902945016279</v>
      </c>
    </row>
    <row r="181" spans="1:8" x14ac:dyDescent="0.2">
      <c r="A181" s="152">
        <v>40575</v>
      </c>
      <c r="B181" s="171">
        <v>-1.7020053254246385E-2</v>
      </c>
      <c r="C181" s="153">
        <v>2.0875226833151654E-3</v>
      </c>
      <c r="D181" s="154">
        <f>IF(VLOOKUP(A181,[5]!CPIndex,2)=0,VLOOKUP(A181,[5]!CPIndex,6),0)</f>
        <v>2.0875226833151654E-3</v>
      </c>
      <c r="E181" s="153">
        <v>230.741685310246</v>
      </c>
      <c r="F181" s="154">
        <f>IF(VLOOKUP(A181,[5]!CPIndex,2)=0,(F180*EXP(IF(driftswitch=1,D181,$C$4)-1/2*$D$4^2+$D$4*B181)),VLOOKUP(A181,[5]!CPIndex,2))</f>
        <v>231.26048334543844</v>
      </c>
      <c r="G181" s="162">
        <f t="shared" si="5"/>
        <v>2.0889371532106407E-3</v>
      </c>
      <c r="H181" s="155">
        <f t="shared" si="4"/>
        <v>1.0020889371532107</v>
      </c>
    </row>
    <row r="182" spans="1:8" x14ac:dyDescent="0.2">
      <c r="A182" s="152">
        <v>40603</v>
      </c>
      <c r="B182" s="171">
        <v>-7.5120223520135131E-3</v>
      </c>
      <c r="C182" s="153">
        <v>2.0861681433034102E-3</v>
      </c>
      <c r="D182" s="154">
        <f>IF(VLOOKUP(A182,[5]!CPIndex,2)=0,VLOOKUP(A182,[5]!CPIndex,6),0)</f>
        <v>2.0861681433034102E-3</v>
      </c>
      <c r="E182" s="153">
        <v>231.2233769879571</v>
      </c>
      <c r="F182" s="154">
        <f>IF(VLOOKUP(A182,[5]!CPIndex,2)=0,(F181*EXP(IF(driftswitch=1,D182,$C$4)-1/2*$D$4^2+$D$4*B182)),VLOOKUP(A182,[5]!CPIndex,2))</f>
        <v>231.74110568923442</v>
      </c>
      <c r="G182" s="162">
        <f t="shared" si="5"/>
        <v>2.0875797845692004E-3</v>
      </c>
      <c r="H182" s="155">
        <f t="shared" si="4"/>
        <v>1.0020875797845692</v>
      </c>
    </row>
    <row r="183" spans="1:8" x14ac:dyDescent="0.2">
      <c r="A183" s="152">
        <v>40634</v>
      </c>
      <c r="B183" s="171">
        <v>1.5978982726273905E-2</v>
      </c>
      <c r="C183" s="153">
        <v>2.0848135812740619E-3</v>
      </c>
      <c r="D183" s="154">
        <f>IF(VLOOKUP(A183,[5]!CPIndex,2)=0,VLOOKUP(A183,[5]!CPIndex,6),0)</f>
        <v>2.0848135812740619E-3</v>
      </c>
      <c r="E183" s="153">
        <v>231.70576037543944</v>
      </c>
      <c r="F183" s="154">
        <f>IF(VLOOKUP(A183,[5]!CPIndex,2)=0,(F182*EXP(IF(driftswitch=1,D183,$C$4)-1/2*$D$4^2+$D$4*B183)),VLOOKUP(A183,[5]!CPIndex,2))</f>
        <v>232.22915709338065</v>
      </c>
      <c r="G183" s="162">
        <f t="shared" si="5"/>
        <v>2.0862223957029556E-3</v>
      </c>
      <c r="H183" s="155">
        <f t="shared" si="4"/>
        <v>1.002086222395703</v>
      </c>
    </row>
    <row r="184" spans="1:8" x14ac:dyDescent="0.2">
      <c r="A184" s="152">
        <v>40664</v>
      </c>
      <c r="B184" s="171">
        <v>2.284070971943818E-2</v>
      </c>
      <c r="C184" s="153">
        <v>2.0834589972261479E-3</v>
      </c>
      <c r="D184" s="154">
        <f>IF(VLOOKUP(A184,[5]!CPIndex,2)=0,VLOOKUP(A184,[5]!CPIndex,6),0)</f>
        <v>2.0834589972261479E-3</v>
      </c>
      <c r="E184" s="153">
        <v>232.18883560244223</v>
      </c>
      <c r="F184" s="154">
        <f>IF(VLOOKUP(A184,[5]!CPIndex,2)=0,(F183*EXP(IF(driftswitch=1,D184,$C$4)-1/2*$D$4^2+$D$4*B184)),VLOOKUP(A184,[5]!CPIndex,2))</f>
        <v>232.71989543536071</v>
      </c>
      <c r="G184" s="162">
        <f t="shared" si="5"/>
        <v>2.0848649866108001E-3</v>
      </c>
      <c r="H184" s="155">
        <f t="shared" si="4"/>
        <v>1.0020848649866108</v>
      </c>
    </row>
    <row r="185" spans="1:8" x14ac:dyDescent="0.2">
      <c r="A185" s="152">
        <v>40695</v>
      </c>
      <c r="B185" s="171">
        <v>-1.307596073186335E-2</v>
      </c>
      <c r="C185" s="153">
        <v>2.0821043911591376E-3</v>
      </c>
      <c r="D185" s="154">
        <f>IF(VLOOKUP(A185,[5]!CPIndex,2)=0,VLOOKUP(A185,[5]!CPIndex,6),0)</f>
        <v>2.0821043911591376E-3</v>
      </c>
      <c r="E185" s="153">
        <v>232.67260279613885</v>
      </c>
      <c r="F185" s="154">
        <f>IF(VLOOKUP(A185,[5]!CPIndex,2)=0,(F184*EXP(IF(driftswitch=1,D185,$C$4)-1/2*$D$4^2+$D$4*B185)),VLOOKUP(A185,[5]!CPIndex,2))</f>
        <v>233.20099891934962</v>
      </c>
      <c r="G185" s="162">
        <f t="shared" si="5"/>
        <v>2.0835075572924458E-3</v>
      </c>
      <c r="H185" s="155">
        <f t="shared" si="4"/>
        <v>1.0020835075572925</v>
      </c>
    </row>
    <row r="186" spans="1:8" x14ac:dyDescent="0.2">
      <c r="A186" s="152">
        <v>40725</v>
      </c>
      <c r="B186" s="171">
        <v>1.3553428650307883E-2</v>
      </c>
      <c r="C186" s="153">
        <v>2.080749763072058E-3</v>
      </c>
      <c r="D186" s="154">
        <f>IF(VLOOKUP(A186,[5]!CPIndex,2)=0,VLOOKUP(A186,[5]!CPIndex,6),0)</f>
        <v>2.080749763072058E-3</v>
      </c>
      <c r="E186" s="153">
        <v>233.15706208112061</v>
      </c>
      <c r="F186" s="154">
        <f>IF(VLOOKUP(A186,[5]!CPIndex,2)=0,(F185*EXP(IF(driftswitch=1,D186,$C$4)-1/2*$D$4^2+$D$4*B186)),VLOOKUP(A186,[5]!CPIndex,2))</f>
        <v>233.69047438691601</v>
      </c>
      <c r="G186" s="162">
        <f t="shared" si="5"/>
        <v>2.0821501077470509E-3</v>
      </c>
      <c r="H186" s="155">
        <f t="shared" si="4"/>
        <v>1.002082150107747</v>
      </c>
    </row>
    <row r="187" spans="1:8" x14ac:dyDescent="0.2">
      <c r="A187" s="152">
        <v>40756</v>
      </c>
      <c r="B187" s="171">
        <v>1.897243189478447E-2</v>
      </c>
      <c r="C187" s="153">
        <v>2.0793951129646003E-3</v>
      </c>
      <c r="D187" s="154">
        <f>IF(VLOOKUP(A187,[5]!CPIndex,2)=0,VLOOKUP(A187,[5]!CPIndex,6),0)</f>
        <v>2.0793951129646003E-3</v>
      </c>
      <c r="E187" s="153">
        <v>233.64221357939067</v>
      </c>
      <c r="F187" s="154">
        <f>IF(VLOOKUP(A187,[5]!CPIndex,2)=0,(F186*EXP(IF(driftswitch=1,D187,$C$4)-1/2*$D$4^2+$D$4*B187)),VLOOKUP(A187,[5]!CPIndex,2))</f>
        <v>234.18222901360912</v>
      </c>
      <c r="G187" s="162">
        <f t="shared" si="5"/>
        <v>2.0807926379740591E-3</v>
      </c>
      <c r="H187" s="155">
        <f t="shared" si="4"/>
        <v>1.002080792637974</v>
      </c>
    </row>
    <row r="188" spans="1:8" x14ac:dyDescent="0.2">
      <c r="A188" s="152">
        <v>40787</v>
      </c>
      <c r="B188" s="171">
        <v>2.8604069130150254E-2</v>
      </c>
      <c r="C188" s="153">
        <v>2.0780404408360124E-3</v>
      </c>
      <c r="D188" s="154">
        <f>IF(VLOOKUP(A188,[5]!CPIndex,2)=0,VLOOKUP(A188,[5]!CPIndex,6),0)</f>
        <v>2.0780404408360124E-3</v>
      </c>
      <c r="E188" s="153">
        <v>234.12805741035791</v>
      </c>
      <c r="F188" s="154">
        <f>IF(VLOOKUP(A188,[5]!CPIndex,2)=0,(F187*EXP(IF(driftswitch=1,D188,$C$4)-1/2*$D$4^2+$D$4*B188)),VLOOKUP(A188,[5]!CPIndex,2))</f>
        <v>234.67749515423333</v>
      </c>
      <c r="G188" s="162">
        <f t="shared" si="5"/>
        <v>2.0794351479731768E-3</v>
      </c>
      <c r="H188" s="155">
        <f t="shared" si="4"/>
        <v>1.0020794351479732</v>
      </c>
    </row>
    <row r="189" spans="1:8" x14ac:dyDescent="0.2">
      <c r="A189" s="152">
        <v>40817</v>
      </c>
      <c r="B189" s="171">
        <v>-2.6277597070165522E-2</v>
      </c>
      <c r="C189" s="153">
        <v>2.0766857466853216E-3</v>
      </c>
      <c r="D189" s="154">
        <f>IF(VLOOKUP(A189,[5]!CPIndex,2)=0,VLOOKUP(A189,[5]!CPIndex,6),0)</f>
        <v>2.0766857466853216E-3</v>
      </c>
      <c r="E189" s="153">
        <v>234.61459369083067</v>
      </c>
      <c r="F189" s="154">
        <f>IF(VLOOKUP(A189,[5]!CPIndex,2)=0,(F188*EXP(IF(driftswitch=1,D189,$C$4)-1/2*$D$4^2+$D$4*B189)),VLOOKUP(A189,[5]!CPIndex,2))</f>
        <v>235.15753299010885</v>
      </c>
      <c r="G189" s="162">
        <f t="shared" si="5"/>
        <v>2.0780776377433774E-3</v>
      </c>
      <c r="H189" s="155">
        <f t="shared" si="4"/>
        <v>1.0020780776377434</v>
      </c>
    </row>
    <row r="190" spans="1:8" x14ac:dyDescent="0.2">
      <c r="A190" s="152">
        <v>40848</v>
      </c>
      <c r="B190" s="171">
        <v>-8.4897657796639641E-4</v>
      </c>
      <c r="C190" s="153">
        <v>2.075331030511776E-3</v>
      </c>
      <c r="D190" s="154">
        <f>IF(VLOOKUP(A190,[5]!CPIndex,2)=0,VLOOKUP(A190,[5]!CPIndex,6),0)</f>
        <v>2.075331030511776E-3</v>
      </c>
      <c r="E190" s="153">
        <v>235.10182253501068</v>
      </c>
      <c r="F190" s="154">
        <f>IF(VLOOKUP(A190,[5]!CPIndex,2)=0,(F189*EXP(IF(driftswitch=1,D190,$C$4)-1/2*$D$4^2+$D$4*B190)),VLOOKUP(A190,[5]!CPIndex,2))</f>
        <v>235.64564201859511</v>
      </c>
      <c r="G190" s="162">
        <f t="shared" si="5"/>
        <v>2.076720107283981E-3</v>
      </c>
      <c r="H190" s="155">
        <f t="shared" si="4"/>
        <v>1.002076720107284</v>
      </c>
    </row>
    <row r="191" spans="1:8" x14ac:dyDescent="0.2">
      <c r="A191" s="152">
        <v>40878</v>
      </c>
      <c r="B191" s="171">
        <v>1.1634908206711401E-2</v>
      </c>
      <c r="C191" s="153">
        <v>2.073976292314845E-3</v>
      </c>
      <c r="D191" s="154">
        <f>IF(VLOOKUP(A191,[5]!CPIndex,2)=0,VLOOKUP(A191,[5]!CPIndex,6),0)</f>
        <v>2.073976292314845E-3</v>
      </c>
      <c r="E191" s="153">
        <v>235.589744054487</v>
      </c>
      <c r="F191" s="154">
        <f>IF(VLOOKUP(A191,[5]!CPIndex,2)=0,(F190*EXP(IF(driftswitch=1,D191,$C$4)-1/2*$D$4^2+$D$4*B191)),VLOOKUP(A191,[5]!CPIndex,2))</f>
        <v>236.1380890397142</v>
      </c>
      <c r="G191" s="162">
        <f t="shared" si="5"/>
        <v>2.0753625565946279E-3</v>
      </c>
      <c r="H191" s="155">
        <f t="shared" si="4"/>
        <v>1.0020753625565946</v>
      </c>
    </row>
    <row r="192" spans="1:8" x14ac:dyDescent="0.2">
      <c r="A192" s="152">
        <v>40909</v>
      </c>
      <c r="B192" s="171">
        <v>-5.8194516293644284E-2</v>
      </c>
      <c r="C192" s="153">
        <v>2.0726215320939988E-3</v>
      </c>
      <c r="D192" s="154">
        <f>IF(VLOOKUP(A192,[5]!CPIndex,2)=0,VLOOKUP(A192,[5]!CPIndex,6),0)</f>
        <v>2.0726215320939988E-3</v>
      </c>
      <c r="E192" s="153">
        <v>236.07835835822982</v>
      </c>
      <c r="F192" s="154">
        <f>IF(VLOOKUP(A192,[5]!CPIndex,2)=0,(F191*EXP(IF(driftswitch=1,D192,$C$4)-1/2*$D$4^2+$D$4*B192)),VLOOKUP(A192,[5]!CPIndex,2))</f>
        <v>236.61081563876667</v>
      </c>
      <c r="G192" s="162">
        <f t="shared" si="5"/>
        <v>2.0740049856746521E-3</v>
      </c>
      <c r="H192" s="155">
        <f t="shared" si="4"/>
        <v>1.0020740049856747</v>
      </c>
    </row>
    <row r="193" spans="1:8" x14ac:dyDescent="0.2">
      <c r="A193" s="152">
        <v>40940</v>
      </c>
      <c r="B193" s="171">
        <v>1.2939697742832459E-3</v>
      </c>
      <c r="C193" s="153">
        <v>2.0712667498480426E-3</v>
      </c>
      <c r="D193" s="154">
        <f>IF(VLOOKUP(A193,[5]!CPIndex,2)=0,VLOOKUP(A193,[5]!CPIndex,6),0)</f>
        <v>2.0712667498480426E-3</v>
      </c>
      <c r="E193" s="153">
        <v>236.56766555258432</v>
      </c>
      <c r="F193" s="154">
        <f>IF(VLOOKUP(A193,[5]!CPIndex,2)=0,(F192*EXP(IF(driftswitch=1,D193,$C$4)-1/2*$D$4^2+$D$4*B193)),VLOOKUP(A193,[5]!CPIndex,2))</f>
        <v>237.10160575520257</v>
      </c>
      <c r="G193" s="162">
        <f t="shared" si="5"/>
        <v>2.0726473945231827E-3</v>
      </c>
      <c r="H193" s="155">
        <f t="shared" si="4"/>
        <v>1.0020726473945232</v>
      </c>
    </row>
    <row r="194" spans="1:8" x14ac:dyDescent="0.2">
      <c r="A194" s="152">
        <v>40969</v>
      </c>
      <c r="B194" s="171">
        <v>1.2263547946539053E-2</v>
      </c>
      <c r="C194" s="153">
        <v>2.0699119455766671E-3</v>
      </c>
      <c r="D194" s="154">
        <f>IF(VLOOKUP(A194,[5]!CPIndex,2)=0,VLOOKUP(A194,[5]!CPIndex,6),0)</f>
        <v>2.0699119455766671E-3</v>
      </c>
      <c r="E194" s="153">
        <v>237.05766574126463</v>
      </c>
      <c r="F194" s="154">
        <f>IF(VLOOKUP(A194,[5]!CPIndex,2)=0,(F193*EXP(IF(driftswitch=1,D194,$C$4)-1/2*$D$4^2+$D$4*B194)),VLOOKUP(A194,[5]!CPIndex,2))</f>
        <v>237.59631441160155</v>
      </c>
      <c r="G194" s="162">
        <f t="shared" si="5"/>
        <v>2.0712897831398481E-3</v>
      </c>
      <c r="H194" s="155">
        <f t="shared" si="4"/>
        <v>1.0020712897831399</v>
      </c>
    </row>
    <row r="195" spans="1:8" x14ac:dyDescent="0.2">
      <c r="A195" s="152">
        <v>41000</v>
      </c>
      <c r="B195" s="171">
        <v>-4.235360631741622E-2</v>
      </c>
      <c r="C195" s="153">
        <v>2.0685571192788996E-3</v>
      </c>
      <c r="D195" s="154">
        <f>IF(VLOOKUP(A195,[5]!CPIndex,2)=0,VLOOKUP(A195,[5]!CPIndex,6),0)</f>
        <v>2.0685571192788996E-3</v>
      </c>
      <c r="E195" s="153">
        <v>237.54835902534768</v>
      </c>
      <c r="F195" s="154">
        <f>IF(VLOOKUP(A195,[5]!CPIndex,2)=0,(F194*EXP(IF(driftswitch=1,D195,$C$4)-1/2*$D$4^2+$D$4*B195)),VLOOKUP(A195,[5]!CPIndex,2))</f>
        <v>238.07565540360838</v>
      </c>
      <c r="G195" s="162">
        <f t="shared" si="5"/>
        <v>2.0699321515239054E-3</v>
      </c>
      <c r="H195" s="155">
        <f t="shared" si="4"/>
        <v>1.0020699321515238</v>
      </c>
    </row>
    <row r="196" spans="1:8" x14ac:dyDescent="0.2">
      <c r="A196" s="152">
        <v>41030</v>
      </c>
      <c r="B196" s="171">
        <v>-1.0706545063748267E-2</v>
      </c>
      <c r="C196" s="153">
        <v>2.0672022709539882E-3</v>
      </c>
      <c r="D196" s="154">
        <f>IF(VLOOKUP(A196,[5]!CPIndex,2)=0,VLOOKUP(A196,[5]!CPIndex,6),0)</f>
        <v>2.0672022709539882E-3</v>
      </c>
      <c r="E196" s="153">
        <v>238.03974550326708</v>
      </c>
      <c r="F196" s="154">
        <f>IF(VLOOKUP(A196,[5]!CPIndex,2)=0,(F195*EXP(IF(driftswitch=1,D196,$C$4)-1/2*$D$4^2+$D$4*B196)),VLOOKUP(A196,[5]!CPIndex,2))</f>
        <v>238.56497462623022</v>
      </c>
      <c r="G196" s="162">
        <f t="shared" si="5"/>
        <v>2.0685744996747049E-3</v>
      </c>
      <c r="H196" s="155">
        <f t="shared" si="4"/>
        <v>1.0020685744996747</v>
      </c>
    </row>
    <row r="197" spans="1:8" x14ac:dyDescent="0.2">
      <c r="A197" s="152">
        <v>41061</v>
      </c>
      <c r="B197" s="171">
        <v>7.2592146204048121E-4</v>
      </c>
      <c r="C197" s="153">
        <v>2.0658474006016239E-3</v>
      </c>
      <c r="D197" s="154">
        <f>IF(VLOOKUP(A197,[5]!CPIndex,2)=0,VLOOKUP(A197,[5]!CPIndex,6),0)</f>
        <v>2.0658474006016239E-3</v>
      </c>
      <c r="E197" s="153">
        <v>238.53182527080708</v>
      </c>
      <c r="F197" s="154">
        <f>IF(VLOOKUP(A197,[5]!CPIndex,2)=0,(F196*EXP(IF(driftswitch=1,D197,$C$4)-1/2*$D$4^2+$D$4*B197)),VLOOKUP(A197,[5]!CPIndex,2))</f>
        <v>239.05835471566311</v>
      </c>
      <c r="G197" s="162">
        <f t="shared" si="5"/>
        <v>2.0672168275916647E-3</v>
      </c>
      <c r="H197" s="155">
        <f t="shared" si="4"/>
        <v>1.0020672168275917</v>
      </c>
    </row>
    <row r="198" spans="1:8" x14ac:dyDescent="0.2">
      <c r="A198" s="152">
        <v>41091</v>
      </c>
      <c r="B198" s="171">
        <v>1.9166950752802395E-2</v>
      </c>
      <c r="C198" s="153">
        <v>2.0644925082206121E-3</v>
      </c>
      <c r="D198" s="154">
        <f>IF(VLOOKUP(A198,[5]!CPIndex,2)=0,VLOOKUP(A198,[5]!CPIndex,6),0)</f>
        <v>2.0644925082206121E-3</v>
      </c>
      <c r="E198" s="153">
        <v>239.02459842109641</v>
      </c>
      <c r="F198" s="154">
        <f>IF(VLOOKUP(A198,[5]!CPIndex,2)=0,(F197*EXP(IF(driftswitch=1,D198,$C$4)-1/2*$D$4^2+$D$4*B198)),VLOOKUP(A198,[5]!CPIndex,2))</f>
        <v>239.55789251890036</v>
      </c>
      <c r="G198" s="162">
        <f t="shared" si="5"/>
        <v>2.0658591352742499E-3</v>
      </c>
      <c r="H198" s="155">
        <f t="shared" si="4"/>
        <v>1.0020658591352742</v>
      </c>
    </row>
    <row r="199" spans="1:8" x14ac:dyDescent="0.2">
      <c r="A199" s="152">
        <v>41122</v>
      </c>
      <c r="B199" s="171">
        <v>5.5695005644322983E-2</v>
      </c>
      <c r="C199" s="153">
        <v>2.0631375938106439E-3</v>
      </c>
      <c r="D199" s="154">
        <f>IF(VLOOKUP(A199,[5]!CPIndex,2)=0,VLOOKUP(A199,[5]!CPIndex,6),0)</f>
        <v>2.0631375938106439E-3</v>
      </c>
      <c r="E199" s="153">
        <v>239.51806504460222</v>
      </c>
      <c r="F199" s="154">
        <f>IF(VLOOKUP(A199,[5]!CPIndex,2)=0,(F198*EXP(IF(driftswitch=1,D199,$C$4)-1/2*$D$4^2+$D$4*B199)),VLOOKUP(A199,[5]!CPIndex,2))</f>
        <v>240.0689908411436</v>
      </c>
      <c r="G199" s="162">
        <f t="shared" si="5"/>
        <v>2.0645014227215902E-3</v>
      </c>
      <c r="H199" s="155">
        <f t="shared" si="4"/>
        <v>1.0020645014227216</v>
      </c>
    </row>
    <row r="200" spans="1:8" x14ac:dyDescent="0.2">
      <c r="A200" s="152">
        <v>41153</v>
      </c>
      <c r="B200" s="171">
        <v>-9.707216180376628E-3</v>
      </c>
      <c r="C200" s="153">
        <v>2.0617826573705242E-3</v>
      </c>
      <c r="D200" s="154">
        <f>IF(VLOOKUP(A200,[5]!CPIndex,2)=0,VLOOKUP(A200,[5]!CPIndex,6),0)</f>
        <v>2.0617826573705242E-3</v>
      </c>
      <c r="E200" s="153">
        <v>240.012225229124</v>
      </c>
      <c r="F200" s="154">
        <f>IF(VLOOKUP(A200,[5]!CPIndex,2)=0,(F199*EXP(IF(driftswitch=1,D200,$C$4)-1/2*$D$4^2+$D$4*B200)),VLOOKUP(A200,[5]!CPIndex,2))</f>
        <v>240.56140046086682</v>
      </c>
      <c r="G200" s="162">
        <f t="shared" si="5"/>
        <v>2.0631436899331743E-3</v>
      </c>
      <c r="H200" s="155">
        <f t="shared" si="4"/>
        <v>1.0020631436899332</v>
      </c>
    </row>
    <row r="201" spans="1:8" x14ac:dyDescent="0.2">
      <c r="A201" s="152">
        <v>41183</v>
      </c>
      <c r="B201" s="171">
        <v>4.1058332668051046E-3</v>
      </c>
      <c r="C201" s="153">
        <v>2.060427698899945E-3</v>
      </c>
      <c r="D201" s="154">
        <f>IF(VLOOKUP(A201,[5]!CPIndex,2)=0,VLOOKUP(A201,[5]!CPIndex,6),0)</f>
        <v>2.060427698899945E-3</v>
      </c>
      <c r="E201" s="153">
        <v>240.50707905978754</v>
      </c>
      <c r="F201" s="154">
        <f>IF(VLOOKUP(A201,[5]!CPIndex,2)=0,(F200*EXP(IF(driftswitch=1,D201,$C$4)-1/2*$D$4^2+$D$4*B201)),VLOOKUP(A201,[5]!CPIndex,2))</f>
        <v>241.05861027920818</v>
      </c>
      <c r="G201" s="162">
        <f t="shared" si="5"/>
        <v>2.0617859369085867E-3</v>
      </c>
      <c r="H201" s="155">
        <f t="shared" si="4"/>
        <v>1.0020617859369085</v>
      </c>
    </row>
    <row r="202" spans="1:8" x14ac:dyDescent="0.2">
      <c r="A202" s="152">
        <v>41214</v>
      </c>
      <c r="B202" s="171">
        <v>-4.3545861550965015E-2</v>
      </c>
      <c r="C202" s="153">
        <v>2.0590727183981534E-3</v>
      </c>
      <c r="D202" s="154">
        <f>IF(VLOOKUP(A202,[5]!CPIndex,2)=0,VLOOKUP(A202,[5]!CPIndex,6),0)</f>
        <v>2.0590727183981534E-3</v>
      </c>
      <c r="E202" s="153">
        <v>241.00262661903872</v>
      </c>
      <c r="F202" s="154">
        <f>IF(VLOOKUP(A202,[5]!CPIndex,2)=0,(F201*EXP(IF(driftswitch=1,D202,$C$4)-1/2*$D$4^2+$D$4*B202)),VLOOKUP(A202,[5]!CPIndex,2))</f>
        <v>241.54228936061978</v>
      </c>
      <c r="G202" s="162">
        <f t="shared" si="5"/>
        <v>2.0604281636466548E-3</v>
      </c>
      <c r="H202" s="155">
        <f t="shared" si="4"/>
        <v>1.0020604281636467</v>
      </c>
    </row>
    <row r="203" spans="1:8" x14ac:dyDescent="0.2">
      <c r="A203" s="152">
        <v>41244</v>
      </c>
      <c r="B203" s="171">
        <v>2.9493679150322388E-2</v>
      </c>
      <c r="C203" s="153">
        <v>2.0577177158641771E-3</v>
      </c>
      <c r="D203" s="154">
        <f>IF(VLOOKUP(A203,[5]!CPIndex,2)=0,VLOOKUP(A203,[5]!CPIndex,6),0)</f>
        <v>2.0577177158641771E-3</v>
      </c>
      <c r="E203" s="153">
        <v>241.49886798663766</v>
      </c>
      <c r="F203" s="154">
        <f>IF(VLOOKUP(A203,[5]!CPIndex,2)=0,(F202*EXP(IF(driftswitch=1,D203,$C$4)-1/2*$D$4^2+$D$4*B203)),VLOOKUP(A203,[5]!CPIndex,2))</f>
        <v>242.04846820918814</v>
      </c>
      <c r="G203" s="162">
        <f t="shared" si="5"/>
        <v>2.0590703701473226E-3</v>
      </c>
      <c r="H203" s="155">
        <f t="shared" si="4"/>
        <v>1.0020590703701473</v>
      </c>
    </row>
    <row r="204" spans="1:8" x14ac:dyDescent="0.2">
      <c r="A204" s="152">
        <v>41275</v>
      </c>
      <c r="B204" s="171">
        <v>-3.9643715733766682E-2</v>
      </c>
      <c r="C204" s="153">
        <v>2.0597502114029836E-3</v>
      </c>
      <c r="D204" s="154">
        <f>IF(VLOOKUP(A204,[5]!CPIndex,2)=0,VLOOKUP(A204,[5]!CPIndex,6),0)</f>
        <v>2.0597502114029836E-3</v>
      </c>
      <c r="E204" s="153">
        <v>241.99662300668987</v>
      </c>
      <c r="F204" s="154">
        <f>IF(VLOOKUP(A204,[5]!CPIndex,2)=0,(F203*EXP(IF(driftswitch=1,D204,$C$4)-1/2*$D$4^2+$D$4*B204)),VLOOKUP(A204,[5]!CPIndex,2))</f>
        <v>242.53546785920759</v>
      </c>
      <c r="G204" s="162">
        <f t="shared" si="5"/>
        <v>2.0611070528071852E-3</v>
      </c>
      <c r="H204" s="155">
        <f t="shared" ref="H204:H267" si="6">G204+1</f>
        <v>1.0020611070528072</v>
      </c>
    </row>
    <row r="205" spans="1:8" x14ac:dyDescent="0.2">
      <c r="A205" s="152">
        <v>41306</v>
      </c>
      <c r="B205" s="171">
        <v>2.8898471919428181E-3</v>
      </c>
      <c r="C205" s="153">
        <v>2.0617826573705242E-3</v>
      </c>
      <c r="D205" s="154">
        <f>IF(VLOOKUP(A205,[5]!CPIndex,2)=0,VLOOKUP(A205,[5]!CPIndex,6),0)</f>
        <v>2.0617826573705242E-3</v>
      </c>
      <c r="E205" s="153">
        <v>242.49589681243128</v>
      </c>
      <c r="F205" s="154">
        <f>IF(VLOOKUP(A205,[5]!CPIndex,2)=0,(F204*EXP(IF(driftswitch=1,D205,$C$4)-1/2*$D$4^2+$D$4*B205)),VLOOKUP(A205,[5]!CPIndex,2))</f>
        <v>243.03672174009225</v>
      </c>
      <c r="G205" s="162">
        <f t="shared" ref="G205:G268" si="7">IF(shiftswitch4=1,(F205-F204)/F204,(E205-E204)/E204)</f>
        <v>2.0631436899332598E-3</v>
      </c>
      <c r="H205" s="155">
        <f t="shared" si="6"/>
        <v>1.0020631436899332</v>
      </c>
    </row>
    <row r="206" spans="1:8" x14ac:dyDescent="0.2">
      <c r="A206" s="152">
        <v>41334</v>
      </c>
      <c r="B206" s="171">
        <v>3.3182858759096968E-2</v>
      </c>
      <c r="C206" s="153">
        <v>2.0638150537693081E-3</v>
      </c>
      <c r="D206" s="154">
        <f>IF(VLOOKUP(A206,[5]!CPIndex,2)=0,VLOOKUP(A206,[5]!CPIndex,6),0)</f>
        <v>2.0638150537693081E-3</v>
      </c>
      <c r="E206" s="153">
        <v>242.99669455687959</v>
      </c>
      <c r="F206" s="154">
        <f>IF(VLOOKUP(A206,[5]!CPIndex,2)=0,(F205*EXP(IF(driftswitch=1,D206,$C$4)-1/2*$D$4^2+$D$4*B206)),VLOOKUP(A206,[5]!CPIndex,2))</f>
        <v>243.54862820959326</v>
      </c>
      <c r="G206" s="162">
        <f t="shared" si="7"/>
        <v>2.0651802815272757E-3</v>
      </c>
      <c r="H206" s="155">
        <f t="shared" si="6"/>
        <v>1.0020651802815272</v>
      </c>
    </row>
    <row r="207" spans="1:8" x14ac:dyDescent="0.2">
      <c r="A207" s="152">
        <v>41365</v>
      </c>
      <c r="B207" s="171">
        <v>-1.3740488936185961E-2</v>
      </c>
      <c r="C207" s="153">
        <v>2.0658474006016239E-3</v>
      </c>
      <c r="D207" s="154">
        <f>IF(VLOOKUP(A207,[5]!CPIndex,2)=0,VLOOKUP(A207,[5]!CPIndex,6),0)</f>
        <v>2.0658474006016239E-3</v>
      </c>
      <c r="E207" s="153">
        <v>243.49902141291673</v>
      </c>
      <c r="F207" s="154">
        <f>IF(VLOOKUP(A207,[5]!CPIndex,2)=0,(F206*EXP(IF(driftswitch=1,D207,$C$4)-1/2*$D$4^2+$D$4*B207)),VLOOKUP(A207,[5]!CPIndex,2))</f>
        <v>244.04794997542561</v>
      </c>
      <c r="G207" s="162">
        <f t="shared" si="7"/>
        <v>2.0672168275917063E-3</v>
      </c>
      <c r="H207" s="155">
        <f t="shared" si="6"/>
        <v>1.0020672168275917</v>
      </c>
    </row>
    <row r="208" spans="1:8" x14ac:dyDescent="0.2">
      <c r="A208" s="152">
        <v>41395</v>
      </c>
      <c r="B208" s="171">
        <v>-4.0838740158317961E-2</v>
      </c>
      <c r="C208" s="153">
        <v>2.0678796978697593E-3</v>
      </c>
      <c r="D208" s="154">
        <f>IF(VLOOKUP(A208,[5]!CPIndex,2)=0,VLOOKUP(A208,[5]!CPIndex,6),0)</f>
        <v>2.0678796978697593E-3</v>
      </c>
      <c r="E208" s="153">
        <v>244.00288257337141</v>
      </c>
      <c r="F208" s="154">
        <f>IF(VLOOKUP(A208,[5]!CPIndex,2)=0,(F207*EXP(IF(driftswitch=1,D208,$C$4)-1/2*$D$4^2+$D$4*B208)),VLOOKUP(A208,[5]!CPIndex,2))</f>
        <v>244.54059923976754</v>
      </c>
      <c r="G208" s="162">
        <f t="shared" si="7"/>
        <v>2.0692533281283566E-3</v>
      </c>
      <c r="H208" s="155">
        <f t="shared" si="6"/>
        <v>1.0020692533281284</v>
      </c>
    </row>
    <row r="209" spans="1:8" x14ac:dyDescent="0.2">
      <c r="A209" s="152">
        <v>41426</v>
      </c>
      <c r="B209" s="171">
        <v>-2.0669020661236534E-2</v>
      </c>
      <c r="C209" s="153">
        <v>2.0699119455766671E-3</v>
      </c>
      <c r="D209" s="154">
        <f>IF(VLOOKUP(A209,[5]!CPIndex,2)=0,VLOOKUP(A209,[5]!CPIndex,6),0)</f>
        <v>2.0699119455766671E-3</v>
      </c>
      <c r="E209" s="153">
        <v>244.50828325110231</v>
      </c>
      <c r="F209" s="154">
        <f>IF(VLOOKUP(A209,[5]!CPIndex,2)=0,(F208*EXP(IF(driftswitch=1,D209,$C$4)-1/2*$D$4^2+$D$4*B209)),VLOOKUP(A209,[5]!CPIndex,2))</f>
        <v>245.04085161128882</v>
      </c>
      <c r="G209" s="162">
        <f t="shared" si="7"/>
        <v>2.0712897831398802E-3</v>
      </c>
      <c r="H209" s="155">
        <f t="shared" si="6"/>
        <v>1.0020712897831399</v>
      </c>
    </row>
    <row r="210" spans="1:8" x14ac:dyDescent="0.2">
      <c r="A210" s="152">
        <v>41456</v>
      </c>
      <c r="B210" s="171">
        <v>-1.0194409356980353E-2</v>
      </c>
      <c r="C210" s="153">
        <v>2.0719441437241927E-3</v>
      </c>
      <c r="D210" s="154">
        <f>IF(VLOOKUP(A210,[5]!CPIndex,2)=0,VLOOKUP(A210,[5]!CPIndex,6),0)</f>
        <v>2.0719441437241927E-3</v>
      </c>
      <c r="E210" s="153">
        <v>245.01522867908128</v>
      </c>
      <c r="F210" s="154">
        <f>IF(VLOOKUP(A210,[5]!CPIndex,2)=0,(F209*EXP(IF(driftswitch=1,D210,$C$4)-1/2*$D$4^2+$D$4*B210)),VLOOKUP(A210,[5]!CPIndex,2))</f>
        <v>245.54580629222696</v>
      </c>
      <c r="G210" s="162">
        <f t="shared" si="7"/>
        <v>2.0733261926277791E-3</v>
      </c>
      <c r="H210" s="155">
        <f t="shared" si="6"/>
        <v>1.0020733261926278</v>
      </c>
    </row>
    <row r="211" spans="1:8" x14ac:dyDescent="0.2">
      <c r="A211" s="152">
        <v>41487</v>
      </c>
      <c r="B211" s="171">
        <v>-2.3617048236034548E-2</v>
      </c>
      <c r="C211" s="153">
        <v>2.073976292314845E-3</v>
      </c>
      <c r="D211" s="154">
        <f>IF(VLOOKUP(A211,[5]!CPIndex,2)=0,VLOOKUP(A211,[5]!CPIndex,6),0)</f>
        <v>2.073976292314845E-3</v>
      </c>
      <c r="E211" s="153">
        <v>245.5237241104773</v>
      </c>
      <c r="F211" s="154">
        <f>IF(VLOOKUP(A211,[5]!CPIndex,2)=0,(F210*EXP(IF(driftswitch=1,D211,$C$4)-1/2*$D$4^2+$D$4*B211)),VLOOKUP(A211,[5]!CPIndex,2))</f>
        <v>246.04821820184921</v>
      </c>
      <c r="G211" s="162">
        <f t="shared" si="7"/>
        <v>2.075362556594598E-3</v>
      </c>
      <c r="H211" s="155">
        <f t="shared" si="6"/>
        <v>1.0020753625565946</v>
      </c>
    </row>
    <row r="212" spans="1:8" x14ac:dyDescent="0.2">
      <c r="A212" s="152">
        <v>41518</v>
      </c>
      <c r="B212" s="171">
        <v>2.3229497619592431E-2</v>
      </c>
      <c r="C212" s="153">
        <v>2.0760083913513557E-3</v>
      </c>
      <c r="D212" s="154">
        <f>IF(VLOOKUP(A212,[5]!CPIndex,2)=0,VLOOKUP(A212,[5]!CPIndex,6),0)</f>
        <v>2.0760083913513557E-3</v>
      </c>
      <c r="E212" s="153">
        <v>246.0337748187406</v>
      </c>
      <c r="F212" s="154">
        <f>IF(VLOOKUP(A212,[5]!CPIndex,2)=0,(F211*EXP(IF(driftswitch=1,D212,$C$4)-1/2*$D$4^2+$D$4*B212)),VLOOKUP(A212,[5]!CPIndex,2))</f>
        <v>246.56643993627478</v>
      </c>
      <c r="G212" s="162">
        <f t="shared" si="7"/>
        <v>2.077398875042265E-3</v>
      </c>
      <c r="H212" s="155">
        <f t="shared" si="6"/>
        <v>1.0020773988750422</v>
      </c>
    </row>
    <row r="213" spans="1:8" x14ac:dyDescent="0.2">
      <c r="A213" s="152">
        <v>41548</v>
      </c>
      <c r="B213" s="171">
        <v>-1.3644012812936829E-2</v>
      </c>
      <c r="C213" s="153">
        <v>2.0780404408360124E-3</v>
      </c>
      <c r="D213" s="154">
        <f>IF(VLOOKUP(A213,[5]!CPIndex,2)=0,VLOOKUP(A213,[5]!CPIndex,6),0)</f>
        <v>2.0780404408360124E-3</v>
      </c>
      <c r="E213" s="153">
        <v>246.54538609768719</v>
      </c>
      <c r="F213" s="154">
        <f>IF(VLOOKUP(A213,[5]!CPIndex,2)=0,(F212*EXP(IF(driftswitch=1,D213,$C$4)-1/2*$D$4^2+$D$4*B213)),VLOOKUP(A213,[5]!CPIndex,2))</f>
        <v>247.07499084760767</v>
      </c>
      <c r="G213" s="162">
        <f t="shared" si="7"/>
        <v>2.0794351479731022E-3</v>
      </c>
      <c r="H213" s="155">
        <f t="shared" si="6"/>
        <v>1.0020794351479732</v>
      </c>
    </row>
    <row r="214" spans="1:8" x14ac:dyDescent="0.2">
      <c r="A214" s="152">
        <v>41579</v>
      </c>
      <c r="B214" s="171">
        <v>-3.2921994962613436E-2</v>
      </c>
      <c r="C214" s="153">
        <v>2.0800724407711033E-3</v>
      </c>
      <c r="D214" s="154">
        <f>IF(VLOOKUP(A214,[5]!CPIndex,2)=0,VLOOKUP(A214,[5]!CPIndex,6),0)</f>
        <v>2.0800724407711033E-3</v>
      </c>
      <c r="E214" s="153">
        <v>247.0585632615838</v>
      </c>
      <c r="F214" s="154">
        <f>IF(VLOOKUP(A214,[5]!CPIndex,2)=0,(F213*EXP(IF(driftswitch=1,D214,$C$4)-1/2*$D$4^2+$D$4*B214)),VLOOKUP(A214,[5]!CPIndex,2))</f>
        <v>247.57919262451938</v>
      </c>
      <c r="G214" s="162">
        <f t="shared" si="7"/>
        <v>2.0814713753891999E-3</v>
      </c>
      <c r="H214" s="155">
        <f t="shared" si="6"/>
        <v>1.0020814713753892</v>
      </c>
    </row>
    <row r="215" spans="1:8" x14ac:dyDescent="0.2">
      <c r="A215" s="152">
        <v>41609</v>
      </c>
      <c r="B215" s="171">
        <v>2.2520744202336275E-2</v>
      </c>
      <c r="C215" s="153">
        <v>2.0821043911591376E-3</v>
      </c>
      <c r="D215" s="154">
        <f>IF(VLOOKUP(A215,[5]!CPIndex,2)=0,VLOOKUP(A215,[5]!CPIndex,6),0)</f>
        <v>2.0821043911591376E-3</v>
      </c>
      <c r="E215" s="153">
        <v>247.57331164523313</v>
      </c>
      <c r="F215" s="154">
        <f>IF(VLOOKUP(A215,[5]!CPIndex,2)=0,(F214*EXP(IF(driftswitch=1,D215,$C$4)-1/2*$D$4^2+$D$4*B215)),VLOOKUP(A215,[5]!CPIndex,2))</f>
        <v>248.10193388198218</v>
      </c>
      <c r="G215" s="162">
        <f t="shared" si="7"/>
        <v>2.0835075572924861E-3</v>
      </c>
      <c r="H215" s="155">
        <f t="shared" si="6"/>
        <v>1.0020835075572925</v>
      </c>
    </row>
    <row r="216" spans="1:8" x14ac:dyDescent="0.2">
      <c r="A216" s="152">
        <v>41640</v>
      </c>
      <c r="B216" s="171">
        <v>3.7391005617102402E-2</v>
      </c>
      <c r="C216" s="153">
        <v>2.0848135812740619E-3</v>
      </c>
      <c r="D216" s="154">
        <f>IF(VLOOKUP(A216,[5]!CPIndex,2)=0,VLOOKUP(A216,[5]!CPIndex,6),0)</f>
        <v>2.0848135812740619E-3</v>
      </c>
      <c r="E216" s="153">
        <v>248.08980463256577</v>
      </c>
      <c r="F216" s="154">
        <f>IF(VLOOKUP(A216,[5]!CPIndex,2)=0,(F215*EXP(IF(driftswitch=1,D216,$C$4)-1/2*$D$4^2+$D$4*B216)),VLOOKUP(A216,[5]!CPIndex,2))</f>
        <v>248.63102357200734</v>
      </c>
      <c r="G216" s="162">
        <f t="shared" si="7"/>
        <v>2.0862223957029851E-3</v>
      </c>
      <c r="H216" s="155">
        <f t="shared" si="6"/>
        <v>1.002086222395703</v>
      </c>
    </row>
    <row r="217" spans="1:8" x14ac:dyDescent="0.2">
      <c r="A217" s="152">
        <v>41671</v>
      </c>
      <c r="B217" s="171">
        <v>-1.080498229699858E-2</v>
      </c>
      <c r="C217" s="153">
        <v>2.0875226833151654E-3</v>
      </c>
      <c r="D217" s="154">
        <f>IF(VLOOKUP(A217,[5]!CPIndex,2)=0,VLOOKUP(A217,[5]!CPIndex,6),0)</f>
        <v>2.0875226833151654E-3</v>
      </c>
      <c r="E217" s="153">
        <v>248.60804864279552</v>
      </c>
      <c r="F217" s="154">
        <f>IF(VLOOKUP(A217,[5]!CPIndex,2)=0,(F216*EXP(IF(driftswitch=1,D217,$C$4)-1/2*$D$4^2+$D$4*B217)),VLOOKUP(A217,[5]!CPIndex,2))</f>
        <v>249.14706974360936</v>
      </c>
      <c r="G217" s="162">
        <f t="shared" si="7"/>
        <v>2.0889371532106992E-3</v>
      </c>
      <c r="H217" s="155">
        <f t="shared" si="6"/>
        <v>1.0020889371532107</v>
      </c>
    </row>
    <row r="218" spans="1:8" x14ac:dyDescent="0.2">
      <c r="A218" s="152">
        <v>41699</v>
      </c>
      <c r="B218" s="171">
        <v>-4.8591767578974682E-2</v>
      </c>
      <c r="C218" s="153">
        <v>2.0902316972886839E-3</v>
      </c>
      <c r="D218" s="154">
        <f>IF(VLOOKUP(A218,[5]!CPIndex,2)=0,VLOOKUP(A218,[5]!CPIndex,6),0)</f>
        <v>2.0902316972886839E-3</v>
      </c>
      <c r="E218" s="153">
        <v>249.12805012264752</v>
      </c>
      <c r="F218" s="154">
        <f>IF(VLOOKUP(A218,[5]!CPIndex,2)=0,(F217*EXP(IF(driftswitch=1,D218,$C$4)-1/2*$D$4^2+$D$4*B218)),VLOOKUP(A218,[5]!CPIndex,2))</f>
        <v>249.65319950299298</v>
      </c>
      <c r="G218" s="162">
        <f t="shared" si="7"/>
        <v>2.0916518298212707E-3</v>
      </c>
      <c r="H218" s="155">
        <f t="shared" si="6"/>
        <v>1.0020916518298213</v>
      </c>
    </row>
    <row r="219" spans="1:8" x14ac:dyDescent="0.2">
      <c r="A219" s="152">
        <v>41730</v>
      </c>
      <c r="B219" s="171">
        <v>-3.1838697306637444E-2</v>
      </c>
      <c r="C219" s="153">
        <v>2.0929406231997441E-3</v>
      </c>
      <c r="D219" s="154">
        <f>IF(VLOOKUP(A219,[5]!CPIndex,2)=0,VLOOKUP(A219,[5]!CPIndex,6),0)</f>
        <v>2.0929406231997441E-3</v>
      </c>
      <c r="E219" s="153">
        <v>249.64981554648435</v>
      </c>
      <c r="F219" s="154">
        <f>IF(VLOOKUP(A219,[5]!CPIndex,2)=0,(F218*EXP(IF(driftswitch=1,D219,$C$4)-1/2*$D$4^2+$D$4*B219)),VLOOKUP(A219,[5]!CPIndex,2))</f>
        <v>250.16621681243274</v>
      </c>
      <c r="G219" s="162">
        <f t="shared" si="7"/>
        <v>2.0943664255388206E-3</v>
      </c>
      <c r="H219" s="155">
        <f t="shared" si="6"/>
        <v>1.0020943664255388</v>
      </c>
    </row>
    <row r="220" spans="1:8" x14ac:dyDescent="0.2">
      <c r="A220" s="152">
        <v>41760</v>
      </c>
      <c r="B220" s="171">
        <v>-3.1734106219227613E-2</v>
      </c>
      <c r="C220" s="153">
        <v>2.0956494610543598E-3</v>
      </c>
      <c r="D220" s="154">
        <f>IF(VLOOKUP(A220,[5]!CPIndex,2)=0,VLOOKUP(A220,[5]!CPIndex,6),0)</f>
        <v>2.0956494610543598E-3</v>
      </c>
      <c r="E220" s="153">
        <v>250.17335141643355</v>
      </c>
      <c r="F220" s="154">
        <f>IF(VLOOKUP(A220,[5]!CPIndex,2)=0,(F219*EXP(IF(driftswitch=1,D220,$C$4)-1/2*$D$4^2+$D$4*B220)),VLOOKUP(A220,[5]!CPIndex,2))</f>
        <v>250.68099980129676</v>
      </c>
      <c r="G220" s="162">
        <f t="shared" si="7"/>
        <v>2.0970809403691236E-3</v>
      </c>
      <c r="H220" s="155">
        <f t="shared" si="6"/>
        <v>1.0020970809403691</v>
      </c>
    </row>
    <row r="221" spans="1:8" x14ac:dyDescent="0.2">
      <c r="A221" s="152">
        <v>41791</v>
      </c>
      <c r="B221" s="171">
        <v>3.5773423850272497E-2</v>
      </c>
      <c r="C221" s="153">
        <v>2.0983582108581021E-3</v>
      </c>
      <c r="D221" s="154">
        <f>IF(VLOOKUP(A221,[5]!CPIndex,2)=0,VLOOKUP(A221,[5]!CPIndex,6),0)</f>
        <v>2.0983582108581021E-3</v>
      </c>
      <c r="E221" s="153">
        <v>250.69866426251514</v>
      </c>
      <c r="F221" s="154">
        <f>IF(VLOOKUP(A221,[5]!CPIndex,2)=0,(F220*EXP(IF(driftswitch=1,D221,$C$4)-1/2*$D$4^2+$D$4*B221)),VLOOKUP(A221,[5]!CPIndex,2))</f>
        <v>251.21848969613905</v>
      </c>
      <c r="G221" s="162">
        <f t="shared" si="7"/>
        <v>2.0997953743169266E-3</v>
      </c>
      <c r="H221" s="155">
        <f t="shared" si="6"/>
        <v>1.0020997953743169</v>
      </c>
    </row>
    <row r="222" spans="1:8" x14ac:dyDescent="0.2">
      <c r="A222" s="152">
        <v>41821</v>
      </c>
      <c r="B222" s="171">
        <v>4.0584088078351448E-2</v>
      </c>
      <c r="C222" s="153">
        <v>2.1010668726169843E-3</v>
      </c>
      <c r="D222" s="154">
        <f>IF(VLOOKUP(A222,[5]!CPIndex,2)=0,VLOOKUP(A222,[5]!CPIndex,6),0)</f>
        <v>2.1010668726169843E-3</v>
      </c>
      <c r="E222" s="153">
        <v>251.22576064277007</v>
      </c>
      <c r="F222" s="154">
        <f>IF(VLOOKUP(A222,[5]!CPIndex,2)=0,(F221*EXP(IF(driftswitch=1,D222,$C$4)-1/2*$D$4^2+$D$4*B222)),VLOOKUP(A222,[5]!CPIndex,2))</f>
        <v>251.75931137866178</v>
      </c>
      <c r="G222" s="162">
        <f t="shared" si="7"/>
        <v>2.1025097273872635E-3</v>
      </c>
      <c r="H222" s="155">
        <f t="shared" si="6"/>
        <v>1.0021025097273872</v>
      </c>
    </row>
    <row r="223" spans="1:8" x14ac:dyDescent="0.2">
      <c r="A223" s="152">
        <v>41852</v>
      </c>
      <c r="B223" s="171">
        <v>8.3572032117786594E-3</v>
      </c>
      <c r="C223" s="153">
        <v>2.1037754463365762E-3</v>
      </c>
      <c r="D223" s="154">
        <f>IF(VLOOKUP(A223,[5]!CPIndex,2)=0,VLOOKUP(A223,[5]!CPIndex,6),0)</f>
        <v>2.1037754463365762E-3</v>
      </c>
      <c r="E223" s="153">
        <v>251.75464714338932</v>
      </c>
      <c r="F223" s="154">
        <f>IF(VLOOKUP(A223,[5]!CPIndex,2)=0,(F222*EXP(IF(driftswitch=1,D223,$C$4)-1/2*$D$4^2+$D$4*B223)),VLOOKUP(A223,[5]!CPIndex,2))</f>
        <v>252.29192797449733</v>
      </c>
      <c r="G223" s="162">
        <f t="shared" si="7"/>
        <v>2.1052239995853765E-3</v>
      </c>
      <c r="H223" s="155">
        <f t="shared" si="6"/>
        <v>1.0021052239995853</v>
      </c>
    </row>
    <row r="224" spans="1:8" x14ac:dyDescent="0.2">
      <c r="A224" s="152">
        <v>41883</v>
      </c>
      <c r="B224" s="171">
        <v>-6.2757759044237374E-2</v>
      </c>
      <c r="C224" s="153">
        <v>2.1064839320224485E-3</v>
      </c>
      <c r="D224" s="154">
        <f>IF(VLOOKUP(A224,[5]!CPIndex,2)=0,VLOOKUP(A224,[5]!CPIndex,6),0)</f>
        <v>2.1064839320224485E-3</v>
      </c>
      <c r="E224" s="153">
        <v>252.28533037884344</v>
      </c>
      <c r="F224" s="154">
        <f>IF(VLOOKUP(A224,[5]!CPIndex,2)=0,(F223*EXP(IF(driftswitch=1,D224,$C$4)-1/2*$D$4^2+$D$4*B224)),VLOOKUP(A224,[5]!CPIndex,2))</f>
        <v>252.80412721435709</v>
      </c>
      <c r="G224" s="162">
        <f t="shared" si="7"/>
        <v>2.1079381909159521E-3</v>
      </c>
      <c r="H224" s="155">
        <f t="shared" si="6"/>
        <v>1.0021079381909159</v>
      </c>
    </row>
    <row r="225" spans="1:8" x14ac:dyDescent="0.2">
      <c r="A225" s="152">
        <v>41913</v>
      </c>
      <c r="B225" s="171">
        <v>2.8410658237731538E-2</v>
      </c>
      <c r="C225" s="153">
        <v>2.109192329680393E-3</v>
      </c>
      <c r="D225" s="154">
        <f>IF(VLOOKUP(A225,[5]!CPIndex,2)=0,VLOOKUP(A225,[5]!CPIndex,6),0)</f>
        <v>2.109192329680393E-3</v>
      </c>
      <c r="E225" s="153">
        <v>252.81781699201304</v>
      </c>
      <c r="F225" s="154">
        <f>IF(VLOOKUP(A225,[5]!CPIndex,2)=0,(F224*EXP(IF(driftswitch=1,D225,$C$4)-1/2*$D$4^2+$D$4*B225)),VLOOKUP(A225,[5]!CPIndex,2))</f>
        <v>253.34660786325875</v>
      </c>
      <c r="G225" s="162">
        <f t="shared" si="7"/>
        <v>2.110652301384265E-3</v>
      </c>
      <c r="H225" s="155">
        <f t="shared" si="6"/>
        <v>1.0021106523013843</v>
      </c>
    </row>
    <row r="226" spans="1:8" x14ac:dyDescent="0.2">
      <c r="A226" s="152">
        <v>41944</v>
      </c>
      <c r="B226" s="171">
        <v>9.9162014216893652E-3</v>
      </c>
      <c r="C226" s="153">
        <v>2.111900639316201E-3</v>
      </c>
      <c r="D226" s="154">
        <f>IF(VLOOKUP(A226,[5]!CPIndex,2)=0,VLOOKUP(A226,[5]!CPIndex,6),0)</f>
        <v>2.111900639316201E-3</v>
      </c>
      <c r="E226" s="153">
        <v>253.35211365431971</v>
      </c>
      <c r="F226" s="154">
        <f>IF(VLOOKUP(A226,[5]!CPIndex,2)=0,(F225*EXP(IF(driftswitch=1,D226,$C$4)-1/2*$D$4^2+$D$4*B226)),VLOOKUP(A226,[5]!CPIndex,2))</f>
        <v>253.88513473207337</v>
      </c>
      <c r="G226" s="162">
        <f t="shared" si="7"/>
        <v>2.1133663309953836E-3</v>
      </c>
      <c r="H226" s="155">
        <f t="shared" si="6"/>
        <v>1.0021133663309953</v>
      </c>
    </row>
    <row r="227" spans="1:8" x14ac:dyDescent="0.2">
      <c r="A227" s="152">
        <v>41974</v>
      </c>
      <c r="B227" s="171">
        <v>1.4224210138856632E-2</v>
      </c>
      <c r="C227" s="153">
        <v>2.1146088609356639E-3</v>
      </c>
      <c r="D227" s="154">
        <f>IF(VLOOKUP(A227,[5]!CPIndex,2)=0,VLOOKUP(A227,[5]!CPIndex,6),0)</f>
        <v>2.1146088609356639E-3</v>
      </c>
      <c r="E227" s="153">
        <v>253.88822706585765</v>
      </c>
      <c r="F227" s="154">
        <f>IF(VLOOKUP(A227,[5]!CPIndex,2)=0,(F226*EXP(IF(driftswitch=1,D227,$C$4)-1/2*$D$4^2+$D$4*B227)),VLOOKUP(A227,[5]!CPIndex,2))</f>
        <v>254.42685052780357</v>
      </c>
      <c r="G227" s="162">
        <f t="shared" si="7"/>
        <v>2.1160802797541576E-3</v>
      </c>
      <c r="H227" s="155">
        <f t="shared" si="6"/>
        <v>1.0021160802797542</v>
      </c>
    </row>
    <row r="228" spans="1:8" x14ac:dyDescent="0.2">
      <c r="A228" s="152">
        <v>42005</v>
      </c>
      <c r="B228" s="171">
        <v>1.2157289447723291E-2</v>
      </c>
      <c r="C228" s="153">
        <v>2.117316994544352E-3</v>
      </c>
      <c r="D228" s="154">
        <f>IF(VLOOKUP(A228,[5]!CPIndex,2)=0,VLOOKUP(A228,[5]!CPIndex,6),0)</f>
        <v>2.117316994544352E-3</v>
      </c>
      <c r="E228" s="153">
        <v>254.42616395552599</v>
      </c>
      <c r="F228" s="154">
        <f>IF(VLOOKUP(A228,[5]!CPIndex,2)=0,(F227*EXP(IF(driftswitch=1,D228,$C$4)-1/2*$D$4^2+$D$4*B228)),VLOOKUP(A228,[5]!CPIndex,2))</f>
        <v>254.96976109859708</v>
      </c>
      <c r="G228" s="162">
        <f t="shared" si="7"/>
        <v>2.1187941476656408E-3</v>
      </c>
      <c r="H228" s="155">
        <f t="shared" si="6"/>
        <v>1.0021187941476657</v>
      </c>
    </row>
    <row r="229" spans="1:8" x14ac:dyDescent="0.2">
      <c r="A229" s="152">
        <v>42036</v>
      </c>
      <c r="B229" s="171">
        <v>-8.6926057687093609E-3</v>
      </c>
      <c r="C229" s="153">
        <v>2.1200250401480565E-3</v>
      </c>
      <c r="D229" s="154">
        <f>IF(VLOOKUP(A229,[5]!CPIndex,2)=0,VLOOKUP(A229,[5]!CPIndex,6),0)</f>
        <v>2.1200250401480565E-3</v>
      </c>
      <c r="E229" s="153">
        <v>254.96593108116181</v>
      </c>
      <c r="F229" s="154">
        <f>IF(VLOOKUP(A229,[5]!CPIndex,2)=0,(F228*EXP(IF(driftswitch=1,D229,$C$4)-1/2*$D$4^2+$D$4*B229)),VLOOKUP(A229,[5]!CPIndex,2))</f>
        <v>255.50793540426011</v>
      </c>
      <c r="G229" s="162">
        <f t="shared" si="7"/>
        <v>2.121507934734933E-3</v>
      </c>
      <c r="H229" s="155">
        <f t="shared" si="6"/>
        <v>1.002121507934735</v>
      </c>
    </row>
    <row r="230" spans="1:8" x14ac:dyDescent="0.2">
      <c r="A230" s="152">
        <v>42064</v>
      </c>
      <c r="B230" s="171">
        <v>-3.5887700604687871E-2</v>
      </c>
      <c r="C230" s="153">
        <v>2.1227329977525685E-3</v>
      </c>
      <c r="D230" s="154">
        <f>IF(VLOOKUP(A230,[5]!CPIndex,2)=0,VLOOKUP(A230,[5]!CPIndex,6),0)</f>
        <v>2.1227329977525685E-3</v>
      </c>
      <c r="E230" s="153">
        <v>255.50753522967381</v>
      </c>
      <c r="F230" s="154">
        <f>IF(VLOOKUP(A230,[5]!CPIndex,2)=0,(F229*EXP(IF(driftswitch=1,D230,$C$4)-1/2*$D$4^2+$D$4*B230)),VLOOKUP(A230,[5]!CPIndex,2))</f>
        <v>256.03932990076368</v>
      </c>
      <c r="G230" s="162">
        <f t="shared" si="7"/>
        <v>2.1242216409673481E-3</v>
      </c>
      <c r="H230" s="155">
        <f t="shared" si="6"/>
        <v>1.0021242216409674</v>
      </c>
    </row>
    <row r="231" spans="1:8" x14ac:dyDescent="0.2">
      <c r="A231" s="152">
        <v>42095</v>
      </c>
      <c r="B231" s="171">
        <v>3.189233364581074E-2</v>
      </c>
      <c r="C231" s="153">
        <v>2.1254408673634581E-3</v>
      </c>
      <c r="D231" s="154">
        <f>IF(VLOOKUP(A231,[5]!CPIndex,2)=0,VLOOKUP(A231,[5]!CPIndex,6),0)</f>
        <v>2.1254408673634581E-3</v>
      </c>
      <c r="E231" s="153">
        <v>256.05098321717645</v>
      </c>
      <c r="F231" s="154">
        <f>IF(VLOOKUP(A231,[5]!CPIndex,2)=0,(F230*EXP(IF(driftswitch=1,D231,$C$4)-1/2*$D$4^2+$D$4*B231)),VLOOKUP(A231,[5]!CPIndex,2))</f>
        <v>256.59402660380789</v>
      </c>
      <c r="G231" s="162">
        <f t="shared" si="7"/>
        <v>2.1269352663675616E-3</v>
      </c>
      <c r="H231" s="155">
        <f t="shared" si="6"/>
        <v>1.0021269352663675</v>
      </c>
    </row>
    <row r="232" spans="1:8" x14ac:dyDescent="0.2">
      <c r="A232" s="152">
        <v>42125</v>
      </c>
      <c r="B232" s="171">
        <v>2.2017865777126343E-2</v>
      </c>
      <c r="C232" s="153">
        <v>2.1281486489865163E-3</v>
      </c>
      <c r="D232" s="154">
        <f>IF(VLOOKUP(A232,[5]!CPIndex,2)=0,VLOOKUP(A232,[5]!CPIndex,6),0)</f>
        <v>2.1281486489865163E-3</v>
      </c>
      <c r="E232" s="153">
        <v>256.59628188912512</v>
      </c>
      <c r="F232" s="154">
        <f>IF(VLOOKUP(A232,[5]!CPIndex,2)=0,(F231*EXP(IF(driftswitch=1,D232,$C$4)-1/2*$D$4^2+$D$4*B232)),VLOOKUP(A232,[5]!CPIndex,2))</f>
        <v>257.14748189231028</v>
      </c>
      <c r="G232" s="162">
        <f t="shared" si="7"/>
        <v>2.1296488109407573E-3</v>
      </c>
      <c r="H232" s="155">
        <f t="shared" si="6"/>
        <v>1.0021296488109408</v>
      </c>
    </row>
    <row r="233" spans="1:8" x14ac:dyDescent="0.2">
      <c r="A233" s="152">
        <v>42156</v>
      </c>
      <c r="B233" s="171">
        <v>-2.2446651305272364E-2</v>
      </c>
      <c r="C233" s="153">
        <v>2.1308563426275335E-3</v>
      </c>
      <c r="D233" s="154">
        <f>IF(VLOOKUP(A233,[5]!CPIndex,2)=0,VLOOKUP(A233,[5]!CPIndex,6),0)</f>
        <v>2.1308563426275335E-3</v>
      </c>
      <c r="E233" s="153">
        <v>257.14343812045166</v>
      </c>
      <c r="F233" s="154">
        <f>IF(VLOOKUP(A233,[5]!CPIndex,2)=0,(F232*EXP(IF(driftswitch=1,D233,$C$4)-1/2*$D$4^2+$D$4*B233)),VLOOKUP(A233,[5]!CPIndex,2))</f>
        <v>257.68866181779424</v>
      </c>
      <c r="G233" s="162">
        <f t="shared" si="7"/>
        <v>2.1323622746917464E-3</v>
      </c>
      <c r="H233" s="155">
        <f t="shared" si="6"/>
        <v>1.0021323622746918</v>
      </c>
    </row>
    <row r="234" spans="1:8" x14ac:dyDescent="0.2">
      <c r="A234" s="152">
        <v>42186</v>
      </c>
      <c r="B234" s="171">
        <v>-5.366616748927721E-2</v>
      </c>
      <c r="C234" s="153">
        <v>2.1335639482920801E-3</v>
      </c>
      <c r="D234" s="154">
        <f>IF(VLOOKUP(A234,[5]!CPIndex,2)=0,VLOOKUP(A234,[5]!CPIndex,6),0)</f>
        <v>2.1335639482920801E-3</v>
      </c>
      <c r="E234" s="153">
        <v>257.69245881570089</v>
      </c>
      <c r="F234" s="154">
        <f>IF(VLOOKUP(A234,[5]!CPIndex,2)=0,(F233*EXP(IF(driftswitch=1,D234,$C$4)-1/2*$D$4^2+$D$4*B234)),VLOOKUP(A234,[5]!CPIndex,2))</f>
        <v>258.22171248119599</v>
      </c>
      <c r="G234" s="162">
        <f t="shared" si="7"/>
        <v>2.1350756576259682E-3</v>
      </c>
      <c r="H234" s="155">
        <f t="shared" si="6"/>
        <v>1.0021350756576259</v>
      </c>
    </row>
    <row r="235" spans="1:8" x14ac:dyDescent="0.2">
      <c r="A235" s="152">
        <v>42217</v>
      </c>
      <c r="B235" s="171">
        <v>1.9735742770197851E-2</v>
      </c>
      <c r="C235" s="153">
        <v>2.1362714659859464E-3</v>
      </c>
      <c r="D235" s="154">
        <f>IF(VLOOKUP(A235,[5]!CPIndex,2)=0,VLOOKUP(A235,[5]!CPIndex,6),0)</f>
        <v>2.1362714659859464E-3</v>
      </c>
      <c r="E235" s="153">
        <v>258.24335090916748</v>
      </c>
      <c r="F235" s="154">
        <f>IF(VLOOKUP(A235,[5]!CPIndex,2)=0,(F234*EXP(IF(driftswitch=1,D235,$C$4)-1/2*$D$4^2+$D$4*B235)),VLOOKUP(A235,[5]!CPIndex,2))</f>
        <v>258.78005042304176</v>
      </c>
      <c r="G235" s="162">
        <f t="shared" si="7"/>
        <v>2.1377889597482525E-3</v>
      </c>
      <c r="H235" s="155">
        <f t="shared" si="6"/>
        <v>1.0021377889597483</v>
      </c>
    </row>
    <row r="236" spans="1:8" x14ac:dyDescent="0.2">
      <c r="A236" s="152">
        <v>42248</v>
      </c>
      <c r="B236" s="171">
        <v>-8.8500512517927475E-3</v>
      </c>
      <c r="C236" s="153">
        <v>2.1389788957149234E-3</v>
      </c>
      <c r="D236" s="154">
        <f>IF(VLOOKUP(A236,[5]!CPIndex,2)=0,VLOOKUP(A236,[5]!CPIndex,6),0)</f>
        <v>2.1389788957149234E-3</v>
      </c>
      <c r="E236" s="153">
        <v>258.79612136503368</v>
      </c>
      <c r="F236" s="154">
        <f>IF(VLOOKUP(A236,[5]!CPIndex,2)=0,(F235*EXP(IF(driftswitch=1,D236,$C$4)-1/2*$D$4^2+$D$4*B236)),VLOOKUP(A236,[5]!CPIndex,2))</f>
        <v>259.3311320472061</v>
      </c>
      <c r="G236" s="162">
        <f t="shared" si="7"/>
        <v>2.1405021810634601E-3</v>
      </c>
      <c r="H236" s="155">
        <f t="shared" si="6"/>
        <v>1.0021405021810634</v>
      </c>
    </row>
    <row r="237" spans="1:8" x14ac:dyDescent="0.2">
      <c r="A237" s="152">
        <v>42278</v>
      </c>
      <c r="B237" s="171">
        <v>1.5147574252316553E-3</v>
      </c>
      <c r="C237" s="153">
        <v>2.1416862374843589E-3</v>
      </c>
      <c r="D237" s="154">
        <f>IF(VLOOKUP(A237,[5]!CPIndex,2)=0,VLOOKUP(A237,[5]!CPIndex,6),0)</f>
        <v>2.1416862374843589E-3</v>
      </c>
      <c r="E237" s="153">
        <v>259.35077717750784</v>
      </c>
      <c r="F237" s="154">
        <f>IF(VLOOKUP(A237,[5]!CPIndex,2)=0,(F236*EXP(IF(driftswitch=1,D237,$C$4)-1/2*$D$4^2+$D$4*B237)),VLOOKUP(A237,[5]!CPIndex,2))</f>
        <v>259.88742122608016</v>
      </c>
      <c r="G237" s="162">
        <f t="shared" si="7"/>
        <v>2.1432153215766572E-3</v>
      </c>
      <c r="H237" s="155">
        <f t="shared" si="6"/>
        <v>1.0021432153215766</v>
      </c>
    </row>
    <row r="238" spans="1:8" x14ac:dyDescent="0.2">
      <c r="A238" s="152">
        <v>42309</v>
      </c>
      <c r="B238" s="171">
        <v>5.5738502048649795E-2</v>
      </c>
      <c r="C238" s="153">
        <v>2.1443934913004861E-3</v>
      </c>
      <c r="D238" s="154">
        <f>IF(VLOOKUP(A238,[5]!CPIndex,2)=0,VLOOKUP(A238,[5]!CPIndex,6),0)</f>
        <v>2.1443934913004861E-3</v>
      </c>
      <c r="E238" s="153">
        <v>259.90732537096346</v>
      </c>
      <c r="F238" s="154">
        <f>IF(VLOOKUP(A238,[5]!CPIndex,2)=0,(F237*EXP(IF(driftswitch=1,D238,$C$4)-1/2*$D$4^2+$D$4*B238)),VLOOKUP(A238,[5]!CPIndex,2))</f>
        <v>260.46307003690737</v>
      </c>
      <c r="G238" s="162">
        <f t="shared" si="7"/>
        <v>2.145928381293058E-3</v>
      </c>
      <c r="H238" s="155">
        <f t="shared" si="6"/>
        <v>1.002145928381293</v>
      </c>
    </row>
    <row r="239" spans="1:8" x14ac:dyDescent="0.2">
      <c r="A239" s="152">
        <v>42339</v>
      </c>
      <c r="B239" s="171">
        <v>3.5619211527242088E-2</v>
      </c>
      <c r="C239" s="153">
        <v>2.1471006571688743E-3</v>
      </c>
      <c r="D239" s="154">
        <f>IF(VLOOKUP(A239,[5]!CPIndex,2)=0,VLOOKUP(A239,[5]!CPIndex,6),0)</f>
        <v>2.1471006571688743E-3</v>
      </c>
      <c r="E239" s="153">
        <v>260.46577300007908</v>
      </c>
      <c r="F239" s="154">
        <f>IF(VLOOKUP(A239,[5]!CPIndex,2)=0,(F238*EXP(IF(driftswitch=1,D239,$C$4)-1/2*$D$4^2+$D$4*B239)),VLOOKUP(A239,[5]!CPIndex,2))</f>
        <v>261.03420722223012</v>
      </c>
      <c r="G239" s="162">
        <f t="shared" si="7"/>
        <v>2.1486413602177308E-3</v>
      </c>
      <c r="H239" s="155">
        <f t="shared" si="6"/>
        <v>1.0021486413602176</v>
      </c>
    </row>
    <row r="240" spans="1:8" x14ac:dyDescent="0.2">
      <c r="A240" s="152">
        <v>42370</v>
      </c>
      <c r="B240" s="171">
        <v>-3.1211380188745268E-3</v>
      </c>
      <c r="C240" s="153">
        <v>2.1511612410815449E-3</v>
      </c>
      <c r="D240" s="154">
        <f>IF(VLOOKUP(A240,[5]!CPIndex,2)=0,VLOOKUP(A240,[5]!CPIndex,6),0)</f>
        <v>2.1511612410815449E-3</v>
      </c>
      <c r="E240" s="153">
        <v>261.02648045064348</v>
      </c>
      <c r="F240" s="154">
        <f>IF(VLOOKUP(A240,[5]!CPIndex,2)=0,(F239*EXP(IF(driftswitch=1,D240,$C$4)-1/2*$D$4^2+$D$4*B240)),VLOOKUP(A240,[5]!CPIndex,2))</f>
        <v>261.59512886733677</v>
      </c>
      <c r="G240" s="162">
        <f t="shared" si="7"/>
        <v>2.1527106771307854E-3</v>
      </c>
      <c r="H240" s="155">
        <f t="shared" si="6"/>
        <v>1.0021527106771309</v>
      </c>
    </row>
    <row r="241" spans="1:8" x14ac:dyDescent="0.2">
      <c r="A241" s="152">
        <v>42401</v>
      </c>
      <c r="B241" s="171">
        <v>-1.8574510993785917E-2</v>
      </c>
      <c r="C241" s="153">
        <v>2.1552216271439584E-3</v>
      </c>
      <c r="D241" s="154">
        <f>IF(VLOOKUP(A241,[5]!CPIndex,2)=0,VLOOKUP(A241,[5]!CPIndex,6),0)</f>
        <v>2.1552216271439584E-3</v>
      </c>
      <c r="E241" s="153">
        <v>261.58945709415275</v>
      </c>
      <c r="F241" s="154">
        <f>IF(VLOOKUP(A241,[5]!CPIndex,2)=0,(F240*EXP(IF(driftswitch=1,D241,$C$4)-1/2*$D$4^2+$D$4*B241)),VLOOKUP(A241,[5]!CPIndex,2))</f>
        <v>262.15331146907897</v>
      </c>
      <c r="G241" s="162">
        <f t="shared" si="7"/>
        <v>2.1567798122908242E-3</v>
      </c>
      <c r="H241" s="155">
        <f t="shared" si="6"/>
        <v>1.0021567798122908</v>
      </c>
    </row>
    <row r="242" spans="1:8" x14ac:dyDescent="0.2">
      <c r="A242" s="152">
        <v>42430</v>
      </c>
      <c r="B242" s="171">
        <v>3.3647477435868579E-2</v>
      </c>
      <c r="C242" s="153">
        <v>2.1592818153750755E-3</v>
      </c>
      <c r="D242" s="154">
        <f>IF(VLOOKUP(A242,[5]!CPIndex,2)=0,VLOOKUP(A242,[5]!CPIndex,6),0)</f>
        <v>2.1592818153750755E-3</v>
      </c>
      <c r="E242" s="153">
        <v>262.15471234963854</v>
      </c>
      <c r="F242" s="154">
        <f>IF(VLOOKUP(A242,[5]!CPIndex,2)=0,(F241*EXP(IF(driftswitch=1,D242,$C$4)-1/2*$D$4^2+$D$4*B242)),VLOOKUP(A242,[5]!CPIndex,2))</f>
        <v>262.73071483575228</v>
      </c>
      <c r="G242" s="162">
        <f t="shared" si="7"/>
        <v>2.1608487657143803E-3</v>
      </c>
      <c r="H242" s="155">
        <f t="shared" si="6"/>
        <v>1.0021608487657143</v>
      </c>
    </row>
    <row r="243" spans="1:8" x14ac:dyDescent="0.2">
      <c r="A243" s="152">
        <v>42461</v>
      </c>
      <c r="B243" s="171">
        <v>-1.113962475354564E-2</v>
      </c>
      <c r="C243" s="153">
        <v>2.163341805794299E-3</v>
      </c>
      <c r="D243" s="154">
        <f>IF(VLOOKUP(A243,[5]!CPIndex,2)=0,VLOOKUP(A243,[5]!CPIndex,6),0)</f>
        <v>2.163341805794299E-3</v>
      </c>
      <c r="E243" s="153">
        <v>262.72225568392111</v>
      </c>
      <c r="F243" s="154">
        <f>IF(VLOOKUP(A243,[5]!CPIndex,2)=0,(F242*EXP(IF(driftswitch=1,D243,$C$4)-1/2*$D$4^2+$D$4*B243)),VLOOKUP(A243,[5]!CPIndex,2))</f>
        <v>263.29587880040725</v>
      </c>
      <c r="G243" s="162">
        <f t="shared" si="7"/>
        <v>2.1649175374182199E-3</v>
      </c>
      <c r="H243" s="155">
        <f t="shared" si="6"/>
        <v>1.0021649175374183</v>
      </c>
    </row>
    <row r="244" spans="1:8" x14ac:dyDescent="0.2">
      <c r="A244" s="152">
        <v>42491</v>
      </c>
      <c r="B244" s="171">
        <v>-1.4131414991977792E-2</v>
      </c>
      <c r="C244" s="153">
        <v>2.1674015984208105E-3</v>
      </c>
      <c r="D244" s="154">
        <f>IF(VLOOKUP(A244,[5]!CPIndex,2)=0,VLOOKUP(A244,[5]!CPIndex,6),0)</f>
        <v>2.1674015984208105E-3</v>
      </c>
      <c r="E244" s="153">
        <v>263.292096611864</v>
      </c>
      <c r="F244" s="154">
        <f>IF(VLOOKUP(A244,[5]!CPIndex,2)=0,(F243*EXP(IF(driftswitch=1,D244,$C$4)-1/2*$D$4^2+$D$4*B244)),VLOOKUP(A244,[5]!CPIndex,2))</f>
        <v>263.8623536950098</v>
      </c>
      <c r="G244" s="162">
        <f t="shared" si="7"/>
        <v>2.16898612741991E-3</v>
      </c>
      <c r="H244" s="155">
        <f t="shared" si="6"/>
        <v>1.0021689861274199</v>
      </c>
    </row>
    <row r="245" spans="1:8" x14ac:dyDescent="0.2">
      <c r="A245" s="152">
        <v>42522</v>
      </c>
      <c r="B245" s="171">
        <v>-3.5005290148397129E-2</v>
      </c>
      <c r="C245" s="153">
        <v>2.1714611932742343E-3</v>
      </c>
      <c r="D245" s="154">
        <f>IF(VLOOKUP(A245,[5]!CPIndex,2)=0,VLOOKUP(A245,[5]!CPIndex,6),0)</f>
        <v>2.1714611932742343E-3</v>
      </c>
      <c r="E245" s="153">
        <v>263.86424469662995</v>
      </c>
      <c r="F245" s="154">
        <f>IF(VLOOKUP(A245,[5]!CPIndex,2)=0,(F244*EXP(IF(driftswitch=1,D245,$C$4)-1/2*$D$4^2+$D$4*B245)),VLOOKUP(A245,[5]!CPIndex,2))</f>
        <v>264.42429643167708</v>
      </c>
      <c r="G245" s="162">
        <f t="shared" si="7"/>
        <v>2.1730545357363956E-3</v>
      </c>
      <c r="H245" s="155">
        <f t="shared" si="6"/>
        <v>1.0021730545357364</v>
      </c>
    </row>
    <row r="246" spans="1:8" x14ac:dyDescent="0.2">
      <c r="A246" s="152">
        <v>42552</v>
      </c>
      <c r="B246" s="171">
        <v>2.7979346465598697E-2</v>
      </c>
      <c r="C246" s="153">
        <v>2.1755205903733073E-3</v>
      </c>
      <c r="D246" s="154">
        <f>IF(VLOOKUP(A246,[5]!CPIndex,2)=0,VLOOKUP(A246,[5]!CPIndex,6),0)</f>
        <v>2.1755205903733073E-3</v>
      </c>
      <c r="E246" s="153">
        <v>264.43870954993821</v>
      </c>
      <c r="F246" s="154">
        <f>IF(VLOOKUP(A246,[5]!CPIndex,2)=0,(F245*EXP(IF(driftswitch=1,D246,$C$4)-1/2*$D$4^2+$D$4*B246)),VLOOKUP(A246,[5]!CPIndex,2))</f>
        <v>265.00914796399769</v>
      </c>
      <c r="G246" s="162">
        <f t="shared" si="7"/>
        <v>2.1771227623838562E-3</v>
      </c>
      <c r="H246" s="155">
        <f t="shared" si="6"/>
        <v>1.0021771227623839</v>
      </c>
    </row>
    <row r="247" spans="1:8" x14ac:dyDescent="0.2">
      <c r="A247" s="152">
        <v>42583</v>
      </c>
      <c r="B247" s="171">
        <v>-9.9752045100410542E-3</v>
      </c>
      <c r="C247" s="153">
        <v>2.1795797897376525E-3</v>
      </c>
      <c r="D247" s="154">
        <f>IF(VLOOKUP(A247,[5]!CPIndex,2)=0,VLOOKUP(A247,[5]!CPIndex,6),0)</f>
        <v>2.1795797897376525E-3</v>
      </c>
      <c r="E247" s="153">
        <v>265.01550083232399</v>
      </c>
      <c r="F247" s="154">
        <f>IF(VLOOKUP(A247,[5]!CPIndex,2)=0,(F246*EXP(IF(driftswitch=1,D247,$C$4)-1/2*$D$4^2+$D$4*B247)),VLOOKUP(A247,[5]!CPIndex,2))</f>
        <v>265.58390795997946</v>
      </c>
      <c r="G247" s="162">
        <f t="shared" si="7"/>
        <v>2.1811908073801102E-3</v>
      </c>
      <c r="H247" s="155">
        <f t="shared" si="6"/>
        <v>1.0021811908073801</v>
      </c>
    </row>
    <row r="248" spans="1:8" x14ac:dyDescent="0.2">
      <c r="A248" s="152">
        <v>42614</v>
      </c>
      <c r="B248" s="171">
        <v>9.5377686940722687E-3</v>
      </c>
      <c r="C248" s="153">
        <v>2.1836387913864498E-3</v>
      </c>
      <c r="D248" s="154">
        <f>IF(VLOOKUP(A248,[5]!CPIndex,2)=0,VLOOKUP(A248,[5]!CPIndex,6),0)</f>
        <v>2.1836387913864498E-3</v>
      </c>
      <c r="E248" s="153">
        <v>265.59462825339875</v>
      </c>
      <c r="F248" s="154">
        <f>IF(VLOOKUP(A248,[5]!CPIndex,2)=0,(F247*EXP(IF(driftswitch=1,D248,$C$4)-1/2*$D$4^2+$D$4*B248)),VLOOKUP(A248,[5]!CPIndex,2))</f>
        <v>266.16741622301208</v>
      </c>
      <c r="G248" s="162">
        <f t="shared" si="7"/>
        <v>2.1852586707415815E-3</v>
      </c>
      <c r="H248" s="155">
        <f t="shared" si="6"/>
        <v>1.0021852586707416</v>
      </c>
    </row>
    <row r="249" spans="1:8" x14ac:dyDescent="0.2">
      <c r="A249" s="152">
        <v>42644</v>
      </c>
      <c r="B249" s="171">
        <v>3.0373141891170422E-2</v>
      </c>
      <c r="C249" s="153">
        <v>2.1876975953388782E-3</v>
      </c>
      <c r="D249" s="154">
        <f>IF(VLOOKUP(A249,[5]!CPIndex,2)=0,VLOOKUP(A249,[5]!CPIndex,6),0)</f>
        <v>2.1876975953388782E-3</v>
      </c>
      <c r="E249" s="153">
        <v>266.17610157211254</v>
      </c>
      <c r="F249" s="154">
        <f>IF(VLOOKUP(A249,[5]!CPIndex,2)=0,(F248*EXP(IF(driftswitch=1,D249,$C$4)-1/2*$D$4^2+$D$4*B249)),VLOOKUP(A249,[5]!CPIndex,2))</f>
        <v>266.760161001222</v>
      </c>
      <c r="G249" s="162">
        <f t="shared" si="7"/>
        <v>2.1893263524856302E-3</v>
      </c>
      <c r="H249" s="155">
        <f t="shared" si="6"/>
        <v>1.0021893263524857</v>
      </c>
    </row>
    <row r="250" spans="1:8" x14ac:dyDescent="0.2">
      <c r="A250" s="152">
        <v>42675</v>
      </c>
      <c r="B250" s="171">
        <v>-2.6790951242398008E-2</v>
      </c>
      <c r="C250" s="153">
        <v>2.1917562016141165E-3</v>
      </c>
      <c r="D250" s="154">
        <f>IF(VLOOKUP(A250,[5]!CPIndex,2)=0,VLOOKUP(A250,[5]!CPIndex,6),0)</f>
        <v>2.1917562016141165E-3</v>
      </c>
      <c r="E250" s="153">
        <v>266.75993059701744</v>
      </c>
      <c r="F250" s="154">
        <f>IF(VLOOKUP(A250,[5]!CPIndex,2)=0,(F249*EXP(IF(driftswitch=1,D250,$C$4)-1/2*$D$4^2+$D$4*B250)),VLOOKUP(A250,[5]!CPIndex,2))</f>
        <v>267.33641570937374</v>
      </c>
      <c r="G250" s="162">
        <f t="shared" si="7"/>
        <v>2.1933938526285377E-3</v>
      </c>
      <c r="H250" s="155">
        <f t="shared" si="6"/>
        <v>1.0021933938526286</v>
      </c>
    </row>
    <row r="251" spans="1:8" x14ac:dyDescent="0.2">
      <c r="A251" s="152">
        <v>42705</v>
      </c>
      <c r="B251" s="171">
        <v>4.5954147317824885E-2</v>
      </c>
      <c r="C251" s="153">
        <v>2.1958146102317865E-3</v>
      </c>
      <c r="D251" s="154">
        <f>IF(VLOOKUP(A251,[5]!CPIndex,2)=0,VLOOKUP(A251,[5]!CPIndex,6),0)</f>
        <v>2.1958146102317865E-3</v>
      </c>
      <c r="E251" s="153">
        <v>267.3461251865333</v>
      </c>
      <c r="F251" s="154">
        <f>IF(VLOOKUP(A251,[5]!CPIndex,2)=0,(F250*EXP(IF(driftswitch=1,D251,$C$4)-1/2*$D$4^2+$D$4*B251)),VLOOKUP(A251,[5]!CPIndex,2))</f>
        <v>267.93910018747931</v>
      </c>
      <c r="G251" s="162">
        <f t="shared" si="7"/>
        <v>2.1974611711883898E-3</v>
      </c>
      <c r="H251" s="155">
        <f t="shared" si="6"/>
        <v>1.0021974611711884</v>
      </c>
    </row>
    <row r="252" spans="1:8" x14ac:dyDescent="0.2">
      <c r="A252" s="152">
        <v>42736</v>
      </c>
      <c r="B252" s="171">
        <v>-8.1057619275072268E-3</v>
      </c>
      <c r="C252" s="153">
        <v>2.1985201061766155E-3</v>
      </c>
      <c r="D252" s="154">
        <f>IF(VLOOKUP(A252,[5]!CPIndex,2)=0,VLOOKUP(A252,[5]!CPIndex,6),0)</f>
        <v>2.1985201061766155E-3</v>
      </c>
      <c r="E252" s="153">
        <v>267.93433281016866</v>
      </c>
      <c r="F252" s="154">
        <f>IF(VLOOKUP(A252,[5]!CPIndex,2)=0,(F251*EXP(IF(driftswitch=1,D252,$C$4)-1/2*$D$4^2+$D$4*B252)),VLOOKUP(A252,[5]!CPIndex,2))</f>
        <v>268.52592131757137</v>
      </c>
      <c r="G252" s="162">
        <f t="shared" si="7"/>
        <v>2.2001726160233294E-3</v>
      </c>
      <c r="H252" s="155">
        <f t="shared" si="6"/>
        <v>1.0022001726160232</v>
      </c>
    </row>
    <row r="253" spans="1:8" x14ac:dyDescent="0.2">
      <c r="A253" s="152">
        <v>42767</v>
      </c>
      <c r="B253" s="171">
        <v>1.3740406955804281E-2</v>
      </c>
      <c r="C253" s="153">
        <v>2.201225514287506E-3</v>
      </c>
      <c r="D253" s="154">
        <f>IF(VLOOKUP(A253,[5]!CPIndex,2)=0,VLOOKUP(A253,[5]!CPIndex,6),0)</f>
        <v>2.201225514287506E-3</v>
      </c>
      <c r="E253" s="153">
        <v>268.5245610596528</v>
      </c>
      <c r="F253" s="154">
        <f>IF(VLOOKUP(A253,[5]!CPIndex,2)=0,(F252*EXP(IF(driftswitch=1,D253,$C$4)-1/2*$D$4^2+$D$4*B253)),VLOOKUP(A253,[5]!CPIndex,2))</f>
        <v>269.12202469555615</v>
      </c>
      <c r="G253" s="162">
        <f t="shared" si="7"/>
        <v>2.2028839801665804E-3</v>
      </c>
      <c r="H253" s="155">
        <f t="shared" si="6"/>
        <v>1.0022028839801667</v>
      </c>
    </row>
    <row r="254" spans="1:8" x14ac:dyDescent="0.2">
      <c r="A254" s="152">
        <v>42795</v>
      </c>
      <c r="B254" s="171">
        <v>6.3263086442429076E-2</v>
      </c>
      <c r="C254" s="153">
        <v>2.2039308345706892E-3</v>
      </c>
      <c r="D254" s="154">
        <f>IF(VLOOKUP(A254,[5]!CPIndex,2)=0,VLOOKUP(A254,[5]!CPIndex,6),0)</f>
        <v>2.2039308345706892E-3</v>
      </c>
      <c r="E254" s="153">
        <v>269.11681755969266</v>
      </c>
      <c r="F254" s="154">
        <f>IF(VLOOKUP(A254,[5]!CPIndex,2)=0,(F253*EXP(IF(driftswitch=1,D254,$C$4)-1/2*$D$4^2+$D$4*B254)),VLOOKUP(A254,[5]!CPIndex,2))</f>
        <v>269.73669629492593</v>
      </c>
      <c r="G254" s="162">
        <f t="shared" si="7"/>
        <v>2.205595263623935E-3</v>
      </c>
      <c r="H254" s="155">
        <f t="shared" si="6"/>
        <v>1.002205595263624</v>
      </c>
    </row>
    <row r="255" spans="1:8" x14ac:dyDescent="0.2">
      <c r="A255" s="152">
        <v>42826</v>
      </c>
      <c r="B255" s="171">
        <v>2.9407803687066872E-2</v>
      </c>
      <c r="C255" s="153">
        <v>2.2066360670315115E-3</v>
      </c>
      <c r="D255" s="154">
        <f>IF(VLOOKUP(A255,[5]!CPIndex,2)=0,VLOOKUP(A255,[5]!CPIndex,6),0)</f>
        <v>2.2066360670315115E-3</v>
      </c>
      <c r="E255" s="153">
        <v>269.71110996812672</v>
      </c>
      <c r="F255" s="154">
        <f>IF(VLOOKUP(A255,[5]!CPIndex,2)=0,(F254*EXP(IF(driftswitch=1,D255,$C$4)-1/2*$D$4^2+$D$4*B255)),VLOOKUP(A255,[5]!CPIndex,2))</f>
        <v>270.3421868884991</v>
      </c>
      <c r="G255" s="162">
        <f t="shared" si="7"/>
        <v>2.2083064663999969E-3</v>
      </c>
      <c r="H255" s="155">
        <f t="shared" si="6"/>
        <v>1.0022083064664</v>
      </c>
    </row>
    <row r="256" spans="1:8" x14ac:dyDescent="0.2">
      <c r="A256" s="152">
        <v>42856</v>
      </c>
      <c r="B256" s="171">
        <v>3.3111170669191656E-2</v>
      </c>
      <c r="C256" s="153">
        <v>2.2093412116757612E-3</v>
      </c>
      <c r="D256" s="154">
        <f>IF(VLOOKUP(A256,[5]!CPIndex,2)=0,VLOOKUP(A256,[5]!CPIndex,6),0)</f>
        <v>2.2093412116757612E-3</v>
      </c>
      <c r="E256" s="153">
        <v>270.30744597608003</v>
      </c>
      <c r="F256" s="154">
        <f>IF(VLOOKUP(A256,[5]!CPIndex,2)=0,(F255*EXP(IF(driftswitch=1,D256,$C$4)-1/2*$D$4^2+$D$4*B256)),VLOOKUP(A256,[5]!CPIndex,2))</f>
        <v>270.95101023807041</v>
      </c>
      <c r="G256" s="162">
        <f t="shared" si="7"/>
        <v>2.2110175884997251E-3</v>
      </c>
      <c r="H256" s="155">
        <f t="shared" si="6"/>
        <v>1.0022110175884997</v>
      </c>
    </row>
    <row r="257" spans="1:8" x14ac:dyDescent="0.2">
      <c r="A257" s="152">
        <v>42887</v>
      </c>
      <c r="B257" s="171">
        <v>1.1610875397710545E-2</v>
      </c>
      <c r="C257" s="153">
        <v>2.2120462685094487E-3</v>
      </c>
      <c r="D257" s="154">
        <f>IF(VLOOKUP(A257,[5]!CPIndex,2)=0,VLOOKUP(A257,[5]!CPIndex,6),0)</f>
        <v>2.2120462685094487E-3</v>
      </c>
      <c r="E257" s="153">
        <v>270.90583330812012</v>
      </c>
      <c r="F257" s="154">
        <f>IF(VLOOKUP(A257,[5]!CPIndex,2)=0,(F256*EXP(IF(driftswitch=1,D257,$C$4)-1/2*$D$4^2+$D$4*B257)),VLOOKUP(A257,[5]!CPIndex,2))</f>
        <v>271.55472053011385</v>
      </c>
      <c r="G257" s="162">
        <f t="shared" si="7"/>
        <v>2.2137286299284652E-3</v>
      </c>
      <c r="H257" s="155">
        <f t="shared" si="6"/>
        <v>1.0022137286299284</v>
      </c>
    </row>
    <row r="258" spans="1:8" x14ac:dyDescent="0.2">
      <c r="A258" s="152">
        <v>42917</v>
      </c>
      <c r="B258" s="171">
        <v>-4.3012747078767934E-2</v>
      </c>
      <c r="C258" s="153">
        <v>2.2147512375376979E-3</v>
      </c>
      <c r="D258" s="154">
        <f>IF(VLOOKUP(A258,[5]!CPIndex,2)=0,VLOOKUP(A258,[5]!CPIndex,6),0)</f>
        <v>2.2147512375376979E-3</v>
      </c>
      <c r="E258" s="153">
        <v>271.50627972241324</v>
      </c>
      <c r="F258" s="154">
        <f>IF(VLOOKUP(A258,[5]!CPIndex,2)=0,(F257*EXP(IF(driftswitch=1,D258,$C$4)-1/2*$D$4^2+$D$4*B258)),VLOOKUP(A258,[5]!CPIndex,2))</f>
        <v>272.14213215870956</v>
      </c>
      <c r="G258" s="162">
        <f t="shared" si="7"/>
        <v>2.2164395906904941E-3</v>
      </c>
      <c r="H258" s="155">
        <f t="shared" si="6"/>
        <v>1.0022164395906905</v>
      </c>
    </row>
    <row r="259" spans="1:8" x14ac:dyDescent="0.2">
      <c r="A259" s="152">
        <v>42948</v>
      </c>
      <c r="B259" s="171">
        <v>5.5924716375520709E-3</v>
      </c>
      <c r="C259" s="153">
        <v>2.2174561187665183E-3</v>
      </c>
      <c r="D259" s="154">
        <f>IF(VLOOKUP(A259,[5]!CPIndex,2)=0,VLOOKUP(A259,[5]!CPIndex,6),0)</f>
        <v>2.2174561187665183E-3</v>
      </c>
      <c r="E259" s="153">
        <v>272.1087930108821</v>
      </c>
      <c r="F259" s="154">
        <f>IF(VLOOKUP(A259,[5]!CPIndex,2)=0,(F258*EXP(IF(driftswitch=1,D259,$C$4)-1/2*$D$4^2+$D$4*B259)),VLOOKUP(A259,[5]!CPIndex,2))</f>
        <v>272.74794239642733</v>
      </c>
      <c r="G259" s="162">
        <f t="shared" si="7"/>
        <v>2.2191504707915516E-3</v>
      </c>
      <c r="H259" s="155">
        <f t="shared" si="6"/>
        <v>1.0022191504707916</v>
      </c>
    </row>
    <row r="260" spans="1:8" x14ac:dyDescent="0.2">
      <c r="A260" s="152">
        <v>42979</v>
      </c>
      <c r="B260" s="171">
        <v>-1.1329012470015777E-2</v>
      </c>
      <c r="C260" s="153">
        <v>2.2201609122016984E-3</v>
      </c>
      <c r="D260" s="154">
        <f>IF(VLOOKUP(A260,[5]!CPIndex,2)=0,VLOOKUP(A260,[5]!CPIndex,6),0)</f>
        <v>2.2201609122016984E-3</v>
      </c>
      <c r="E260" s="153">
        <v>272.71338099936372</v>
      </c>
      <c r="F260" s="154">
        <f>IF(VLOOKUP(A260,[5]!CPIndex,2)=0,(F259*EXP(IF(driftswitch=1,D260,$C$4)-1/2*$D$4^2+$D$4*B260)),VLOOKUP(A260,[5]!CPIndex,2))</f>
        <v>273.35012163426364</v>
      </c>
      <c r="G260" s="162">
        <f t="shared" si="7"/>
        <v>2.2218612702363033E-3</v>
      </c>
      <c r="H260" s="155">
        <f t="shared" si="6"/>
        <v>1.0022218612702363</v>
      </c>
    </row>
    <row r="261" spans="1:8" x14ac:dyDescent="0.2">
      <c r="A261" s="152">
        <v>43009</v>
      </c>
      <c r="B261" s="171">
        <v>5.7600739501947017E-2</v>
      </c>
      <c r="C261" s="153">
        <v>2.2228656178488056E-3</v>
      </c>
      <c r="D261" s="154">
        <f>IF(VLOOKUP(A261,[5]!CPIndex,2)=0,VLOOKUP(A261,[5]!CPIndex,6),0)</f>
        <v>2.2228656178488056E-3</v>
      </c>
      <c r="E261" s="153">
        <v>273.32005154776857</v>
      </c>
      <c r="F261" s="154">
        <f>IF(VLOOKUP(A261,[5]!CPIndex,2)=0,(F260*EXP(IF(driftswitch=1,D261,$C$4)-1/2*$D$4^2+$D$4*B261)),VLOOKUP(A261,[5]!CPIndex,2))</f>
        <v>273.97771977099796</v>
      </c>
      <c r="G261" s="162">
        <f t="shared" si="7"/>
        <v>2.2245719890299966E-3</v>
      </c>
      <c r="H261" s="155">
        <f t="shared" si="6"/>
        <v>1.0022245719890299</v>
      </c>
    </row>
    <row r="262" spans="1:8" x14ac:dyDescent="0.2">
      <c r="A262" s="152">
        <v>43040</v>
      </c>
      <c r="B262" s="171">
        <v>3.9722499549020858E-2</v>
      </c>
      <c r="C262" s="153">
        <v>2.2255702357136271E-3</v>
      </c>
      <c r="D262" s="154">
        <f>IF(VLOOKUP(A262,[5]!CPIndex,2)=0,VLOOKUP(A262,[5]!CPIndex,6),0)</f>
        <v>2.2255702357136271E-3</v>
      </c>
      <c r="E262" s="153">
        <v>273.9288125502402</v>
      </c>
      <c r="F262" s="154">
        <f>IF(VLOOKUP(A262,[5]!CPIndex,2)=0,(F261*EXP(IF(driftswitch=1,D262,$C$4)-1/2*$D$4^2+$D$4*B262)),VLOOKUP(A262,[5]!CPIndex,2))</f>
        <v>274.60143157863325</v>
      </c>
      <c r="G262" s="162">
        <f t="shared" si="7"/>
        <v>2.2272826271775748E-3</v>
      </c>
      <c r="H262" s="155">
        <f t="shared" si="6"/>
        <v>1.0022272826271776</v>
      </c>
    </row>
    <row r="263" spans="1:8" x14ac:dyDescent="0.2">
      <c r="A263" s="152">
        <v>43070</v>
      </c>
      <c r="B263" s="171">
        <v>-2.9620572748844137E-2</v>
      </c>
      <c r="C263" s="153">
        <v>2.2282747658017303E-3</v>
      </c>
      <c r="D263" s="154">
        <f>IF(VLOOKUP(A263,[5]!CPIndex,2)=0,VLOOKUP(A263,[5]!CPIndex,6),0)</f>
        <v>2.2282747658017303E-3</v>
      </c>
      <c r="E263" s="153">
        <v>274.53967193531582</v>
      </c>
      <c r="F263" s="154">
        <f>IF(VLOOKUP(A263,[5]!CPIndex,2)=0,(F262*EXP(IF(driftswitch=1,D263,$C$4)-1/2*$D$4^2+$D$4*B263)),VLOOKUP(A263,[5]!CPIndex,2))</f>
        <v>275.20371207481634</v>
      </c>
      <c r="G263" s="162">
        <f t="shared" si="7"/>
        <v>2.2299931846840411E-3</v>
      </c>
      <c r="H263" s="155">
        <f t="shared" si="6"/>
        <v>1.0022299931846841</v>
      </c>
    </row>
    <row r="264" spans="1:8" x14ac:dyDescent="0.2">
      <c r="A264" s="152">
        <v>43101</v>
      </c>
      <c r="B264" s="171">
        <v>-2.9911671706433079E-2</v>
      </c>
      <c r="C264" s="153">
        <v>2.2303031057680205E-3</v>
      </c>
      <c r="D264" s="154">
        <f>IF(VLOOKUP(A264,[5]!CPIndex,2)=0,VLOOKUP(A264,[5]!CPIndex,6),0)</f>
        <v>2.2303031057680205E-3</v>
      </c>
      <c r="E264" s="153">
        <v>275.1524516348054</v>
      </c>
      <c r="F264" s="154">
        <f>IF(VLOOKUP(A264,[5]!CPIndex,2)=0,(F263*EXP(IF(driftswitch=1,D264,$C$4)-1/2*$D$4^2+$D$4*B264)),VLOOKUP(A264,[5]!CPIndex,2))</f>
        <v>275.80777371197479</v>
      </c>
      <c r="G264" s="162">
        <f t="shared" si="7"/>
        <v>2.2320260498961903E-3</v>
      </c>
      <c r="H264" s="155">
        <f t="shared" si="6"/>
        <v>1.0022320260498963</v>
      </c>
    </row>
    <row r="265" spans="1:8" x14ac:dyDescent="0.2">
      <c r="A265" s="152">
        <v>43132</v>
      </c>
      <c r="B265" s="171">
        <v>6.2652021212429082E-3</v>
      </c>
      <c r="C265" s="153">
        <v>2.2323313963653517E-3</v>
      </c>
      <c r="D265" s="154">
        <f>IF(VLOOKUP(A265,[5]!CPIndex,2)=0,VLOOKUP(A265,[5]!CPIndex,6),0)</f>
        <v>2.2323313963653517E-3</v>
      </c>
      <c r="E265" s="153">
        <v>275.76715840991432</v>
      </c>
      <c r="F265" s="154">
        <f>IF(VLOOKUP(A265,[5]!CPIndex,2)=0,(F264*EXP(IF(driftswitch=1,D265,$C$4)-1/2*$D$4^2+$D$4*B265)),VLOOKUP(A265,[5]!CPIndex,2))</f>
        <v>276.426085761504</v>
      </c>
      <c r="G265" s="162">
        <f t="shared" si="7"/>
        <v>2.2340588697526134E-3</v>
      </c>
      <c r="H265" s="155">
        <f t="shared" si="6"/>
        <v>1.0022340588697527</v>
      </c>
    </row>
    <row r="266" spans="1:8" x14ac:dyDescent="0.2">
      <c r="A266" s="152">
        <v>43160</v>
      </c>
      <c r="B266" s="171">
        <v>2.0463639664314082E-2</v>
      </c>
      <c r="C266" s="153">
        <v>2.2343596375962306E-3</v>
      </c>
      <c r="D266" s="154">
        <f>IF(VLOOKUP(A266,[5]!CPIndex,2)=0,VLOOKUP(A266,[5]!CPIndex,6),0)</f>
        <v>2.2343596375962306E-3</v>
      </c>
      <c r="E266" s="153">
        <v>276.38379904859471</v>
      </c>
      <c r="F266" s="154">
        <f>IF(VLOOKUP(A266,[5]!CPIndex,2)=0,(F265*EXP(IF(driftswitch=1,D266,$C$4)-1/2*$D$4^2+$D$4*B266)),VLOOKUP(A266,[5]!CPIndex,2))</f>
        <v>277.05120939633485</v>
      </c>
      <c r="G266" s="162">
        <f t="shared" si="7"/>
        <v>2.2360916442551444E-3</v>
      </c>
      <c r="H266" s="155">
        <f t="shared" si="6"/>
        <v>1.0022360916442552</v>
      </c>
    </row>
    <row r="267" spans="1:8" x14ac:dyDescent="0.2">
      <c r="A267" s="152">
        <v>43191</v>
      </c>
      <c r="B267" s="171">
        <v>-2.7300829977333706E-2</v>
      </c>
      <c r="C267" s="153">
        <v>2.2363878294633871E-3</v>
      </c>
      <c r="D267" s="154">
        <f>IF(VLOOKUP(A267,[5]!CPIndex,2)=0,VLOOKUP(A267,[5]!CPIndex,6),0)</f>
        <v>2.2363878294633871E-3</v>
      </c>
      <c r="E267" s="153">
        <v>277.00238036566009</v>
      </c>
      <c r="F267" s="154">
        <f>IF(VLOOKUP(A267,[5]!CPIndex,2)=0,(F266*EXP(IF(driftswitch=1,D267,$C$4)-1/2*$D$4^2+$D$4*B267)),VLOOKUP(A267,[5]!CPIndex,2))</f>
        <v>277.66191199869905</v>
      </c>
      <c r="G267" s="162">
        <f t="shared" si="7"/>
        <v>2.2381243734066205E-3</v>
      </c>
      <c r="H267" s="155">
        <f t="shared" si="6"/>
        <v>1.0022381243734066</v>
      </c>
    </row>
    <row r="268" spans="1:8" x14ac:dyDescent="0.2">
      <c r="A268" s="152">
        <v>43221</v>
      </c>
      <c r="B268" s="171">
        <v>-2.9248306270041793E-2</v>
      </c>
      <c r="C268" s="153">
        <v>2.2384159719688853E-3</v>
      </c>
      <c r="D268" s="154">
        <f>IF(VLOOKUP(A268,[5]!CPIndex,2)=0,VLOOKUP(A268,[5]!CPIndex,6),0)</f>
        <v>2.2384159719688853E-3</v>
      </c>
      <c r="E268" s="153">
        <v>277.62290920289979</v>
      </c>
      <c r="F268" s="154">
        <f>IF(VLOOKUP(A268,[5]!CPIndex,2)=0,(F267*EXP(IF(driftswitch=1,D268,$C$4)-1/2*$D$4^2+$D$4*B268)),VLOOKUP(A268,[5]!CPIndex,2))</f>
        <v>278.27385511178431</v>
      </c>
      <c r="G268" s="162">
        <f t="shared" si="7"/>
        <v>2.2401570572085608E-3</v>
      </c>
      <c r="H268" s="155">
        <f t="shared" ref="H268:H331" si="8">G268+1</f>
        <v>1.0022401570572086</v>
      </c>
    </row>
    <row r="269" spans="1:8" x14ac:dyDescent="0.2">
      <c r="A269" s="152">
        <v>43252</v>
      </c>
      <c r="B269" s="171">
        <v>1.2824334389039136E-3</v>
      </c>
      <c r="C269" s="153">
        <v>2.2404440651152325E-3</v>
      </c>
      <c r="D269" s="154">
        <f>IF(VLOOKUP(A269,[5]!CPIndex,2)=0,VLOOKUP(A269,[5]!CPIndex,6),0)</f>
        <v>2.2404440651152325E-3</v>
      </c>
      <c r="E269" s="153">
        <v>278.24539242919457</v>
      </c>
      <c r="F269" s="154">
        <f>IF(VLOOKUP(A269,[5]!CPIndex,2)=0,(F268*EXP(IF(driftswitch=1,D269,$C$4)-1/2*$D$4^2+$D$4*B269)),VLOOKUP(A269,[5]!CPIndex,2))</f>
        <v>278.8982400983013</v>
      </c>
      <c r="G269" s="162">
        <f t="shared" ref="G269:G332" si="9">IF(shiftswitch4=1,(F269-F268)/F268,(E269-E268)/E268)</f>
        <v>2.2421896956631771E-3</v>
      </c>
      <c r="H269" s="155">
        <f t="shared" si="8"/>
        <v>1.0022421896956633</v>
      </c>
    </row>
    <row r="270" spans="1:8" x14ac:dyDescent="0.2">
      <c r="A270" s="152">
        <v>43282</v>
      </c>
      <c r="B270" s="171">
        <v>-1.2532680386203088E-2</v>
      </c>
      <c r="C270" s="153">
        <v>2.2424721089047148E-3</v>
      </c>
      <c r="D270" s="154">
        <f>IF(VLOOKUP(A270,[5]!CPIndex,2)=0,VLOOKUP(A270,[5]!CPIndex,6),0)</f>
        <v>2.2424721089047148E-3</v>
      </c>
      <c r="E270" s="153">
        <v>278.86983694063252</v>
      </c>
      <c r="F270" s="154">
        <f>IF(VLOOKUP(A270,[5]!CPIndex,2)=0,(F269*EXP(IF(driftswitch=1,D270,$C$4)-1/2*$D$4^2+$D$4*B270)),VLOOKUP(A270,[5]!CPIndex,2))</f>
        <v>279.51981848621159</v>
      </c>
      <c r="G270" s="162">
        <f t="shared" si="9"/>
        <v>2.2442222887728877E-3</v>
      </c>
      <c r="H270" s="155">
        <f t="shared" si="8"/>
        <v>1.0022442222887729</v>
      </c>
    </row>
    <row r="271" spans="1:8" x14ac:dyDescent="0.2">
      <c r="A271" s="152">
        <v>43313</v>
      </c>
      <c r="B271" s="171">
        <v>-4.8206783160169193E-2</v>
      </c>
      <c r="C271" s="153">
        <v>2.2445001033400609E-3</v>
      </c>
      <c r="D271" s="154">
        <f>IF(VLOOKUP(A271,[5]!CPIndex,2)=0,VLOOKUP(A271,[5]!CPIndex,6),0)</f>
        <v>2.2445001033400609E-3</v>
      </c>
      <c r="E271" s="153">
        <v>279.49624966062538</v>
      </c>
      <c r="F271" s="154">
        <f>IF(VLOOKUP(A271,[5]!CPIndex,2)=0,(F270*EXP(IF(driftswitch=1,D271,$C$4)-1/2*$D$4^2+$D$4*B271)),VLOOKUP(A271,[5]!CPIndex,2))</f>
        <v>280.13099430684133</v>
      </c>
      <c r="G271" s="162">
        <f t="shared" si="9"/>
        <v>2.246254836539425E-3</v>
      </c>
      <c r="H271" s="155">
        <f t="shared" si="8"/>
        <v>1.0022462548365394</v>
      </c>
    </row>
    <row r="272" spans="1:8" x14ac:dyDescent="0.2">
      <c r="A272" s="152">
        <v>43344</v>
      </c>
      <c r="B272" s="171">
        <v>6.6983801726012123E-3</v>
      </c>
      <c r="C272" s="153">
        <v>2.2465280484233355E-3</v>
      </c>
      <c r="D272" s="154">
        <f>IF(VLOOKUP(A272,[5]!CPIndex,2)=0,VLOOKUP(A272,[5]!CPIndex,6),0)</f>
        <v>2.2465280484233355E-3</v>
      </c>
      <c r="E272" s="153">
        <v>280.12463754002562</v>
      </c>
      <c r="F272" s="154">
        <f>IF(VLOOKUP(A272,[5]!CPIndex,2)=0,(F271*EXP(IF(driftswitch=1,D272,$C$4)-1/2*$D$4^2+$D$4*B272)),VLOOKUP(A272,[5]!CPIndex,2))</f>
        <v>280.7631344851074</v>
      </c>
      <c r="G272" s="162">
        <f t="shared" si="9"/>
        <v>2.2482873389651843E-3</v>
      </c>
      <c r="H272" s="155">
        <f t="shared" si="8"/>
        <v>1.0022482873389651</v>
      </c>
    </row>
    <row r="273" spans="1:8" x14ac:dyDescent="0.2">
      <c r="A273" s="152">
        <v>43374</v>
      </c>
      <c r="B273" s="171">
        <v>-2.7168817453560312E-2</v>
      </c>
      <c r="C273" s="153">
        <v>2.2485559441572677E-3</v>
      </c>
      <c r="D273" s="154">
        <f>IF(VLOOKUP(A273,[5]!CPIndex,2)=0,VLOOKUP(A273,[5]!CPIndex,6),0)</f>
        <v>2.2485559441572677E-3</v>
      </c>
      <c r="E273" s="153">
        <v>280.75500755724386</v>
      </c>
      <c r="F273" s="154">
        <f>IF(VLOOKUP(A273,[5]!CPIndex,2)=0,(F272*EXP(IF(driftswitch=1,D273,$C$4)-1/2*$D$4^2+$D$4*B273)),VLOOKUP(A273,[5]!CPIndex,2))</f>
        <v>281.38548910229878</v>
      </c>
      <c r="G273" s="162">
        <f t="shared" si="9"/>
        <v>2.2503197960521051E-3</v>
      </c>
      <c r="H273" s="155">
        <f t="shared" si="8"/>
        <v>1.0022503197960522</v>
      </c>
    </row>
    <row r="274" spans="1:8" x14ac:dyDescent="0.2">
      <c r="A274" s="152">
        <v>43405</v>
      </c>
      <c r="B274" s="171">
        <v>5.7334644321214455E-2</v>
      </c>
      <c r="C274" s="153">
        <v>2.2505837905439207E-3</v>
      </c>
      <c r="D274" s="154">
        <f>IF(VLOOKUP(A274,[5]!CPIndex,2)=0,VLOOKUP(A274,[5]!CPIndex,6),0)</f>
        <v>2.2505837905439207E-3</v>
      </c>
      <c r="E274" s="153">
        <v>281.38736671836699</v>
      </c>
      <c r="F274" s="154">
        <f>IF(VLOOKUP(A274,[5]!CPIndex,2)=0,(F273*EXP(IF(driftswitch=1,D274,$C$4)-1/2*$D$4^2+$D$4*B274)),VLOOKUP(A274,[5]!CPIndex,2))</f>
        <v>282.03926075599958</v>
      </c>
      <c r="G274" s="162">
        <f t="shared" si="9"/>
        <v>2.2523522078023855E-3</v>
      </c>
      <c r="H274" s="155">
        <f t="shared" si="8"/>
        <v>1.0022523522078024</v>
      </c>
    </row>
    <row r="275" spans="1:8" x14ac:dyDescent="0.2">
      <c r="A275" s="152">
        <v>43435</v>
      </c>
      <c r="B275" s="171">
        <v>-8.1138031032776184E-3</v>
      </c>
      <c r="C275" s="153">
        <v>2.2526115875858032E-3</v>
      </c>
      <c r="D275" s="154">
        <f>IF(VLOOKUP(A275,[5]!CPIndex,2)=0,VLOOKUP(A275,[5]!CPIndex,6),0)</f>
        <v>2.2526115875858032E-3</v>
      </c>
      <c r="E275" s="153">
        <v>282.02172205727669</v>
      </c>
      <c r="F275" s="154">
        <f>IF(VLOOKUP(A275,[5]!CPIndex,2)=0,(F274*EXP(IF(driftswitch=1,D275,$C$4)-1/2*$D$4^2+$D$4*B275)),VLOOKUP(A275,[5]!CPIndex,2))</f>
        <v>282.67224999037126</v>
      </c>
      <c r="G275" s="162">
        <f t="shared" si="9"/>
        <v>2.254384574217963E-3</v>
      </c>
      <c r="H275" s="155">
        <f t="shared" si="8"/>
        <v>1.002254384574218</v>
      </c>
    </row>
    <row r="276" spans="1:8" x14ac:dyDescent="0.2">
      <c r="A276" s="152">
        <v>43466</v>
      </c>
      <c r="B276" s="171">
        <v>-6.4196937289034911E-3</v>
      </c>
      <c r="C276" s="153">
        <v>2.2580188051417147E-3</v>
      </c>
      <c r="D276" s="154">
        <f>IF(VLOOKUP(A276,[5]!CPIndex,2)=0,VLOOKUP(A276,[5]!CPIndex,6),0)</f>
        <v>2.2580188051417147E-3</v>
      </c>
      <c r="E276" s="153">
        <v>282.6590358718459</v>
      </c>
      <c r="F276" s="154">
        <f>IF(VLOOKUP(A276,[5]!CPIndex,2)=0,(F275*EXP(IF(driftswitch=1,D276,$C$4)-1/2*$D$4^2+$D$4*B276)),VLOOKUP(A276,[5]!CPIndex,2))</f>
        <v>283.30878517700353</v>
      </c>
      <c r="G276" s="162">
        <f t="shared" si="9"/>
        <v>2.2598039963736441E-3</v>
      </c>
      <c r="H276" s="155">
        <f t="shared" si="8"/>
        <v>1.0022598039963737</v>
      </c>
    </row>
    <row r="277" spans="1:8" x14ac:dyDescent="0.2">
      <c r="A277" s="152">
        <v>43497</v>
      </c>
      <c r="B277" s="171">
        <v>1.0154174424385128E-2</v>
      </c>
      <c r="C277" s="153">
        <v>2.263425671864347E-3</v>
      </c>
      <c r="D277" s="154">
        <f>IF(VLOOKUP(A277,[5]!CPIndex,2)=0,VLOOKUP(A277,[5]!CPIndex,6),0)</f>
        <v>2.263425671864347E-3</v>
      </c>
      <c r="E277" s="153">
        <v>283.29932164825402</v>
      </c>
      <c r="F277" s="154">
        <f>IF(VLOOKUP(A277,[5]!CPIndex,2)=0,(F276*EXP(IF(driftswitch=1,D277,$C$4)-1/2*$D$4^2+$D$4*B277)),VLOOKUP(A277,[5]!CPIndex,2))</f>
        <v>283.95410765508421</v>
      </c>
      <c r="G277" s="162">
        <f t="shared" si="9"/>
        <v>2.2652230962056279E-3</v>
      </c>
      <c r="H277" s="155">
        <f t="shared" si="8"/>
        <v>1.0022652230962057</v>
      </c>
    </row>
    <row r="278" spans="1:8" x14ac:dyDescent="0.2">
      <c r="A278" s="152">
        <v>43525</v>
      </c>
      <c r="B278" s="171">
        <v>-1.1928460232720702E-2</v>
      </c>
      <c r="C278" s="153">
        <v>2.2688321877993322E-3</v>
      </c>
      <c r="D278" s="154">
        <f>IF(VLOOKUP(A278,[5]!CPIndex,2)=0,VLOOKUP(A278,[5]!CPIndex,6),0)</f>
        <v>2.2688321877993322E-3</v>
      </c>
      <c r="E278" s="153">
        <v>283.94259295079456</v>
      </c>
      <c r="F278" s="154">
        <f>IF(VLOOKUP(A278,[5]!CPIndex,2)=0,(F277*EXP(IF(driftswitch=1,D278,$C$4)-1/2*$D$4^2+$D$4*B278)),VLOOKUP(A278,[5]!CPIndex,2))</f>
        <v>284.59466845626446</v>
      </c>
      <c r="G278" s="162">
        <f t="shared" si="9"/>
        <v>2.2706418737536891E-3</v>
      </c>
      <c r="H278" s="155">
        <f t="shared" si="8"/>
        <v>1.0022706418737537</v>
      </c>
    </row>
    <row r="279" spans="1:8" x14ac:dyDescent="0.2">
      <c r="A279" s="152">
        <v>43556</v>
      </c>
      <c r="B279" s="171">
        <v>-5.0669862236391618E-2</v>
      </c>
      <c r="C279" s="153">
        <v>2.2742383529920783E-3</v>
      </c>
      <c r="D279" s="154">
        <f>IF(VLOOKUP(A279,[5]!CPIndex,2)=0,VLOOKUP(A279,[5]!CPIndex,6),0)</f>
        <v>2.2742383529920783E-3</v>
      </c>
      <c r="E279" s="153">
        <v>284.58886342233973</v>
      </c>
      <c r="F279" s="154">
        <f>IF(VLOOKUP(A279,[5]!CPIndex,2)=0,(F278*EXP(IF(driftswitch=1,D279,$C$4)-1/2*$D$4^2+$D$4*B279)),VLOOKUP(A279,[5]!CPIndex,2))</f>
        <v>285.22455391861894</v>
      </c>
      <c r="G279" s="162">
        <f t="shared" si="9"/>
        <v>2.2760603290579921E-3</v>
      </c>
      <c r="H279" s="155">
        <f t="shared" si="8"/>
        <v>1.0022760603290579</v>
      </c>
    </row>
    <row r="280" spans="1:8" x14ac:dyDescent="0.2">
      <c r="A280" s="152">
        <v>43586</v>
      </c>
      <c r="B280" s="171">
        <v>-5.015281511336192E-2</v>
      </c>
      <c r="C280" s="153">
        <v>2.279644167487993E-3</v>
      </c>
      <c r="D280" s="154">
        <f>IF(VLOOKUP(A280,[5]!CPIndex,2)=0,VLOOKUP(A280,[5]!CPIndex,6),0)</f>
        <v>2.279644167487993E-3</v>
      </c>
      <c r="E280" s="153">
        <v>285.23814678480795</v>
      </c>
      <c r="F280" s="154">
        <f>IF(VLOOKUP(A280,[5]!CPIndex,2)=0,(F279*EXP(IF(driftswitch=1,D280,$C$4)-1/2*$D$4^2+$D$4*B280)),VLOOKUP(A280,[5]!CPIndex,2))</f>
        <v>285.85756151683552</v>
      </c>
      <c r="G280" s="162">
        <f t="shared" si="9"/>
        <v>2.2814784621584643E-3</v>
      </c>
      <c r="H280" s="155">
        <f t="shared" si="8"/>
        <v>1.0022814784621585</v>
      </c>
    </row>
    <row r="281" spans="1:8" x14ac:dyDescent="0.2">
      <c r="A281" s="152">
        <v>43617</v>
      </c>
      <c r="B281" s="171">
        <v>1.1643740470831334E-2</v>
      </c>
      <c r="C281" s="153">
        <v>2.2850496313327044E-3</v>
      </c>
      <c r="D281" s="154">
        <f>IF(VLOOKUP(A281,[5]!CPIndex,2)=0,VLOOKUP(A281,[5]!CPIndex,6),0)</f>
        <v>2.2850496313327044E-3</v>
      </c>
      <c r="E281" s="153">
        <v>285.89045683963479</v>
      </c>
      <c r="F281" s="154">
        <f>IF(VLOOKUP(A281,[5]!CPIndex,2)=0,(F280*EXP(IF(driftswitch=1,D281,$C$4)-1/2*$D$4^2+$D$4*B281)),VLOOKUP(A281,[5]!CPIndex,2))</f>
        <v>286.51541280144812</v>
      </c>
      <c r="G281" s="162">
        <f t="shared" si="9"/>
        <v>2.2868962730954903E-3</v>
      </c>
      <c r="H281" s="155">
        <f t="shared" si="8"/>
        <v>1.0022868962730955</v>
      </c>
    </row>
    <row r="282" spans="1:8" x14ac:dyDescent="0.2">
      <c r="A282" s="152">
        <v>43647</v>
      </c>
      <c r="B282" s="171">
        <v>1.6633029066462399E-2</v>
      </c>
      <c r="C282" s="153">
        <v>2.2904547445716174E-3</v>
      </c>
      <c r="D282" s="154">
        <f>IF(VLOOKUP(A282,[5]!CPIndex,2)=0,VLOOKUP(A282,[5]!CPIndex,6),0)</f>
        <v>2.2904547445716174E-3</v>
      </c>
      <c r="E282" s="153">
        <v>286.54580746824672</v>
      </c>
      <c r="F282" s="154">
        <f>IF(VLOOKUP(A282,[5]!CPIndex,2)=0,(F281*EXP(IF(driftswitch=1,D282,$C$4)-1/2*$D$4^2+$D$4*B282)),VLOOKUP(A282,[5]!CPIndex,2))</f>
        <v>287.1781017390972</v>
      </c>
      <c r="G282" s="162">
        <f t="shared" si="9"/>
        <v>2.2923137619089351E-3</v>
      </c>
      <c r="H282" s="155">
        <f t="shared" si="8"/>
        <v>1.0022923137619089</v>
      </c>
    </row>
    <row r="283" spans="1:8" x14ac:dyDescent="0.2">
      <c r="A283" s="152">
        <v>43678</v>
      </c>
      <c r="B283" s="171">
        <v>-4.2853409094650097E-3</v>
      </c>
      <c r="C283" s="153">
        <v>2.2958595072503567E-3</v>
      </c>
      <c r="D283" s="154">
        <f>IF(VLOOKUP(A283,[5]!CPIndex,2)=0,VLOOKUP(A283,[5]!CPIndex,6),0)</f>
        <v>2.2958595072503567E-3</v>
      </c>
      <c r="E283" s="153">
        <v>287.2042126325382</v>
      </c>
      <c r="F283" s="154">
        <f>IF(VLOOKUP(A283,[5]!CPIndex,2)=0,(F282*EXP(IF(driftswitch=1,D283,$C$4)-1/2*$D$4^2+$D$4*B283)),VLOOKUP(A283,[5]!CPIndex,2))</f>
        <v>287.83643468701797</v>
      </c>
      <c r="G283" s="162">
        <f t="shared" si="9"/>
        <v>2.2977309286384886E-3</v>
      </c>
      <c r="H283" s="155">
        <f t="shared" si="8"/>
        <v>1.0022977309286385</v>
      </c>
    </row>
    <row r="284" spans="1:8" x14ac:dyDescent="0.2">
      <c r="A284" s="152">
        <v>43709</v>
      </c>
      <c r="B284" s="171">
        <v>5.1278943854907002E-3</v>
      </c>
      <c r="C284" s="153">
        <v>2.3012639194145462E-3</v>
      </c>
      <c r="D284" s="154">
        <f>IF(VLOOKUP(A284,[5]!CPIndex,2)=0,VLOOKUP(A284,[5]!CPIndex,6),0)</f>
        <v>2.3012639194145462E-3</v>
      </c>
      <c r="E284" s="153">
        <v>287.86568637535248</v>
      </c>
      <c r="F284" s="154">
        <f>IF(VLOOKUP(A284,[5]!CPIndex,2)=0,(F283*EXP(IF(driftswitch=1,D284,$C$4)-1/2*$D$4^2+$D$4*B284)),VLOOKUP(A284,[5]!CPIndex,2))</f>
        <v>288.50119363933038</v>
      </c>
      <c r="G284" s="162">
        <f t="shared" si="9"/>
        <v>2.3031477733253137E-3</v>
      </c>
      <c r="H284" s="155">
        <f t="shared" si="8"/>
        <v>1.0023031477733253</v>
      </c>
    </row>
    <row r="285" spans="1:8" x14ac:dyDescent="0.2">
      <c r="A285" s="152">
        <v>43739</v>
      </c>
      <c r="B285" s="171">
        <v>2.1173225869303168E-2</v>
      </c>
      <c r="C285" s="153">
        <v>2.3066679811091441E-3</v>
      </c>
      <c r="D285" s="154">
        <f>IF(VLOOKUP(A285,[5]!CPIndex,2)=0,VLOOKUP(A285,[5]!CPIndex,6),0)</f>
        <v>2.3066679811091441E-3</v>
      </c>
      <c r="E285" s="153">
        <v>288.53024282096447</v>
      </c>
      <c r="F285" s="154">
        <f>IF(VLOOKUP(A285,[5]!CPIndex,2)=0,(F284*EXP(IF(driftswitch=1,D285,$C$4)-1/2*$D$4^2+$D$4*B285)),VLOOKUP(A285,[5]!CPIndex,2))</f>
        <v>289.17478719593561</v>
      </c>
      <c r="G285" s="162">
        <f t="shared" si="9"/>
        <v>2.3085642960080609E-3</v>
      </c>
      <c r="H285" s="155">
        <f t="shared" si="8"/>
        <v>1.0023085642960081</v>
      </c>
    </row>
    <row r="286" spans="1:8" x14ac:dyDescent="0.2">
      <c r="A286" s="152">
        <v>43770</v>
      </c>
      <c r="B286" s="171">
        <v>4.8757081925212596E-3</v>
      </c>
      <c r="C286" s="153">
        <v>2.3120716923799929E-3</v>
      </c>
      <c r="D286" s="154">
        <f>IF(VLOOKUP(A286,[5]!CPIndex,2)=0,VLOOKUP(A286,[5]!CPIndex,6),0)</f>
        <v>2.3120716923799929E-3</v>
      </c>
      <c r="E286" s="153">
        <v>289.19789617556825</v>
      </c>
      <c r="F286" s="154">
        <f>IF(VLOOKUP(A286,[5]!CPIndex,2)=0,(F285*EXP(IF(driftswitch=1,D286,$C$4)-1/2*$D$4^2+$D$4*B286)),VLOOKUP(A286,[5]!CPIndex,2))</f>
        <v>289.84567927322593</v>
      </c>
      <c r="G286" s="162">
        <f t="shared" si="9"/>
        <v>2.3139804967275352E-3</v>
      </c>
      <c r="H286" s="155">
        <f t="shared" si="8"/>
        <v>1.0023139804967276</v>
      </c>
    </row>
    <row r="287" spans="1:8" x14ac:dyDescent="0.2">
      <c r="A287" s="152">
        <v>43800</v>
      </c>
      <c r="B287" s="171">
        <v>-4.9762510589445509E-2</v>
      </c>
      <c r="C287" s="153">
        <v>2.3174750532722697E-3</v>
      </c>
      <c r="D287" s="154">
        <f>IF(VLOOKUP(A287,[5]!CPIndex,2)=0,VLOOKUP(A287,[5]!CPIndex,6),0)</f>
        <v>2.3174750532722697E-3</v>
      </c>
      <c r="E287" s="153">
        <v>289.86866072776689</v>
      </c>
      <c r="F287" s="154">
        <f>IF(VLOOKUP(A287,[5]!CPIndex,2)=0,(F286*EXP(IF(driftswitch=1,D287,$C$4)-1/2*$D$4^2+$D$4*B287)),VLOOKUP(A287,[5]!CPIndex,2))</f>
        <v>290.50007252429089</v>
      </c>
      <c r="G287" s="162">
        <f t="shared" si="9"/>
        <v>2.3193963755235463E-3</v>
      </c>
      <c r="H287" s="155">
        <f t="shared" si="8"/>
        <v>1.0023193963755235</v>
      </c>
    </row>
    <row r="288" spans="1:8" x14ac:dyDescent="0.2">
      <c r="A288" s="152">
        <v>43831</v>
      </c>
      <c r="B288" s="171">
        <v>-1.5276723586069223E-2</v>
      </c>
      <c r="C288" s="153">
        <v>2.3228780638315937E-3</v>
      </c>
      <c r="D288" s="154">
        <f>IF(VLOOKUP(A288,[5]!CPIndex,2)=0,VLOOKUP(A288,[5]!CPIndex,6),0)</f>
        <v>2.3228780638315937E-3</v>
      </c>
      <c r="E288" s="153">
        <v>290.54255084906612</v>
      </c>
      <c r="F288" s="154">
        <f>IF(VLOOKUP(A288,[5]!CPIndex,2)=0,(F287*EXP(IF(driftswitch=1,D288,$C$4)-1/2*$D$4^2+$D$4*B288)),VLOOKUP(A288,[5]!CPIndex,2))</f>
        <v>291.16993090932783</v>
      </c>
      <c r="G288" s="162">
        <f t="shared" si="9"/>
        <v>2.3248119324362354E-3</v>
      </c>
      <c r="H288" s="155">
        <f t="shared" si="8"/>
        <v>1.0023248119324362</v>
      </c>
    </row>
    <row r="289" spans="1:8" x14ac:dyDescent="0.2">
      <c r="A289" s="152">
        <v>43862</v>
      </c>
      <c r="B289" s="171">
        <v>-1.4926471199672437E-2</v>
      </c>
      <c r="C289" s="153">
        <v>2.32828072410336E-3</v>
      </c>
      <c r="D289" s="154">
        <f>IF(VLOOKUP(A289,[5]!CPIndex,2)=0,VLOOKUP(A289,[5]!CPIndex,6),0)</f>
        <v>2.32828072410336E-3</v>
      </c>
      <c r="E289" s="153">
        <v>291.21958099437086</v>
      </c>
      <c r="F289" s="154">
        <f>IF(VLOOKUP(A289,[5]!CPIndex,2)=0,(F288*EXP(IF(driftswitch=1,D289,$C$4)-1/2*$D$4^2+$D$4*B289)),VLOOKUP(A289,[5]!CPIndex,2))</f>
        <v>291.84303701323955</v>
      </c>
      <c r="G289" s="162">
        <f t="shared" si="9"/>
        <v>2.3302271675051519E-3</v>
      </c>
      <c r="H289" s="155">
        <f t="shared" si="8"/>
        <v>1.0023302271675052</v>
      </c>
    </row>
    <row r="290" spans="1:8" x14ac:dyDescent="0.2">
      <c r="A290" s="152">
        <v>43891</v>
      </c>
      <c r="B290" s="171">
        <v>9.3526517186815524E-4</v>
      </c>
      <c r="C290" s="153">
        <v>2.333683034133185E-3</v>
      </c>
      <c r="D290" s="154">
        <f>IF(VLOOKUP(A290,[5]!CPIndex,2)=0,VLOOKUP(A290,[5]!CPIndex,6),0)</f>
        <v>2.333683034133185E-3</v>
      </c>
      <c r="E290" s="153">
        <v>291.89976570248587</v>
      </c>
      <c r="F290" s="154">
        <f>IF(VLOOKUP(A290,[5]!CPIndex,2)=0,(F289*EXP(IF(driftswitch=1,D290,$C$4)-1/2*$D$4^2+$D$4*B290)),VLOOKUP(A290,[5]!CPIndex,2))</f>
        <v>292.52501615230887</v>
      </c>
      <c r="G290" s="162">
        <f t="shared" si="9"/>
        <v>2.3356420807711924E-3</v>
      </c>
      <c r="H290" s="155">
        <f t="shared" si="8"/>
        <v>1.0023356420807712</v>
      </c>
    </row>
    <row r="291" spans="1:8" x14ac:dyDescent="0.2">
      <c r="A291" s="152">
        <v>43922</v>
      </c>
      <c r="B291" s="171">
        <v>1.7427426056559791E-2</v>
      </c>
      <c r="C291" s="153">
        <v>2.3390849939660188E-3</v>
      </c>
      <c r="D291" s="154">
        <f>IF(VLOOKUP(A291,[5]!CPIndex,2)=0,VLOOKUP(A291,[5]!CPIndex,6),0)</f>
        <v>2.3390849939660188E-3</v>
      </c>
      <c r="E291" s="153">
        <v>292.58311959661876</v>
      </c>
      <c r="F291" s="154">
        <f>IF(VLOOKUP(A291,[5]!CPIndex,2)=0,(F290*EXP(IF(driftswitch=1,D291,$C$4)-1/2*$D$4^2+$D$4*B291)),VLOOKUP(A291,[5]!CPIndex,2))</f>
        <v>293.21615166282277</v>
      </c>
      <c r="G291" s="162">
        <f t="shared" si="9"/>
        <v>2.3410566722735569E-3</v>
      </c>
      <c r="H291" s="155">
        <f t="shared" si="8"/>
        <v>1.0023410566722735</v>
      </c>
    </row>
    <row r="292" spans="1:8" x14ac:dyDescent="0.2">
      <c r="A292" s="152">
        <v>43952</v>
      </c>
      <c r="B292" s="171">
        <v>-2.0402525811552431E-2</v>
      </c>
      <c r="C292" s="153">
        <v>2.3444866036476967E-3</v>
      </c>
      <c r="D292" s="154">
        <f>IF(VLOOKUP(A292,[5]!CPIndex,2)=0,VLOOKUP(A292,[5]!CPIndex,6),0)</f>
        <v>2.3444866036476967E-3</v>
      </c>
      <c r="E292" s="153">
        <v>293.2696573848873</v>
      </c>
      <c r="F292" s="154">
        <f>IF(VLOOKUP(A292,[5]!CPIndex,2)=0,(F291*EXP(IF(driftswitch=1,D292,$C$4)-1/2*$D$4^2+$D$4*B292)),VLOOKUP(A292,[5]!CPIndex,2))</f>
        <v>293.89676108428057</v>
      </c>
      <c r="G292" s="162">
        <f t="shared" si="9"/>
        <v>2.3464709420525022E-3</v>
      </c>
      <c r="H292" s="155">
        <f t="shared" si="8"/>
        <v>1.0023464709420524</v>
      </c>
    </row>
    <row r="293" spans="1:8" x14ac:dyDescent="0.2">
      <c r="A293" s="152">
        <v>43983</v>
      </c>
      <c r="B293" s="171">
        <v>2.9516337953417029E-2</v>
      </c>
      <c r="C293" s="153">
        <v>2.3498878632231663E-3</v>
      </c>
      <c r="D293" s="154">
        <f>IF(VLOOKUP(A293,[5]!CPIndex,2)=0,VLOOKUP(A293,[5]!CPIndex,6),0)</f>
        <v>2.3498878632231663E-3</v>
      </c>
      <c r="E293" s="153">
        <v>293.95939386082955</v>
      </c>
      <c r="F293" s="154">
        <f>IF(VLOOKUP(A293,[5]!CPIndex,2)=0,(F292*EXP(IF(driftswitch=1,D293,$C$4)-1/2*$D$4^2+$D$4*B293)),VLOOKUP(A293,[5]!CPIndex,2))</f>
        <v>294.59872320694848</v>
      </c>
      <c r="G293" s="162">
        <f t="shared" si="9"/>
        <v>2.3518848901475128E-3</v>
      </c>
      <c r="H293" s="155">
        <f t="shared" si="8"/>
        <v>1.0023518848901476</v>
      </c>
    </row>
    <row r="294" spans="1:8" x14ac:dyDescent="0.2">
      <c r="A294" s="152">
        <v>44013</v>
      </c>
      <c r="B294" s="171">
        <v>-1.5212973844350802E-2</v>
      </c>
      <c r="C294" s="153">
        <v>2.3552887727382598E-3</v>
      </c>
      <c r="D294" s="154">
        <f>IF(VLOOKUP(A294,[5]!CPIndex,2)=0,VLOOKUP(A294,[5]!CPIndex,6),0)</f>
        <v>2.3552887727382598E-3</v>
      </c>
      <c r="E294" s="153">
        <v>294.65234390391817</v>
      </c>
      <c r="F294" s="154">
        <f>IF(VLOOKUP(A294,[5]!CPIndex,2)=0,(F293*EXP(IF(driftswitch=1,D294,$C$4)-1/2*$D$4^2+$D$4*B294)),VLOOKUP(A294,[5]!CPIndex,2))</f>
        <v>295.2876261895359</v>
      </c>
      <c r="G294" s="162">
        <f t="shared" si="9"/>
        <v>2.3572985165994775E-3</v>
      </c>
      <c r="H294" s="155">
        <f t="shared" si="8"/>
        <v>1.0023572985165994</v>
      </c>
    </row>
    <row r="295" spans="1:8" x14ac:dyDescent="0.2">
      <c r="A295" s="152">
        <v>44044</v>
      </c>
      <c r="B295" s="171">
        <v>-6.3041868831402751E-3</v>
      </c>
      <c r="C295" s="153">
        <v>2.3606893322381441E-3</v>
      </c>
      <c r="D295" s="154">
        <f>IF(VLOOKUP(A295,[5]!CPIndex,2)=0,VLOOKUP(A295,[5]!CPIndex,6),0)</f>
        <v>2.3606893322381441E-3</v>
      </c>
      <c r="E295" s="153">
        <v>295.34852248007718</v>
      </c>
      <c r="F295" s="154">
        <f>IF(VLOOKUP(A295,[5]!CPIndex,2)=0,(F294*EXP(IF(driftswitch=1,D295,$C$4)-1/2*$D$4^2+$D$4*B295)),VLOOKUP(A295,[5]!CPIndex,2))</f>
        <v>295.98299873264551</v>
      </c>
      <c r="G295" s="162">
        <f t="shared" si="9"/>
        <v>2.3627118214475406E-3</v>
      </c>
      <c r="H295" s="155">
        <f t="shared" si="8"/>
        <v>1.0023627118214475</v>
      </c>
    </row>
    <row r="296" spans="1:8" x14ac:dyDescent="0.2">
      <c r="A296" s="152">
        <v>44075</v>
      </c>
      <c r="B296" s="171">
        <v>-9.9918689408341737E-3</v>
      </c>
      <c r="C296" s="153">
        <v>2.3660895417682059E-3</v>
      </c>
      <c r="D296" s="154">
        <f>IF(VLOOKUP(A296,[5]!CPIndex,2)=0,VLOOKUP(A296,[5]!CPIndex,6),0)</f>
        <v>2.3660895417682059E-3</v>
      </c>
      <c r="E296" s="153">
        <v>296.04794464220322</v>
      </c>
      <c r="F296" s="154">
        <f>IF(VLOOKUP(A296,[5]!CPIndex,2)=0,(F295*EXP(IF(driftswitch=1,D296,$C$4)-1/2*$D$4^2+$D$4*B296)),VLOOKUP(A296,[5]!CPIndex,2))</f>
        <v>296.68025825943488</v>
      </c>
      <c r="G296" s="162">
        <f t="shared" si="9"/>
        <v>2.3681248047320788E-3</v>
      </c>
      <c r="H296" s="155">
        <f t="shared" si="8"/>
        <v>1.002368124804732</v>
      </c>
    </row>
    <row r="297" spans="1:8" x14ac:dyDescent="0.2">
      <c r="A297" s="152">
        <v>44105</v>
      </c>
      <c r="B297" s="171">
        <v>-6.1159510586631542E-2</v>
      </c>
      <c r="C297" s="153">
        <v>2.3714894013736093E-3</v>
      </c>
      <c r="D297" s="154">
        <f>IF(VLOOKUP(A297,[5]!CPIndex,2)=0,VLOOKUP(A297,[5]!CPIndex,6),0)</f>
        <v>2.3714894013736093E-3</v>
      </c>
      <c r="E297" s="153">
        <v>296.75062553068966</v>
      </c>
      <c r="F297" s="154">
        <f>IF(VLOOKUP(A297,[5]!CPIndex,2)=0,(F296*EXP(IF(driftswitch=1,D297,$C$4)-1/2*$D$4^2+$D$4*B297)),VLOOKUP(A297,[5]!CPIndex,2))</f>
        <v>297.36195356319791</v>
      </c>
      <c r="G297" s="162">
        <f t="shared" si="9"/>
        <v>2.3735374664927496E-3</v>
      </c>
      <c r="H297" s="155">
        <f t="shared" si="8"/>
        <v>1.0023735374664928</v>
      </c>
    </row>
    <row r="298" spans="1:8" x14ac:dyDescent="0.2">
      <c r="A298" s="152">
        <v>44136</v>
      </c>
      <c r="B298" s="171">
        <v>-3.3588686264959238E-3</v>
      </c>
      <c r="C298" s="153">
        <v>2.3768889111001816E-3</v>
      </c>
      <c r="D298" s="154">
        <f>IF(VLOOKUP(A298,[5]!CPIndex,2)=0,VLOOKUP(A298,[5]!CPIndex,6),0)</f>
        <v>2.3768889111001816E-3</v>
      </c>
      <c r="E298" s="153">
        <v>297.45658037395475</v>
      </c>
      <c r="F298" s="154">
        <f>IF(VLOOKUP(A298,[5]!CPIndex,2)=0,(F297*EXP(IF(driftswitch=1,D298,$C$4)-1/2*$D$4^2+$D$4*B298)),VLOOKUP(A298,[5]!CPIndex,2))</f>
        <v>298.06812488760733</v>
      </c>
      <c r="G298" s="162">
        <f t="shared" si="9"/>
        <v>2.3789498067699299E-3</v>
      </c>
      <c r="H298" s="155">
        <f t="shared" si="8"/>
        <v>1.0023789498067699</v>
      </c>
    </row>
    <row r="299" spans="1:8" x14ac:dyDescent="0.2">
      <c r="A299" s="152">
        <v>44166</v>
      </c>
      <c r="B299" s="171">
        <v>-2.2881706235006724E-2</v>
      </c>
      <c r="C299" s="153">
        <v>2.3822880709926412E-3</v>
      </c>
      <c r="D299" s="154">
        <f>IF(VLOOKUP(A299,[5]!CPIndex,2)=0,VLOOKUP(A299,[5]!CPIndex,6),0)</f>
        <v>2.3822880709926412E-3</v>
      </c>
      <c r="E299" s="153">
        <v>298.16582448897282</v>
      </c>
      <c r="F299" s="154">
        <f>IF(VLOOKUP(A299,[5]!CPIndex,2)=0,(F298*EXP(IF(driftswitch=1,D299,$C$4)-1/2*$D$4^2+$D$4*B299)),VLOOKUP(A299,[5]!CPIndex,2))</f>
        <v>298.77037462455883</v>
      </c>
      <c r="G299" s="162">
        <f t="shared" si="9"/>
        <v>2.3843618256029929E-3</v>
      </c>
      <c r="H299" s="155">
        <f t="shared" si="8"/>
        <v>1.002384361825603</v>
      </c>
    </row>
    <row r="300" spans="1:8" x14ac:dyDescent="0.2">
      <c r="A300" s="152">
        <v>44197</v>
      </c>
      <c r="B300" s="171">
        <v>-3.5229726013755978E-2</v>
      </c>
      <c r="C300" s="153">
        <v>2.392410553037841E-3</v>
      </c>
      <c r="D300" s="154">
        <f>IF(VLOOKUP(A300,[5]!CPIndex,2)=0,VLOOKUP(A300,[5]!CPIndex,6),0)</f>
        <v>2.392410553037841E-3</v>
      </c>
      <c r="E300" s="153">
        <v>298.87978508852973</v>
      </c>
      <c r="F300" s="154">
        <f>IF(VLOOKUP(A300,[5]!CPIndex,2)=0,(F299*EXP(IF(driftswitch=1,D300,$C$4)-1/2*$D$4^2+$D$4*B300)),VLOOKUP(A300,[5]!CPIndex,2))</f>
        <v>299.47273824098829</v>
      </c>
      <c r="G300" s="162">
        <f t="shared" si="9"/>
        <v>2.3945084946625644E-3</v>
      </c>
      <c r="H300" s="155">
        <f t="shared" si="8"/>
        <v>1.0023945084946626</v>
      </c>
    </row>
    <row r="301" spans="1:8" x14ac:dyDescent="0.2">
      <c r="A301" s="152">
        <v>44228</v>
      </c>
      <c r="B301" s="171">
        <v>-1.1251943801777808E-2</v>
      </c>
      <c r="C301" s="153">
        <v>2.4025318056563457E-3</v>
      </c>
      <c r="D301" s="154">
        <f>IF(VLOOKUP(A301,[5]!CPIndex,2)=0,VLOOKUP(A301,[5]!CPIndex,6),0)</f>
        <v>2.4025318056563457E-3</v>
      </c>
      <c r="E301" s="153">
        <v>299.59848756943865</v>
      </c>
      <c r="F301" s="154">
        <f>IF(VLOOKUP(A301,[5]!CPIndex,2)=0,(F300*EXP(IF(driftswitch=1,D301,$C$4)-1/2*$D$4^2+$D$4*B301)),VLOOKUP(A301,[5]!CPIndex,2))</f>
        <v>300.18869039010855</v>
      </c>
      <c r="G301" s="162">
        <f t="shared" si="9"/>
        <v>2.404654034049286E-3</v>
      </c>
      <c r="H301" s="155">
        <f t="shared" si="8"/>
        <v>1.0024046540340492</v>
      </c>
    </row>
    <row r="302" spans="1:8" x14ac:dyDescent="0.2">
      <c r="A302" s="152">
        <v>44256</v>
      </c>
      <c r="B302" s="171">
        <v>7.149670489343164E-4</v>
      </c>
      <c r="C302" s="153">
        <v>2.4126518291473797E-3</v>
      </c>
      <c r="D302" s="154">
        <f>IF(VLOOKUP(A302,[5]!CPIndex,2)=0,VLOOKUP(A302,[5]!CPIndex,6),0)</f>
        <v>2.4126518291473797E-3</v>
      </c>
      <c r="E302" s="153">
        <v>300.32195753105395</v>
      </c>
      <c r="F302" s="154">
        <f>IF(VLOOKUP(A302,[5]!CPIndex,2)=0,(F301*EXP(IF(driftswitch=1,D302,$C$4)-1/2*$D$4^2+$D$4*B302)),VLOOKUP(A302,[5]!CPIndex,2))</f>
        <v>300.91385157293161</v>
      </c>
      <c r="G302" s="162">
        <f t="shared" si="9"/>
        <v>2.4147984440262824E-3</v>
      </c>
      <c r="H302" s="155">
        <f t="shared" si="8"/>
        <v>1.0024147984440264</v>
      </c>
    </row>
    <row r="303" spans="1:8" x14ac:dyDescent="0.2">
      <c r="A303" s="152">
        <v>44287</v>
      </c>
      <c r="B303" s="171">
        <v>4.2575225162584988E-2</v>
      </c>
      <c r="C303" s="153">
        <v>2.4227706238088226E-3</v>
      </c>
      <c r="D303" s="154">
        <f>IF(VLOOKUP(A303,[5]!CPIndex,2)=0,VLOOKUP(A303,[5]!CPIndex,6),0)</f>
        <v>2.4227706238088226E-3</v>
      </c>
      <c r="E303" s="153">
        <v>301.05022077676148</v>
      </c>
      <c r="F303" s="154">
        <f>IF(VLOOKUP(A303,[5]!CPIndex,2)=0,(F302*EXP(IF(driftswitch=1,D303,$C$4)-1/2*$D$4^2+$D$4*B303)),VLOOKUP(A303,[5]!CPIndex,2))</f>
        <v>301.65942888882051</v>
      </c>
      <c r="G303" s="162">
        <f t="shared" si="9"/>
        <v>2.4249417248561312E-3</v>
      </c>
      <c r="H303" s="155">
        <f t="shared" si="8"/>
        <v>1.0024249417248561</v>
      </c>
    </row>
    <row r="304" spans="1:8" x14ac:dyDescent="0.2">
      <c r="A304" s="152">
        <v>44317</v>
      </c>
      <c r="B304" s="171">
        <v>2.5040970897751404E-2</v>
      </c>
      <c r="C304" s="153">
        <v>2.4328881899396454E-3</v>
      </c>
      <c r="D304" s="154">
        <f>IF(VLOOKUP(A304,[5]!CPIndex,2)=0,VLOOKUP(A304,[5]!CPIndex,6),0)</f>
        <v>2.4328881899396454E-3</v>
      </c>
      <c r="E304" s="153">
        <v>301.78330331548267</v>
      </c>
      <c r="F304" s="154">
        <f>IF(VLOOKUP(A304,[5]!CPIndex,2)=0,(F303*EXP(IF(driftswitch=1,D304,$C$4)-1/2*$D$4^2+$D$4*B304)),VLOOKUP(A304,[5]!CPIndex,2))</f>
        <v>302.40335725853657</v>
      </c>
      <c r="G304" s="162">
        <f t="shared" si="9"/>
        <v>2.4350838768020574E-3</v>
      </c>
      <c r="H304" s="155">
        <f t="shared" si="8"/>
        <v>1.0024350838768021</v>
      </c>
    </row>
    <row r="305" spans="1:8" x14ac:dyDescent="0.2">
      <c r="A305" s="152">
        <v>44348</v>
      </c>
      <c r="B305" s="171">
        <v>2.3706559730733941E-2</v>
      </c>
      <c r="C305" s="153">
        <v>2.4430045278376958E-3</v>
      </c>
      <c r="D305" s="154">
        <f>IF(VLOOKUP(A305,[5]!CPIndex,2)=0,VLOOKUP(A305,[5]!CPIndex,6),0)</f>
        <v>2.4430045278376958E-3</v>
      </c>
      <c r="E305" s="153">
        <v>302.52123136319204</v>
      </c>
      <c r="F305" s="154">
        <f>IF(VLOOKUP(A305,[5]!CPIndex,2)=0,(F304*EXP(IF(driftswitch=1,D305,$C$4)-1/2*$D$4^2+$D$4*B305)),VLOOKUP(A305,[5]!CPIndex,2))</f>
        <v>303.15168686483509</v>
      </c>
      <c r="G305" s="162">
        <f t="shared" si="9"/>
        <v>2.4452249001262615E-3</v>
      </c>
      <c r="H305" s="155">
        <f t="shared" si="8"/>
        <v>1.0024452249001263</v>
      </c>
    </row>
    <row r="306" spans="1:8" x14ac:dyDescent="0.2">
      <c r="A306" s="152">
        <v>44378</v>
      </c>
      <c r="B306" s="171">
        <v>-7.0351403566878213E-3</v>
      </c>
      <c r="C306" s="153">
        <v>2.4531196378014711E-3</v>
      </c>
      <c r="D306" s="154">
        <f>IF(VLOOKUP(A306,[5]!CPIndex,2)=0,VLOOKUP(A306,[5]!CPIndex,6),0)</f>
        <v>2.4531196378014711E-3</v>
      </c>
      <c r="E306" s="153">
        <v>303.26403134444905</v>
      </c>
      <c r="F306" s="154">
        <f>IF(VLOOKUP(A306,[5]!CPIndex,2)=0,(F305*EXP(IF(driftswitch=1,D306,$C$4)-1/2*$D$4^2+$D$4*B306)),VLOOKUP(A306,[5]!CPIndex,2))</f>
        <v>303.89339152207941</v>
      </c>
      <c r="G306" s="162">
        <f t="shared" si="9"/>
        <v>2.455364795091816E-3</v>
      </c>
      <c r="H306" s="155">
        <f t="shared" si="8"/>
        <v>1.0024553647950918</v>
      </c>
    </row>
    <row r="307" spans="1:8" x14ac:dyDescent="0.2">
      <c r="A307" s="152">
        <v>44409</v>
      </c>
      <c r="B307" s="171">
        <v>4.2440592825473432E-2</v>
      </c>
      <c r="C307" s="153">
        <v>2.4632335201287864E-3</v>
      </c>
      <c r="D307" s="154">
        <f>IF(VLOOKUP(A307,[5]!CPIndex,2)=0,VLOOKUP(A307,[5]!CPIndex,6),0)</f>
        <v>2.4632335201287864E-3</v>
      </c>
      <c r="E307" s="153">
        <v>304.01172989394342</v>
      </c>
      <c r="F307" s="154">
        <f>IF(VLOOKUP(A307,[5]!CPIndex,2)=0,(F306*EXP(IF(driftswitch=1,D307,$C$4)-1/2*$D$4^2+$D$4*B307)),VLOOKUP(A307,[5]!CPIndex,2))</f>
        <v>304.65862768483362</v>
      </c>
      <c r="G307" s="162">
        <f t="shared" si="9"/>
        <v>2.46550356196094E-3</v>
      </c>
      <c r="H307" s="155">
        <f t="shared" si="8"/>
        <v>1.002465503561961</v>
      </c>
    </row>
    <row r="308" spans="1:8" x14ac:dyDescent="0.2">
      <c r="A308" s="152">
        <v>44440</v>
      </c>
      <c r="B308" s="171">
        <v>-6.139203560734747E-3</v>
      </c>
      <c r="C308" s="153">
        <v>2.4733461751174426E-3</v>
      </c>
      <c r="D308" s="154">
        <f>IF(VLOOKUP(A308,[5]!CPIndex,2)=0,VLOOKUP(A308,[5]!CPIndex,6),0)</f>
        <v>2.4733461751174426E-3</v>
      </c>
      <c r="E308" s="153">
        <v>304.76435385805485</v>
      </c>
      <c r="F308" s="154">
        <f>IF(VLOOKUP(A308,[5]!CPIndex,2)=0,(F307*EXP(IF(driftswitch=1,D308,$C$4)-1/2*$D$4^2+$D$4*B308)),VLOOKUP(A308,[5]!CPIndex,2))</f>
        <v>305.41053493045422</v>
      </c>
      <c r="G308" s="162">
        <f t="shared" si="9"/>
        <v>2.4756412009956973E-3</v>
      </c>
      <c r="H308" s="155">
        <f t="shared" si="8"/>
        <v>1.0024756412009956</v>
      </c>
    </row>
    <row r="309" spans="1:8" x14ac:dyDescent="0.2">
      <c r="A309" s="152">
        <v>44470</v>
      </c>
      <c r="B309" s="171">
        <v>4.2532334180728232E-3</v>
      </c>
      <c r="C309" s="153">
        <v>2.4834576030658886E-3</v>
      </c>
      <c r="D309" s="154">
        <f>IF(VLOOKUP(A309,[5]!CPIndex,2)=0,VLOOKUP(A309,[5]!CPIndex,6),0)</f>
        <v>2.4834576030658886E-3</v>
      </c>
      <c r="E309" s="153">
        <v>305.52193029642706</v>
      </c>
      <c r="F309" s="154">
        <f>IF(VLOOKUP(A309,[5]!CPIndex,2)=0,(F308*EXP(IF(driftswitch=1,D309,$C$4)-1/2*$D$4^2+$D$4*B309)),VLOOKUP(A309,[5]!CPIndex,2))</f>
        <v>306.17132767181175</v>
      </c>
      <c r="G309" s="162">
        <f t="shared" si="9"/>
        <v>2.4857777124586418E-3</v>
      </c>
      <c r="H309" s="155">
        <f t="shared" si="8"/>
        <v>1.0024857777124587</v>
      </c>
    </row>
    <row r="310" spans="1:8" x14ac:dyDescent="0.2">
      <c r="A310" s="152">
        <v>44501</v>
      </c>
      <c r="B310" s="171">
        <v>1.056169736441394E-2</v>
      </c>
      <c r="C310" s="153">
        <v>2.4935678042712281E-3</v>
      </c>
      <c r="D310" s="154">
        <f>IF(VLOOKUP(A310,[5]!CPIndex,2)=0,VLOOKUP(A310,[5]!CPIndex,6),0)</f>
        <v>2.4935678042712281E-3</v>
      </c>
      <c r="E310" s="153">
        <v>306.28448648355618</v>
      </c>
      <c r="F310" s="154">
        <f>IF(VLOOKUP(A310,[5]!CPIndex,2)=0,(F309*EXP(IF(driftswitch=1,D310,$C$4)-1/2*$D$4^2+$D$4*B310)),VLOOKUP(A310,[5]!CPIndex,2))</f>
        <v>306.93951279222654</v>
      </c>
      <c r="G310" s="162">
        <f t="shared" si="9"/>
        <v>2.4959130966122952E-3</v>
      </c>
      <c r="H310" s="155">
        <f t="shared" si="8"/>
        <v>1.0024959130966122</v>
      </c>
    </row>
    <row r="311" spans="1:8" x14ac:dyDescent="0.2">
      <c r="A311" s="152">
        <v>44531</v>
      </c>
      <c r="B311" s="171">
        <v>-4.1625702118825915E-2</v>
      </c>
      <c r="C311" s="153">
        <v>2.503676779031436E-3</v>
      </c>
      <c r="D311" s="154">
        <f>IF(VLOOKUP(A311,[5]!CPIndex,2)=0,VLOOKUP(A311,[5]!CPIndex,6),0)</f>
        <v>2.503676779031436E-3</v>
      </c>
      <c r="E311" s="153">
        <v>307.05204991039329</v>
      </c>
      <c r="F311" s="154">
        <f>IF(VLOOKUP(A311,[5]!CPIndex,2)=0,(F310*EXP(IF(driftswitch=1,D311,$C$4)-1/2*$D$4^2+$D$4*B311)),VLOOKUP(A311,[5]!CPIndex,2))</f>
        <v>307.69288178592473</v>
      </c>
      <c r="G311" s="162">
        <f t="shared" si="9"/>
        <v>2.506047353718397E-3</v>
      </c>
      <c r="H311" s="155">
        <f t="shared" si="8"/>
        <v>1.0025060473537184</v>
      </c>
    </row>
    <row r="312" spans="1:8" x14ac:dyDescent="0.2">
      <c r="A312" s="152">
        <v>44562</v>
      </c>
      <c r="B312" s="171">
        <v>4.2777731351209054E-2</v>
      </c>
      <c r="C312" s="153">
        <v>2.5077200255975264E-3</v>
      </c>
      <c r="D312" s="154">
        <f>IF(VLOOKUP(A312,[5]!CPIndex,2)=0,VLOOKUP(A312,[5]!CPIndex,6),0)</f>
        <v>2.5077200255975264E-3</v>
      </c>
      <c r="E312" s="153">
        <v>307.82278148841311</v>
      </c>
      <c r="F312" s="154">
        <f>IF(VLOOKUP(A312,[5]!CPIndex,2)=0,(F311*EXP(IF(driftswitch=1,D312,$C$4)-1/2*$D$4^2+$D$4*B312)),VLOOKUP(A312,[5]!CPIndex,2))</f>
        <v>308.48153701280853</v>
      </c>
      <c r="G312" s="162">
        <f t="shared" si="9"/>
        <v>2.5101007410461579E-3</v>
      </c>
      <c r="H312" s="155">
        <f t="shared" si="8"/>
        <v>1.0025101007410462</v>
      </c>
    </row>
    <row r="313" spans="1:8" x14ac:dyDescent="0.2">
      <c r="A313" s="152">
        <v>44593</v>
      </c>
      <c r="B313" s="171">
        <v>5.6806777974739179E-3</v>
      </c>
      <c r="C313" s="153">
        <v>2.5117630759989322E-3</v>
      </c>
      <c r="D313" s="154">
        <f>IF(VLOOKUP(A313,[5]!CPIndex,2)=0,VLOOKUP(A313,[5]!CPIndex,6),0)</f>
        <v>2.5117630759989322E-3</v>
      </c>
      <c r="E313" s="153">
        <v>308.5966953498089</v>
      </c>
      <c r="F313" s="154">
        <f>IF(VLOOKUP(A313,[5]!CPIndex,2)=0,(F312*EXP(IF(driftswitch=1,D313,$C$4)-1/2*$D$4^2+$D$4*B313)),VLOOKUP(A313,[5]!CPIndex,2))</f>
        <v>309.25927916578712</v>
      </c>
      <c r="G313" s="162">
        <f t="shared" si="9"/>
        <v>2.5141539481050874E-3</v>
      </c>
      <c r="H313" s="155">
        <f t="shared" si="8"/>
        <v>1.0025141539481051</v>
      </c>
    </row>
    <row r="314" spans="1:8" x14ac:dyDescent="0.2">
      <c r="A314" s="152">
        <v>44621</v>
      </c>
      <c r="B314" s="171">
        <v>-3.8224502598796631E-2</v>
      </c>
      <c r="C314" s="153">
        <v>2.5158059302547997E-3</v>
      </c>
      <c r="D314" s="154">
        <f>IF(VLOOKUP(A314,[5]!CPIndex,2)=0,VLOOKUP(A314,[5]!CPIndex,6),0)</f>
        <v>2.5158059302547997E-3</v>
      </c>
      <c r="E314" s="153">
        <v>309.37380570047355</v>
      </c>
      <c r="F314" s="154">
        <f>IF(VLOOKUP(A314,[5]!CPIndex,2)=0,(F313*EXP(IF(driftswitch=1,D314,$C$4)-1/2*$D$4^2+$D$4*B314)),VLOOKUP(A314,[5]!CPIndex,2))</f>
        <v>310.02340590874019</v>
      </c>
      <c r="G314" s="162">
        <f t="shared" si="9"/>
        <v>2.5182069749119175E-3</v>
      </c>
      <c r="H314" s="155">
        <f t="shared" si="8"/>
        <v>1.0025182069749119</v>
      </c>
    </row>
    <row r="315" spans="1:8" x14ac:dyDescent="0.2">
      <c r="A315" s="152">
        <v>44652</v>
      </c>
      <c r="B315" s="171">
        <v>-1.8223512832294105E-3</v>
      </c>
      <c r="C315" s="153">
        <v>2.5198485883840532E-3</v>
      </c>
      <c r="D315" s="154">
        <f>IF(VLOOKUP(A315,[5]!CPIndex,2)=0,VLOOKUP(A315,[5]!CPIndex,6),0)</f>
        <v>2.5198485883840532E-3</v>
      </c>
      <c r="E315" s="153">
        <v>310.15412682041119</v>
      </c>
      <c r="F315" s="154">
        <f>IF(VLOOKUP(A315,[5]!CPIndex,2)=0,(F314*EXP(IF(driftswitch=1,D315,$C$4)-1/2*$D$4^2+$D$4*B315)),VLOOKUP(A315,[5]!CPIndex,2))</f>
        <v>310.80466520500113</v>
      </c>
      <c r="G315" s="162">
        <f t="shared" si="9"/>
        <v>2.52225982148315E-3</v>
      </c>
      <c r="H315" s="155">
        <f t="shared" si="8"/>
        <v>1.0025222598214831</v>
      </c>
    </row>
    <row r="316" spans="1:8" x14ac:dyDescent="0.2">
      <c r="A316" s="152">
        <v>44682</v>
      </c>
      <c r="B316" s="171">
        <v>-3.6341520142121331E-2</v>
      </c>
      <c r="C316" s="153">
        <v>2.5238910504060594E-3</v>
      </c>
      <c r="D316" s="154">
        <f>IF(VLOOKUP(A316,[5]!CPIndex,2)=0,VLOOKUP(A316,[5]!CPIndex,6),0)</f>
        <v>2.5238910504060594E-3</v>
      </c>
      <c r="E316" s="153">
        <v>310.93767306415151</v>
      </c>
      <c r="F316" s="154">
        <f>IF(VLOOKUP(A316,[5]!CPIndex,2)=0,(F315*EXP(IF(driftswitch=1,D316,$C$4)-1/2*$D$4^2+$D$4*B316)),VLOOKUP(A316,[5]!CPIndex,2))</f>
        <v>311.57585482148079</v>
      </c>
      <c r="G316" s="162">
        <f t="shared" si="9"/>
        <v>2.526312487836138E-3</v>
      </c>
      <c r="H316" s="155">
        <f t="shared" si="8"/>
        <v>1.0025263124878361</v>
      </c>
    </row>
    <row r="317" spans="1:8" x14ac:dyDescent="0.2">
      <c r="A317" s="152">
        <v>44713</v>
      </c>
      <c r="B317" s="171">
        <v>-5.1321163861431568E-2</v>
      </c>
      <c r="C317" s="153">
        <v>2.5279333163392994E-3</v>
      </c>
      <c r="D317" s="154">
        <f>IF(VLOOKUP(A317,[5]!CPIndex,2)=0,VLOOKUP(A317,[5]!CPIndex,6),0)</f>
        <v>2.5279333163392994E-3</v>
      </c>
      <c r="E317" s="153">
        <v>311.724458861166</v>
      </c>
      <c r="F317" s="154">
        <f>IF(VLOOKUP(A317,[5]!CPIndex,2)=0,(F316*EXP(IF(driftswitch=1,D317,$C$4)-1/2*$D$4^2+$D$4*B317)),VLOOKUP(A317,[5]!CPIndex,2))</f>
        <v>312.34443569768592</v>
      </c>
      <c r="G317" s="162">
        <f t="shared" si="9"/>
        <v>2.5303649739868012E-3</v>
      </c>
      <c r="H317" s="155">
        <f t="shared" si="8"/>
        <v>1.0025303649739867</v>
      </c>
    </row>
    <row r="318" spans="1:8" x14ac:dyDescent="0.2">
      <c r="A318" s="152">
        <v>44743</v>
      </c>
      <c r="B318" s="171">
        <v>-3.7752140855082029E-2</v>
      </c>
      <c r="C318" s="153">
        <v>2.5319753862033602E-3</v>
      </c>
      <c r="D318" s="154">
        <f>IF(VLOOKUP(A318,[5]!CPIndex,2)=0,VLOOKUP(A318,[5]!CPIndex,6),0)</f>
        <v>2.5319753862033602E-3</v>
      </c>
      <c r="E318" s="153">
        <v>312.51449871628762</v>
      </c>
      <c r="F318" s="154">
        <f>IF(VLOOKUP(A318,[5]!CPIndex,2)=0,(F317*EXP(IF(driftswitch=1,D318,$C$4)-1/2*$D$4^2+$D$4*B318)),VLOOKUP(A318,[5]!CPIndex,2))</f>
        <v>313.12143116327115</v>
      </c>
      <c r="G318" s="162">
        <f t="shared" si="9"/>
        <v>2.5344172799526238E-3</v>
      </c>
      <c r="H318" s="155">
        <f t="shared" si="8"/>
        <v>1.0025344172799526</v>
      </c>
    </row>
    <row r="319" spans="1:8" x14ac:dyDescent="0.2">
      <c r="A319" s="152">
        <v>44774</v>
      </c>
      <c r="B319" s="171">
        <v>-5.3782474832799007E-2</v>
      </c>
      <c r="C319" s="153">
        <v>2.5360172600167219E-3</v>
      </c>
      <c r="D319" s="154">
        <f>IF(VLOOKUP(A319,[5]!CPIndex,2)=0,VLOOKUP(A319,[5]!CPIndex,6),0)</f>
        <v>2.5360172600167219E-3</v>
      </c>
      <c r="E319" s="153">
        <v>313.30780721013218</v>
      </c>
      <c r="F319" s="154">
        <f>IF(VLOOKUP(A319,[5]!CPIndex,2)=0,(F318*EXP(IF(driftswitch=1,D319,$C$4)-1/2*$D$4^2+$D$4*B319)),VLOOKUP(A319,[5]!CPIndex,2))</f>
        <v>313.89540687942258</v>
      </c>
      <c r="G319" s="162">
        <f t="shared" si="9"/>
        <v>2.5384694057499018E-3</v>
      </c>
      <c r="H319" s="155">
        <f t="shared" si="8"/>
        <v>1.00253846940575</v>
      </c>
    </row>
    <row r="320" spans="1:8" x14ac:dyDescent="0.2">
      <c r="A320" s="152">
        <v>44805</v>
      </c>
      <c r="B320" s="171">
        <v>1.4206085171130069E-2</v>
      </c>
      <c r="C320" s="153">
        <v>2.5400589377989708E-3</v>
      </c>
      <c r="D320" s="154">
        <f>IF(VLOOKUP(A320,[5]!CPIndex,2)=0,VLOOKUP(A320,[5]!CPIndex,6),0)</f>
        <v>2.5400589377989708E-3</v>
      </c>
      <c r="E320" s="153">
        <v>314.10439899952303</v>
      </c>
      <c r="F320" s="154">
        <f>IF(VLOOKUP(A320,[5]!CPIndex,2)=0,(F319*EXP(IF(driftswitch=1,D320,$C$4)-1/2*$D$4^2+$D$4*B320)),VLOOKUP(A320,[5]!CPIndex,2))</f>
        <v>314.69902004458339</v>
      </c>
      <c r="G320" s="162">
        <f t="shared" si="9"/>
        <v>2.5425213513960722E-3</v>
      </c>
      <c r="H320" s="155">
        <f t="shared" si="8"/>
        <v>1.0025425213513961</v>
      </c>
    </row>
    <row r="321" spans="1:8" x14ac:dyDescent="0.2">
      <c r="A321" s="152">
        <v>44835</v>
      </c>
      <c r="B321" s="171">
        <v>-4.1954723452520576E-2</v>
      </c>
      <c r="C321" s="153">
        <v>2.5441004195685866E-3</v>
      </c>
      <c r="D321" s="154">
        <f>IF(VLOOKUP(A321,[5]!CPIndex,2)=0,VLOOKUP(A321,[5]!CPIndex,6),0)</f>
        <v>2.5441004195685866E-3</v>
      </c>
      <c r="E321" s="153">
        <v>314.90428881791735</v>
      </c>
      <c r="F321" s="154">
        <f>IF(VLOOKUP(A321,[5]!CPIndex,2)=0,(F320*EXP(IF(driftswitch=1,D321,$C$4)-1/2*$D$4^2+$D$4*B321)),VLOOKUP(A321,[5]!CPIndex,2))</f>
        <v>315.48405881735681</v>
      </c>
      <c r="G321" s="162">
        <f t="shared" si="9"/>
        <v>2.5465731169066956E-3</v>
      </c>
      <c r="H321" s="155">
        <f t="shared" si="8"/>
        <v>1.0025465731169068</v>
      </c>
    </row>
    <row r="322" spans="1:8" x14ac:dyDescent="0.2">
      <c r="A322" s="152">
        <v>44866</v>
      </c>
      <c r="B322" s="171">
        <v>3.0282036746388338E-2</v>
      </c>
      <c r="C322" s="153">
        <v>2.5481417053449325E-3</v>
      </c>
      <c r="D322" s="154">
        <f>IF(VLOOKUP(A322,[5]!CPIndex,2)=0,VLOOKUP(A322,[5]!CPIndex,6),0)</f>
        <v>2.5481417053449325E-3</v>
      </c>
      <c r="E322" s="153">
        <v>315.70749147583643</v>
      </c>
      <c r="F322" s="154">
        <f>IF(VLOOKUP(A322,[5]!CPIndex,2)=0,(F321*EXP(IF(driftswitch=1,D322,$C$4)-1/2*$D$4^2+$D$4*B322)),VLOOKUP(A322,[5]!CPIndex,2))</f>
        <v>316.30058241697424</v>
      </c>
      <c r="G322" s="162">
        <f t="shared" si="9"/>
        <v>2.5506247022996612E-3</v>
      </c>
      <c r="H322" s="155">
        <f t="shared" si="8"/>
        <v>1.0025506247022997</v>
      </c>
    </row>
    <row r="323" spans="1:8" x14ac:dyDescent="0.2">
      <c r="A323" s="152">
        <v>44896</v>
      </c>
      <c r="B323" s="171">
        <v>2.0257960487961208E-2</v>
      </c>
      <c r="C323" s="153">
        <v>2.5521827951467094E-3</v>
      </c>
      <c r="D323" s="154">
        <f>IF(VLOOKUP(A323,[5]!CPIndex,2)=0,VLOOKUP(A323,[5]!CPIndex,6),0)</f>
        <v>2.5521827951467094E-3</v>
      </c>
      <c r="E323" s="153">
        <v>316.51402186129724</v>
      </c>
      <c r="F323" s="154">
        <f>IF(VLOOKUP(A323,[5]!CPIndex,2)=0,(F322*EXP(IF(driftswitch=1,D323,$C$4)-1/2*$D$4^2+$D$4*B323)),VLOOKUP(A323,[5]!CPIndex,2))</f>
        <v>317.11657057099092</v>
      </c>
      <c r="G323" s="162">
        <f t="shared" si="9"/>
        <v>2.5546761075909831E-3</v>
      </c>
      <c r="H323" s="155">
        <f t="shared" si="8"/>
        <v>1.002554676107591</v>
      </c>
    </row>
    <row r="324" spans="1:8" x14ac:dyDescent="0.2">
      <c r="A324" s="152">
        <v>44927</v>
      </c>
      <c r="B324" s="171">
        <v>6.30000557458157E-2</v>
      </c>
      <c r="C324" s="153">
        <v>2.5568971522511568E-3</v>
      </c>
      <c r="D324" s="154">
        <f>IF(VLOOKUP(A324,[5]!CPIndex,2)=0,VLOOKUP(A324,[5]!CPIndex,6),0)</f>
        <v>2.5568971522511568E-3</v>
      </c>
      <c r="E324" s="153">
        <v>317.32410864630356</v>
      </c>
      <c r="F324" s="154">
        <f>IF(VLOOKUP(A324,[5]!CPIndex,2)=0,(F323*EXP(IF(driftswitch=1,D324,$C$4)-1/2*$D$4^2+$D$4*B324)),VLOOKUP(A324,[5]!CPIndex,2))</f>
        <v>317.95296467850898</v>
      </c>
      <c r="G324" s="162">
        <f t="shared" si="9"/>
        <v>2.5594025194919036E-3</v>
      </c>
      <c r="H324" s="155">
        <f t="shared" si="8"/>
        <v>1.0025594025194919</v>
      </c>
    </row>
    <row r="325" spans="1:8" x14ac:dyDescent="0.2">
      <c r="A325" s="152">
        <v>44958</v>
      </c>
      <c r="B325" s="171">
        <v>6.3524530076176098E-3</v>
      </c>
      <c r="C325" s="153">
        <v>2.5616112426687268E-3</v>
      </c>
      <c r="D325" s="154">
        <f>IF(VLOOKUP(A325,[5]!CPIndex,2)=0,VLOOKUP(A325,[5]!CPIndex,6),0)</f>
        <v>2.5616112426687268E-3</v>
      </c>
      <c r="E325" s="153">
        <v>318.13776849613942</v>
      </c>
      <c r="F325" s="154">
        <f>IF(VLOOKUP(A325,[5]!CPIndex,2)=0,(F324*EXP(IF(driftswitch=1,D325,$C$4)-1/2*$D$4^2+$D$4*B325)),VLOOKUP(A325,[5]!CPIndex,2))</f>
        <v>318.77074063917462</v>
      </c>
      <c r="G325" s="162">
        <f t="shared" si="9"/>
        <v>2.5641286863040754E-3</v>
      </c>
      <c r="H325" s="155">
        <f t="shared" si="8"/>
        <v>1.0025641286863041</v>
      </c>
    </row>
    <row r="326" spans="1:8" x14ac:dyDescent="0.2">
      <c r="A326" s="152">
        <v>44986</v>
      </c>
      <c r="B326" s="171">
        <v>3.7749997128887522E-3</v>
      </c>
      <c r="C326" s="153">
        <v>2.5663250664294422E-3</v>
      </c>
      <c r="D326" s="154">
        <f>IF(VLOOKUP(A326,[5]!CPIndex,2)=0,VLOOKUP(A326,[5]!CPIndex,6),0)</f>
        <v>2.5663250664294422E-3</v>
      </c>
      <c r="E326" s="153">
        <v>318.95501816873679</v>
      </c>
      <c r="F326" s="154">
        <f>IF(VLOOKUP(A326,[5]!CPIndex,2)=0,(F325*EXP(IF(driftswitch=1,D326,$C$4)-1/2*$D$4^2+$D$4*B326)),VLOOKUP(A326,[5]!CPIndex,2))</f>
        <v>319.5911079678483</v>
      </c>
      <c r="G326" s="162">
        <f t="shared" si="9"/>
        <v>2.5688546080541437E-3</v>
      </c>
      <c r="H326" s="155">
        <f t="shared" si="8"/>
        <v>1.0025688546080542</v>
      </c>
    </row>
    <row r="327" spans="1:8" x14ac:dyDescent="0.2">
      <c r="A327" s="152">
        <v>45017</v>
      </c>
      <c r="B327" s="171">
        <v>6.9717189030360935E-2</v>
      </c>
      <c r="C327" s="153">
        <v>2.5710386235637669E-3</v>
      </c>
      <c r="D327" s="154">
        <f>IF(VLOOKUP(A327,[5]!CPIndex,2)=0,VLOOKUP(A327,[5]!CPIndex,6),0)</f>
        <v>2.5710386235637669E-3</v>
      </c>
      <c r="E327" s="153">
        <v>319.77587451522396</v>
      </c>
      <c r="F327" s="154">
        <f>IF(VLOOKUP(A327,[5]!CPIndex,2)=0,(F326*EXP(IF(driftswitch=1,D327,$C$4)-1/2*$D$4^2+$D$4*B327)),VLOOKUP(A327,[5]!CPIndex,2))</f>
        <v>320.44122134609108</v>
      </c>
      <c r="G327" s="162">
        <f t="shared" si="9"/>
        <v>2.573580284768927E-3</v>
      </c>
      <c r="H327" s="155">
        <f t="shared" si="8"/>
        <v>1.0025735802847688</v>
      </c>
    </row>
    <row r="328" spans="1:8" x14ac:dyDescent="0.2">
      <c r="A328" s="152">
        <v>45047</v>
      </c>
      <c r="B328" s="171">
        <v>-5.2029869103073688E-2</v>
      </c>
      <c r="C328" s="153">
        <v>2.5757519141017221E-3</v>
      </c>
      <c r="D328" s="154">
        <f>IF(VLOOKUP(A328,[5]!CPIndex,2)=0,VLOOKUP(A328,[5]!CPIndex,6),0)</f>
        <v>2.5757519141017221E-3</v>
      </c>
      <c r="E328" s="153">
        <v>320.60035448047722</v>
      </c>
      <c r="F328" s="154">
        <f>IF(VLOOKUP(A328,[5]!CPIndex,2)=0,(F327*EXP(IF(driftswitch=1,D328,$C$4)-1/2*$D$4^2+$D$4*B328)),VLOOKUP(A328,[5]!CPIndex,2))</f>
        <v>321.24675062555156</v>
      </c>
      <c r="G328" s="162">
        <f t="shared" si="9"/>
        <v>2.5783057164745823E-3</v>
      </c>
      <c r="H328" s="155">
        <f t="shared" si="8"/>
        <v>1.0025783057164745</v>
      </c>
    </row>
    <row r="329" spans="1:8" x14ac:dyDescent="0.2">
      <c r="A329" s="152">
        <v>45078</v>
      </c>
      <c r="B329" s="171">
        <v>-3.3257873608115496E-2</v>
      </c>
      <c r="C329" s="153">
        <v>2.580464938073328E-3</v>
      </c>
      <c r="D329" s="154">
        <f>IF(VLOOKUP(A329,[5]!CPIndex,2)=0,VLOOKUP(A329,[5]!CPIndex,6),0)</f>
        <v>2.580464938073328E-3</v>
      </c>
      <c r="E329" s="153">
        <v>321.42847510367648</v>
      </c>
      <c r="F329" s="154">
        <f>IF(VLOOKUP(A329,[5]!CPIndex,2)=0,(F328*EXP(IF(driftswitch=1,D329,$C$4)-1/2*$D$4^2+$D$4*B329)),VLOOKUP(A329,[5]!CPIndex,2))</f>
        <v>322.06329752985937</v>
      </c>
      <c r="G329" s="162">
        <f t="shared" si="9"/>
        <v>2.5830309031978382E-3</v>
      </c>
      <c r="H329" s="155">
        <f t="shared" si="8"/>
        <v>1.0025830309031978</v>
      </c>
    </row>
    <row r="330" spans="1:8" x14ac:dyDescent="0.2">
      <c r="A330" s="152">
        <v>45108</v>
      </c>
      <c r="B330" s="171">
        <v>2.0485935100486984E-2</v>
      </c>
      <c r="C330" s="153">
        <v>2.5851776955090468E-3</v>
      </c>
      <c r="D330" s="154">
        <f>IF(VLOOKUP(A330,[5]!CPIndex,2)=0,VLOOKUP(A330,[5]!CPIndex,6),0)</f>
        <v>2.5851776955090468E-3</v>
      </c>
      <c r="E330" s="153">
        <v>322.26025351886432</v>
      </c>
      <c r="F330" s="154">
        <f>IF(VLOOKUP(A330,[5]!CPIndex,2)=0,(F329*EXP(IF(driftswitch=1,D330,$C$4)-1/2*$D$4^2+$D$4*B330)),VLOOKUP(A330,[5]!CPIndex,2))</f>
        <v>322.90489731345923</v>
      </c>
      <c r="G330" s="162">
        <f t="shared" si="9"/>
        <v>2.5877558449653596E-3</v>
      </c>
      <c r="H330" s="155">
        <f t="shared" si="8"/>
        <v>1.0025877558449654</v>
      </c>
    </row>
    <row r="331" spans="1:8" x14ac:dyDescent="0.2">
      <c r="A331" s="152">
        <v>45139</v>
      </c>
      <c r="B331" s="171">
        <v>1.1656709425789018E-2</v>
      </c>
      <c r="C331" s="153">
        <v>2.5898901864386758E-3</v>
      </c>
      <c r="D331" s="154">
        <f>IF(VLOOKUP(A331,[5]!CPIndex,2)=0,VLOOKUP(A331,[5]!CPIndex,6),0)</f>
        <v>2.5898901864386758E-3</v>
      </c>
      <c r="E331" s="153">
        <v>323.0957069555086</v>
      </c>
      <c r="F331" s="154">
        <f>IF(VLOOKUP(A331,[5]!CPIndex,2)=0,(F330*EXP(IF(driftswitch=1,D331,$C$4)-1/2*$D$4^2+$D$4*B331)),VLOOKUP(A331,[5]!CPIndex,2))</f>
        <v>323.74668784382794</v>
      </c>
      <c r="G331" s="162">
        <f t="shared" si="9"/>
        <v>2.5924805418033998E-3</v>
      </c>
      <c r="H331" s="155">
        <f t="shared" si="8"/>
        <v>1.0025924805418034</v>
      </c>
    </row>
    <row r="332" spans="1:8" x14ac:dyDescent="0.2">
      <c r="A332" s="152">
        <v>45170</v>
      </c>
      <c r="B332" s="171">
        <v>2.2750330424291577E-2</v>
      </c>
      <c r="C332" s="153">
        <v>2.594602410892675E-3</v>
      </c>
      <c r="D332" s="154">
        <f>IF(VLOOKUP(A332,[5]!CPIndex,2)=0,VLOOKUP(A332,[5]!CPIndex,6),0)</f>
        <v>2.594602410892675E-3</v>
      </c>
      <c r="E332" s="153">
        <v>323.93485273906913</v>
      </c>
      <c r="F332" s="154">
        <f>IF(VLOOKUP(A332,[5]!CPIndex,2)=0,(F331*EXP(IF(driftswitch=1,D332,$C$4)-1/2*$D$4^2+$D$4*B332)),VLOOKUP(A332,[5]!CPIndex,2))</f>
        <v>324.5966545487571</v>
      </c>
      <c r="G332" s="162">
        <f t="shared" si="9"/>
        <v>2.5972049937391414E-3</v>
      </c>
      <c r="H332" s="155">
        <f t="shared" ref="H332:H395" si="10">G332+1</f>
        <v>1.0025972049937391</v>
      </c>
    </row>
    <row r="333" spans="1:8" x14ac:dyDescent="0.2">
      <c r="A333" s="152">
        <v>45200</v>
      </c>
      <c r="B333" s="171">
        <v>3.9469000730130932E-2</v>
      </c>
      <c r="C333" s="153">
        <v>2.5993143689008414E-3</v>
      </c>
      <c r="D333" s="154">
        <f>IF(VLOOKUP(A333,[5]!CPIndex,2)=0,VLOOKUP(A333,[5]!CPIndex,6),0)</f>
        <v>2.5993143689008414E-3</v>
      </c>
      <c r="E333" s="153">
        <v>324.77770829156714</v>
      </c>
      <c r="F333" s="154">
        <f>IF(VLOOKUP(A333,[5]!CPIndex,2)=0,(F332*EXP(IF(driftswitch=1,D333,$C$4)-1/2*$D$4^2+$D$4*B333)),VLOOKUP(A333,[5]!CPIndex,2))</f>
        <v>325.45711363532348</v>
      </c>
      <c r="G333" s="162">
        <f t="shared" ref="G333:G396" si="11">IF(shiftswitch4=1,(F333-F332)/F332,(E333-E332)/E332)</f>
        <v>2.6019292007980754E-3</v>
      </c>
      <c r="H333" s="155">
        <f t="shared" si="10"/>
        <v>1.0026019292007982</v>
      </c>
    </row>
    <row r="334" spans="1:8" x14ac:dyDescent="0.2">
      <c r="A334" s="152">
        <v>45231</v>
      </c>
      <c r="B334" s="171">
        <v>7.6702685274336241E-2</v>
      </c>
      <c r="C334" s="153">
        <v>2.6040260604936333E-3</v>
      </c>
      <c r="D334" s="154">
        <f>IF(VLOOKUP(A334,[5]!CPIndex,2)=0,VLOOKUP(A334,[5]!CPIndex,6),0)</f>
        <v>2.6040260604936333E-3</v>
      </c>
      <c r="E334" s="153">
        <v>325.62429113215978</v>
      </c>
      <c r="F334" s="154">
        <f>IF(VLOOKUP(A334,[5]!CPIndex,2)=0,(F333*EXP(IF(driftswitch=1,D334,$C$4)-1/2*$D$4^2+$D$4*B334)),VLOOKUP(A334,[5]!CPIndex,2))</f>
        <v>326.33641382000468</v>
      </c>
      <c r="G334" s="162">
        <f t="shared" si="11"/>
        <v>2.6066531630078243E-3</v>
      </c>
      <c r="H334" s="155">
        <f t="shared" si="10"/>
        <v>1.0026066531630078</v>
      </c>
    </row>
    <row r="335" spans="1:8" x14ac:dyDescent="0.2">
      <c r="A335" s="152">
        <v>45261</v>
      </c>
      <c r="B335" s="171">
        <v>-3.7557106802422052E-2</v>
      </c>
      <c r="C335" s="153">
        <v>2.6087374857010669E-3</v>
      </c>
      <c r="D335" s="154">
        <f>IF(VLOOKUP(A335,[5]!CPIndex,2)=0,VLOOKUP(A335,[5]!CPIndex,6),0)</f>
        <v>2.6087374857010669E-3</v>
      </c>
      <c r="E335" s="153">
        <v>326.47461887771709</v>
      </c>
      <c r="F335" s="154">
        <f>IF(VLOOKUP(A335,[5]!CPIndex,2)=0,(F334*EXP(IF(driftswitch=1,D335,$C$4)-1/2*$D$4^2+$D$4*B335)),VLOOKUP(A335,[5]!CPIndex,2))</f>
        <v>327.17340850551568</v>
      </c>
      <c r="G335" s="162">
        <f t="shared" si="11"/>
        <v>2.6113768803943112E-3</v>
      </c>
      <c r="H335" s="155">
        <f t="shared" si="10"/>
        <v>1.0026113768803944</v>
      </c>
    </row>
    <row r="336" spans="1:8" x14ac:dyDescent="0.2">
      <c r="A336" s="152">
        <v>45292</v>
      </c>
      <c r="B336" s="171">
        <v>-1.8253353480561819E-2</v>
      </c>
      <c r="C336" s="153">
        <v>0</v>
      </c>
      <c r="D336" s="154">
        <f>IF(VLOOKUP(A336,[5]!CPIndex,2)=0,VLOOKUP(A336,[5]!CPIndex,6),0)</f>
        <v>0</v>
      </c>
      <c r="E336" s="153">
        <v>326.4743693449027</v>
      </c>
      <c r="F336" s="154">
        <f>IF(VLOOKUP(A336,[5]!CPIndex,2)=0,(F335*EXP(IF(driftswitch=1,D336,$C$4)-1/2*$D$4^2+$D$4*B336)),VLOOKUP(A336,[5]!CPIndex,2))</f>
        <v>327.1657748135994</v>
      </c>
      <c r="G336" s="162">
        <f t="shared" si="11"/>
        <v>-7.643253103455626E-7</v>
      </c>
      <c r="H336" s="155">
        <f t="shared" si="10"/>
        <v>0.99999923567468962</v>
      </c>
    </row>
    <row r="337" spans="1:8" x14ac:dyDescent="0.2">
      <c r="A337" s="152">
        <v>45323</v>
      </c>
      <c r="B337" s="171">
        <v>-1.3130234340842616E-2</v>
      </c>
      <c r="C337" s="153">
        <v>2.6168135949609607E-3</v>
      </c>
      <c r="D337" s="154">
        <f>IF(VLOOKUP(A337,[5]!CPIndex,2)=0,VLOOKUP(A337,[5]!CPIndex,6),0)</f>
        <v>2.6168135949609607E-3</v>
      </c>
      <c r="E337" s="153">
        <v>327.32956050367113</v>
      </c>
      <c r="F337" s="154">
        <f>IF(VLOOKUP(A337,[5]!CPIndex,2)=0,(F336*EXP(IF(driftswitch=1,D337,$C$4)-1/2*$D$4^2+$D$4*B337)),VLOOKUP(A337,[5]!CPIndex,2))</f>
        <v>328.01745199861256</v>
      </c>
      <c r="G337" s="162">
        <f t="shared" si="11"/>
        <v>2.6194741121161971E-3</v>
      </c>
      <c r="H337" s="155">
        <f t="shared" si="10"/>
        <v>1.0026194741121162</v>
      </c>
    </row>
    <row r="338" spans="1:8" x14ac:dyDescent="0.2">
      <c r="A338" s="152">
        <v>45352</v>
      </c>
      <c r="B338" s="171">
        <v>-3.0544141199963841E-2</v>
      </c>
      <c r="C338" s="153">
        <v>2.6248889216142772E-3</v>
      </c>
      <c r="D338" s="154">
        <f>IF(VLOOKUP(A338,[5]!CPIndex,2)=0,VLOOKUP(A338,[5]!CPIndex,6),0)</f>
        <v>2.6248889216142772E-3</v>
      </c>
      <c r="E338" s="153">
        <v>328.18964204140383</v>
      </c>
      <c r="F338" s="154">
        <f>IF(VLOOKUP(A338,[5]!CPIndex,2)=0,(F337*EXP(IF(driftswitch=1,D338,$C$4)-1/2*$D$4^2+$D$4*B338)),VLOOKUP(A338,[5]!CPIndex,2))</f>
        <v>328.86692133676337</v>
      </c>
      <c r="G338" s="162">
        <f t="shared" si="11"/>
        <v>2.6275706245695173E-3</v>
      </c>
      <c r="H338" s="155">
        <f t="shared" si="10"/>
        <v>1.0026275706245695</v>
      </c>
    </row>
    <row r="339" spans="1:8" x14ac:dyDescent="0.2">
      <c r="A339" s="152">
        <v>45383</v>
      </c>
      <c r="B339" s="171">
        <v>4.3287668167351313E-3</v>
      </c>
      <c r="C339" s="153">
        <v>2.6248889216142772E-3</v>
      </c>
      <c r="D339" s="154">
        <f>IF(VLOOKUP(A339,[5]!CPIndex,2)=0,VLOOKUP(A339,[5]!CPIndex,6),0)</f>
        <v>2.6248889216142772E-3</v>
      </c>
      <c r="E339" s="153">
        <v>329.05198350411979</v>
      </c>
      <c r="F339" s="154">
        <f>IF(VLOOKUP(A339,[5]!CPIndex,2)=0,(F338*EXP(IF(driftswitch=1,D339,$C$4)-1/2*$D$4^2+$D$4*B339)),VLOOKUP(A339,[5]!CPIndex,2))</f>
        <v>329.73280713322094</v>
      </c>
      <c r="G339" s="162">
        <f t="shared" si="11"/>
        <v>2.6275706245694644E-3</v>
      </c>
      <c r="H339" s="155">
        <f t="shared" si="10"/>
        <v>1.0026275706245695</v>
      </c>
    </row>
    <row r="340" spans="1:8" x14ac:dyDescent="0.2">
      <c r="A340" s="152">
        <v>45413</v>
      </c>
      <c r="B340" s="171">
        <v>-2.8810334624402772E-2</v>
      </c>
      <c r="C340" s="153">
        <v>2.6329634658125481E-3</v>
      </c>
      <c r="D340" s="154">
        <f>IF(VLOOKUP(A340,[5]!CPIndex,2)=0,VLOOKUP(A340,[5]!CPIndex,6),0)</f>
        <v>2.6329634658125481E-3</v>
      </c>
      <c r="E340" s="153">
        <v>329.91925476678102</v>
      </c>
      <c r="F340" s="154">
        <f>IF(VLOOKUP(A340,[5]!CPIndex,2)=0,(F339*EXP(IF(driftswitch=1,D340,$C$4)-1/2*$D$4^2+$D$4*B340)),VLOOKUP(A340,[5]!CPIndex,2))</f>
        <v>330.590096757992</v>
      </c>
      <c r="G340" s="162">
        <f t="shared" si="11"/>
        <v>2.6356664178879669E-3</v>
      </c>
      <c r="H340" s="155">
        <f t="shared" si="10"/>
        <v>1.0026356664178879</v>
      </c>
    </row>
    <row r="341" spans="1:8" x14ac:dyDescent="0.2">
      <c r="A341" s="152">
        <v>45444</v>
      </c>
      <c r="B341" s="171">
        <v>-2.2701653468410871E-2</v>
      </c>
      <c r="C341" s="153">
        <v>2.6410372277075179E-3</v>
      </c>
      <c r="D341" s="154">
        <f>IF(VLOOKUP(A341,[5]!CPIndex,2)=0,VLOOKUP(A341,[5]!CPIndex,6),0)</f>
        <v>2.6410372277075179E-3</v>
      </c>
      <c r="E341" s="153">
        <v>330.79148258807032</v>
      </c>
      <c r="F341" s="154">
        <f>IF(VLOOKUP(A341,[5]!CPIndex,2)=0,(F340*EXP(IF(driftswitch=1,D341,$C$4)-1/2*$D$4^2+$D$4*B341)),VLOOKUP(A341,[5]!CPIndex,2))</f>
        <v>331.45479471697138</v>
      </c>
      <c r="G341" s="162">
        <f t="shared" si="11"/>
        <v>2.6437614922047385E-3</v>
      </c>
      <c r="H341" s="155">
        <f t="shared" si="10"/>
        <v>1.0026437614922048</v>
      </c>
    </row>
    <row r="342" spans="1:8" x14ac:dyDescent="0.2">
      <c r="A342" s="152">
        <v>45474</v>
      </c>
      <c r="B342" s="171">
        <v>-2.1947745113921724E-2</v>
      </c>
      <c r="C342" s="153">
        <v>2.6410372277075179E-3</v>
      </c>
      <c r="D342" s="154">
        <f>IF(VLOOKUP(A342,[5]!CPIndex,2)=0,VLOOKUP(A342,[5]!CPIndex,6),0)</f>
        <v>2.6410372277075179E-3</v>
      </c>
      <c r="E342" s="153">
        <v>331.666016371686</v>
      </c>
      <c r="F342" s="154">
        <f>IF(VLOOKUP(A342,[5]!CPIndex,2)=0,(F341*EXP(IF(driftswitch=1,D342,$C$4)-1/2*$D$4^2+$D$4*B342)),VLOOKUP(A342,[5]!CPIndex,2))</f>
        <v>332.32206416150086</v>
      </c>
      <c r="G342" s="162">
        <f t="shared" si="11"/>
        <v>2.6437614922048005E-3</v>
      </c>
      <c r="H342" s="155">
        <f t="shared" si="10"/>
        <v>1.0026437614922048</v>
      </c>
    </row>
    <row r="343" spans="1:8" x14ac:dyDescent="0.2">
      <c r="A343" s="152">
        <v>45505</v>
      </c>
      <c r="B343" s="171">
        <v>2.5959746072061203E-2</v>
      </c>
      <c r="C343" s="153">
        <v>2.6491102074507047E-3</v>
      </c>
      <c r="D343" s="154">
        <f>IF(VLOOKUP(A343,[5]!CPIndex,2)=0,VLOOKUP(A343,[5]!CPIndex,6),0)</f>
        <v>2.6491102074507047E-3</v>
      </c>
      <c r="E343" s="153">
        <v>332.54554683666925</v>
      </c>
      <c r="F343" s="154">
        <f>IF(VLOOKUP(A343,[5]!CPIndex,2)=0,(F342*EXP(IF(driftswitch=1,D343,$C$4)-1/2*$D$4^2+$D$4*B343)),VLOOKUP(A343,[5]!CPIndex,2))</f>
        <v>333.21402912835873</v>
      </c>
      <c r="G343" s="162">
        <f t="shared" si="11"/>
        <v>2.651855847653652E-3</v>
      </c>
      <c r="H343" s="155">
        <f t="shared" si="10"/>
        <v>1.0026518558476536</v>
      </c>
    </row>
    <row r="344" spans="1:8" x14ac:dyDescent="0.2">
      <c r="A344" s="152">
        <v>45536</v>
      </c>
      <c r="B344" s="171">
        <v>2.8956205793012536E-2</v>
      </c>
      <c r="C344" s="153">
        <v>2.6491102074507047E-3</v>
      </c>
      <c r="D344" s="154">
        <f>IF(VLOOKUP(A344,[5]!CPIndex,2)=0,VLOOKUP(A344,[5]!CPIndex,6),0)</f>
        <v>2.6491102074507047E-3</v>
      </c>
      <c r="E344" s="153">
        <v>333.42740968965921</v>
      </c>
      <c r="F344" s="154">
        <f>IF(VLOOKUP(A344,[5]!CPIndex,2)=0,(F343*EXP(IF(driftswitch=1,D344,$C$4)-1/2*$D$4^2+$D$4*B344)),VLOOKUP(A344,[5]!CPIndex,2))</f>
        <v>334.10962596386378</v>
      </c>
      <c r="G344" s="162">
        <f t="shared" si="11"/>
        <v>2.6518558476535488E-3</v>
      </c>
      <c r="H344" s="155">
        <f t="shared" si="10"/>
        <v>1.0026518558476536</v>
      </c>
    </row>
    <row r="345" spans="1:8" x14ac:dyDescent="0.2">
      <c r="A345" s="152">
        <v>45566</v>
      </c>
      <c r="B345" s="171">
        <v>1.0385873460801179E-2</v>
      </c>
      <c r="C345" s="153">
        <v>2.6491102074507047E-3</v>
      </c>
      <c r="D345" s="154">
        <f>IF(VLOOKUP(A345,[5]!CPIndex,2)=0,VLOOKUP(A345,[5]!CPIndex,6),0)</f>
        <v>2.6491102074507047E-3</v>
      </c>
      <c r="E345" s="153">
        <v>334.31161111581275</v>
      </c>
      <c r="F345" s="154">
        <f>IF(VLOOKUP(A345,[5]!CPIndex,2)=0,(F344*EXP(IF(driftswitch=1,D345,$C$4)-1/2*$D$4^2+$D$4*B345)),VLOOKUP(A345,[5]!CPIndex,2))</f>
        <v>334.99993821979933</v>
      </c>
      <c r="G345" s="162">
        <f t="shared" si="11"/>
        <v>2.6518558476536684E-3</v>
      </c>
      <c r="H345" s="155">
        <f t="shared" si="10"/>
        <v>1.0026518558476536</v>
      </c>
    </row>
    <row r="346" spans="1:8" x14ac:dyDescent="0.2">
      <c r="A346" s="152">
        <v>45597</v>
      </c>
      <c r="B346" s="171">
        <v>-4.5813759486801026E-2</v>
      </c>
      <c r="C346" s="153">
        <v>2.6571824051933981E-3</v>
      </c>
      <c r="D346" s="154">
        <f>IF(VLOOKUP(A346,[5]!CPIndex,2)=0,VLOOKUP(A346,[5]!CPIndex,6),0)</f>
        <v>2.6571824051933981E-3</v>
      </c>
      <c r="E346" s="153">
        <v>335.20086311341839</v>
      </c>
      <c r="F346" s="154">
        <f>IF(VLOOKUP(A346,[5]!CPIndex,2)=0,(F345*EXP(IF(driftswitch=1,D346,$C$4)-1/2*$D$4^2+$D$4*B346)),VLOOKUP(A346,[5]!CPIndex,2))</f>
        <v>335.87199562621629</v>
      </c>
      <c r="G346" s="162">
        <f t="shared" si="11"/>
        <v>2.6599494843676983E-3</v>
      </c>
      <c r="H346" s="155">
        <f t="shared" si="10"/>
        <v>1.0026599494843678</v>
      </c>
    </row>
    <row r="347" spans="1:8" x14ac:dyDescent="0.2">
      <c r="A347" s="152">
        <v>45627</v>
      </c>
      <c r="B347" s="171">
        <v>2.0936047829765429E-2</v>
      </c>
      <c r="C347" s="153">
        <v>2.6571824051933981E-3</v>
      </c>
      <c r="D347" s="154">
        <f>IF(VLOOKUP(A347,[5]!CPIndex,2)=0,VLOOKUP(A347,[5]!CPIndex,6),0)</f>
        <v>2.6571824051933981E-3</v>
      </c>
      <c r="E347" s="153">
        <v>336.09248047641654</v>
      </c>
      <c r="F347" s="154">
        <f>IF(VLOOKUP(A347,[5]!CPIndex,2)=0,(F346*EXP(IF(driftswitch=1,D347,$C$4)-1/2*$D$4^2+$D$4*B347)),VLOOKUP(A347,[5]!CPIndex,2))</f>
        <v>336.77411546768343</v>
      </c>
      <c r="G347" s="162">
        <f t="shared" si="11"/>
        <v>2.6599494843677057E-3</v>
      </c>
      <c r="H347" s="155">
        <f t="shared" si="10"/>
        <v>1.0026599494843678</v>
      </c>
    </row>
    <row r="348" spans="1:8" x14ac:dyDescent="0.2">
      <c r="A348" s="152">
        <v>45658</v>
      </c>
      <c r="B348" s="171">
        <v>6.2580543158201772E-3</v>
      </c>
      <c r="C348" s="153">
        <v>2.6571824051933981E-3</v>
      </c>
      <c r="D348" s="154">
        <f>IF(VLOOKUP(A348,[5]!CPIndex,2)=0,VLOOKUP(A348,[5]!CPIndex,6),0)</f>
        <v>2.6571824051933981E-3</v>
      </c>
      <c r="E348" s="153">
        <v>336.98646949655966</v>
      </c>
      <c r="F348" s="154">
        <f>IF(VLOOKUP(A348,[5]!CPIndex,2)=0,(F347*EXP(IF(driftswitch=1,D348,$C$4)-1/2*$D$4^2+$D$4*B348)),VLOOKUP(A348,[5]!CPIndex,2))</f>
        <v>337.67253029065751</v>
      </c>
      <c r="G348" s="162">
        <f t="shared" si="11"/>
        <v>2.6599494843677551E-3</v>
      </c>
      <c r="H348" s="155">
        <f t="shared" si="10"/>
        <v>1.0026599494843678</v>
      </c>
    </row>
    <row r="349" spans="1:8" x14ac:dyDescent="0.2">
      <c r="A349" s="152">
        <v>45689</v>
      </c>
      <c r="B349" s="171">
        <v>7.5477238238476751E-3</v>
      </c>
      <c r="C349" s="153">
        <v>2.6571824051933981E-3</v>
      </c>
      <c r="D349" s="154">
        <f>IF(VLOOKUP(A349,[5]!CPIndex,2)=0,VLOOKUP(A349,[5]!CPIndex,6),0)</f>
        <v>2.6571824051933981E-3</v>
      </c>
      <c r="E349" s="153">
        <v>337.88283648233596</v>
      </c>
      <c r="F349" s="154">
        <f>IF(VLOOKUP(A349,[5]!CPIndex,2)=0,(F348*EXP(IF(driftswitch=1,D349,$C$4)-1/2*$D$4^2+$D$4*B349)),VLOOKUP(A349,[5]!CPIndex,2))</f>
        <v>338.57388168726953</v>
      </c>
      <c r="G349" s="162">
        <f t="shared" si="11"/>
        <v>2.659949484367792E-3</v>
      </c>
      <c r="H349" s="155">
        <f t="shared" si="10"/>
        <v>1.0026599494843678</v>
      </c>
    </row>
    <row r="350" spans="1:8" x14ac:dyDescent="0.2">
      <c r="A350" s="152">
        <v>45717</v>
      </c>
      <c r="B350" s="171">
        <v>1.1670208796681599E-2</v>
      </c>
      <c r="C350" s="153">
        <v>2.6571824051933981E-3</v>
      </c>
      <c r="D350" s="154">
        <f>IF(VLOOKUP(A350,[5]!CPIndex,2)=0,VLOOKUP(A350,[5]!CPIndex,6),0)</f>
        <v>2.6571824051933981E-3</v>
      </c>
      <c r="E350" s="153">
        <v>338.78158775901386</v>
      </c>
      <c r="F350" s="154">
        <f>IF(VLOOKUP(A350,[5]!CPIndex,2)=0,(F349*EXP(IF(driftswitch=1,D350,$C$4)-1/2*$D$4^2+$D$4*B350)),VLOOKUP(A350,[5]!CPIndex,2))</f>
        <v>339.47936938335471</v>
      </c>
      <c r="G350" s="162">
        <f t="shared" si="11"/>
        <v>2.6599494843677404E-3</v>
      </c>
      <c r="H350" s="155">
        <f t="shared" si="10"/>
        <v>1.0026599494843678</v>
      </c>
    </row>
    <row r="351" spans="1:8" x14ac:dyDescent="0.2">
      <c r="A351" s="152">
        <v>45748</v>
      </c>
      <c r="B351" s="171">
        <v>-6.0320872241151702E-3</v>
      </c>
      <c r="C351" s="153">
        <v>2.6571824051933981E-3</v>
      </c>
      <c r="D351" s="154">
        <f>IF(VLOOKUP(A351,[5]!CPIndex,2)=0,VLOOKUP(A351,[5]!CPIndex,6),0)</f>
        <v>2.6571824051933981E-3</v>
      </c>
      <c r="E351" s="153">
        <v>339.68272966868676</v>
      </c>
      <c r="F351" s="154">
        <f>IF(VLOOKUP(A351,[5]!CPIndex,2)=0,(F350*EXP(IF(driftswitch=1,D351,$C$4)-1/2*$D$4^2+$D$4*B351)),VLOOKUP(A351,[5]!CPIndex,2))</f>
        <v>340.37982879797084</v>
      </c>
      <c r="G351" s="162">
        <f t="shared" si="11"/>
        <v>2.6599494843678232E-3</v>
      </c>
      <c r="H351" s="155">
        <f t="shared" si="10"/>
        <v>1.0026599494843678</v>
      </c>
    </row>
    <row r="352" spans="1:8" x14ac:dyDescent="0.2">
      <c r="A352" s="152">
        <v>45778</v>
      </c>
      <c r="B352" s="171">
        <v>-1.219703894725262E-2</v>
      </c>
      <c r="C352" s="153">
        <v>2.6571824051933981E-3</v>
      </c>
      <c r="D352" s="154">
        <f>IF(VLOOKUP(A352,[5]!CPIndex,2)=0,VLOOKUP(A352,[5]!CPIndex,6),0)</f>
        <v>2.6571824051933981E-3</v>
      </c>
      <c r="E352" s="153">
        <v>340.5862685703176</v>
      </c>
      <c r="F352" s="154">
        <f>IF(VLOOKUP(A352,[5]!CPIndex,2)=0,(F351*EXP(IF(driftswitch=1,D352,$C$4)-1/2*$D$4^2+$D$4*B352)),VLOOKUP(A352,[5]!CPIndex,2))</f>
        <v>341.28007531957041</v>
      </c>
      <c r="G352" s="162">
        <f t="shared" si="11"/>
        <v>2.659949484367707E-3</v>
      </c>
      <c r="H352" s="155">
        <f t="shared" si="10"/>
        <v>1.0026599494843678</v>
      </c>
    </row>
    <row r="353" spans="1:8" x14ac:dyDescent="0.2">
      <c r="A353" s="152">
        <v>45809</v>
      </c>
      <c r="B353" s="171">
        <v>-4.4564463688921731E-2</v>
      </c>
      <c r="C353" s="153">
        <v>2.6571824051933981E-3</v>
      </c>
      <c r="D353" s="154">
        <f>IF(VLOOKUP(A353,[5]!CPIndex,2)=0,VLOOKUP(A353,[5]!CPIndex,6),0)</f>
        <v>2.6571824051933981E-3</v>
      </c>
      <c r="E353" s="153">
        <v>341.49221083978398</v>
      </c>
      <c r="F353" s="154">
        <f>IF(VLOOKUP(A353,[5]!CPIndex,2)=0,(F352*EXP(IF(driftswitch=1,D353,$C$4)-1/2*$D$4^2+$D$4*B353)),VLOOKUP(A353,[5]!CPIndex,2))</f>
        <v>342.16900942636175</v>
      </c>
      <c r="G353" s="162">
        <f t="shared" si="11"/>
        <v>2.6599494843678297E-3</v>
      </c>
      <c r="H353" s="155">
        <f t="shared" si="10"/>
        <v>1.0026599494843678</v>
      </c>
    </row>
    <row r="354" spans="1:8" x14ac:dyDescent="0.2">
      <c r="A354" s="152">
        <v>45839</v>
      </c>
      <c r="B354" s="171">
        <v>1.4550082790668398E-2</v>
      </c>
      <c r="C354" s="153">
        <v>2.6571824051933981E-3</v>
      </c>
      <c r="D354" s="154">
        <f>IF(VLOOKUP(A354,[5]!CPIndex,2)=0,VLOOKUP(A354,[5]!CPIndex,6),0)</f>
        <v>2.6571824051933981E-3</v>
      </c>
      <c r="E354" s="153">
        <v>342.40056286992285</v>
      </c>
      <c r="F354" s="154">
        <f>IF(VLOOKUP(A354,[5]!CPIndex,2)=0,(F353*EXP(IF(driftswitch=1,D354,$C$4)-1/2*$D$4^2+$D$4*B354)),VLOOKUP(A354,[5]!CPIndex,2))</f>
        <v>343.08533359279261</v>
      </c>
      <c r="G354" s="162">
        <f t="shared" si="11"/>
        <v>2.659949484367707E-3</v>
      </c>
      <c r="H354" s="155">
        <f t="shared" si="10"/>
        <v>1.0026599494843678</v>
      </c>
    </row>
    <row r="355" spans="1:8" x14ac:dyDescent="0.2">
      <c r="A355" s="152">
        <v>45870</v>
      </c>
      <c r="B355" s="171">
        <v>-1.6762377652418989E-2</v>
      </c>
      <c r="C355" s="153">
        <v>2.6571824051933981E-3</v>
      </c>
      <c r="D355" s="154">
        <f>IF(VLOOKUP(A355,[5]!CPIndex,2)=0,VLOOKUP(A355,[5]!CPIndex,6),0)</f>
        <v>2.6571824051933981E-3</v>
      </c>
      <c r="E355" s="153">
        <v>343.31133107057593</v>
      </c>
      <c r="F355" s="154">
        <f>IF(VLOOKUP(A355,[5]!CPIndex,2)=0,(F354*EXP(IF(driftswitch=1,D355,$C$4)-1/2*$D$4^2+$D$4*B355)),VLOOKUP(A355,[5]!CPIndex,2))</f>
        <v>343.99079404332275</v>
      </c>
      <c r="G355" s="162">
        <f t="shared" si="11"/>
        <v>2.6599494843677564E-3</v>
      </c>
      <c r="H355" s="155">
        <f t="shared" si="10"/>
        <v>1.0026599494843678</v>
      </c>
    </row>
    <row r="356" spans="1:8" x14ac:dyDescent="0.2">
      <c r="A356" s="152">
        <v>45901</v>
      </c>
      <c r="B356" s="171">
        <v>9.444037609383003E-3</v>
      </c>
      <c r="C356" s="153">
        <v>2.6571824051933981E-3</v>
      </c>
      <c r="D356" s="154">
        <f>IF(VLOOKUP(A356,[5]!CPIndex,2)=0,VLOOKUP(A356,[5]!CPIndex,6),0)</f>
        <v>2.6571824051933981E-3</v>
      </c>
      <c r="E356" s="153">
        <v>344.22452186863472</v>
      </c>
      <c r="F356" s="154">
        <f>IF(VLOOKUP(A356,[5]!CPIndex,2)=0,(F355*EXP(IF(driftswitch=1,D356,$C$4)-1/2*$D$4^2+$D$4*B356)),VLOOKUP(A356,[5]!CPIndex,2))</f>
        <v>344.90981948738062</v>
      </c>
      <c r="G356" s="162">
        <f t="shared" si="11"/>
        <v>2.6599494843677737E-3</v>
      </c>
      <c r="H356" s="155">
        <f t="shared" si="10"/>
        <v>1.0026599494843678</v>
      </c>
    </row>
    <row r="357" spans="1:8" x14ac:dyDescent="0.2">
      <c r="A357" s="152">
        <v>45931</v>
      </c>
      <c r="B357" s="171">
        <v>6.1299379482694462E-2</v>
      </c>
      <c r="C357" s="153">
        <v>2.6571824051933981E-3</v>
      </c>
      <c r="D357" s="154">
        <f>IF(VLOOKUP(A357,[5]!CPIndex,2)=0,VLOOKUP(A357,[5]!CPIndex,6),0)</f>
        <v>2.6571824051933981E-3</v>
      </c>
      <c r="E357" s="153">
        <v>345.14014170808593</v>
      </c>
      <c r="F357" s="154">
        <f>IF(VLOOKUP(A357,[5]!CPIndex,2)=0,(F356*EXP(IF(driftswitch=1,D357,$C$4)-1/2*$D$4^2+$D$4*B357)),VLOOKUP(A357,[5]!CPIndex,2))</f>
        <v>345.85347332712757</v>
      </c>
      <c r="G357" s="162">
        <f t="shared" si="11"/>
        <v>2.6599494843677503E-3</v>
      </c>
      <c r="H357" s="155">
        <f t="shared" si="10"/>
        <v>1.0026599494843678</v>
      </c>
    </row>
    <row r="358" spans="1:8" x14ac:dyDescent="0.2">
      <c r="A358" s="152">
        <v>45962</v>
      </c>
      <c r="B358" s="171">
        <v>-2.9647460713485788E-3</v>
      </c>
      <c r="C358" s="153">
        <v>2.6571824051933981E-3</v>
      </c>
      <c r="D358" s="154">
        <f>IF(VLOOKUP(A358,[5]!CPIndex,2)=0,VLOOKUP(A358,[5]!CPIndex,6),0)</f>
        <v>2.6571824051933981E-3</v>
      </c>
      <c r="E358" s="153">
        <v>346.05819705005695</v>
      </c>
      <c r="F358" s="154">
        <f>IF(VLOOKUP(A358,[5]!CPIndex,2)=0,(F357*EXP(IF(driftswitch=1,D358,$C$4)-1/2*$D$4^2+$D$4*B358)),VLOOKUP(A358,[5]!CPIndex,2))</f>
        <v>346.77215497468791</v>
      </c>
      <c r="G358" s="162">
        <f t="shared" si="11"/>
        <v>2.6599494843676831E-3</v>
      </c>
      <c r="H358" s="155">
        <f t="shared" si="10"/>
        <v>1.0026599494843678</v>
      </c>
    </row>
    <row r="359" spans="1:8" x14ac:dyDescent="0.2">
      <c r="A359" s="152">
        <v>45992</v>
      </c>
      <c r="B359" s="171">
        <v>5.2622007736754808E-2</v>
      </c>
      <c r="C359" s="153">
        <v>2.6571824051933981E-3</v>
      </c>
      <c r="D359" s="154">
        <f>IF(VLOOKUP(A359,[5]!CPIndex,2)=0,VLOOKUP(A359,[5]!CPIndex,6),0)</f>
        <v>2.6571824051933981E-3</v>
      </c>
      <c r="E359" s="153">
        <v>346.97869437286147</v>
      </c>
      <c r="F359" s="154">
        <f>IF(VLOOKUP(A359,[5]!CPIndex,2)=0,(F358*EXP(IF(driftswitch=1,D359,$C$4)-1/2*$D$4^2+$D$4*B359)),VLOOKUP(A359,[5]!CPIndex,2))</f>
        <v>347.7171735265282</v>
      </c>
      <c r="G359" s="162">
        <f t="shared" si="11"/>
        <v>2.6599494843677204E-3</v>
      </c>
      <c r="H359" s="155">
        <f t="shared" si="10"/>
        <v>1.0026599494843678</v>
      </c>
    </row>
    <row r="360" spans="1:8" x14ac:dyDescent="0.2">
      <c r="A360" s="152">
        <v>46023</v>
      </c>
      <c r="B360" s="171">
        <v>-3.9204895734875504E-2</v>
      </c>
      <c r="C360" s="153">
        <v>2.6571824051933981E-3</v>
      </c>
      <c r="D360" s="154">
        <f>IF(VLOOKUP(A360,[5]!CPIndex,2)=0,VLOOKUP(A360,[5]!CPIndex,6),0)</f>
        <v>2.6571824051933981E-3</v>
      </c>
      <c r="E360" s="153">
        <v>347.90164017204518</v>
      </c>
      <c r="F360" s="154">
        <f>IF(VLOOKUP(A360,[5]!CPIndex,2)=0,(F359*EXP(IF(driftswitch=1,D360,$C$4)-1/2*$D$4^2+$D$4*B360)),VLOOKUP(A360,[5]!CPIndex,2))</f>
        <v>348.62518453472035</v>
      </c>
      <c r="G360" s="162">
        <f t="shared" si="11"/>
        <v>2.6599494843678076E-3</v>
      </c>
      <c r="H360" s="155">
        <f t="shared" si="10"/>
        <v>1.0026599494843678</v>
      </c>
    </row>
    <row r="361" spans="1:8" x14ac:dyDescent="0.2">
      <c r="A361" s="152">
        <v>46054</v>
      </c>
      <c r="B361" s="171">
        <v>4.6536478303089305E-3</v>
      </c>
      <c r="C361" s="153">
        <v>2.6571824051933981E-3</v>
      </c>
      <c r="D361" s="154">
        <f>IF(VLOOKUP(A361,[5]!CPIndex,2)=0,VLOOKUP(A361,[5]!CPIndex,6),0)</f>
        <v>2.6571824051933981E-3</v>
      </c>
      <c r="E361" s="153">
        <v>348.82704096043153</v>
      </c>
      <c r="F361" s="154">
        <f>IF(VLOOKUP(A361,[5]!CPIndex,2)=0,(F360*EXP(IF(driftswitch=1,D361,$C$4)-1/2*$D$4^2+$D$4*B361)),VLOOKUP(A361,[5]!CPIndex,2))</f>
        <v>349.55452114294877</v>
      </c>
      <c r="G361" s="162">
        <f t="shared" si="11"/>
        <v>2.6599494843678336E-3</v>
      </c>
      <c r="H361" s="155">
        <f t="shared" si="10"/>
        <v>1.0026599494843678</v>
      </c>
    </row>
    <row r="362" spans="1:8" x14ac:dyDescent="0.2">
      <c r="A362" s="152">
        <v>46082</v>
      </c>
      <c r="B362" s="171">
        <v>-8.6380500651933448E-4</v>
      </c>
      <c r="C362" s="153">
        <v>2.6571824051933981E-3</v>
      </c>
      <c r="D362" s="154">
        <f>IF(VLOOKUP(A362,[5]!CPIndex,2)=0,VLOOKUP(A362,[5]!CPIndex,6),0)</f>
        <v>2.6571824051933981E-3</v>
      </c>
      <c r="E362" s="153">
        <v>349.75490326816777</v>
      </c>
      <c r="F362" s="154">
        <f>IF(VLOOKUP(A362,[5]!CPIndex,2)=0,(F361*EXP(IF(driftswitch=1,D362,$C$4)-1/2*$D$4^2+$D$4*B362)),VLOOKUP(A362,[5]!CPIndex,2))</f>
        <v>350.48394419531922</v>
      </c>
      <c r="G362" s="162">
        <f t="shared" si="11"/>
        <v>2.6599494843677677E-3</v>
      </c>
      <c r="H362" s="155">
        <f t="shared" si="10"/>
        <v>1.0026599494843678</v>
      </c>
    </row>
    <row r="363" spans="1:8" x14ac:dyDescent="0.2">
      <c r="A363" s="152">
        <v>46113</v>
      </c>
      <c r="B363" s="171">
        <v>6.3732633826595317E-2</v>
      </c>
      <c r="C363" s="153">
        <v>2.6571824051933981E-3</v>
      </c>
      <c r="D363" s="154">
        <f>IF(VLOOKUP(A363,[5]!CPIndex,2)=0,VLOOKUP(A363,[5]!CPIndex,6),0)</f>
        <v>2.6571824051933981E-3</v>
      </c>
      <c r="E363" s="153">
        <v>350.68523364277104</v>
      </c>
      <c r="F363" s="154">
        <f>IF(VLOOKUP(A363,[5]!CPIndex,2)=0,(F362*EXP(IF(driftswitch=1,D363,$C$4)-1/2*$D$4^2+$D$4*B363)),VLOOKUP(A363,[5]!CPIndex,2))</f>
        <v>351.443905823492</v>
      </c>
      <c r="G363" s="162">
        <f t="shared" si="11"/>
        <v>2.6599494843677998E-3</v>
      </c>
      <c r="H363" s="155">
        <f t="shared" si="10"/>
        <v>1.0026599494843678</v>
      </c>
    </row>
    <row r="364" spans="1:8" x14ac:dyDescent="0.2">
      <c r="A364" s="152">
        <v>46143</v>
      </c>
      <c r="B364" s="171">
        <v>6.5354281955526559E-3</v>
      </c>
      <c r="C364" s="153">
        <v>2.6571824051933981E-3</v>
      </c>
      <c r="D364" s="154">
        <f>IF(VLOOKUP(A364,[5]!CPIndex,2)=0,VLOOKUP(A364,[5]!CPIndex,6),0)</f>
        <v>2.6571824051933981E-3</v>
      </c>
      <c r="E364" s="153">
        <v>351.61803864917454</v>
      </c>
      <c r="F364" s="154">
        <f>IF(VLOOKUP(A364,[5]!CPIndex,2)=0,(F363*EXP(IF(driftswitch=1,D364,$C$4)-1/2*$D$4^2+$D$4*B364)),VLOOKUP(A364,[5]!CPIndex,2))</f>
        <v>352.38157620192476</v>
      </c>
      <c r="G364" s="162">
        <f t="shared" si="11"/>
        <v>2.6599494843678228E-3</v>
      </c>
      <c r="H364" s="155">
        <f t="shared" si="10"/>
        <v>1.0026599494843678</v>
      </c>
    </row>
    <row r="365" spans="1:8" x14ac:dyDescent="0.2">
      <c r="A365" s="152">
        <v>46174</v>
      </c>
      <c r="B365" s="171">
        <v>2.5790953962492574E-2</v>
      </c>
      <c r="C365" s="153">
        <v>2.6571824051933981E-3</v>
      </c>
      <c r="D365" s="154">
        <f>IF(VLOOKUP(A365,[5]!CPIndex,2)=0,VLOOKUP(A365,[5]!CPIndex,6),0)</f>
        <v>2.6571824051933981E-3</v>
      </c>
      <c r="E365" s="153">
        <v>352.5533248697738</v>
      </c>
      <c r="F365" s="154">
        <f>IF(VLOOKUP(A365,[5]!CPIndex,2)=0,(F364*EXP(IF(driftswitch=1,D365,$C$4)-1/2*$D$4^2+$D$4*B365)),VLOOKUP(A365,[5]!CPIndex,2))</f>
        <v>353.33016005916238</v>
      </c>
      <c r="G365" s="162">
        <f t="shared" si="11"/>
        <v>2.659949484367736E-3</v>
      </c>
      <c r="H365" s="155">
        <f t="shared" si="10"/>
        <v>1.0026599494843678</v>
      </c>
    </row>
    <row r="366" spans="1:8" x14ac:dyDescent="0.2">
      <c r="A366" s="152">
        <v>46204</v>
      </c>
      <c r="B366" s="171">
        <v>-4.924232331500502E-2</v>
      </c>
      <c r="C366" s="153">
        <v>2.6571824051933981E-3</v>
      </c>
      <c r="D366" s="154">
        <f>IF(VLOOKUP(A366,[5]!CPIndex,2)=0,VLOOKUP(A366,[5]!CPIndex,6),0)</f>
        <v>2.6571824051933981E-3</v>
      </c>
      <c r="E366" s="153">
        <v>353.49109890447329</v>
      </c>
      <c r="F366" s="154">
        <f>IF(VLOOKUP(A366,[5]!CPIndex,2)=0,(F365*EXP(IF(driftswitch=1,D366,$C$4)-1/2*$D$4^2+$D$4*B366)),VLOOKUP(A366,[5]!CPIndex,2))</f>
        <v>354.24843223661037</v>
      </c>
      <c r="G366" s="162">
        <f t="shared" si="11"/>
        <v>2.6599494843677395E-3</v>
      </c>
      <c r="H366" s="155">
        <f t="shared" si="10"/>
        <v>1.0026599494843678</v>
      </c>
    </row>
    <row r="367" spans="1:8" x14ac:dyDescent="0.2">
      <c r="A367" s="152">
        <v>46235</v>
      </c>
      <c r="B367" s="171">
        <v>8.7681322209665596E-2</v>
      </c>
      <c r="C367" s="153">
        <v>2.6571824051933981E-3</v>
      </c>
      <c r="D367" s="154">
        <f>IF(VLOOKUP(A367,[5]!CPIndex,2)=0,VLOOKUP(A367,[5]!CPIndex,6),0)</f>
        <v>2.6571824051933981E-3</v>
      </c>
      <c r="E367" s="153">
        <v>354.43136737073286</v>
      </c>
      <c r="F367" s="154">
        <f>IF(VLOOKUP(A367,[5]!CPIndex,2)=0,(F366*EXP(IF(driftswitch=1,D367,$C$4)-1/2*$D$4^2+$D$4*B367)),VLOOKUP(A367,[5]!CPIndex,2))</f>
        <v>355.22922276995985</v>
      </c>
      <c r="G367" s="162">
        <f t="shared" si="11"/>
        <v>2.6599494843678193E-3</v>
      </c>
      <c r="H367" s="155">
        <f t="shared" si="10"/>
        <v>1.0026599494843678</v>
      </c>
    </row>
    <row r="368" spans="1:8" x14ac:dyDescent="0.2">
      <c r="A368" s="152">
        <v>46266</v>
      </c>
      <c r="B368" s="171">
        <v>4.2408598391417911E-2</v>
      </c>
      <c r="C368" s="153">
        <v>2.6571824051933981E-3</v>
      </c>
      <c r="D368" s="154">
        <f>IF(VLOOKUP(A368,[5]!CPIndex,2)=0,VLOOKUP(A368,[5]!CPIndex,6),0)</f>
        <v>2.6571824051933981E-3</v>
      </c>
      <c r="E368" s="153">
        <v>355.37413690361439</v>
      </c>
      <c r="F368" s="154">
        <f>IF(VLOOKUP(A368,[5]!CPIndex,2)=0,(F367*EXP(IF(driftswitch=1,D368,$C$4)-1/2*$D$4^2+$D$4*B368)),VLOOKUP(A368,[5]!CPIndex,2))</f>
        <v>356.1927904716614</v>
      </c>
      <c r="G368" s="162">
        <f t="shared" si="11"/>
        <v>2.6599494843677221E-3</v>
      </c>
      <c r="H368" s="155">
        <f t="shared" si="10"/>
        <v>1.0026599494843678</v>
      </c>
    </row>
    <row r="369" spans="1:8" x14ac:dyDescent="0.2">
      <c r="A369" s="152">
        <v>46296</v>
      </c>
      <c r="B369" s="171">
        <v>-3.858357634362794E-2</v>
      </c>
      <c r="C369" s="153">
        <v>2.6571824051933981E-3</v>
      </c>
      <c r="D369" s="154">
        <f>IF(VLOOKUP(A369,[5]!CPIndex,2)=0,VLOOKUP(A369,[5]!CPIndex,6),0)</f>
        <v>2.6571824051933981E-3</v>
      </c>
      <c r="E369" s="153">
        <v>356.31941415582878</v>
      </c>
      <c r="F369" s="154">
        <f>IF(VLOOKUP(A369,[5]!CPIndex,2)=0,(F368*EXP(IF(driftswitch=1,D369,$C$4)-1/2*$D$4^2+$D$4*B369)),VLOOKUP(A369,[5]!CPIndex,2))</f>
        <v>357.12320861514928</v>
      </c>
      <c r="G369" s="162">
        <f t="shared" si="11"/>
        <v>2.6599494843677295E-3</v>
      </c>
      <c r="H369" s="155">
        <f t="shared" si="10"/>
        <v>1.0026599494843678</v>
      </c>
    </row>
    <row r="370" spans="1:8" x14ac:dyDescent="0.2">
      <c r="A370" s="152">
        <v>46327</v>
      </c>
      <c r="B370" s="171">
        <v>3.219296163625579E-2</v>
      </c>
      <c r="C370" s="153">
        <v>2.6571824051933981E-3</v>
      </c>
      <c r="D370" s="154">
        <f>IF(VLOOKUP(A370,[5]!CPIndex,2)=0,VLOOKUP(A370,[5]!CPIndex,6),0)</f>
        <v>2.6571824051933981E-3</v>
      </c>
      <c r="E370" s="153">
        <v>357.26720579778282</v>
      </c>
      <c r="F370" s="154">
        <f>IF(VLOOKUP(A370,[5]!CPIndex,2)=0,(F369*EXP(IF(driftswitch=1,D370,$C$4)-1/2*$D$4^2+$D$4*B370)),VLOOKUP(A370,[5]!CPIndex,2))</f>
        <v>358.08739095644398</v>
      </c>
      <c r="G370" s="162">
        <f t="shared" si="11"/>
        <v>2.6599494843678206E-3</v>
      </c>
      <c r="H370" s="155">
        <f t="shared" si="10"/>
        <v>1.0026599494843678</v>
      </c>
    </row>
    <row r="371" spans="1:8" x14ac:dyDescent="0.2">
      <c r="A371" s="152">
        <v>46357</v>
      </c>
      <c r="B371" s="171">
        <v>-4.176821303436104E-2</v>
      </c>
      <c r="C371" s="153">
        <v>2.6571824051933981E-3</v>
      </c>
      <c r="D371" s="154">
        <f>IF(VLOOKUP(A371,[5]!CPIndex,2)=0,VLOOKUP(A371,[5]!CPIndex,6),0)</f>
        <v>2.6571824051933981E-3</v>
      </c>
      <c r="E371" s="153">
        <v>358.21751851762616</v>
      </c>
      <c r="F371" s="154">
        <f>IF(VLOOKUP(A371,[5]!CPIndex,2)=0,(F370*EXP(IF(driftswitch=1,D371,$C$4)-1/2*$D$4^2+$D$4*B371)),VLOOKUP(A371,[5]!CPIndex,2))</f>
        <v>359.02134439459104</v>
      </c>
      <c r="G371" s="162">
        <f t="shared" si="11"/>
        <v>2.6599494843678054E-3</v>
      </c>
      <c r="H371" s="155">
        <f t="shared" si="10"/>
        <v>1.0026599494843678</v>
      </c>
    </row>
    <row r="372" spans="1:8" x14ac:dyDescent="0.2">
      <c r="A372" s="152">
        <v>46388</v>
      </c>
      <c r="B372" s="171">
        <v>-7.3399187381070694E-3</v>
      </c>
      <c r="C372" s="153">
        <v>2.6571824051933981E-3</v>
      </c>
      <c r="D372" s="154">
        <f>IF(VLOOKUP(A372,[5]!CPIndex,2)=0,VLOOKUP(A372,[5]!CPIndex,6),0)</f>
        <v>2.6571824051933981E-3</v>
      </c>
      <c r="E372" s="153">
        <v>359.17035902129862</v>
      </c>
      <c r="F372" s="154">
        <f>IF(VLOOKUP(A372,[5]!CPIndex,2)=0,(F371*EXP(IF(driftswitch=1,D372,$C$4)-1/2*$D$4^2+$D$4*B372)),VLOOKUP(A372,[5]!CPIndex,2))</f>
        <v>359.97305627306116</v>
      </c>
      <c r="G372" s="162">
        <f t="shared" si="11"/>
        <v>2.6599494843677707E-3</v>
      </c>
      <c r="H372" s="155">
        <f t="shared" si="10"/>
        <v>1.0026599494843678</v>
      </c>
    </row>
    <row r="373" spans="1:8" x14ac:dyDescent="0.2">
      <c r="A373" s="152">
        <v>46419</v>
      </c>
      <c r="B373" s="171">
        <v>-6.5969934927319843E-3</v>
      </c>
      <c r="C373" s="153">
        <v>2.6571824051933981E-3</v>
      </c>
      <c r="D373" s="154">
        <f>IF(VLOOKUP(A373,[5]!CPIndex,2)=0,VLOOKUP(A373,[5]!CPIndex,6),0)</f>
        <v>2.6571824051933981E-3</v>
      </c>
      <c r="E373" s="153">
        <v>360.1257340325775</v>
      </c>
      <c r="F373" s="154">
        <f>IF(VLOOKUP(A373,[5]!CPIndex,2)=0,(F372*EXP(IF(driftswitch=1,D373,$C$4)-1/2*$D$4^2+$D$4*B373)),VLOOKUP(A373,[5]!CPIndex,2))</f>
        <v>360.92762252461188</v>
      </c>
      <c r="G373" s="162">
        <f t="shared" si="11"/>
        <v>2.6599494843677273E-3</v>
      </c>
      <c r="H373" s="155">
        <f t="shared" si="10"/>
        <v>1.0026599494843678</v>
      </c>
    </row>
    <row r="374" spans="1:8" x14ac:dyDescent="0.2">
      <c r="A374" s="152">
        <v>46447</v>
      </c>
      <c r="B374" s="171">
        <v>-2.9968972109244825E-2</v>
      </c>
      <c r="C374" s="153">
        <v>2.6571824051933981E-3</v>
      </c>
      <c r="D374" s="154">
        <f>IF(VLOOKUP(A374,[5]!CPIndex,2)=0,VLOOKUP(A374,[5]!CPIndex,6),0)</f>
        <v>2.6571824051933981E-3</v>
      </c>
      <c r="E374" s="153">
        <v>361.083650293125</v>
      </c>
      <c r="F374" s="154">
        <f>IF(VLOOKUP(A374,[5]!CPIndex,2)=0,(F373*EXP(IF(driftswitch=1,D374,$C$4)-1/2*$D$4^2+$D$4*B374)),VLOOKUP(A374,[5]!CPIndex,2))</f>
        <v>361.87426291004215</v>
      </c>
      <c r="G374" s="162">
        <f t="shared" si="11"/>
        <v>2.6599494843677338E-3</v>
      </c>
      <c r="H374" s="155">
        <f t="shared" si="10"/>
        <v>1.0026599494843678</v>
      </c>
    </row>
    <row r="375" spans="1:8" x14ac:dyDescent="0.2">
      <c r="A375" s="152">
        <v>46478</v>
      </c>
      <c r="B375" s="171">
        <v>3.3476649286392386E-3</v>
      </c>
      <c r="C375" s="153">
        <v>2.6571824051933981E-3</v>
      </c>
      <c r="D375" s="154">
        <f>IF(VLOOKUP(A375,[5]!CPIndex,2)=0,VLOOKUP(A375,[5]!CPIndex,6),0)</f>
        <v>2.6571824051933981E-3</v>
      </c>
      <c r="E375" s="153">
        <v>362.04411456253581</v>
      </c>
      <c r="F375" s="154">
        <f>IF(VLOOKUP(A375,[5]!CPIndex,2)=0,(F374*EXP(IF(driftswitch=1,D375,$C$4)-1/2*$D$4^2+$D$4*B375)),VLOOKUP(A375,[5]!CPIndex,2))</f>
        <v>362.83833195644348</v>
      </c>
      <c r="G375" s="162">
        <f t="shared" si="11"/>
        <v>2.6599494843677048E-3</v>
      </c>
      <c r="H375" s="155">
        <f t="shared" si="10"/>
        <v>1.0026599494843678</v>
      </c>
    </row>
    <row r="376" spans="1:8" x14ac:dyDescent="0.2">
      <c r="A376" s="152">
        <v>46508</v>
      </c>
      <c r="B376" s="171">
        <v>-8.8190854679236902E-3</v>
      </c>
      <c r="C376" s="153">
        <v>2.6571824051933981E-3</v>
      </c>
      <c r="D376" s="154">
        <f>IF(VLOOKUP(A376,[5]!CPIndex,2)=0,VLOOKUP(A376,[5]!CPIndex,6),0)</f>
        <v>2.6571824051933981E-3</v>
      </c>
      <c r="E376" s="153">
        <v>363.00713361838478</v>
      </c>
      <c r="F376" s="154">
        <f>IF(VLOOKUP(A376,[5]!CPIndex,2)=0,(F375*EXP(IF(driftswitch=1,D376,$C$4)-1/2*$D$4^2+$D$4*B376)),VLOOKUP(A376,[5]!CPIndex,2))</f>
        <v>363.79949677299288</v>
      </c>
      <c r="G376" s="162">
        <f t="shared" si="11"/>
        <v>2.6599494843676909E-3</v>
      </c>
      <c r="H376" s="155">
        <f t="shared" si="10"/>
        <v>1.0026599494843678</v>
      </c>
    </row>
    <row r="377" spans="1:8" x14ac:dyDescent="0.2">
      <c r="A377" s="152">
        <v>46539</v>
      </c>
      <c r="B377" s="171">
        <v>-5.8742493354374564E-2</v>
      </c>
      <c r="C377" s="153">
        <v>2.6571824051933981E-3</v>
      </c>
      <c r="D377" s="154">
        <f>IF(VLOOKUP(A377,[5]!CPIndex,2)=0,VLOOKUP(A377,[5]!CPIndex,6),0)</f>
        <v>2.6571824051933981E-3</v>
      </c>
      <c r="E377" s="153">
        <v>363.9727142562748</v>
      </c>
      <c r="F377" s="154">
        <f>IF(VLOOKUP(A377,[5]!CPIndex,2)=0,(F376*EXP(IF(driftswitch=1,D377,$C$4)-1/2*$D$4^2+$D$4*B377)),VLOOKUP(A377,[5]!CPIndex,2))</f>
        <v>364.74069355568395</v>
      </c>
      <c r="G377" s="162">
        <f t="shared" si="11"/>
        <v>2.6599494843676848E-3</v>
      </c>
      <c r="H377" s="155">
        <f t="shared" si="10"/>
        <v>1.0026599494843678</v>
      </c>
    </row>
    <row r="378" spans="1:8" x14ac:dyDescent="0.2">
      <c r="A378" s="152">
        <v>46569</v>
      </c>
      <c r="B378" s="171">
        <v>4.8105337996541368E-2</v>
      </c>
      <c r="C378" s="153">
        <v>2.6571824051933981E-3</v>
      </c>
      <c r="D378" s="154">
        <f>IF(VLOOKUP(A378,[5]!CPIndex,2)=0,VLOOKUP(A378,[5]!CPIndex,6),0)</f>
        <v>2.6571824051933981E-3</v>
      </c>
      <c r="E378" s="153">
        <v>364.9408632898847</v>
      </c>
      <c r="F378" s="154">
        <f>IF(VLOOKUP(A378,[5]!CPIndex,2)=0,(F377*EXP(IF(driftswitch=1,D378,$C$4)-1/2*$D$4^2+$D$4*B378)),VLOOKUP(A378,[5]!CPIndex,2))</f>
        <v>365.7326373293526</v>
      </c>
      <c r="G378" s="162">
        <f t="shared" si="11"/>
        <v>2.6599494843677391E-3</v>
      </c>
      <c r="H378" s="155">
        <f t="shared" si="10"/>
        <v>1.0026599494843678</v>
      </c>
    </row>
    <row r="379" spans="1:8" x14ac:dyDescent="0.2">
      <c r="A379" s="152">
        <v>46600</v>
      </c>
      <c r="B379" s="171">
        <v>-1.7942546428882527E-2</v>
      </c>
      <c r="C379" s="153">
        <v>2.6571824051933981E-3</v>
      </c>
      <c r="D379" s="154">
        <f>IF(VLOOKUP(A379,[5]!CPIndex,2)=0,VLOOKUP(A379,[5]!CPIndex,6),0)</f>
        <v>2.6571824051933981E-3</v>
      </c>
      <c r="E379" s="153">
        <v>365.91158755101736</v>
      </c>
      <c r="F379" s="154">
        <f>IF(VLOOKUP(A379,[5]!CPIndex,2)=0,(F378*EXP(IF(driftswitch=1,D379,$C$4)-1/2*$D$4^2+$D$4*B379)),VLOOKUP(A379,[5]!CPIndex,2))</f>
        <v>366.69733279509819</v>
      </c>
      <c r="G379" s="162">
        <f t="shared" si="11"/>
        <v>2.6599494843677742E-3</v>
      </c>
      <c r="H379" s="155">
        <f t="shared" si="10"/>
        <v>1.0026599494843678</v>
      </c>
    </row>
    <row r="380" spans="1:8" x14ac:dyDescent="0.2">
      <c r="A380" s="152">
        <v>46631</v>
      </c>
      <c r="B380" s="171">
        <v>-1.3130145757663022E-2</v>
      </c>
      <c r="C380" s="153">
        <v>2.6571824051933981E-3</v>
      </c>
      <c r="D380" s="154">
        <f>IF(VLOOKUP(A380,[5]!CPIndex,2)=0,VLOOKUP(A380,[5]!CPIndex,6),0)</f>
        <v>2.6571824051933981E-3</v>
      </c>
      <c r="E380" s="153">
        <v>366.88489388964786</v>
      </c>
      <c r="F380" s="154">
        <f>IF(VLOOKUP(A380,[5]!CPIndex,2)=0,(F379*EXP(IF(driftswitch=1,D380,$C$4)-1/2*$D$4^2+$D$4*B380)),VLOOKUP(A380,[5]!CPIndex,2))</f>
        <v>367.66676045038935</v>
      </c>
      <c r="G380" s="162">
        <f t="shared" si="11"/>
        <v>2.6599494843676953E-3</v>
      </c>
      <c r="H380" s="155">
        <f t="shared" si="10"/>
        <v>1.0026599494843678</v>
      </c>
    </row>
    <row r="381" spans="1:8" x14ac:dyDescent="0.2">
      <c r="A381" s="152">
        <v>46661</v>
      </c>
      <c r="B381" s="171">
        <v>-3.1670390220118472E-2</v>
      </c>
      <c r="C381" s="153">
        <v>2.6571824051933981E-3</v>
      </c>
      <c r="D381" s="154">
        <f>IF(VLOOKUP(A381,[5]!CPIndex,2)=0,VLOOKUP(A381,[5]!CPIndex,6),0)</f>
        <v>2.6571824051933981E-3</v>
      </c>
      <c r="E381" s="153">
        <v>367.86078917397197</v>
      </c>
      <c r="F381" s="154">
        <f>IF(VLOOKUP(A381,[5]!CPIndex,2)=0,(F380*EXP(IF(driftswitch=1,D381,$C$4)-1/2*$D$4^2+$D$4*B381)),VLOOKUP(A381,[5]!CPIndex,2))</f>
        <v>368.63030078063764</v>
      </c>
      <c r="G381" s="162">
        <f t="shared" si="11"/>
        <v>2.659949484367818E-3</v>
      </c>
      <c r="H381" s="155">
        <f t="shared" si="10"/>
        <v>1.0026599494843678</v>
      </c>
    </row>
    <row r="382" spans="1:8" x14ac:dyDescent="0.2">
      <c r="A382" s="152">
        <v>46692</v>
      </c>
      <c r="B382" s="171">
        <v>-1.4216870267068159E-2</v>
      </c>
      <c r="C382" s="153">
        <v>2.6571824051933981E-3</v>
      </c>
      <c r="D382" s="154">
        <f>IF(VLOOKUP(A382,[5]!CPIndex,2)=0,VLOOKUP(A382,[5]!CPIndex,6),0)</f>
        <v>2.6571824051933981E-3</v>
      </c>
      <c r="E382" s="153">
        <v>368.83928029045438</v>
      </c>
      <c r="F382" s="154">
        <f>IF(VLOOKUP(A382,[5]!CPIndex,2)=0,(F381*EXP(IF(driftswitch=1,D382,$C$4)-1/2*$D$4^2+$D$4*B382)),VLOOKUP(A382,[5]!CPIndex,2))</f>
        <v>369.60434196531742</v>
      </c>
      <c r="G382" s="162">
        <f t="shared" si="11"/>
        <v>2.6599494843677399E-3</v>
      </c>
      <c r="H382" s="155">
        <f t="shared" si="10"/>
        <v>1.0026599494843678</v>
      </c>
    </row>
    <row r="383" spans="1:8" x14ac:dyDescent="0.2">
      <c r="A383" s="152">
        <v>46722</v>
      </c>
      <c r="B383" s="171">
        <v>-2.9035856864237492E-3</v>
      </c>
      <c r="C383" s="153">
        <v>2.6571824051933981E-3</v>
      </c>
      <c r="D383" s="154">
        <f>IF(VLOOKUP(A383,[5]!CPIndex,2)=0,VLOOKUP(A383,[5]!CPIndex,6),0)</f>
        <v>2.6571824051933981E-3</v>
      </c>
      <c r="E383" s="153">
        <v>369.82037414387753</v>
      </c>
      <c r="F383" s="154">
        <f>IF(VLOOKUP(A383,[5]!CPIndex,2)=0,(F382*EXP(IF(driftswitch=1,D383,$C$4)-1/2*$D$4^2+$D$4*B383)),VLOOKUP(A383,[5]!CPIndex,2))</f>
        <v>370.58614045467147</v>
      </c>
      <c r="G383" s="162">
        <f t="shared" si="11"/>
        <v>2.6599494843676974E-3</v>
      </c>
      <c r="H383" s="155">
        <f t="shared" si="10"/>
        <v>1.0026599494843678</v>
      </c>
    </row>
    <row r="384" spans="1:8" x14ac:dyDescent="0.2">
      <c r="A384" s="152">
        <v>46753</v>
      </c>
      <c r="B384" s="171">
        <v>-6.781718556227867E-2</v>
      </c>
      <c r="C384" s="153">
        <v>2.6571824051933981E-3</v>
      </c>
      <c r="D384" s="154">
        <f>IF(VLOOKUP(A384,[5]!CPIndex,2)=0,VLOOKUP(A384,[5]!CPIndex,6),0)</f>
        <v>2.6571824051933981E-3</v>
      </c>
      <c r="E384" s="153">
        <v>370.80407765739022</v>
      </c>
      <c r="F384" s="154">
        <f>IF(VLOOKUP(A384,[5]!CPIndex,2)=0,(F383*EXP(IF(driftswitch=1,D384,$C$4)-1/2*$D$4^2+$D$4*B384)),VLOOKUP(A384,[5]!CPIndex,2))</f>
        <v>371.54072652485661</v>
      </c>
      <c r="G384" s="162">
        <f t="shared" si="11"/>
        <v>2.659949484367746E-3</v>
      </c>
      <c r="H384" s="155">
        <f t="shared" si="10"/>
        <v>1.0026599494843678</v>
      </c>
    </row>
    <row r="385" spans="1:8" x14ac:dyDescent="0.2">
      <c r="A385" s="152">
        <v>46784</v>
      </c>
      <c r="B385" s="171">
        <v>5.5705427032351804E-2</v>
      </c>
      <c r="C385" s="153">
        <v>2.6571824051933981E-3</v>
      </c>
      <c r="D385" s="154">
        <f>IF(VLOOKUP(A385,[5]!CPIndex,2)=0,VLOOKUP(A385,[5]!CPIndex,6),0)</f>
        <v>2.6571824051933981E-3</v>
      </c>
      <c r="E385" s="153">
        <v>371.79039777255645</v>
      </c>
      <c r="F385" s="154">
        <f>IF(VLOOKUP(A385,[5]!CPIndex,2)=0,(F384*EXP(IF(driftswitch=1,D385,$C$4)-1/2*$D$4^2+$D$4*B385)),VLOOKUP(A385,[5]!CPIndex,2))</f>
        <v>372.55466432263751</v>
      </c>
      <c r="G385" s="162">
        <f t="shared" si="11"/>
        <v>2.6599494843677182E-3</v>
      </c>
      <c r="H385" s="155">
        <f t="shared" si="10"/>
        <v>1.0026599494843678</v>
      </c>
    </row>
    <row r="386" spans="1:8" x14ac:dyDescent="0.2">
      <c r="A386" s="152">
        <v>46813</v>
      </c>
      <c r="B386" s="171">
        <v>1.6109721192423213E-2</v>
      </c>
      <c r="C386" s="153">
        <v>2.6571824051933981E-3</v>
      </c>
      <c r="D386" s="154">
        <f>IF(VLOOKUP(A386,[5]!CPIndex,2)=0,VLOOKUP(A386,[5]!CPIndex,6),0)</f>
        <v>2.6571824051933981E-3</v>
      </c>
      <c r="E386" s="153">
        <v>372.77934144940446</v>
      </c>
      <c r="F386" s="154">
        <f>IF(VLOOKUP(A386,[5]!CPIndex,2)=0,(F385*EXP(IF(driftswitch=1,D386,$C$4)-1/2*$D$4^2+$D$4*B386)),VLOOKUP(A386,[5]!CPIndex,2))</f>
        <v>373.55308120607344</v>
      </c>
      <c r="G386" s="162">
        <f t="shared" si="11"/>
        <v>2.6599494843677967E-3</v>
      </c>
      <c r="H386" s="155">
        <f t="shared" si="10"/>
        <v>1.0026599494843678</v>
      </c>
    </row>
    <row r="387" spans="1:8" x14ac:dyDescent="0.2">
      <c r="A387" s="152">
        <v>46844</v>
      </c>
      <c r="B387" s="171">
        <v>-2.005510861929136E-2</v>
      </c>
      <c r="C387" s="153">
        <v>2.6571824051933981E-3</v>
      </c>
      <c r="D387" s="154">
        <f>IF(VLOOKUP(A387,[5]!CPIndex,2)=0,VLOOKUP(A387,[5]!CPIndex,6),0)</f>
        <v>2.6571824051933981E-3</v>
      </c>
      <c r="E387" s="153">
        <v>373.77091566647573</v>
      </c>
      <c r="F387" s="154">
        <f>IF(VLOOKUP(A387,[5]!CPIndex,2)=0,(F386*EXP(IF(driftswitch=1,D387,$C$4)-1/2*$D$4^2+$D$4*B387)),VLOOKUP(A387,[5]!CPIndex,2))</f>
        <v>374.53742643813183</v>
      </c>
      <c r="G387" s="162">
        <f t="shared" si="11"/>
        <v>2.6599494843677013E-3</v>
      </c>
      <c r="H387" s="155">
        <f t="shared" si="10"/>
        <v>1.0026599494843678</v>
      </c>
    </row>
    <row r="388" spans="1:8" x14ac:dyDescent="0.2">
      <c r="A388" s="152">
        <v>46874</v>
      </c>
      <c r="B388" s="171">
        <v>-1.4256898957333093E-2</v>
      </c>
      <c r="C388" s="153">
        <v>2.6571824051933981E-3</v>
      </c>
      <c r="D388" s="154">
        <f>IF(VLOOKUP(A388,[5]!CPIndex,2)=0,VLOOKUP(A388,[5]!CPIndex,6),0)</f>
        <v>2.6571824051933981E-3</v>
      </c>
      <c r="E388" s="153">
        <v>374.76512742087442</v>
      </c>
      <c r="F388" s="154">
        <f>IF(VLOOKUP(A388,[5]!CPIndex,2)=0,(F387*EXP(IF(driftswitch=1,D388,$C$4)-1/2*$D$4^2+$D$4*B388)),VLOOKUP(A388,[5]!CPIndex,2))</f>
        <v>375.52705758543794</v>
      </c>
      <c r="G388" s="162">
        <f t="shared" si="11"/>
        <v>2.6599494843677156E-3</v>
      </c>
      <c r="H388" s="155">
        <f t="shared" si="10"/>
        <v>1.0026599494843678</v>
      </c>
    </row>
    <row r="389" spans="1:8" x14ac:dyDescent="0.2">
      <c r="A389" s="152">
        <v>46905</v>
      </c>
      <c r="B389" s="171">
        <v>-1.5293668024103596E-2</v>
      </c>
      <c r="C389" s="153">
        <v>2.6571824051933981E-3</v>
      </c>
      <c r="D389" s="154">
        <f>IF(VLOOKUP(A389,[5]!CPIndex,2)=0,VLOOKUP(A389,[5]!CPIndex,6),0)</f>
        <v>2.6571824051933981E-3</v>
      </c>
      <c r="E389" s="153">
        <v>375.76198372831658</v>
      </c>
      <c r="F389" s="154">
        <f>IF(VLOOKUP(A389,[5]!CPIndex,2)=0,(F388*EXP(IF(driftswitch=1,D389,$C$4)-1/2*$D$4^2+$D$4*B389)),VLOOKUP(A389,[5]!CPIndex,2))</f>
        <v>376.51882097121802</v>
      </c>
      <c r="G389" s="162">
        <f t="shared" si="11"/>
        <v>2.6599494843677208E-3</v>
      </c>
      <c r="H389" s="155">
        <f t="shared" si="10"/>
        <v>1.0026599494843678</v>
      </c>
    </row>
    <row r="390" spans="1:8" x14ac:dyDescent="0.2">
      <c r="A390" s="152">
        <v>46935</v>
      </c>
      <c r="B390" s="171">
        <v>-1.4816899868565525E-2</v>
      </c>
      <c r="C390" s="153">
        <v>2.6571824051933981E-3</v>
      </c>
      <c r="D390" s="154">
        <f>IF(VLOOKUP(A390,[5]!CPIndex,2)=0,VLOOKUP(A390,[5]!CPIndex,6),0)</f>
        <v>2.6571824051933981E-3</v>
      </c>
      <c r="E390" s="153">
        <v>376.76149162317972</v>
      </c>
      <c r="F390" s="154">
        <f>IF(VLOOKUP(A390,[5]!CPIndex,2)=0,(F389*EXP(IF(driftswitch=1,D390,$C$4)-1/2*$D$4^2+$D$4*B390)),VLOOKUP(A390,[5]!CPIndex,2))</f>
        <v>377.51342612730042</v>
      </c>
      <c r="G390" s="162">
        <f t="shared" si="11"/>
        <v>2.659949484367762E-3</v>
      </c>
      <c r="H390" s="155">
        <f t="shared" si="10"/>
        <v>1.0026599494843678</v>
      </c>
    </row>
    <row r="391" spans="1:8" x14ac:dyDescent="0.2">
      <c r="A391" s="152">
        <v>46966</v>
      </c>
      <c r="B391" s="171">
        <v>-1.867052421029098E-2</v>
      </c>
      <c r="C391" s="153">
        <v>2.6571824051933981E-3</v>
      </c>
      <c r="D391" s="154">
        <f>IF(VLOOKUP(A391,[5]!CPIndex,2)=0,VLOOKUP(A391,[5]!CPIndex,6),0)</f>
        <v>2.6571824051933981E-3</v>
      </c>
      <c r="E391" s="153">
        <v>377.7636581585524</v>
      </c>
      <c r="F391" s="154">
        <f>IF(VLOOKUP(A391,[5]!CPIndex,2)=0,(F390*EXP(IF(driftswitch=1,D391,$C$4)-1/2*$D$4^2+$D$4*B391)),VLOOKUP(A391,[5]!CPIndex,2))</f>
        <v>378.50885517829732</v>
      </c>
      <c r="G391" s="162">
        <f t="shared" si="11"/>
        <v>2.6599494843676944E-3</v>
      </c>
      <c r="H391" s="155">
        <f t="shared" si="10"/>
        <v>1.0026599494843678</v>
      </c>
    </row>
    <row r="392" spans="1:8" x14ac:dyDescent="0.2">
      <c r="A392" s="152">
        <v>46997</v>
      </c>
      <c r="B392" s="171">
        <v>-2.1293901169847616E-2</v>
      </c>
      <c r="C392" s="153">
        <v>2.6571824051933981E-3</v>
      </c>
      <c r="D392" s="154">
        <f>IF(VLOOKUP(A392,[5]!CPIndex,2)=0,VLOOKUP(A392,[5]!CPIndex,6),0)</f>
        <v>2.6571824051933981E-3</v>
      </c>
      <c r="E392" s="153">
        <v>378.76849040628412</v>
      </c>
      <c r="F392" s="154">
        <f>IF(VLOOKUP(A392,[5]!CPIndex,2)=0,(F391*EXP(IF(driftswitch=1,D392,$C$4)-1/2*$D$4^2+$D$4*B392)),VLOOKUP(A392,[5]!CPIndex,2))</f>
        <v>379.505678049469</v>
      </c>
      <c r="G392" s="162">
        <f t="shared" si="11"/>
        <v>2.6599494843677404E-3</v>
      </c>
      <c r="H392" s="155">
        <f t="shared" si="10"/>
        <v>1.0026599494843678</v>
      </c>
    </row>
    <row r="393" spans="1:8" x14ac:dyDescent="0.2">
      <c r="A393" s="152">
        <v>47027</v>
      </c>
      <c r="B393" s="171">
        <v>3.5287564496015958E-2</v>
      </c>
      <c r="C393" s="153">
        <v>2.6571824051933981E-3</v>
      </c>
      <c r="D393" s="154">
        <f>IF(VLOOKUP(A393,[5]!CPIndex,2)=0,VLOOKUP(A393,[5]!CPIndex,6),0)</f>
        <v>2.6571824051933981E-3</v>
      </c>
      <c r="E393" s="153">
        <v>379.77599545703509</v>
      </c>
      <c r="F393" s="154">
        <f>IF(VLOOKUP(A393,[5]!CPIndex,2)=0,(F392*EXP(IF(driftswitch=1,D393,$C$4)-1/2*$D$4^2+$D$4*B393)),VLOOKUP(A393,[5]!CPIndex,2))</f>
        <v>380.53174586347819</v>
      </c>
      <c r="G393" s="162">
        <f t="shared" si="11"/>
        <v>2.6599494843678349E-3</v>
      </c>
      <c r="H393" s="155">
        <f t="shared" si="10"/>
        <v>1.0026599494843678</v>
      </c>
    </row>
    <row r="394" spans="1:8" x14ac:dyDescent="0.2">
      <c r="A394" s="152">
        <v>47058</v>
      </c>
      <c r="B394" s="171">
        <v>-8.1574851692837916E-2</v>
      </c>
      <c r="C394" s="153">
        <v>2.6571824051933981E-3</v>
      </c>
      <c r="D394" s="154">
        <f>IF(VLOOKUP(A394,[5]!CPIndex,2)=0,VLOOKUP(A394,[5]!CPIndex,6),0)</f>
        <v>2.6571824051933981E-3</v>
      </c>
      <c r="E394" s="153">
        <v>380.78618042032627</v>
      </c>
      <c r="F394" s="154">
        <f>IF(VLOOKUP(A394,[5]!CPIndex,2)=0,(F393*EXP(IF(driftswitch=1,D394,$C$4)-1/2*$D$4^2+$D$4*B394)),VLOOKUP(A394,[5]!CPIndex,2))</f>
        <v>381.50546125377099</v>
      </c>
      <c r="G394" s="162">
        <f t="shared" si="11"/>
        <v>2.6599494843677273E-3</v>
      </c>
      <c r="H394" s="155">
        <f t="shared" si="10"/>
        <v>1.0026599494843678</v>
      </c>
    </row>
    <row r="395" spans="1:8" x14ac:dyDescent="0.2">
      <c r="A395" s="152">
        <v>47088</v>
      </c>
      <c r="B395" s="171">
        <v>1.8150018822415785E-2</v>
      </c>
      <c r="C395" s="153">
        <v>2.6571824051933981E-3</v>
      </c>
      <c r="D395" s="154">
        <f>IF(VLOOKUP(A395,[5]!CPIndex,2)=0,VLOOKUP(A395,[5]!CPIndex,6),0)</f>
        <v>2.6571824051933981E-3</v>
      </c>
      <c r="E395" s="153">
        <v>381.79905242458972</v>
      </c>
      <c r="F395" s="154">
        <f>IF(VLOOKUP(A395,[5]!CPIndex,2)=0,(F394*EXP(IF(driftswitch=1,D395,$C$4)-1/2*$D$4^2+$D$4*B395)),VLOOKUP(A395,[5]!CPIndex,2))</f>
        <v>382.52883052595513</v>
      </c>
      <c r="G395" s="162">
        <f t="shared" si="11"/>
        <v>2.659949484367831E-3</v>
      </c>
      <c r="H395" s="155">
        <f t="shared" si="10"/>
        <v>1.0026599494843678</v>
      </c>
    </row>
    <row r="396" spans="1:8" x14ac:dyDescent="0.2">
      <c r="A396" s="152">
        <v>47119</v>
      </c>
      <c r="B396" s="171">
        <v>-1.3710129575566372E-2</v>
      </c>
      <c r="C396" s="153">
        <v>2.6571824051933981E-3</v>
      </c>
      <c r="D396" s="154">
        <f>IF(VLOOKUP(A396,[5]!CPIndex,2)=0,VLOOKUP(A396,[5]!CPIndex,6),0)</f>
        <v>2.6571824051933981E-3</v>
      </c>
      <c r="E396" s="153">
        <v>382.81461861721863</v>
      </c>
      <c r="F396" s="154">
        <f>IF(VLOOKUP(A396,[5]!CPIndex,2)=0,(F395*EXP(IF(driftswitch=1,D396,$C$4)-1/2*$D$4^2+$D$4*B396)),VLOOKUP(A396,[5]!CPIndex,2))</f>
        <v>383.53983644605631</v>
      </c>
      <c r="G396" s="162">
        <f t="shared" si="11"/>
        <v>2.6599494843678206E-3</v>
      </c>
      <c r="H396" s="155">
        <f t="shared" ref="H396:H459" si="12">G396+1</f>
        <v>1.0026599494843678</v>
      </c>
    </row>
    <row r="397" spans="1:8" x14ac:dyDescent="0.2">
      <c r="A397" s="152">
        <v>47150</v>
      </c>
      <c r="B397" s="171">
        <v>2.6530377789885165E-2</v>
      </c>
      <c r="C397" s="153">
        <v>2.6571824051933981E-3</v>
      </c>
      <c r="D397" s="154">
        <f>IF(VLOOKUP(A397,[5]!CPIndex,2)=0,VLOOKUP(A397,[5]!CPIndex,6),0)</f>
        <v>2.6571824051933981E-3</v>
      </c>
      <c r="E397" s="153">
        <v>383.83288616461795</v>
      </c>
      <c r="F397" s="154">
        <f>IF(VLOOKUP(A397,[5]!CPIndex,2)=0,(F396*EXP(IF(driftswitch=1,D397,$C$4)-1/2*$D$4^2+$D$4*B397)),VLOOKUP(A397,[5]!CPIndex,2))</f>
        <v>384.57264750324958</v>
      </c>
      <c r="G397" s="162">
        <f t="shared" ref="G397:G460" si="13">IF(shiftswitch4=1,(F397-F396)/F396,(E397-E396)/E396)</f>
        <v>2.659949484367779E-3</v>
      </c>
      <c r="H397" s="155">
        <f t="shared" si="12"/>
        <v>1.0026599494843678</v>
      </c>
    </row>
    <row r="398" spans="1:8" x14ac:dyDescent="0.2">
      <c r="A398" s="152">
        <v>47178</v>
      </c>
      <c r="B398" s="171">
        <v>7.4619154943877421E-3</v>
      </c>
      <c r="C398" s="153">
        <v>2.6571824051933981E-3</v>
      </c>
      <c r="D398" s="154">
        <f>IF(VLOOKUP(A398,[5]!CPIndex,2)=0,VLOOKUP(A398,[5]!CPIndex,6),0)</f>
        <v>2.6571824051933981E-3</v>
      </c>
      <c r="E398" s="153">
        <v>384.85386225225488</v>
      </c>
      <c r="F398" s="154">
        <f>IF(VLOOKUP(A398,[5]!CPIndex,2)=0,(F397*EXP(IF(driftswitch=1,D398,$C$4)-1/2*$D$4^2+$D$4*B398)),VLOOKUP(A398,[5]!CPIndex,2))</f>
        <v>385.59914876692687</v>
      </c>
      <c r="G398" s="162">
        <f t="shared" si="13"/>
        <v>2.6599494843676927E-3</v>
      </c>
      <c r="H398" s="155">
        <f t="shared" si="12"/>
        <v>1.0026599494843678</v>
      </c>
    </row>
    <row r="399" spans="1:8" x14ac:dyDescent="0.2">
      <c r="A399" s="152">
        <v>47209</v>
      </c>
      <c r="B399" s="171">
        <v>-1.4221553579350048E-2</v>
      </c>
      <c r="C399" s="153">
        <v>2.6571824051933981E-3</v>
      </c>
      <c r="D399" s="154">
        <f>IF(VLOOKUP(A399,[5]!CPIndex,2)=0,VLOOKUP(A399,[5]!CPIndex,6),0)</f>
        <v>2.6571824051933981E-3</v>
      </c>
      <c r="E399" s="153">
        <v>385.87755408470969</v>
      </c>
      <c r="F399" s="154">
        <f>IF(VLOOKUP(A399,[5]!CPIndex,2)=0,(F398*EXP(IF(driftswitch=1,D399,$C$4)-1/2*$D$4^2+$D$4*B399)),VLOOKUP(A399,[5]!CPIndex,2))</f>
        <v>386.61802492995724</v>
      </c>
      <c r="G399" s="162">
        <f t="shared" si="13"/>
        <v>2.6599494843676953E-3</v>
      </c>
      <c r="H399" s="155">
        <f t="shared" si="12"/>
        <v>1.0026599494843678</v>
      </c>
    </row>
    <row r="400" spans="1:8" x14ac:dyDescent="0.2">
      <c r="A400" s="152">
        <v>47239</v>
      </c>
      <c r="B400" s="171">
        <v>-1.3287683520766959E-2</v>
      </c>
      <c r="C400" s="153">
        <v>2.6571824051933981E-3</v>
      </c>
      <c r="D400" s="154">
        <f>IF(VLOOKUP(A400,[5]!CPIndex,2)=0,VLOOKUP(A400,[5]!CPIndex,6),0)</f>
        <v>2.6571824051933981E-3</v>
      </c>
      <c r="E400" s="153">
        <v>386.90396888572639</v>
      </c>
      <c r="F400" s="154">
        <f>IF(VLOOKUP(A400,[5]!CPIndex,2)=0,(F399*EXP(IF(driftswitch=1,D400,$C$4)-1/2*$D$4^2+$D$4*B400)),VLOOKUP(A400,[5]!CPIndex,2))</f>
        <v>387.64004086768659</v>
      </c>
      <c r="G400" s="162">
        <f t="shared" si="13"/>
        <v>2.6599494843677165E-3</v>
      </c>
      <c r="H400" s="155">
        <f t="shared" si="12"/>
        <v>1.0026599494843678</v>
      </c>
    </row>
    <row r="401" spans="1:8" x14ac:dyDescent="0.2">
      <c r="A401" s="152">
        <v>47270</v>
      </c>
      <c r="B401" s="171">
        <v>2.789785222544746E-3</v>
      </c>
      <c r="C401" s="153">
        <v>2.6571824051933981E-3</v>
      </c>
      <c r="D401" s="154">
        <f>IF(VLOOKUP(A401,[5]!CPIndex,2)=0,VLOOKUP(A401,[5]!CPIndex,6),0)</f>
        <v>2.6571824051933981E-3</v>
      </c>
      <c r="E401" s="153">
        <v>387.9331138982638</v>
      </c>
      <c r="F401" s="154">
        <f>IF(VLOOKUP(A401,[5]!CPIndex,2)=0,(F400*EXP(IF(driftswitch=1,D401,$C$4)-1/2*$D$4^2+$D$4*B401)),VLOOKUP(A401,[5]!CPIndex,2))</f>
        <v>388.67248442168767</v>
      </c>
      <c r="G401" s="162">
        <f t="shared" si="13"/>
        <v>2.6599494843677208E-3</v>
      </c>
      <c r="H401" s="155">
        <f t="shared" si="12"/>
        <v>1.0026599494843678</v>
      </c>
    </row>
    <row r="402" spans="1:8" x14ac:dyDescent="0.2">
      <c r="A402" s="152">
        <v>47300</v>
      </c>
      <c r="B402" s="171">
        <v>-4.9945826932131551E-2</v>
      </c>
      <c r="C402" s="153">
        <v>2.6571824051933981E-3</v>
      </c>
      <c r="D402" s="154">
        <f>IF(VLOOKUP(A402,[5]!CPIndex,2)=0,VLOOKUP(A402,[5]!CPIndex,6),0)</f>
        <v>2.6571824051933981E-3</v>
      </c>
      <c r="E402" s="153">
        <v>388.96499638454668</v>
      </c>
      <c r="F402" s="154">
        <f>IF(VLOOKUP(A402,[5]!CPIndex,2)=0,(F401*EXP(IF(driftswitch=1,D402,$C$4)-1/2*$D$4^2+$D$4*B402)),VLOOKUP(A402,[5]!CPIndex,2))</f>
        <v>389.68226906176301</v>
      </c>
      <c r="G402" s="162">
        <f t="shared" si="13"/>
        <v>2.6599494843678002E-3</v>
      </c>
      <c r="H402" s="155">
        <f t="shared" si="12"/>
        <v>1.0026599494843678</v>
      </c>
    </row>
    <row r="403" spans="1:8" x14ac:dyDescent="0.2">
      <c r="A403" s="152">
        <v>47331</v>
      </c>
      <c r="B403" s="171">
        <v>-8.217091474893818E-3</v>
      </c>
      <c r="C403" s="153">
        <v>2.6571824051933981E-3</v>
      </c>
      <c r="D403" s="154">
        <f>IF(VLOOKUP(A403,[5]!CPIndex,2)=0,VLOOKUP(A403,[5]!CPIndex,6),0)</f>
        <v>2.6571824051933981E-3</v>
      </c>
      <c r="E403" s="153">
        <v>389.99962362611689</v>
      </c>
      <c r="F403" s="154">
        <f>IF(VLOOKUP(A403,[5]!CPIndex,2)=0,(F402*EXP(IF(driftswitch=1,D403,$C$4)-1/2*$D$4^2+$D$4*B403)),VLOOKUP(A403,[5]!CPIndex,2))</f>
        <v>390.71483472499864</v>
      </c>
      <c r="G403" s="162">
        <f t="shared" si="13"/>
        <v>2.6599494843678202E-3</v>
      </c>
      <c r="H403" s="155">
        <f t="shared" si="12"/>
        <v>1.0026599494843678</v>
      </c>
    </row>
    <row r="404" spans="1:8" x14ac:dyDescent="0.2">
      <c r="A404" s="152">
        <v>47362</v>
      </c>
      <c r="B404" s="171">
        <v>2.0641739793423552E-2</v>
      </c>
      <c r="C404" s="153">
        <v>2.6571824051933981E-3</v>
      </c>
      <c r="D404" s="154">
        <f>IF(VLOOKUP(A404,[5]!CPIndex,2)=0,VLOOKUP(A404,[5]!CPIndex,6),0)</f>
        <v>2.6571824051933981E-3</v>
      </c>
      <c r="E404" s="153">
        <v>391.03700292388481</v>
      </c>
      <c r="F404" s="154">
        <f>IF(VLOOKUP(A404,[5]!CPIndex,2)=0,(F403*EXP(IF(driftswitch=1,D404,$C$4)-1/2*$D$4^2+$D$4*B404)),VLOOKUP(A404,[5]!CPIndex,2))</f>
        <v>391.76411459730826</v>
      </c>
      <c r="G404" s="162">
        <f t="shared" si="13"/>
        <v>2.6599494843678041E-3</v>
      </c>
      <c r="H404" s="155">
        <f t="shared" si="12"/>
        <v>1.0026599494843678</v>
      </c>
    </row>
    <row r="405" spans="1:8" x14ac:dyDescent="0.2">
      <c r="A405" s="152">
        <v>47392</v>
      </c>
      <c r="B405" s="171">
        <v>-3.7009679918246247E-2</v>
      </c>
      <c r="C405" s="153">
        <v>2.6571824051933981E-3</v>
      </c>
      <c r="D405" s="154">
        <f>IF(VLOOKUP(A405,[5]!CPIndex,2)=0,VLOOKUP(A405,[5]!CPIndex,6),0)</f>
        <v>2.6571824051933981E-3</v>
      </c>
      <c r="E405" s="153">
        <v>392.0771415981809</v>
      </c>
      <c r="F405" s="154">
        <f>IF(VLOOKUP(A405,[5]!CPIndex,2)=0,(F404*EXP(IF(driftswitch=1,D405,$C$4)-1/2*$D$4^2+$D$4*B405)),VLOOKUP(A405,[5]!CPIndex,2))</f>
        <v>392.78821363430387</v>
      </c>
      <c r="G405" s="162">
        <f t="shared" si="13"/>
        <v>2.6599494843677252E-3</v>
      </c>
      <c r="H405" s="155">
        <f t="shared" si="12"/>
        <v>1.0026599494843678</v>
      </c>
    </row>
    <row r="406" spans="1:8" x14ac:dyDescent="0.2">
      <c r="A406" s="152">
        <v>47423</v>
      </c>
      <c r="B406" s="171">
        <v>-1.8656078578520971E-3</v>
      </c>
      <c r="C406" s="153">
        <v>2.6571824051933981E-3</v>
      </c>
      <c r="D406" s="154">
        <f>IF(VLOOKUP(A406,[5]!CPIndex,2)=0,VLOOKUP(A406,[5]!CPIndex,6),0)</f>
        <v>2.6571824051933981E-3</v>
      </c>
      <c r="E406" s="153">
        <v>393.12004698880736</v>
      </c>
      <c r="F406" s="154">
        <f>IF(VLOOKUP(A406,[5]!CPIndex,2)=0,(F405*EXP(IF(driftswitch=1,D406,$C$4)-1/2*$D$4^2+$D$4*B406)),VLOOKUP(A406,[5]!CPIndex,2))</f>
        <v>393.83210202169101</v>
      </c>
      <c r="G406" s="162">
        <f t="shared" si="13"/>
        <v>2.6599494843677395E-3</v>
      </c>
      <c r="H406" s="155">
        <f t="shared" si="12"/>
        <v>1.0026599494843678</v>
      </c>
    </row>
    <row r="407" spans="1:8" x14ac:dyDescent="0.2">
      <c r="A407" s="152">
        <v>47453</v>
      </c>
      <c r="B407" s="171">
        <v>2.7974693052139024E-2</v>
      </c>
      <c r="C407" s="153">
        <v>2.6571824051933981E-3</v>
      </c>
      <c r="D407" s="154">
        <f>IF(VLOOKUP(A407,[5]!CPIndex,2)=0,VLOOKUP(A407,[5]!CPIndex,6),0)</f>
        <v>2.6571824051933981E-3</v>
      </c>
      <c r="E407" s="153">
        <v>394.1657264550899</v>
      </c>
      <c r="F407" s="154">
        <f>IF(VLOOKUP(A407,[5]!CPIndex,2)=0,(F406*EXP(IF(driftswitch=1,D407,$C$4)-1/2*$D$4^2+$D$4*B407)),VLOOKUP(A407,[5]!CPIndex,2))</f>
        <v>394.89333366666864</v>
      </c>
      <c r="G407" s="162">
        <f t="shared" si="13"/>
        <v>2.6599494843678319E-3</v>
      </c>
      <c r="H407" s="155">
        <f t="shared" si="12"/>
        <v>1.0026599494843678</v>
      </c>
    </row>
    <row r="408" spans="1:8" x14ac:dyDescent="0.2">
      <c r="A408" s="152">
        <v>47484</v>
      </c>
      <c r="B408" s="171">
        <v>4.4475359866055192E-2</v>
      </c>
      <c r="C408" s="153">
        <v>2.6571824051933981E-3</v>
      </c>
      <c r="D408" s="154">
        <f>IF(VLOOKUP(A408,[5]!CPIndex,2)=0,VLOOKUP(A408,[5]!CPIndex,6),0)</f>
        <v>2.6571824051933981E-3</v>
      </c>
      <c r="E408" s="153">
        <v>395.21418737592955</v>
      </c>
      <c r="F408" s="154">
        <f>IF(VLOOKUP(A408,[5]!CPIndex,2)=0,(F407*EXP(IF(driftswitch=1,D408,$C$4)-1/2*$D$4^2+$D$4*B408)),VLOOKUP(A408,[5]!CPIndex,2))</f>
        <v>395.96550302656783</v>
      </c>
      <c r="G408" s="162">
        <f t="shared" si="13"/>
        <v>2.6599494843677581E-3</v>
      </c>
      <c r="H408" s="155">
        <f t="shared" si="12"/>
        <v>1.0026599494843678</v>
      </c>
    </row>
    <row r="409" spans="1:8" x14ac:dyDescent="0.2">
      <c r="A409" s="152">
        <v>47515</v>
      </c>
      <c r="B409" s="171">
        <v>1.1645175895760111E-2</v>
      </c>
      <c r="C409" s="153">
        <v>2.6571824051933981E-3</v>
      </c>
      <c r="D409" s="154">
        <f>IF(VLOOKUP(A409,[5]!CPIndex,2)=0,VLOOKUP(A409,[5]!CPIndex,6),0)</f>
        <v>2.6571824051933981E-3</v>
      </c>
      <c r="E409" s="153">
        <v>396.26543714985496</v>
      </c>
      <c r="F409" s="154">
        <f>IF(VLOOKUP(A409,[5]!CPIndex,2)=0,(F408*EXP(IF(driftswitch=1,D409,$C$4)-1/2*$D$4^2+$D$4*B409)),VLOOKUP(A409,[5]!CPIndex,2))</f>
        <v>397.02446755409773</v>
      </c>
      <c r="G409" s="162">
        <f t="shared" si="13"/>
        <v>2.6599494843677061E-3</v>
      </c>
      <c r="H409" s="155">
        <f t="shared" si="12"/>
        <v>1.0026599494843678</v>
      </c>
    </row>
    <row r="410" spans="1:8" x14ac:dyDescent="0.2">
      <c r="A410" s="152">
        <v>47543</v>
      </c>
      <c r="B410" s="171">
        <v>9.0355588856889602E-2</v>
      </c>
      <c r="C410" s="153">
        <v>2.6571824051933981E-3</v>
      </c>
      <c r="D410" s="154">
        <f>IF(VLOOKUP(A410,[5]!CPIndex,2)=0,VLOOKUP(A410,[5]!CPIndex,6),0)</f>
        <v>2.6571824051933981E-3</v>
      </c>
      <c r="E410" s="153">
        <v>397.3194831950745</v>
      </c>
      <c r="F410" s="154">
        <f>IF(VLOOKUP(A410,[5]!CPIndex,2)=0,(F409*EXP(IF(driftswitch=1,D410,$C$4)-1/2*$D$4^2+$D$4*B410)),VLOOKUP(A410,[5]!CPIndex,2))</f>
        <v>398.12500640046659</v>
      </c>
      <c r="G410" s="162">
        <f t="shared" si="13"/>
        <v>2.6599494843677963E-3</v>
      </c>
      <c r="H410" s="155">
        <f t="shared" si="12"/>
        <v>1.0026599494843678</v>
      </c>
    </row>
    <row r="411" spans="1:8" x14ac:dyDescent="0.2">
      <c r="A411" s="152">
        <v>47574</v>
      </c>
      <c r="B411" s="171">
        <v>1.2539439316234111E-2</v>
      </c>
      <c r="C411" s="153">
        <v>2.6571824051933981E-3</v>
      </c>
      <c r="D411" s="154">
        <f>IF(VLOOKUP(A411,[5]!CPIndex,2)=0,VLOOKUP(A411,[5]!CPIndex,6),0)</f>
        <v>2.6571824051933981E-3</v>
      </c>
      <c r="E411" s="153">
        <v>398.37633294952849</v>
      </c>
      <c r="F411" s="154">
        <f>IF(VLOOKUP(A411,[5]!CPIndex,2)=0,(F410*EXP(IF(driftswitch=1,D411,$C$4)-1/2*$D$4^2+$D$4*B411)),VLOOKUP(A411,[5]!CPIndex,2))</f>
        <v>399.19018763962066</v>
      </c>
      <c r="G411" s="162">
        <f t="shared" si="13"/>
        <v>2.6599494843677325E-3</v>
      </c>
      <c r="H411" s="155">
        <f t="shared" si="12"/>
        <v>1.0026599494843678</v>
      </c>
    </row>
    <row r="412" spans="1:8" x14ac:dyDescent="0.2">
      <c r="A412" s="152">
        <v>47604</v>
      </c>
      <c r="B412" s="171">
        <v>6.8490834339606683E-3</v>
      </c>
      <c r="C412" s="153">
        <v>2.6571824051933981E-3</v>
      </c>
      <c r="D412" s="154">
        <f>IF(VLOOKUP(A412,[5]!CPIndex,2)=0,VLOOKUP(A412,[5]!CPIndex,6),0)</f>
        <v>2.6571824051933981E-3</v>
      </c>
      <c r="E412" s="153">
        <v>399.4359938709419</v>
      </c>
      <c r="F412" s="154">
        <f>IF(VLOOKUP(A412,[5]!CPIndex,2)=0,(F411*EXP(IF(driftswitch=1,D412,$C$4)-1/2*$D$4^2+$D$4*B412)),VLOOKUP(A412,[5]!CPIndex,2))</f>
        <v>400.2554027671315</v>
      </c>
      <c r="G412" s="162">
        <f t="shared" si="13"/>
        <v>2.6599494843677425E-3</v>
      </c>
      <c r="H412" s="155">
        <f t="shared" si="12"/>
        <v>1.0026599494843678</v>
      </c>
    </row>
    <row r="413" spans="1:8" x14ac:dyDescent="0.2">
      <c r="A413" s="152">
        <v>47635</v>
      </c>
      <c r="B413" s="171">
        <v>2.5113799330752962E-2</v>
      </c>
      <c r="C413" s="153">
        <v>2.6571824051933981E-3</v>
      </c>
      <c r="D413" s="154">
        <f>IF(VLOOKUP(A413,[5]!CPIndex,2)=0,VLOOKUP(A413,[5]!CPIndex,6),0)</f>
        <v>2.6571824051933981E-3</v>
      </c>
      <c r="E413" s="153">
        <v>400.49847343687685</v>
      </c>
      <c r="F413" s="154">
        <f>IF(VLOOKUP(A413,[5]!CPIndex,2)=0,(F412*EXP(IF(driftswitch=1,D413,$C$4)-1/2*$D$4^2+$D$4*B413)),VLOOKUP(A413,[5]!CPIndex,2))</f>
        <v>401.33252324466667</v>
      </c>
      <c r="G413" s="162">
        <f t="shared" si="13"/>
        <v>2.6599494843677963E-3</v>
      </c>
      <c r="H413" s="155">
        <f t="shared" si="12"/>
        <v>1.0026599494843678</v>
      </c>
    </row>
    <row r="414" spans="1:8" x14ac:dyDescent="0.2">
      <c r="A414" s="152">
        <v>47665</v>
      </c>
      <c r="B414" s="171">
        <v>2.1335475139702853E-2</v>
      </c>
      <c r="C414" s="153">
        <v>2.6571824051933981E-3</v>
      </c>
      <c r="D414" s="154">
        <f>IF(VLOOKUP(A414,[5]!CPIndex,2)=0,VLOOKUP(A414,[5]!CPIndex,6),0)</f>
        <v>2.6571824051933981E-3</v>
      </c>
      <c r="E414" s="153">
        <v>401.56377914478537</v>
      </c>
      <c r="F414" s="154">
        <f>IF(VLOOKUP(A414,[5]!CPIndex,2)=0,(F413*EXP(IF(driftswitch=1,D414,$C$4)-1/2*$D$4^2+$D$4*B414)),VLOOKUP(A414,[5]!CPIndex,2))</f>
        <v>402.41066248961437</v>
      </c>
      <c r="G414" s="162">
        <f t="shared" si="13"/>
        <v>2.6599494843678249E-3</v>
      </c>
      <c r="H414" s="155">
        <f t="shared" si="12"/>
        <v>1.0026599494843678</v>
      </c>
    </row>
    <row r="415" spans="1:8" x14ac:dyDescent="0.2">
      <c r="A415" s="152">
        <v>47696</v>
      </c>
      <c r="B415" s="171">
        <v>4.1523175538326684E-2</v>
      </c>
      <c r="C415" s="153">
        <v>2.6571824051933981E-3</v>
      </c>
      <c r="D415" s="154">
        <f>IF(VLOOKUP(A415,[5]!CPIndex,2)=0,VLOOKUP(A415,[5]!CPIndex,6),0)</f>
        <v>2.6571824051933981E-3</v>
      </c>
      <c r="E415" s="153">
        <v>402.63191851206233</v>
      </c>
      <c r="F415" s="154">
        <f>IF(VLOOKUP(A415,[5]!CPIndex,2)=0,(F414*EXP(IF(driftswitch=1,D415,$C$4)-1/2*$D$4^2+$D$4*B415)),VLOOKUP(A415,[5]!CPIndex,2))</f>
        <v>403.50176924327468</v>
      </c>
      <c r="G415" s="162">
        <f t="shared" si="13"/>
        <v>2.6599494843677972E-3</v>
      </c>
      <c r="H415" s="155">
        <f t="shared" si="12"/>
        <v>1.0026599494843678</v>
      </c>
    </row>
    <row r="416" spans="1:8" x14ac:dyDescent="0.2">
      <c r="A416" s="152">
        <v>47727</v>
      </c>
      <c r="B416" s="171">
        <v>-3.2378094079662315E-2</v>
      </c>
      <c r="C416" s="153">
        <v>2.6571824051933981E-3</v>
      </c>
      <c r="D416" s="154">
        <f>IF(VLOOKUP(A416,[5]!CPIndex,2)=0,VLOOKUP(A416,[5]!CPIndex,6),0)</f>
        <v>2.6571824051933981E-3</v>
      </c>
      <c r="E416" s="153">
        <v>403.7028990760985</v>
      </c>
      <c r="F416" s="154">
        <f>IF(VLOOKUP(A416,[5]!CPIndex,2)=0,(F415*EXP(IF(driftswitch=1,D416,$C$4)-1/2*$D$4^2+$D$4*B416)),VLOOKUP(A416,[5]!CPIndex,2))</f>
        <v>404.55886800888658</v>
      </c>
      <c r="G416" s="162">
        <f t="shared" si="13"/>
        <v>2.6599494843677954E-3</v>
      </c>
      <c r="H416" s="155">
        <f t="shared" si="12"/>
        <v>1.0026599494843678</v>
      </c>
    </row>
    <row r="417" spans="1:8" x14ac:dyDescent="0.2">
      <c r="A417" s="152">
        <v>47757</v>
      </c>
      <c r="B417" s="171">
        <v>2.3296689293327861E-2</v>
      </c>
      <c r="C417" s="153">
        <v>2.6571824051933981E-3</v>
      </c>
      <c r="D417" s="154">
        <f>IF(VLOOKUP(A417,[5]!CPIndex,2)=0,VLOOKUP(A417,[5]!CPIndex,6),0)</f>
        <v>2.6571824051933981E-3</v>
      </c>
      <c r="E417" s="153">
        <v>404.77672839433376</v>
      </c>
      <c r="F417" s="154">
        <f>IF(VLOOKUP(A417,[5]!CPIndex,2)=0,(F416*EXP(IF(driftswitch=1,D417,$C$4)-1/2*$D$4^2+$D$4*B417)),VLOOKUP(A417,[5]!CPIndex,2))</f>
        <v>405.64665812111861</v>
      </c>
      <c r="G417" s="162">
        <f t="shared" si="13"/>
        <v>2.6599494843678019E-3</v>
      </c>
      <c r="H417" s="155">
        <f t="shared" si="12"/>
        <v>1.0026599494843678</v>
      </c>
    </row>
    <row r="418" spans="1:8" x14ac:dyDescent="0.2">
      <c r="A418" s="152">
        <v>47788</v>
      </c>
      <c r="B418" s="171">
        <v>-2.8059106522129149E-2</v>
      </c>
      <c r="C418" s="153">
        <v>2.6571824051933981E-3</v>
      </c>
      <c r="D418" s="154">
        <f>IF(VLOOKUP(A418,[5]!CPIndex,2)=0,VLOOKUP(A418,[5]!CPIndex,6),0)</f>
        <v>2.6571824051933981E-3</v>
      </c>
      <c r="E418" s="153">
        <v>405.85341404431034</v>
      </c>
      <c r="F418" s="154">
        <f>IF(VLOOKUP(A418,[5]!CPIndex,2)=0,(F417*EXP(IF(driftswitch=1,D418,$C$4)-1/2*$D$4^2+$D$4*B418)),VLOOKUP(A418,[5]!CPIndex,2))</f>
        <v>406.71154790064026</v>
      </c>
      <c r="G418" s="162">
        <f t="shared" si="13"/>
        <v>2.6599494843677733E-3</v>
      </c>
      <c r="H418" s="155">
        <f t="shared" si="12"/>
        <v>1.0026599494843678</v>
      </c>
    </row>
    <row r="419" spans="1:8" x14ac:dyDescent="0.2">
      <c r="A419" s="152">
        <v>47818</v>
      </c>
      <c r="B419" s="171">
        <v>2.0770475724805695E-2</v>
      </c>
      <c r="C419" s="153">
        <v>2.6571824051933981E-3</v>
      </c>
      <c r="D419" s="154">
        <f>IF(VLOOKUP(A419,[5]!CPIndex,2)=0,VLOOKUP(A419,[5]!CPIndex,6),0)</f>
        <v>2.6571824051933981E-3</v>
      </c>
      <c r="E419" s="153">
        <v>406.93296362372638</v>
      </c>
      <c r="F419" s="154">
        <f>IF(VLOOKUP(A419,[5]!CPIndex,2)=0,(F418*EXP(IF(driftswitch=1,D419,$C$4)-1/2*$D$4^2+$D$4*B419)),VLOOKUP(A419,[5]!CPIndex,2))</f>
        <v>407.80385247688753</v>
      </c>
      <c r="G419" s="162">
        <f t="shared" si="13"/>
        <v>2.6599494843677122E-3</v>
      </c>
      <c r="H419" s="155">
        <f t="shared" si="12"/>
        <v>1.0026599494843678</v>
      </c>
    </row>
    <row r="420" spans="1:8" x14ac:dyDescent="0.2">
      <c r="A420" s="152">
        <v>47849</v>
      </c>
      <c r="B420" s="171">
        <v>-1.4426245224571685E-2</v>
      </c>
      <c r="C420" s="153">
        <v>2.6571824051933981E-3</v>
      </c>
      <c r="D420" s="154">
        <f>IF(VLOOKUP(A420,[5]!CPIndex,2)=0,VLOOKUP(A420,[5]!CPIndex,6),0)</f>
        <v>2.6571824051933981E-3</v>
      </c>
      <c r="E420" s="153">
        <v>408.01538475048955</v>
      </c>
      <c r="F420" s="154">
        <f>IF(VLOOKUP(A420,[5]!CPIndex,2)=0,(F419*EXP(IF(driftswitch=1,D420,$C$4)-1/2*$D$4^2+$D$4*B420)),VLOOKUP(A420,[5]!CPIndex,2))</f>
        <v>408.88129708341853</v>
      </c>
      <c r="G420" s="162">
        <f t="shared" si="13"/>
        <v>2.6599494843677352E-3</v>
      </c>
      <c r="H420" s="155">
        <f t="shared" si="12"/>
        <v>1.0026599494843678</v>
      </c>
    </row>
    <row r="421" spans="1:8" x14ac:dyDescent="0.2">
      <c r="A421" s="152">
        <v>47880</v>
      </c>
      <c r="B421" s="171">
        <v>-1.9577327736186794E-2</v>
      </c>
      <c r="C421" s="153">
        <v>2.6571824051933981E-3</v>
      </c>
      <c r="D421" s="154">
        <f>IF(VLOOKUP(A421,[5]!CPIndex,2)=0,VLOOKUP(A421,[5]!CPIndex,6),0)</f>
        <v>2.6571824051933981E-3</v>
      </c>
      <c r="E421" s="153">
        <v>409.10068506277071</v>
      </c>
      <c r="F421" s="154">
        <f>IF(VLOOKUP(A421,[5]!CPIndex,2)=0,(F420*EXP(IF(driftswitch=1,D421,$C$4)-1/2*$D$4^2+$D$4*B421)),VLOOKUP(A421,[5]!CPIndex,2))</f>
        <v>409.9589774439076</v>
      </c>
      <c r="G421" s="162">
        <f t="shared" si="13"/>
        <v>2.659949484367723E-3</v>
      </c>
      <c r="H421" s="155">
        <f t="shared" si="12"/>
        <v>1.0026599494843678</v>
      </c>
    </row>
    <row r="422" spans="1:8" x14ac:dyDescent="0.2">
      <c r="A422" s="152">
        <v>47908</v>
      </c>
      <c r="B422" s="171">
        <v>2.9855058722967162E-2</v>
      </c>
      <c r="C422" s="153">
        <v>2.6571824051933981E-3</v>
      </c>
      <c r="D422" s="154">
        <f>IF(VLOOKUP(A422,[5]!CPIndex,2)=0,VLOOKUP(A422,[5]!CPIndex,6),0)</f>
        <v>2.6571824051933981E-3</v>
      </c>
      <c r="E422" s="153">
        <v>410.18887221905794</v>
      </c>
      <c r="F422" s="154">
        <f>IF(VLOOKUP(A422,[5]!CPIndex,2)=0,(F421*EXP(IF(driftswitch=1,D422,$C$4)-1/2*$D$4^2+$D$4*B422)),VLOOKUP(A422,[5]!CPIndex,2))</f>
        <v>411.06462071092113</v>
      </c>
      <c r="G422" s="162">
        <f t="shared" si="13"/>
        <v>2.6599494843678067E-3</v>
      </c>
      <c r="H422" s="155">
        <f t="shared" si="12"/>
        <v>1.0026599494843678</v>
      </c>
    </row>
    <row r="423" spans="1:8" x14ac:dyDescent="0.2">
      <c r="A423" s="152">
        <v>47939</v>
      </c>
      <c r="B423" s="171">
        <v>3.3623069364177541E-2</v>
      </c>
      <c r="C423" s="153">
        <v>2.6571824051933981E-3</v>
      </c>
      <c r="D423" s="154">
        <f>IF(VLOOKUP(A423,[5]!CPIndex,2)=0,VLOOKUP(A423,[5]!CPIndex,6),0)</f>
        <v>2.6571824051933981E-3</v>
      </c>
      <c r="E423" s="153">
        <v>411.27995389821041</v>
      </c>
      <c r="F423" s="154">
        <f>IF(VLOOKUP(A423,[5]!CPIndex,2)=0,(F422*EXP(IF(driftswitch=1,D423,$C$4)-1/2*$D$4^2+$D$4*B423)),VLOOKUP(A423,[5]!CPIndex,2))</f>
        <v>412.17516605736557</v>
      </c>
      <c r="G423" s="162">
        <f t="shared" si="13"/>
        <v>2.6599494843677369E-3</v>
      </c>
      <c r="H423" s="155">
        <f t="shared" si="12"/>
        <v>1.0026599494843678</v>
      </c>
    </row>
    <row r="424" spans="1:8" x14ac:dyDescent="0.2">
      <c r="A424" s="152">
        <v>47969</v>
      </c>
      <c r="B424" s="171">
        <v>2.9387071636182833E-2</v>
      </c>
      <c r="C424" s="153">
        <v>2.6571824051933981E-3</v>
      </c>
      <c r="D424" s="154">
        <f>IF(VLOOKUP(A424,[5]!CPIndex,2)=0,VLOOKUP(A424,[5]!CPIndex,6),0)</f>
        <v>2.6571824051933981E-3</v>
      </c>
      <c r="E424" s="153">
        <v>412.37393779951276</v>
      </c>
      <c r="F424" s="154">
        <f>IF(VLOOKUP(A424,[5]!CPIndex,2)=0,(F423*EXP(IF(driftswitch=1,D424,$C$4)-1/2*$D$4^2+$D$4*B424)),VLOOKUP(A424,[5]!CPIndex,2))</f>
        <v>413.2865471650868</v>
      </c>
      <c r="G424" s="162">
        <f t="shared" si="13"/>
        <v>2.6599494843677859E-3</v>
      </c>
      <c r="H424" s="155">
        <f t="shared" si="12"/>
        <v>1.0026599494843678</v>
      </c>
    </row>
    <row r="425" spans="1:8" x14ac:dyDescent="0.2">
      <c r="A425" s="152">
        <v>48000</v>
      </c>
      <c r="B425" s="171">
        <v>-2.9753213431940154E-2</v>
      </c>
      <c r="C425" s="153">
        <v>2.6571824051933981E-3</v>
      </c>
      <c r="D425" s="154">
        <f>IF(VLOOKUP(A425,[5]!CPIndex,2)=0,VLOOKUP(A425,[5]!CPIndex,6),0)</f>
        <v>2.6571824051933981E-3</v>
      </c>
      <c r="E425" s="153">
        <v>413.47083164272925</v>
      </c>
      <c r="F425" s="154">
        <f>IF(VLOOKUP(A425,[5]!CPIndex,2)=0,(F424*EXP(IF(driftswitch=1,D425,$C$4)-1/2*$D$4^2+$D$4*B425)),VLOOKUP(A425,[5]!CPIndex,2))</f>
        <v>414.3706249914423</v>
      </c>
      <c r="G425" s="162">
        <f t="shared" si="13"/>
        <v>2.6599494843676996E-3</v>
      </c>
      <c r="H425" s="155">
        <f t="shared" si="12"/>
        <v>1.0026599494843678</v>
      </c>
    </row>
    <row r="426" spans="1:8" x14ac:dyDescent="0.2">
      <c r="A426" s="152">
        <v>48030</v>
      </c>
      <c r="B426" s="171">
        <v>7.1625969216617099E-3</v>
      </c>
      <c r="C426" s="153">
        <v>2.6571824051933981E-3</v>
      </c>
      <c r="D426" s="154">
        <f>IF(VLOOKUP(A426,[5]!CPIndex,2)=0,VLOOKUP(A426,[5]!CPIndex,6),0)</f>
        <v>2.6571824051933981E-3</v>
      </c>
      <c r="E426" s="153">
        <v>414.57064316815843</v>
      </c>
      <c r="F426" s="154">
        <f>IF(VLOOKUP(A426,[5]!CPIndex,2)=0,(F425*EXP(IF(driftswitch=1,D426,$C$4)-1/2*$D$4^2+$D$4*B426)),VLOOKUP(A426,[5]!CPIndex,2))</f>
        <v>415.4765092561546</v>
      </c>
      <c r="G426" s="162">
        <f t="shared" si="13"/>
        <v>2.6599494843677312E-3</v>
      </c>
      <c r="H426" s="155">
        <f t="shared" si="12"/>
        <v>1.0026599494843678</v>
      </c>
    </row>
    <row r="427" spans="1:8" x14ac:dyDescent="0.2">
      <c r="A427" s="152">
        <v>48061</v>
      </c>
      <c r="B427" s="171">
        <v>-6.4785341494361909E-2</v>
      </c>
      <c r="C427" s="153">
        <v>2.6571824051933981E-3</v>
      </c>
      <c r="D427" s="154">
        <f>IF(VLOOKUP(A427,[5]!CPIndex,2)=0,VLOOKUP(A427,[5]!CPIndex,6),0)</f>
        <v>2.6571824051933981E-3</v>
      </c>
      <c r="E427" s="153">
        <v>415.67338013668757</v>
      </c>
      <c r="F427" s="154">
        <f>IF(VLOOKUP(A427,[5]!CPIndex,2)=0,(F426*EXP(IF(driftswitch=1,D427,$C$4)-1/2*$D$4^2+$D$4*B427)),VLOOKUP(A427,[5]!CPIndex,2))</f>
        <v>416.54828904847113</v>
      </c>
      <c r="G427" s="162">
        <f t="shared" si="13"/>
        <v>2.6599494843677352E-3</v>
      </c>
      <c r="H427" s="155">
        <f t="shared" si="12"/>
        <v>1.0026599494843678</v>
      </c>
    </row>
    <row r="428" spans="1:8" x14ac:dyDescent="0.2">
      <c r="A428" s="152">
        <v>48092</v>
      </c>
      <c r="B428" s="171">
        <v>-1.9449836546465819E-3</v>
      </c>
      <c r="C428" s="153">
        <v>2.6571824051933981E-3</v>
      </c>
      <c r="D428" s="154">
        <f>IF(VLOOKUP(A428,[5]!CPIndex,2)=0,VLOOKUP(A428,[5]!CPIndex,6),0)</f>
        <v>2.6571824051933981E-3</v>
      </c>
      <c r="E428" s="153">
        <v>416.77905032984756</v>
      </c>
      <c r="F428" s="154">
        <f>IF(VLOOKUP(A428,[5]!CPIndex,2)=0,(F427*EXP(IF(driftswitch=1,D428,$C$4)-1/2*$D$4^2+$D$4*B428)),VLOOKUP(A428,[5]!CPIndex,2))</f>
        <v>417.65528209687454</v>
      </c>
      <c r="G428" s="162">
        <f t="shared" si="13"/>
        <v>2.6599494843677807E-3</v>
      </c>
      <c r="H428" s="155">
        <f t="shared" si="12"/>
        <v>1.0026599494843678</v>
      </c>
    </row>
    <row r="429" spans="1:8" x14ac:dyDescent="0.2">
      <c r="A429" s="152">
        <v>48122</v>
      </c>
      <c r="B429" s="171">
        <v>2.2639221576308113E-2</v>
      </c>
      <c r="C429" s="153">
        <v>2.6571824051933981E-3</v>
      </c>
      <c r="D429" s="154">
        <f>IF(VLOOKUP(A429,[5]!CPIndex,2)=0,VLOOKUP(A429,[5]!CPIndex,6),0)</f>
        <v>2.6571824051933981E-3</v>
      </c>
      <c r="E429" s="153">
        <v>417.88766154986774</v>
      </c>
      <c r="F429" s="154">
        <f>IF(VLOOKUP(A429,[5]!CPIndex,2)=0,(F428*EXP(IF(driftswitch=1,D429,$C$4)-1/2*$D$4^2+$D$4*B429)),VLOOKUP(A429,[5]!CPIndex,2))</f>
        <v>418.77794582507357</v>
      </c>
      <c r="G429" s="162">
        <f t="shared" si="13"/>
        <v>2.6599494843678006E-3</v>
      </c>
      <c r="H429" s="155">
        <f t="shared" si="12"/>
        <v>1.0026599494843678</v>
      </c>
    </row>
    <row r="430" spans="1:8" x14ac:dyDescent="0.2">
      <c r="A430" s="152">
        <v>48153</v>
      </c>
      <c r="B430" s="171">
        <v>-3.0590236493257018E-2</v>
      </c>
      <c r="C430" s="153">
        <v>2.6571824051933981E-3</v>
      </c>
      <c r="D430" s="154">
        <f>IF(VLOOKUP(A430,[5]!CPIndex,2)=0,VLOOKUP(A430,[5]!CPIndex,6),0)</f>
        <v>2.6571824051933981E-3</v>
      </c>
      <c r="E430" s="153">
        <v>418.99922161973097</v>
      </c>
      <c r="F430" s="154">
        <f>IF(VLOOKUP(A430,[5]!CPIndex,2)=0,(F429*EXP(IF(driftswitch=1,D430,$C$4)-1/2*$D$4^2+$D$4*B430)),VLOOKUP(A430,[5]!CPIndex,2))</f>
        <v>419.87599342857419</v>
      </c>
      <c r="G430" s="162">
        <f t="shared" si="13"/>
        <v>2.6599494843677863E-3</v>
      </c>
      <c r="H430" s="155">
        <f t="shared" si="12"/>
        <v>1.0026599494843678</v>
      </c>
    </row>
    <row r="431" spans="1:8" x14ac:dyDescent="0.2">
      <c r="A431" s="152">
        <v>48183</v>
      </c>
      <c r="B431" s="171">
        <v>-6.7846218316786625E-2</v>
      </c>
      <c r="C431" s="153">
        <v>2.6571824051933981E-3</v>
      </c>
      <c r="D431" s="154">
        <f>IF(VLOOKUP(A431,[5]!CPIndex,2)=0,VLOOKUP(A431,[5]!CPIndex,6),0)</f>
        <v>2.6571824051933981E-3</v>
      </c>
      <c r="E431" s="153">
        <v>420.11373838322885</v>
      </c>
      <c r="F431" s="154">
        <f>IF(VLOOKUP(A431,[5]!CPIndex,2)=0,(F430*EXP(IF(driftswitch=1,D431,$C$4)-1/2*$D$4^2+$D$4*B431)),VLOOKUP(A431,[5]!CPIndex,2))</f>
        <v>420.95752922015555</v>
      </c>
      <c r="G431" s="162">
        <f t="shared" si="13"/>
        <v>2.6599494843677087E-3</v>
      </c>
      <c r="H431" s="155">
        <f t="shared" si="12"/>
        <v>1.0026599494843678</v>
      </c>
    </row>
    <row r="432" spans="1:8" x14ac:dyDescent="0.2">
      <c r="A432" s="152">
        <v>48214</v>
      </c>
      <c r="B432" s="171">
        <v>-9.5903938007823788E-3</v>
      </c>
      <c r="C432" s="153">
        <v>2.6571824051933981E-3</v>
      </c>
      <c r="D432" s="154">
        <f>IF(VLOOKUP(A432,[5]!CPIndex,2)=0,VLOOKUP(A432,[5]!CPIndex,6),0)</f>
        <v>2.6571824051933981E-3</v>
      </c>
      <c r="E432" s="153">
        <v>421.23121970501711</v>
      </c>
      <c r="F432" s="154">
        <f>IF(VLOOKUP(A432,[5]!CPIndex,2)=0,(F431*EXP(IF(driftswitch=1,D432,$C$4)-1/2*$D$4^2+$D$4*B432)),VLOOKUP(A432,[5]!CPIndex,2))</f>
        <v>422.07225026027544</v>
      </c>
      <c r="G432" s="162">
        <f t="shared" si="13"/>
        <v>2.6599494843677122E-3</v>
      </c>
      <c r="H432" s="155">
        <f t="shared" si="12"/>
        <v>1.0026599494843678</v>
      </c>
    </row>
    <row r="433" spans="1:8" x14ac:dyDescent="0.2">
      <c r="A433" s="152">
        <v>48245</v>
      </c>
      <c r="B433" s="171">
        <v>-3.2537494937536209E-2</v>
      </c>
      <c r="C433" s="153">
        <v>2.6571824051933981E-3</v>
      </c>
      <c r="D433" s="154">
        <f>IF(VLOOKUP(A433,[5]!CPIndex,2)=0,VLOOKUP(A433,[5]!CPIndex,6),0)</f>
        <v>2.6571824051933981E-3</v>
      </c>
      <c r="E433" s="153">
        <v>422.35167347067107</v>
      </c>
      <c r="F433" s="154">
        <f>IF(VLOOKUP(A433,[5]!CPIndex,2)=0,(F432*EXP(IF(driftswitch=1,D433,$C$4)-1/2*$D$4^2+$D$4*B433)),VLOOKUP(A433,[5]!CPIndex,2))</f>
        <v>423.17791679401932</v>
      </c>
      <c r="G433" s="162">
        <f t="shared" si="13"/>
        <v>2.6599494843677599E-3</v>
      </c>
      <c r="H433" s="155">
        <f t="shared" si="12"/>
        <v>1.0026599494843678</v>
      </c>
    </row>
    <row r="434" spans="1:8" x14ac:dyDescent="0.2">
      <c r="A434" s="152">
        <v>48274</v>
      </c>
      <c r="B434" s="171">
        <v>1.795930263162868E-2</v>
      </c>
      <c r="C434" s="153">
        <v>2.6571824051933981E-3</v>
      </c>
      <c r="D434" s="154">
        <f>IF(VLOOKUP(A434,[5]!CPIndex,2)=0,VLOOKUP(A434,[5]!CPIndex,6),0)</f>
        <v>2.6571824051933981E-3</v>
      </c>
      <c r="E434" s="153">
        <v>423.47510758674127</v>
      </c>
      <c r="F434" s="154">
        <f>IF(VLOOKUP(A434,[5]!CPIndex,2)=0,(F433*EXP(IF(driftswitch=1,D434,$C$4)-1/2*$D$4^2+$D$4*B434)),VLOOKUP(A434,[5]!CPIndex,2))</f>
        <v>424.31297028630729</v>
      </c>
      <c r="G434" s="162">
        <f t="shared" si="13"/>
        <v>2.6599494843678267E-3</v>
      </c>
      <c r="H434" s="155">
        <f t="shared" si="12"/>
        <v>1.0026599494843678</v>
      </c>
    </row>
    <row r="435" spans="1:8" x14ac:dyDescent="0.2">
      <c r="A435" s="152">
        <v>48305</v>
      </c>
      <c r="B435" s="171">
        <v>2.1409712035717881E-2</v>
      </c>
      <c r="C435" s="153">
        <v>2.6571824051933981E-3</v>
      </c>
      <c r="D435" s="154">
        <f>IF(VLOOKUP(A435,[5]!CPIndex,2)=0,VLOOKUP(A435,[5]!CPIndex,6),0)</f>
        <v>2.6571824051933981E-3</v>
      </c>
      <c r="E435" s="153">
        <v>424.60152998080923</v>
      </c>
      <c r="F435" s="154">
        <f>IF(VLOOKUP(A435,[5]!CPIndex,2)=0,(F434*EXP(IF(driftswitch=1,D435,$C$4)-1/2*$D$4^2+$D$4*B435)),VLOOKUP(A435,[5]!CPIndex,2))</f>
        <v>425.45288322907572</v>
      </c>
      <c r="G435" s="162">
        <f t="shared" si="13"/>
        <v>2.6599494843678176E-3</v>
      </c>
      <c r="H435" s="155">
        <f t="shared" si="12"/>
        <v>1.0026599494843678</v>
      </c>
    </row>
    <row r="436" spans="1:8" x14ac:dyDescent="0.2">
      <c r="A436" s="152">
        <v>48335</v>
      </c>
      <c r="B436" s="171">
        <v>4.2617447722181302E-3</v>
      </c>
      <c r="C436" s="153">
        <v>2.6571824051933981E-3</v>
      </c>
      <c r="D436" s="154">
        <f>IF(VLOOKUP(A436,[5]!CPIndex,2)=0,VLOOKUP(A436,[5]!CPIndex,6),0)</f>
        <v>2.6571824051933981E-3</v>
      </c>
      <c r="E436" s="153">
        <v>425.73094860154345</v>
      </c>
      <c r="F436" s="154">
        <f>IF(VLOOKUP(A436,[5]!CPIndex,2)=0,(F435*EXP(IF(driftswitch=1,D436,$C$4)-1/2*$D$4^2+$D$4*B436)),VLOOKUP(A436,[5]!CPIndex,2))</f>
        <v>426.58681415600535</v>
      </c>
      <c r="G436" s="162">
        <f t="shared" si="13"/>
        <v>2.6599494843677555E-3</v>
      </c>
      <c r="H436" s="155">
        <f t="shared" si="12"/>
        <v>1.0026599494843678</v>
      </c>
    </row>
    <row r="437" spans="1:8" x14ac:dyDescent="0.2">
      <c r="A437" s="152">
        <v>48366</v>
      </c>
      <c r="B437" s="171">
        <v>9.976645889874073E-3</v>
      </c>
      <c r="C437" s="153">
        <v>2.6571824051933981E-3</v>
      </c>
      <c r="D437" s="154">
        <f>IF(VLOOKUP(A437,[5]!CPIndex,2)=0,VLOOKUP(A437,[5]!CPIndex,6),0)</f>
        <v>2.6571824051933981E-3</v>
      </c>
      <c r="E437" s="153">
        <v>426.86337141875549</v>
      </c>
      <c r="F437" s="154">
        <f>IF(VLOOKUP(A437,[5]!CPIndex,2)=0,(F436*EXP(IF(driftswitch=1,D437,$C$4)-1/2*$D$4^2+$D$4*B437)),VLOOKUP(A437,[5]!CPIndex,2))</f>
        <v>427.72678950497237</v>
      </c>
      <c r="G437" s="162">
        <f t="shared" si="13"/>
        <v>2.6599494843676961E-3</v>
      </c>
      <c r="H437" s="155">
        <f t="shared" si="12"/>
        <v>1.0026599494843678</v>
      </c>
    </row>
    <row r="438" spans="1:8" x14ac:dyDescent="0.2">
      <c r="A438" s="152">
        <v>48396</v>
      </c>
      <c r="B438" s="171">
        <v>-4.0885574342486207E-2</v>
      </c>
      <c r="C438" s="153">
        <v>2.6571824051933981E-3</v>
      </c>
      <c r="D438" s="154">
        <f>IF(VLOOKUP(A438,[5]!CPIndex,2)=0,VLOOKUP(A438,[5]!CPIndex,6),0)</f>
        <v>2.6571824051933981E-3</v>
      </c>
      <c r="E438" s="153">
        <v>427.9988064234563</v>
      </c>
      <c r="F438" s="154">
        <f>IF(VLOOKUP(A438,[5]!CPIndex,2)=0,(F437*EXP(IF(driftswitch=1,D438,$C$4)-1/2*$D$4^2+$D$4*B438)),VLOOKUP(A438,[5]!CPIndex,2))</f>
        <v>428.84284244759311</v>
      </c>
      <c r="G438" s="162">
        <f t="shared" si="13"/>
        <v>2.6599494843677772E-3</v>
      </c>
      <c r="H438" s="155">
        <f t="shared" si="12"/>
        <v>1.0026599494843678</v>
      </c>
    </row>
    <row r="439" spans="1:8" x14ac:dyDescent="0.2">
      <c r="A439" s="152">
        <v>48427</v>
      </c>
      <c r="B439" s="171">
        <v>2.9844877142670798E-2</v>
      </c>
      <c r="C439" s="153">
        <v>2.6571824051933981E-3</v>
      </c>
      <c r="D439" s="154">
        <f>IF(VLOOKUP(A439,[5]!CPIndex,2)=0,VLOOKUP(A439,[5]!CPIndex,6),0)</f>
        <v>2.6571824051933981E-3</v>
      </c>
      <c r="E439" s="153">
        <v>429.13726162791238</v>
      </c>
      <c r="F439" s="154">
        <f>IF(VLOOKUP(A439,[5]!CPIndex,2)=0,(F438*EXP(IF(driftswitch=1,D439,$C$4)-1/2*$D$4^2+$D$4*B439)),VLOOKUP(A439,[5]!CPIndex,2))</f>
        <v>429.9994093441432</v>
      </c>
      <c r="G439" s="162">
        <f t="shared" si="13"/>
        <v>2.6599494843677365E-3</v>
      </c>
      <c r="H439" s="155">
        <f t="shared" si="12"/>
        <v>1.0026599494843678</v>
      </c>
    </row>
    <row r="440" spans="1:8" x14ac:dyDescent="0.2">
      <c r="A440" s="152">
        <v>48458</v>
      </c>
      <c r="B440" s="171">
        <v>-1.573777795561122E-2</v>
      </c>
      <c r="C440" s="153">
        <v>2.6571824051933981E-3</v>
      </c>
      <c r="D440" s="154">
        <f>IF(VLOOKUP(A440,[5]!CPIndex,2)=0,VLOOKUP(A440,[5]!CPIndex,6),0)</f>
        <v>2.6571824051933981E-3</v>
      </c>
      <c r="E440" s="153">
        <v>430.27874506570254</v>
      </c>
      <c r="F440" s="154">
        <f>IF(VLOOKUP(A440,[5]!CPIndex,2)=0,(F439*EXP(IF(driftswitch=1,D440,$C$4)-1/2*$D$4^2+$D$4*B440)),VLOOKUP(A440,[5]!CPIndex,2))</f>
        <v>431.13479696009108</v>
      </c>
      <c r="G440" s="162">
        <f t="shared" si="13"/>
        <v>2.6599494843677577E-3</v>
      </c>
      <c r="H440" s="155">
        <f t="shared" si="12"/>
        <v>1.0026599494843678</v>
      </c>
    </row>
    <row r="441" spans="1:8" x14ac:dyDescent="0.2">
      <c r="A441" s="152">
        <v>48488</v>
      </c>
      <c r="B441" s="171">
        <v>-4.6662094751126142E-2</v>
      </c>
      <c r="C441" s="153">
        <v>2.6571824051933981E-3</v>
      </c>
      <c r="D441" s="154">
        <f>IF(VLOOKUP(A441,[5]!CPIndex,2)=0,VLOOKUP(A441,[5]!CPIndex,6),0)</f>
        <v>2.6571824051933981E-3</v>
      </c>
      <c r="E441" s="153">
        <v>431.42326479177444</v>
      </c>
      <c r="F441" s="154">
        <f>IF(VLOOKUP(A441,[5]!CPIndex,2)=0,(F440*EXP(IF(driftswitch=1,D441,$C$4)-1/2*$D$4^2+$D$4*B441)),VLOOKUP(A441,[5]!CPIndex,2))</f>
        <v>432.25665510767942</v>
      </c>
      <c r="G441" s="162">
        <f t="shared" si="13"/>
        <v>2.6599494843677208E-3</v>
      </c>
      <c r="H441" s="155">
        <f t="shared" si="12"/>
        <v>1.0026599494843678</v>
      </c>
    </row>
    <row r="442" spans="1:8" x14ac:dyDescent="0.2">
      <c r="A442" s="152">
        <v>48519</v>
      </c>
      <c r="B442" s="171">
        <v>-4.5986363920464429E-2</v>
      </c>
      <c r="C442" s="153">
        <v>2.6571824051933981E-3</v>
      </c>
      <c r="D442" s="154">
        <f>IF(VLOOKUP(A442,[5]!CPIndex,2)=0,VLOOKUP(A442,[5]!CPIndex,6),0)</f>
        <v>2.6571824051933981E-3</v>
      </c>
      <c r="E442" s="153">
        <v>432.57082888250159</v>
      </c>
      <c r="F442" s="154">
        <f>IF(VLOOKUP(A442,[5]!CPIndex,2)=0,(F441*EXP(IF(driftswitch=1,D442,$C$4)-1/2*$D$4^2+$D$4*B442)),VLOOKUP(A442,[5]!CPIndex,2))</f>
        <v>433.38179452321748</v>
      </c>
      <c r="G442" s="162">
        <f t="shared" si="13"/>
        <v>2.6599494843677785E-3</v>
      </c>
      <c r="H442" s="155">
        <f t="shared" si="12"/>
        <v>1.0026599494843678</v>
      </c>
    </row>
    <row r="443" spans="1:8" x14ac:dyDescent="0.2">
      <c r="A443" s="152">
        <v>48549</v>
      </c>
      <c r="B443" s="171">
        <v>-2.0374922334166674E-2</v>
      </c>
      <c r="C443" s="153">
        <v>2.6571824051933981E-3</v>
      </c>
      <c r="D443" s="154">
        <f>IF(VLOOKUP(A443,[5]!CPIndex,2)=0,VLOOKUP(A443,[5]!CPIndex,6),0)</f>
        <v>2.6571824051933981E-3</v>
      </c>
      <c r="E443" s="153">
        <v>433.72144543574012</v>
      </c>
      <c r="F443" s="154">
        <f>IF(VLOOKUP(A443,[5]!CPIndex,2)=0,(F442*EXP(IF(driftswitch=1,D443,$C$4)-1/2*$D$4^2+$D$4*B443)),VLOOKUP(A443,[5]!CPIndex,2))</f>
        <v>434.52362186179903</v>
      </c>
      <c r="G443" s="162">
        <f t="shared" si="13"/>
        <v>2.6599494843677382E-3</v>
      </c>
      <c r="H443" s="155">
        <f t="shared" si="12"/>
        <v>1.0026599494843678</v>
      </c>
    </row>
    <row r="444" spans="1:8" x14ac:dyDescent="0.2">
      <c r="A444" s="152">
        <v>48580</v>
      </c>
      <c r="B444" s="171">
        <v>2.7632065550518849E-3</v>
      </c>
      <c r="C444" s="153">
        <v>2.6571824051933981E-3</v>
      </c>
      <c r="D444" s="154">
        <f>IF(VLOOKUP(A444,[5]!CPIndex,2)=0,VLOOKUP(A444,[5]!CPIndex,6),0)</f>
        <v>2.6571824051933981E-3</v>
      </c>
      <c r="E444" s="153">
        <v>434.87512257088616</v>
      </c>
      <c r="F444" s="154">
        <f>IF(VLOOKUP(A444,[5]!CPIndex,2)=0,(F443*EXP(IF(driftswitch=1,D444,$C$4)-1/2*$D$4^2+$D$4*B444)),VLOOKUP(A444,[5]!CPIndex,2))</f>
        <v>435.68092119949279</v>
      </c>
      <c r="G444" s="162">
        <f t="shared" si="13"/>
        <v>2.6599494843677685E-3</v>
      </c>
      <c r="H444" s="155">
        <f t="shared" si="12"/>
        <v>1.0026599494843678</v>
      </c>
    </row>
    <row r="445" spans="1:8" x14ac:dyDescent="0.2">
      <c r="A445" s="152">
        <v>48611</v>
      </c>
      <c r="B445" s="171">
        <v>1.1671937262703044E-2</v>
      </c>
      <c r="C445" s="153">
        <v>2.6571824051933981E-3</v>
      </c>
      <c r="D445" s="154">
        <f>IF(VLOOKUP(A445,[5]!CPIndex,2)=0,VLOOKUP(A445,[5]!CPIndex,6),0)</f>
        <v>2.6571824051933981E-3</v>
      </c>
      <c r="E445" s="153">
        <v>436.03186842893297</v>
      </c>
      <c r="F445" s="154">
        <f>IF(VLOOKUP(A445,[5]!CPIndex,2)=0,(F444*EXP(IF(driftswitch=1,D445,$C$4)-1/2*$D$4^2+$D$4*B445)),VLOOKUP(A445,[5]!CPIndex,2))</f>
        <v>436.84611453241962</v>
      </c>
      <c r="G445" s="162">
        <f t="shared" si="13"/>
        <v>2.6599494843677811E-3</v>
      </c>
      <c r="H445" s="155">
        <f t="shared" si="12"/>
        <v>1.0026599494843678</v>
      </c>
    </row>
    <row r="446" spans="1:8" x14ac:dyDescent="0.2">
      <c r="A446" s="152">
        <v>48639</v>
      </c>
      <c r="B446" s="171">
        <v>2.2674690625373563E-2</v>
      </c>
      <c r="C446" s="153">
        <v>2.6571824051933981E-3</v>
      </c>
      <c r="D446" s="154">
        <f>IF(VLOOKUP(A446,[5]!CPIndex,2)=0,VLOOKUP(A446,[5]!CPIndex,6),0)</f>
        <v>2.6571824051933981E-3</v>
      </c>
      <c r="E446" s="153">
        <v>437.19169117252841</v>
      </c>
      <c r="F446" s="154">
        <f>IF(VLOOKUP(A446,[5]!CPIndex,2)=0,(F445*EXP(IF(driftswitch=1,D446,$C$4)-1/2*$D$4^2+$D$4*B446)),VLOOKUP(A446,[5]!CPIndex,2))</f>
        <v>438.02038271776263</v>
      </c>
      <c r="G446" s="162">
        <f t="shared" si="13"/>
        <v>2.6599494843677373E-3</v>
      </c>
      <c r="H446" s="155">
        <f t="shared" si="12"/>
        <v>1.0026599494843678</v>
      </c>
    </row>
    <row r="447" spans="1:8" x14ac:dyDescent="0.2">
      <c r="A447" s="152">
        <v>48670</v>
      </c>
      <c r="B447" s="171">
        <v>2.26623281854158E-2</v>
      </c>
      <c r="C447" s="153">
        <v>2.6571824051933981E-3</v>
      </c>
      <c r="D447" s="154">
        <f>IF(VLOOKUP(A447,[5]!CPIndex,2)=0,VLOOKUP(A447,[5]!CPIndex,6),0)</f>
        <v>2.6571824051933981E-3</v>
      </c>
      <c r="E447" s="153">
        <v>438.35459898603267</v>
      </c>
      <c r="F447" s="154">
        <f>IF(VLOOKUP(A447,[5]!CPIndex,2)=0,(F446*EXP(IF(driftswitch=1,D447,$C$4)-1/2*$D$4^2+$D$4*B447)),VLOOKUP(A447,[5]!CPIndex,2))</f>
        <v>439.19780069238942</v>
      </c>
      <c r="G447" s="162">
        <f t="shared" si="13"/>
        <v>2.6599494843678193E-3</v>
      </c>
      <c r="H447" s="155">
        <f t="shared" si="12"/>
        <v>1.0026599494843678</v>
      </c>
    </row>
    <row r="448" spans="1:8" x14ac:dyDescent="0.2">
      <c r="A448" s="152">
        <v>48700</v>
      </c>
      <c r="B448" s="171">
        <v>2.5203510311722219E-2</v>
      </c>
      <c r="C448" s="153">
        <v>2.6571824051933981E-3</v>
      </c>
      <c r="D448" s="154">
        <f>IF(VLOOKUP(A448,[5]!CPIndex,2)=0,VLOOKUP(A448,[5]!CPIndex,6),0)</f>
        <v>2.6571824051933981E-3</v>
      </c>
      <c r="E448" s="153">
        <v>439.52060007557583</v>
      </c>
      <c r="F448" s="154">
        <f>IF(VLOOKUP(A448,[5]!CPIndex,2)=0,(F447*EXP(IF(driftswitch=1,D448,$C$4)-1/2*$D$4^2+$D$4*B448)),VLOOKUP(A448,[5]!CPIndex,2))</f>
        <v>440.37976723758783</v>
      </c>
      <c r="G448" s="162">
        <f t="shared" si="13"/>
        <v>2.6599494843678158E-3</v>
      </c>
      <c r="H448" s="155">
        <f t="shared" si="12"/>
        <v>1.0026599494843678</v>
      </c>
    </row>
    <row r="449" spans="1:8" x14ac:dyDescent="0.2">
      <c r="A449" s="152">
        <v>48731</v>
      </c>
      <c r="B449" s="171">
        <v>5.8474194179598801E-2</v>
      </c>
      <c r="C449" s="153">
        <v>2.6571824051933981E-3</v>
      </c>
      <c r="D449" s="154">
        <f>IF(VLOOKUP(A449,[5]!CPIndex,2)=0,VLOOKUP(A449,[5]!CPIndex,6),0)</f>
        <v>2.6571824051933981E-3</v>
      </c>
      <c r="E449" s="153">
        <v>440.68970266911589</v>
      </c>
      <c r="F449" s="154">
        <f>IF(VLOOKUP(A449,[5]!CPIndex,2)=0,(F448*EXP(IF(driftswitch=1,D449,$C$4)-1/2*$D$4^2+$D$4*B449)),VLOOKUP(A449,[5]!CPIndex,2))</f>
        <v>441.58307901576092</v>
      </c>
      <c r="G449" s="162">
        <f t="shared" si="13"/>
        <v>2.6599494843678145E-3</v>
      </c>
      <c r="H449" s="155">
        <f t="shared" si="12"/>
        <v>1.0026599494843678</v>
      </c>
    </row>
    <row r="450" spans="1:8" x14ac:dyDescent="0.2">
      <c r="A450" s="152">
        <v>48761</v>
      </c>
      <c r="B450" s="171">
        <v>5.2896270043136621E-2</v>
      </c>
      <c r="C450" s="153">
        <v>2.6571824051933981E-3</v>
      </c>
      <c r="D450" s="154">
        <f>IF(VLOOKUP(A450,[5]!CPIndex,2)=0,VLOOKUP(A450,[5]!CPIndex,6),0)</f>
        <v>2.6571824051933981E-3</v>
      </c>
      <c r="E450" s="153">
        <v>441.86191501649677</v>
      </c>
      <c r="F450" s="154">
        <f>IF(VLOOKUP(A450,[5]!CPIndex,2)=0,(F449*EXP(IF(driftswitch=1,D450,$C$4)-1/2*$D$4^2+$D$4*B450)),VLOOKUP(A450,[5]!CPIndex,2))</f>
        <v>442.78662509762103</v>
      </c>
      <c r="G450" s="162">
        <f t="shared" si="13"/>
        <v>2.6599494843677182E-3</v>
      </c>
      <c r="H450" s="155">
        <f t="shared" si="12"/>
        <v>1.0026599494843678</v>
      </c>
    </row>
    <row r="451" spans="1:8" x14ac:dyDescent="0.2">
      <c r="A451" s="152">
        <v>48792</v>
      </c>
      <c r="B451" s="171">
        <v>-4.2464932544871214E-2</v>
      </c>
      <c r="C451" s="153">
        <v>2.6571824051933981E-3</v>
      </c>
      <c r="D451" s="154">
        <f>IF(VLOOKUP(A451,[5]!CPIndex,2)=0,VLOOKUP(A451,[5]!CPIndex,6),0)</f>
        <v>2.6571824051933981E-3</v>
      </c>
      <c r="E451" s="153">
        <v>443.03724538950667</v>
      </c>
      <c r="F451" s="154">
        <f>IF(VLOOKUP(A451,[5]!CPIndex,2)=0,(F450*EXP(IF(driftswitch=1,D451,$C$4)-1/2*$D$4^2+$D$4*B451)),VLOOKUP(A451,[5]!CPIndex,2))</f>
        <v>443.94110627300716</v>
      </c>
      <c r="G451" s="162">
        <f t="shared" si="13"/>
        <v>2.6599494843677998E-3</v>
      </c>
      <c r="H451" s="155">
        <f t="shared" si="12"/>
        <v>1.0026599494843678</v>
      </c>
    </row>
    <row r="452" spans="1:8" x14ac:dyDescent="0.2">
      <c r="A452" s="152">
        <v>48823</v>
      </c>
      <c r="B452" s="171">
        <v>4.3671080498304871E-2</v>
      </c>
      <c r="C452" s="153">
        <v>2.6571824051933981E-3</v>
      </c>
      <c r="D452" s="154">
        <f>IF(VLOOKUP(A452,[5]!CPIndex,2)=0,VLOOKUP(A452,[5]!CPIndex,6),0)</f>
        <v>2.6571824051933981E-3</v>
      </c>
      <c r="E452" s="153">
        <v>444.21570208193617</v>
      </c>
      <c r="F452" s="154">
        <f>IF(VLOOKUP(A452,[5]!CPIndex,2)=0,(F451*EXP(IF(driftswitch=1,D452,$C$4)-1/2*$D$4^2+$D$4*B452)),VLOOKUP(A452,[5]!CPIndex,2))</f>
        <v>445.14600189999504</v>
      </c>
      <c r="G452" s="162">
        <f t="shared" si="13"/>
        <v>2.6599494843677044E-3</v>
      </c>
      <c r="H452" s="155">
        <f t="shared" si="12"/>
        <v>1.0026599494843678</v>
      </c>
    </row>
    <row r="453" spans="1:8" x14ac:dyDescent="0.2">
      <c r="A453" s="152">
        <v>48853</v>
      </c>
      <c r="B453" s="171">
        <v>-1.4517350200105611E-2</v>
      </c>
      <c r="C453" s="153">
        <v>2.6571824051933981E-3</v>
      </c>
      <c r="D453" s="154">
        <f>IF(VLOOKUP(A453,[5]!CPIndex,2)=0,VLOOKUP(A453,[5]!CPIndex,6),0)</f>
        <v>2.6571824051933981E-3</v>
      </c>
      <c r="E453" s="153">
        <v>445.39729340963709</v>
      </c>
      <c r="F453" s="154">
        <f>IF(VLOOKUP(A453,[5]!CPIndex,2)=0,(F452*EXP(IF(driftswitch=1,D453,$C$4)-1/2*$D$4^2+$D$4*B453)),VLOOKUP(A453,[5]!CPIndex,2))</f>
        <v>446.32205664779616</v>
      </c>
      <c r="G453" s="162">
        <f t="shared" si="13"/>
        <v>2.6599494843677733E-3</v>
      </c>
      <c r="H453" s="155">
        <f t="shared" si="12"/>
        <v>1.0026599494843678</v>
      </c>
    </row>
    <row r="454" spans="1:8" x14ac:dyDescent="0.2">
      <c r="A454" s="152">
        <v>48884</v>
      </c>
      <c r="B454" s="171">
        <v>5.1351378313229355E-2</v>
      </c>
      <c r="C454" s="153">
        <v>2.6571824051933981E-3</v>
      </c>
      <c r="D454" s="154">
        <f>IF(VLOOKUP(A454,[5]!CPIndex,2)=0,VLOOKUP(A454,[5]!CPIndex,6),0)</f>
        <v>2.6571824051933981E-3</v>
      </c>
      <c r="E454" s="153">
        <v>446.58202771058086</v>
      </c>
      <c r="F454" s="154">
        <f>IF(VLOOKUP(A454,[5]!CPIndex,2)=0,(F453*EXP(IF(driftswitch=1,D454,$C$4)-1/2*$D$4^2+$D$4*B454)),VLOOKUP(A454,[5]!CPIndex,2))</f>
        <v>447.53766410061377</v>
      </c>
      <c r="G454" s="162">
        <f t="shared" si="13"/>
        <v>2.6599494843677902E-3</v>
      </c>
      <c r="H454" s="155">
        <f t="shared" si="12"/>
        <v>1.0026599494843678</v>
      </c>
    </row>
    <row r="455" spans="1:8" x14ac:dyDescent="0.2">
      <c r="A455" s="152">
        <v>48914</v>
      </c>
      <c r="B455" s="171">
        <v>3.443513586493023E-2</v>
      </c>
      <c r="C455" s="153">
        <v>2.6571824051933981E-3</v>
      </c>
      <c r="D455" s="154">
        <f>IF(VLOOKUP(A455,[5]!CPIndex,2)=0,VLOOKUP(A455,[5]!CPIndex,6),0)</f>
        <v>2.6571824051933981E-3</v>
      </c>
      <c r="E455" s="153">
        <v>447.76991334491754</v>
      </c>
      <c r="F455" s="154">
        <f>IF(VLOOKUP(A455,[5]!CPIndex,2)=0,(F454*EXP(IF(driftswitch=1,D455,$C$4)-1/2*$D$4^2+$D$4*B455)),VLOOKUP(A455,[5]!CPIndex,2))</f>
        <v>448.74719674387211</v>
      </c>
      <c r="G455" s="162">
        <f t="shared" si="13"/>
        <v>2.6599494843677876E-3</v>
      </c>
      <c r="H455" s="155">
        <f t="shared" si="12"/>
        <v>1.0026599494843678</v>
      </c>
    </row>
    <row r="456" spans="1:8" x14ac:dyDescent="0.2">
      <c r="A456" s="152">
        <v>48945</v>
      </c>
      <c r="B456" s="171">
        <v>3.6928448279920867E-2</v>
      </c>
      <c r="C456" s="153">
        <v>2.6571824051933981E-3</v>
      </c>
      <c r="D456" s="154">
        <f>IF(VLOOKUP(A456,[5]!CPIndex,2)=0,VLOOKUP(A456,[5]!CPIndex,6),0)</f>
        <v>2.6571824051933981E-3</v>
      </c>
      <c r="E456" s="153">
        <v>448.96095869503478</v>
      </c>
      <c r="F456" s="154">
        <f>IF(VLOOKUP(A456,[5]!CPIndex,2)=0,(F455*EXP(IF(driftswitch=1,D456,$C$4)-1/2*$D$4^2+$D$4*B456)),VLOOKUP(A456,[5]!CPIndex,2))</f>
        <v>449.96138540961948</v>
      </c>
      <c r="G456" s="162">
        <f t="shared" si="13"/>
        <v>2.6599494843678171E-3</v>
      </c>
      <c r="H456" s="155">
        <f t="shared" si="12"/>
        <v>1.0026599494843678</v>
      </c>
    </row>
    <row r="457" spans="1:8" x14ac:dyDescent="0.2">
      <c r="A457" s="152">
        <v>48976</v>
      </c>
      <c r="B457" s="171">
        <v>7.8500720303147448E-2</v>
      </c>
      <c r="C457" s="153">
        <v>2.6571824051933981E-3</v>
      </c>
      <c r="D457" s="154">
        <f>IF(VLOOKUP(A457,[5]!CPIndex,2)=0,VLOOKUP(A457,[5]!CPIndex,6),0)</f>
        <v>2.6571824051933981E-3</v>
      </c>
      <c r="E457" s="153">
        <v>450.15517216561688</v>
      </c>
      <c r="F457" s="154">
        <f>IF(VLOOKUP(A457,[5]!CPIndex,2)=0,(F456*EXP(IF(driftswitch=1,D457,$C$4)-1/2*$D$4^2+$D$4*B457)),VLOOKUP(A457,[5]!CPIndex,2))</f>
        <v>451.20205025581515</v>
      </c>
      <c r="G457" s="162">
        <f t="shared" si="13"/>
        <v>2.6599494843677291E-3</v>
      </c>
      <c r="H457" s="155">
        <f t="shared" si="12"/>
        <v>1.0026599494843678</v>
      </c>
    </row>
    <row r="458" spans="1:8" x14ac:dyDescent="0.2">
      <c r="A458" s="152">
        <v>49004</v>
      </c>
      <c r="B458" s="171">
        <v>2.2697853587088049E-2</v>
      </c>
      <c r="C458" s="153">
        <v>2.6571824051933981E-3</v>
      </c>
      <c r="D458" s="154">
        <f>IF(VLOOKUP(A458,[5]!CPIndex,2)=0,VLOOKUP(A458,[5]!CPIndex,6),0)</f>
        <v>2.6571824051933981E-3</v>
      </c>
      <c r="E458" s="153">
        <v>451.35256218370426</v>
      </c>
      <c r="F458" s="154">
        <f>IF(VLOOKUP(A458,[5]!CPIndex,2)=0,(F457*EXP(IF(driftswitch=1,D458,$C$4)-1/2*$D$4^2+$D$4*B458)),VLOOKUP(A458,[5]!CPIndex,2))</f>
        <v>452.41492100163418</v>
      </c>
      <c r="G458" s="162">
        <f t="shared" si="13"/>
        <v>2.6599494843677087E-3</v>
      </c>
      <c r="H458" s="155">
        <f t="shared" si="12"/>
        <v>1.0026599494843678</v>
      </c>
    </row>
    <row r="459" spans="1:8" x14ac:dyDescent="0.2">
      <c r="A459" s="152">
        <v>49035</v>
      </c>
      <c r="B459" s="171">
        <v>4.8040568785213478E-3</v>
      </c>
      <c r="C459" s="153">
        <v>2.6571824051933981E-3</v>
      </c>
      <c r="D459" s="154">
        <f>IF(VLOOKUP(A459,[5]!CPIndex,2)=0,VLOOKUP(A459,[5]!CPIndex,6),0)</f>
        <v>2.6571824051933981E-3</v>
      </c>
      <c r="E459" s="153">
        <v>452.55313719875289</v>
      </c>
      <c r="F459" s="154">
        <f>IF(VLOOKUP(A459,[5]!CPIndex,2)=0,(F458*EXP(IF(driftswitch=1,D459,$C$4)-1/2*$D$4^2+$D$4*B459)),VLOOKUP(A459,[5]!CPIndex,2))</f>
        <v>453.62101618876943</v>
      </c>
      <c r="G459" s="162">
        <f t="shared" si="13"/>
        <v>2.6599494843677963E-3</v>
      </c>
      <c r="H459" s="155">
        <f t="shared" si="12"/>
        <v>1.0026599494843678</v>
      </c>
    </row>
    <row r="460" spans="1:8" x14ac:dyDescent="0.2">
      <c r="A460" s="152">
        <v>49065</v>
      </c>
      <c r="B460" s="171">
        <v>-3.1737907184870018E-2</v>
      </c>
      <c r="C460" s="153">
        <v>2.6571824051933981E-3</v>
      </c>
      <c r="D460" s="154">
        <f>IF(VLOOKUP(A460,[5]!CPIndex,2)=0,VLOOKUP(A460,[5]!CPIndex,6),0)</f>
        <v>2.6571824051933981E-3</v>
      </c>
      <c r="E460" s="153">
        <v>453.75690568269374</v>
      </c>
      <c r="F460" s="154">
        <f>IF(VLOOKUP(A460,[5]!CPIndex,2)=0,(F459*EXP(IF(driftswitch=1,D460,$C$4)-1/2*$D$4^2+$D$4*B460)),VLOOKUP(A460,[5]!CPIndex,2))</f>
        <v>454.8097779476721</v>
      </c>
      <c r="G460" s="162">
        <f t="shared" si="13"/>
        <v>2.6599494843677898E-3</v>
      </c>
      <c r="H460" s="155">
        <f t="shared" ref="H460:H479" si="14">G460+1</f>
        <v>1.0026599494843678</v>
      </c>
    </row>
    <row r="461" spans="1:8" x14ac:dyDescent="0.2">
      <c r="A461" s="152">
        <v>49096</v>
      </c>
      <c r="B461" s="171">
        <v>-2.7633156308853837E-2</v>
      </c>
      <c r="C461" s="153">
        <v>2.6571824051933981E-3</v>
      </c>
      <c r="D461" s="154">
        <f>IF(VLOOKUP(A461,[5]!CPIndex,2)=0,VLOOKUP(A461,[5]!CPIndex,6),0)</f>
        <v>2.6571824051933981E-3</v>
      </c>
      <c r="E461" s="153">
        <v>454.96387612999274</v>
      </c>
      <c r="F461" s="154">
        <f>IF(VLOOKUP(A461,[5]!CPIndex,2)=0,(F460*EXP(IF(driftswitch=1,D461,$C$4)-1/2*$D$4^2+$D$4*B461)),VLOOKUP(A461,[5]!CPIndex,2))</f>
        <v>456.00396922295141</v>
      </c>
      <c r="G461" s="162">
        <f t="shared" ref="G461:G479" si="15">IF(shiftswitch4=1,(F461-F460)/F460,(E461-E460)/E460)</f>
        <v>2.6599494843677781E-3</v>
      </c>
      <c r="H461" s="155">
        <f t="shared" si="14"/>
        <v>1.0026599494843678</v>
      </c>
    </row>
    <row r="462" spans="1:8" x14ac:dyDescent="0.2">
      <c r="A462" s="152">
        <v>49126</v>
      </c>
      <c r="B462" s="171">
        <v>-5.9474190443225154E-2</v>
      </c>
      <c r="C462" s="153">
        <v>2.6571824051933981E-3</v>
      </c>
      <c r="D462" s="154">
        <f>IF(VLOOKUP(A462,[5]!CPIndex,2)=0,VLOOKUP(A462,[5]!CPIndex,6),0)</f>
        <v>2.6571824051933981E-3</v>
      </c>
      <c r="E462" s="153">
        <v>456.17405705771068</v>
      </c>
      <c r="F462" s="154">
        <f>IF(VLOOKUP(A462,[5]!CPIndex,2)=0,(F461*EXP(IF(driftswitch=1,D462,$C$4)-1/2*$D$4^2+$D$4*B462)),VLOOKUP(A462,[5]!CPIndex,2))</f>
        <v>457.18329741499787</v>
      </c>
      <c r="G462" s="162">
        <f t="shared" si="15"/>
        <v>2.6599494843677846E-3</v>
      </c>
      <c r="H462" s="155">
        <f t="shared" si="14"/>
        <v>1.0026599494843678</v>
      </c>
    </row>
    <row r="463" spans="1:8" x14ac:dyDescent="0.2">
      <c r="A463" s="152">
        <v>49157</v>
      </c>
      <c r="B463" s="171">
        <v>3.693235774889491E-2</v>
      </c>
      <c r="C463" s="153">
        <v>2.6571824051933981E-3</v>
      </c>
      <c r="D463" s="154">
        <f>IF(VLOOKUP(A463,[5]!CPIndex,2)=0,VLOOKUP(A463,[5]!CPIndex,6),0)</f>
        <v>2.6571824051933981E-3</v>
      </c>
      <c r="E463" s="153">
        <v>457.38745700556331</v>
      </c>
      <c r="F463" s="154">
        <f>IF(VLOOKUP(A463,[5]!CPIndex,2)=0,(F462*EXP(IF(driftswitch=1,D463,$C$4)-1/2*$D$4^2+$D$4*B463)),VLOOKUP(A463,[5]!CPIndex,2))</f>
        <v>458.42031410560742</v>
      </c>
      <c r="G463" s="162">
        <f t="shared" si="15"/>
        <v>2.6599494843677937E-3</v>
      </c>
      <c r="H463" s="155">
        <f t="shared" si="14"/>
        <v>1.0026599494843678</v>
      </c>
    </row>
    <row r="464" spans="1:8" x14ac:dyDescent="0.2">
      <c r="A464" s="152">
        <v>49188</v>
      </c>
      <c r="B464" s="171">
        <v>-9.9535226272403163E-3</v>
      </c>
      <c r="C464" s="153">
        <v>2.6571824051933981E-3</v>
      </c>
      <c r="D464" s="154">
        <f>IF(VLOOKUP(A464,[5]!CPIndex,2)=0,VLOOKUP(A464,[5]!CPIndex,6),0)</f>
        <v>2.6571824051933981E-3</v>
      </c>
      <c r="E464" s="153">
        <v>458.60408453598154</v>
      </c>
      <c r="F464" s="154">
        <f>IF(VLOOKUP(A464,[5]!CPIndex,2)=0,(F463*EXP(IF(driftswitch=1,D464,$C$4)-1/2*$D$4^2+$D$4*B464)),VLOOKUP(A464,[5]!CPIndex,2))</f>
        <v>459.63403250890087</v>
      </c>
      <c r="G464" s="162">
        <f t="shared" si="15"/>
        <v>2.6599494843677759E-3</v>
      </c>
      <c r="H464" s="155">
        <f t="shared" si="14"/>
        <v>1.0026599494843678</v>
      </c>
    </row>
    <row r="465" spans="1:8" x14ac:dyDescent="0.2">
      <c r="A465" s="152">
        <v>49218</v>
      </c>
      <c r="B465" s="171">
        <v>4.7126404113521425E-2</v>
      </c>
      <c r="C465" s="153">
        <v>2.6571824051933981E-3</v>
      </c>
      <c r="D465" s="154">
        <f>IF(VLOOKUP(A465,[5]!CPIndex,2)=0,VLOOKUP(A465,[5]!CPIndex,6),0)</f>
        <v>2.6571824051933981E-3</v>
      </c>
      <c r="E465" s="153">
        <v>459.82394823417195</v>
      </c>
      <c r="F465" s="154">
        <f>IF(VLOOKUP(A465,[5]!CPIndex,2)=0,(F464*EXP(IF(driftswitch=1,D465,$C$4)-1/2*$D$4^2+$D$4*B465)),VLOOKUP(A465,[5]!CPIndex,2))</f>
        <v>460.88348907576892</v>
      </c>
      <c r="G465" s="162">
        <f t="shared" si="15"/>
        <v>2.6599494843677078E-3</v>
      </c>
      <c r="H465" s="155">
        <f t="shared" si="14"/>
        <v>1.0026599494843678</v>
      </c>
    </row>
    <row r="466" spans="1:8" x14ac:dyDescent="0.2">
      <c r="A466" s="152">
        <v>49249</v>
      </c>
      <c r="B466" s="171">
        <v>2.9108784745022036E-2</v>
      </c>
      <c r="C466" s="153">
        <v>2.6571824051933981E-3</v>
      </c>
      <c r="D466" s="154">
        <f>IF(VLOOKUP(A466,[5]!CPIndex,2)=0,VLOOKUP(A466,[5]!CPIndex,6),0)</f>
        <v>2.6571824051933981E-3</v>
      </c>
      <c r="E466" s="153">
        <v>461.04705670817737</v>
      </c>
      <c r="F466" s="154">
        <f>IF(VLOOKUP(A466,[5]!CPIndex,2)=0,(F465*EXP(IF(driftswitch=1,D466,$C$4)-1/2*$D$4^2+$D$4*B466)),VLOOKUP(A466,[5]!CPIndex,2))</f>
        <v>462.1260473553113</v>
      </c>
      <c r="G466" s="162">
        <f t="shared" si="15"/>
        <v>2.6599494843677187E-3</v>
      </c>
      <c r="H466" s="155">
        <f t="shared" si="14"/>
        <v>1.0026599494843678</v>
      </c>
    </row>
    <row r="467" spans="1:8" x14ac:dyDescent="0.2">
      <c r="A467" s="152">
        <v>49279</v>
      </c>
      <c r="B467" s="171">
        <v>4.8542411723995801E-2</v>
      </c>
      <c r="C467" s="153">
        <v>2.6571824051933981E-3</v>
      </c>
      <c r="D467" s="154">
        <f>IF(VLOOKUP(A467,[5]!CPIndex,2)=0,VLOOKUP(A467,[5]!CPIndex,6),0)</f>
        <v>2.6571824051933981E-3</v>
      </c>
      <c r="E467" s="153">
        <v>462.27341858893755</v>
      </c>
      <c r="F467" s="154">
        <f>IF(VLOOKUP(A467,[5]!CPIndex,2)=0,(F466*EXP(IF(driftswitch=1,D467,$C$4)-1/2*$D$4^2+$D$4*B467)),VLOOKUP(A467,[5]!CPIndex,2))</f>
        <v>463.38308940620914</v>
      </c>
      <c r="G467" s="162">
        <f t="shared" si="15"/>
        <v>2.6599494843677391E-3</v>
      </c>
      <c r="H467" s="155">
        <f t="shared" si="14"/>
        <v>1.0026599494843678</v>
      </c>
    </row>
    <row r="468" spans="1:8" x14ac:dyDescent="0.2">
      <c r="A468" s="152">
        <v>49310</v>
      </c>
      <c r="B468" s="171">
        <v>1.616706830298429E-2</v>
      </c>
      <c r="C468" s="153">
        <v>2.6571824051933981E-3</v>
      </c>
      <c r="D468" s="154">
        <f>IF(VLOOKUP(A468,[5]!CPIndex,2)=0,VLOOKUP(A468,[5]!CPIndex,6),0)</f>
        <v>2.6571824051933981E-3</v>
      </c>
      <c r="E468" s="153">
        <v>463.50304253035011</v>
      </c>
      <c r="F468" s="154">
        <f>IF(VLOOKUP(A468,[5]!CPIndex,2)=0,(F467*EXP(IF(driftswitch=1,D468,$C$4)-1/2*$D$4^2+$D$4*B468)),VLOOKUP(A468,[5]!CPIndex,2))</f>
        <v>464.62495219167647</v>
      </c>
      <c r="G468" s="162">
        <f t="shared" si="15"/>
        <v>2.6599494843677672E-3</v>
      </c>
      <c r="H468" s="155">
        <f t="shared" si="14"/>
        <v>1.0026599494843678</v>
      </c>
    </row>
    <row r="469" spans="1:8" x14ac:dyDescent="0.2">
      <c r="A469" s="152">
        <v>49341</v>
      </c>
      <c r="B469" s="171">
        <v>-1.7307507492215591E-2</v>
      </c>
      <c r="C469" s="153">
        <v>2.6571824051933981E-3</v>
      </c>
      <c r="D469" s="154">
        <f>IF(VLOOKUP(A469,[5]!CPIndex,2)=0,VLOOKUP(A469,[5]!CPIndex,6),0)</f>
        <v>2.6571824051933981E-3</v>
      </c>
      <c r="E469" s="153">
        <v>464.73593720933161</v>
      </c>
      <c r="F469" s="154">
        <f>IF(VLOOKUP(A469,[5]!CPIndex,2)=0,(F468*EXP(IF(driftswitch=1,D469,$C$4)-1/2*$D$4^2+$D$4*B469)),VLOOKUP(A469,[5]!CPIndex,2))</f>
        <v>465.85086235342698</v>
      </c>
      <c r="G469" s="162">
        <f t="shared" si="15"/>
        <v>2.6599494843677646E-3</v>
      </c>
      <c r="H469" s="155">
        <f t="shared" si="14"/>
        <v>1.0026599494843678</v>
      </c>
    </row>
    <row r="470" spans="1:8" x14ac:dyDescent="0.2">
      <c r="A470" s="152">
        <v>49369</v>
      </c>
      <c r="B470" s="171">
        <v>-3.7811573361459835E-2</v>
      </c>
      <c r="C470" s="153">
        <v>2.6571824051933981E-3</v>
      </c>
      <c r="D470" s="154">
        <f>IF(VLOOKUP(A470,[5]!CPIndex,2)=0,VLOOKUP(A470,[5]!CPIndex,6),0)</f>
        <v>2.6571824051933981E-3</v>
      </c>
      <c r="E470" s="153">
        <v>465.97211132587876</v>
      </c>
      <c r="F470" s="154">
        <f>IF(VLOOKUP(A470,[5]!CPIndex,2)=0,(F469*EXP(IF(driftswitch=1,D470,$C$4)-1/2*$D$4^2+$D$4*B470)),VLOOKUP(A470,[5]!CPIndex,2))</f>
        <v>467.06816630133306</v>
      </c>
      <c r="G470" s="162">
        <f t="shared" si="15"/>
        <v>2.6599494843677985E-3</v>
      </c>
      <c r="H470" s="155">
        <f t="shared" si="14"/>
        <v>1.0026599494843678</v>
      </c>
    </row>
    <row r="471" spans="1:8" x14ac:dyDescent="0.2">
      <c r="A471" s="152">
        <v>49400</v>
      </c>
      <c r="B471" s="171">
        <v>5.2142590273469333E-2</v>
      </c>
      <c r="C471" s="153">
        <v>2.6571824051933981E-3</v>
      </c>
      <c r="D471" s="154">
        <f>IF(VLOOKUP(A471,[5]!CPIndex,2)=0,VLOOKUP(A471,[5]!CPIndex,6),0)</f>
        <v>2.6571824051933981E-3</v>
      </c>
      <c r="E471" s="153">
        <v>467.21157360312981</v>
      </c>
      <c r="F471" s="154">
        <f>IF(VLOOKUP(A471,[5]!CPIndex,2)=0,(F470*EXP(IF(driftswitch=1,D471,$C$4)-1/2*$D$4^2+$D$4*B471)),VLOOKUP(A471,[5]!CPIndex,2))</f>
        <v>468.34073622797428</v>
      </c>
      <c r="G471" s="162">
        <f t="shared" si="15"/>
        <v>2.6599494843678084E-3</v>
      </c>
      <c r="H471" s="155">
        <f t="shared" si="14"/>
        <v>1.0026599494843678</v>
      </c>
    </row>
    <row r="472" spans="1:8" x14ac:dyDescent="0.2">
      <c r="A472" s="152">
        <v>49430</v>
      </c>
      <c r="B472" s="171">
        <v>-7.7748865709543938E-2</v>
      </c>
      <c r="C472" s="153">
        <v>2.6571824051933981E-3</v>
      </c>
      <c r="D472" s="154">
        <f>IF(VLOOKUP(A472,[5]!CPIndex,2)=0,VLOOKUP(A472,[5]!CPIndex,6),0)</f>
        <v>2.6571824051933981E-3</v>
      </c>
      <c r="E472" s="153">
        <v>468.4543327874261</v>
      </c>
      <c r="F472" s="154">
        <f>IF(VLOOKUP(A472,[5]!CPIndex,2)=0,(F471*EXP(IF(driftswitch=1,D472,$C$4)-1/2*$D$4^2+$D$4*B472)),VLOOKUP(A472,[5]!CPIndex,2))</f>
        <v>469.54136085719989</v>
      </c>
      <c r="G472" s="162">
        <f t="shared" si="15"/>
        <v>2.659949484367749E-3</v>
      </c>
      <c r="H472" s="155">
        <f t="shared" si="14"/>
        <v>1.0026599494843678</v>
      </c>
    </row>
    <row r="473" spans="1:8" x14ac:dyDescent="0.2">
      <c r="A473" s="152">
        <v>49461</v>
      </c>
      <c r="B473" s="171">
        <v>1.9660770033110677E-3</v>
      </c>
      <c r="C473" s="153">
        <v>2.6571824051933981E-3</v>
      </c>
      <c r="D473" s="154">
        <f>IF(VLOOKUP(A473,[5]!CPIndex,2)=0,VLOOKUP(A473,[5]!CPIndex,6),0)</f>
        <v>2.6571824051933981E-3</v>
      </c>
      <c r="E473" s="153">
        <v>469.70039764837384</v>
      </c>
      <c r="F473" s="154">
        <f>IF(VLOOKUP(A473,[5]!CPIndex,2)=0,(F472*EXP(IF(driftswitch=1,D473,$C$4)-1/2*$D$4^2+$D$4*B473)),VLOOKUP(A473,[5]!CPIndex,2))</f>
        <v>470.79146157088098</v>
      </c>
      <c r="G473" s="162">
        <f t="shared" si="15"/>
        <v>2.6599494843677239E-3</v>
      </c>
      <c r="H473" s="155">
        <f t="shared" si="14"/>
        <v>1.0026599494843678</v>
      </c>
    </row>
    <row r="474" spans="1:8" x14ac:dyDescent="0.2">
      <c r="A474" s="152">
        <v>49491</v>
      </c>
      <c r="B474" s="171">
        <v>-4.1111954019524954E-3</v>
      </c>
      <c r="C474" s="153">
        <v>2.6571824051933981E-3</v>
      </c>
      <c r="D474" s="154">
        <f>IF(VLOOKUP(A474,[5]!CPIndex,2)=0,VLOOKUP(A474,[5]!CPIndex,6),0)</f>
        <v>2.6571824051933981E-3</v>
      </c>
      <c r="E474" s="153">
        <v>470.94977697890596</v>
      </c>
      <c r="F474" s="154">
        <f>IF(VLOOKUP(A474,[5]!CPIndex,2)=0,(F473*EXP(IF(driftswitch=1,D474,$C$4)-1/2*$D$4^2+$D$4*B474)),VLOOKUP(A474,[5]!CPIndex,2))</f>
        <v>472.04134367186924</v>
      </c>
      <c r="G474" s="162">
        <f t="shared" si="15"/>
        <v>2.659949484367756E-3</v>
      </c>
      <c r="H474" s="155">
        <f t="shared" si="14"/>
        <v>1.0026599494843678</v>
      </c>
    </row>
    <row r="475" spans="1:8" x14ac:dyDescent="0.2">
      <c r="A475" s="152">
        <v>49522</v>
      </c>
      <c r="B475" s="171">
        <v>4.0754049219221961E-2</v>
      </c>
      <c r="C475" s="153">
        <v>2.6571824051933981E-3</v>
      </c>
      <c r="D475" s="154">
        <f>IF(VLOOKUP(A475,[5]!CPIndex,2)=0,VLOOKUP(A475,[5]!CPIndex,6),0)</f>
        <v>2.6571824051933981E-3</v>
      </c>
      <c r="E475" s="153">
        <v>472.20247959534413</v>
      </c>
      <c r="F475" s="154">
        <f>IF(VLOOKUP(A475,[5]!CPIndex,2)=0,(F474*EXP(IF(driftswitch=1,D475,$C$4)-1/2*$D$4^2+$D$4*B475)),VLOOKUP(A475,[5]!CPIndex,2))</f>
        <v>473.32079876986029</v>
      </c>
      <c r="G475" s="162">
        <f t="shared" si="15"/>
        <v>2.6599494843677993E-3</v>
      </c>
      <c r="H475" s="155">
        <f t="shared" si="14"/>
        <v>1.0026599494843678</v>
      </c>
    </row>
    <row r="476" spans="1:8" x14ac:dyDescent="0.2">
      <c r="A476" s="152">
        <v>49553</v>
      </c>
      <c r="B476" s="171">
        <v>5.8409183122697548E-3</v>
      </c>
      <c r="C476" s="153">
        <v>2.6571824051933981E-3</v>
      </c>
      <c r="D476" s="154">
        <f>IF(VLOOKUP(A476,[5]!CPIndex,2)=0,VLOOKUP(A476,[5]!CPIndex,6),0)</f>
        <v>2.6571824051933981E-3</v>
      </c>
      <c r="E476" s="153">
        <v>473.45851433746094</v>
      </c>
      <c r="F476" s="154">
        <f>IF(VLOOKUP(A476,[5]!CPIndex,2)=0,(F475*EXP(IF(driftswitch=1,D476,$C$4)-1/2*$D$4^2+$D$4*B476)),VLOOKUP(A476,[5]!CPIndex,2))</f>
        <v>474.58323543743631</v>
      </c>
      <c r="G476" s="162">
        <f t="shared" si="15"/>
        <v>2.6599494843677538E-3</v>
      </c>
      <c r="H476" s="155">
        <f t="shared" si="14"/>
        <v>1.0026599494843678</v>
      </c>
    </row>
    <row r="477" spans="1:8" x14ac:dyDescent="0.2">
      <c r="A477" s="152">
        <v>49583</v>
      </c>
      <c r="B477" s="171">
        <v>1.9605368888016849E-2</v>
      </c>
      <c r="C477" s="153">
        <v>2.6571824051933981E-3</v>
      </c>
      <c r="D477" s="154">
        <f>IF(VLOOKUP(A477,[5]!CPIndex,2)=0,VLOOKUP(A477,[5]!CPIndex,6),0)</f>
        <v>2.6571824051933981E-3</v>
      </c>
      <c r="E477" s="153">
        <v>474.71789006854237</v>
      </c>
      <c r="F477" s="154">
        <f>IF(VLOOKUP(A477,[5]!CPIndex,2)=0,(F476*EXP(IF(driftswitch=1,D477,$C$4)-1/2*$D$4^2+$D$4*B477)),VLOOKUP(A477,[5]!CPIndex,2))</f>
        <v>475.85713741685072</v>
      </c>
      <c r="G477" s="162">
        <f t="shared" si="15"/>
        <v>2.6599494843677156E-3</v>
      </c>
      <c r="H477" s="155">
        <f t="shared" si="14"/>
        <v>1.0026599494843678</v>
      </c>
    </row>
    <row r="478" spans="1:8" x14ac:dyDescent="0.2">
      <c r="A478" s="152">
        <v>49614</v>
      </c>
      <c r="B478" s="171">
        <v>-1.6114723687611569E-2</v>
      </c>
      <c r="C478" s="153">
        <v>2.6571824051933981E-3</v>
      </c>
      <c r="D478" s="154">
        <f>IF(VLOOKUP(A478,[5]!CPIndex,2)=0,VLOOKUP(A478,[5]!CPIndex,6),0)</f>
        <v>2.6571824051933981E-3</v>
      </c>
      <c r="E478" s="153">
        <v>475.98061567545034</v>
      </c>
      <c r="F478" s="154">
        <f>IF(VLOOKUP(A478,[5]!CPIndex,2)=0,(F477*EXP(IF(driftswitch=1,D478,$C$4)-1/2*$D$4^2+$D$4*B478)),VLOOKUP(A478,[5]!CPIndex,2))</f>
        <v>477.11338725069038</v>
      </c>
      <c r="G478" s="162">
        <f t="shared" si="15"/>
        <v>2.659949484367746E-3</v>
      </c>
      <c r="H478" s="155">
        <f t="shared" si="14"/>
        <v>1.0026599494843678</v>
      </c>
    </row>
    <row r="479" spans="1:8" x14ac:dyDescent="0.2">
      <c r="A479" s="152">
        <v>49644</v>
      </c>
      <c r="B479" s="171">
        <v>7.5637742537177427E-3</v>
      </c>
      <c r="C479" s="153">
        <v>2.6571824051933981E-3</v>
      </c>
      <c r="D479" s="154">
        <f>IF(VLOOKUP(A479,[5]!CPIndex,2)=0,VLOOKUP(A479,[5]!CPIndex,6),0)</f>
        <v>2.6571824051933981E-3</v>
      </c>
      <c r="E479" s="153">
        <v>477.2467000686853</v>
      </c>
      <c r="F479" s="154">
        <f>IF(VLOOKUP(A479,[5]!CPIndex,2)=0,(F478*EXP(IF(driftswitch=1,D479,$C$4)-1/2*$D$4^2+$D$4*B479)),VLOOKUP(A479,[5]!CPIndex,2))</f>
        <v>478.38695849209171</v>
      </c>
      <c r="G479" s="162">
        <f t="shared" si="15"/>
        <v>2.6599494843677581E-3</v>
      </c>
      <c r="H479" s="155">
        <f t="shared" si="14"/>
        <v>1.0026599494843678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PF1</vt:lpstr>
      <vt:lpstr>PF2</vt:lpstr>
      <vt:lpstr>PF3</vt:lpstr>
      <vt:lpstr>PFWtdAvg</vt:lpstr>
      <vt:lpstr>Common Assumpt</vt:lpstr>
      <vt:lpstr>RAROC</vt:lpstr>
      <vt:lpstr>Sensit041100</vt:lpstr>
      <vt:lpstr>Elba</vt:lpstr>
      <vt:lpstr>CURVES</vt:lpstr>
      <vt:lpstr>USInf97</vt:lpstr>
      <vt:lpstr>AecoUpdate</vt:lpstr>
      <vt:lpstr>arb</vt:lpstr>
      <vt:lpstr>BrentUpdate</vt:lpstr>
      <vt:lpstr>USInf97!driftswitch</vt:lpstr>
      <vt:lpstr>CURVES!GasSwitch</vt:lpstr>
      <vt:lpstr>GasUpdate</vt:lpstr>
      <vt:lpstr>ML</vt:lpstr>
      <vt:lpstr>NB</vt:lpstr>
      <vt:lpstr>CURVES!OilSwitch</vt:lpstr>
      <vt:lpstr>OilUpdate</vt:lpstr>
      <vt:lpstr>CURVES!Print_Area</vt:lpstr>
      <vt:lpstr>Elba!Print_Area</vt:lpstr>
      <vt:lpstr>PF1!Print_Area</vt:lpstr>
      <vt:lpstr>PF2!Print_Area</vt:lpstr>
      <vt:lpstr>PF3!Print_Area</vt:lpstr>
      <vt:lpstr>PFWtdAvg!Print_Area</vt:lpstr>
      <vt:lpstr>RAROC!Print_Area</vt:lpstr>
      <vt:lpstr>Elba!Print_Titles</vt:lpstr>
      <vt:lpstr>CURVES!REFERENCE_DATE</vt:lpstr>
      <vt:lpstr>CURVES!shiftswitch2</vt:lpstr>
      <vt:lpstr>USInf97!shiftswitch4</vt:lpstr>
      <vt:lpstr>switch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2000-04-12T15:11:30Z</cp:lastPrinted>
  <dcterms:created xsi:type="dcterms:W3CDTF">2000-03-14T23:09:34Z</dcterms:created>
  <dcterms:modified xsi:type="dcterms:W3CDTF">2014-09-05T11:14:25Z</dcterms:modified>
</cp:coreProperties>
</file>