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1485" windowWidth="14430" windowHeight="8040" tabRatio="592"/>
  </bookViews>
  <sheets>
    <sheet name="TOC" sheetId="13" r:id="rId1"/>
    <sheet name="Assumpt" sheetId="1" r:id="rId2"/>
    <sheet name="CF" sheetId="2" r:id="rId3"/>
    <sheet name="Ret" sheetId="3" r:id="rId4"/>
    <sheet name="Debt" sheetId="5" r:id="rId5"/>
    <sheet name="IDC" sheetId="6" r:id="rId6"/>
    <sheet name="Depn&amp;Tax" sheetId="4" r:id="rId7"/>
    <sheet name="BS" sheetId="7" r:id="rId8"/>
    <sheet name="Sensit1" sheetId="14" r:id="rId9"/>
    <sheet name="M1" sheetId="8" state="veryHidden" r:id=""/>
  </sheets>
  <definedNames>
    <definedName name="ACwvu.balincpr." localSheetId="7" hidden="1">BS!$A$1:$Z$46</definedName>
    <definedName name="ACwvu.cashpr." localSheetId="2" hidden="1">CF!$A$1:$T$80</definedName>
    <definedName name="ACwvu.cashpr95." localSheetId="2" hidden="1">CF!$A$101:$S$158</definedName>
    <definedName name="ACwvu.cashpr96." localSheetId="2" hidden="1">CF!$A$162:$S$196</definedName>
    <definedName name="ACwvu.fincpr." localSheetId="4" hidden="1">Debt!$A$1:$Z$53</definedName>
    <definedName name="ACwvu.idcpr." localSheetId="5" hidden="1">IDC!$A$1:$AI$70</definedName>
    <definedName name="ACwvu.sucfpr." localSheetId="7" hidden="1">BS!$A$47:$Z$95</definedName>
    <definedName name="ACwvu.TAXES." localSheetId="6" hidden="1">'Depn&amp;Tax'!$A$1:$R$12</definedName>
    <definedName name="annvol">Assumpt!$E$9</definedName>
    <definedName name="assumptions">Assumpt!$A$1:$S$47</definedName>
    <definedName name="bal">BS!$D$1:$AE$95</definedName>
    <definedName name="Burtosis">Assumpt!$AC$14</definedName>
    <definedName name="Calctable">Assumpt!$W$3</definedName>
    <definedName name="cash">CF!$E$1:$AF$65</definedName>
    <definedName name="cash2">CF!$E$5:$AE$65</definedName>
    <definedName name="cfee1">Assumpt!$L$43</definedName>
    <definedName name="cfee2">Assumpt!$L$52</definedName>
    <definedName name="cfee3">Assumpt!$L$61</definedName>
    <definedName name="cni">BS!$A$47:$Z$95</definedName>
    <definedName name="codate">Assumpt!$E$17</definedName>
    <definedName name="constmonths">Assumpt!$D$17</definedName>
    <definedName name="cpi">Assumpt!$C$34</definedName>
    <definedName name="debt">Debt!$E$1:$AF$53</definedName>
    <definedName name="debtamt">Assumpt!$Q$6</definedName>
    <definedName name="DR">Assumpt!$C$27</definedName>
    <definedName name="drawtrigger">Assumpt!$J$23</definedName>
    <definedName name="drpmt2">Debt!$E$51:$AE$53</definedName>
    <definedName name="endterm">Assumpt!$E$18</definedName>
    <definedName name="eqamt">Assumpt!$Q$7</definedName>
    <definedName name="eqstruc">Assumpt!$S$83</definedName>
    <definedName name="estcost">Assumpt!$Y$7</definedName>
    <definedName name="estdebt">Assumpt!$Y$10</definedName>
    <definedName name="estidc">Assumpt!$Y$6</definedName>
    <definedName name="fixtariff2003">Assumpt!$D$23</definedName>
    <definedName name="idc">IDC!$C$1:$AM$70</definedName>
    <definedName name="idctable">IDC!$A$6:$AM$48</definedName>
    <definedName name="partner">#REF!</definedName>
    <definedName name="PDMO">Assumpt!#REF!</definedName>
    <definedName name="pdmon">Assumpt!$E$49</definedName>
    <definedName name="_xlnm.Print_Area" localSheetId="1">Assumpt!$A$1:$S$56</definedName>
    <definedName name="_xlnm.Print_Area" localSheetId="7">BS!$A$1:$AF$95</definedName>
    <definedName name="_xlnm.Print_Area" localSheetId="2">CF!$A$1:$AG$83</definedName>
    <definedName name="_xlnm.Print_Area" localSheetId="4">Debt!$A$1:$AF$54</definedName>
    <definedName name="_xlnm.Print_Area" localSheetId="6">'Depn&amp;Tax'!$A$1:$AF$81</definedName>
    <definedName name="_xlnm.Print_Area" localSheetId="5">IDC!$A$1:$AM$71</definedName>
    <definedName name="_xlnm.Print_Area" localSheetId="3">Ret!$C$1:$AI$83</definedName>
    <definedName name="_xlnm.Print_Area" localSheetId="0">TOC!$A$1:$M$23</definedName>
    <definedName name="_xlnm.Print_Titles" localSheetId="5">IDC!$A:$B</definedName>
    <definedName name="_xlnm.Print_Titles" localSheetId="3">Ret!$A:$B</definedName>
    <definedName name="returns">Ret!$C$1:$AF$83</definedName>
    <definedName name="serv">Assumpt!$E$50</definedName>
    <definedName name="startconst">Assumpt!$E$16</definedName>
    <definedName name="Swvu.balincpr." localSheetId="7" hidden="1">BS!$A$1:$Z$46</definedName>
    <definedName name="Swvu.cashpr." localSheetId="2" hidden="1">CF!$A$1:$T$80</definedName>
    <definedName name="Swvu.cashpr95." localSheetId="2" hidden="1">CF!$A$101:$S$158</definedName>
    <definedName name="Swvu.cashpr96." localSheetId="2" hidden="1">CF!$A$162:$S$196</definedName>
    <definedName name="Swvu.fincpr." localSheetId="4" hidden="1">Debt!$A$1:$Z$53</definedName>
    <definedName name="Swvu.idcpr." localSheetId="5" hidden="1">IDC!$A$1:$AI$70</definedName>
    <definedName name="Swvu.sucfpr." localSheetId="7" hidden="1">BS!$A$47:$Z$95</definedName>
    <definedName name="Swvu.TAXES." localSheetId="6" hidden="1">'Depn&amp;Tax'!$A$1:$R$12</definedName>
    <definedName name="table2">Ret!$H$10:$AK$12</definedName>
    <definedName name="tax">'Depn&amp;Tax'!$E$1:$AE$54</definedName>
    <definedName name="termyrs">Assumpt!$D$18</definedName>
    <definedName name="tranche1amort">Assumpt!$L$39</definedName>
    <definedName name="tranche1amt">Assumpt!$G$41</definedName>
    <definedName name="tranche1cost">Assumpt!$L$44</definedName>
    <definedName name="tranche1grace">Assumpt!$L$37</definedName>
    <definedName name="tranche1reppd">Assumpt!$L$38</definedName>
    <definedName name="tranche1term">Assumpt!$G$44</definedName>
    <definedName name="tranche2amort">Assumpt!$L$48</definedName>
    <definedName name="tranche2amt">Assumpt!$G$50</definedName>
    <definedName name="tranche2cost">Assumpt!$L$53</definedName>
    <definedName name="tranche2grace">Assumpt!$L$46</definedName>
    <definedName name="tranche2reppd">Assumpt!$L$47</definedName>
    <definedName name="tranche2term">Assumpt!$G$53</definedName>
    <definedName name="tranche3amort">Assumpt!$L$57</definedName>
    <definedName name="tranche3amt">Assumpt!$G$59</definedName>
    <definedName name="tranche3cost">Assumpt!$L$62</definedName>
    <definedName name="tranche3grace">Assumpt!$L$55</definedName>
    <definedName name="tranche3reppd">Assumpt!$L$56</definedName>
    <definedName name="tranche3term">Assumpt!$G$62</definedName>
    <definedName name="wvu.balincpr." localSheetId="7" hidden="1">{TRUE,TRUE,-1.25,-15.5,484.5,276.75,FALSE,FALSE,TRUE,TRUE,0,1,#N/A,1,#N/A,7.23333333333333,17.5882352941176,1,FALSE,FALSE,3,TRUE,1,FALSE,100,"Swvu.balincpr.","ACwvu.balincpr.",#N/A,FALSE,FALSE,0.75,0.75,1,1,2,"&amp;L&amp;D&amp;C&amp;""Britannic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cashpr." localSheetId="2" hidden="1">{TRUE,TRUE,-1.25,-15.5,484.5,276.75,FALSE,FALSE,TRUE,TRUE,0,1,#N/A,1,#N/A,10.2142857142857,17.3529411764706,1,FALSE,FALSE,3,TRUE,1,FALSE,100,"Swvu.cashpr.","ACwvu.cashpr.",#N/A,FALSE,FALSE,0.75,0.75,1,1,2,"&amp;L&amp;D&amp;C&amp;""Britannic Bold,Bold Italic""CONFIDENTIAL&amp;R&amp;T","&amp;CPage 4",FALSE,FALSE,FALSE,FALSE,1,#N/A,1,1,"=R1C1:R46C16",FALSE,#N/A,#N/A,FALSE,FALSE,FALSE,1,65532,65532,FALSE,FALSE,TRUE,TRUE,TRUE}</definedName>
    <definedName name="wvu.cashpr95." localSheetId="2" hidden="1">{TRUE,TRUE,-1.25,-15.5,484.5,276.75,FALSE,FALSE,TRUE,TRUE,0,11,#N/A,71,#N/A,10.6785714285714,18.047619047619,1,FALSE,FALSE,3,TRUE,1,FALSE,100,"Swvu.cashpr95.","ACwvu.cashpr95.",#N/A,FALSE,FALSE,0.75,0.75,1,1,2,"&amp;L&amp;D&amp;C&amp;""Britannic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cashpr96." localSheetId="2" hidden="1">{TRUE,TRUE,-1.25,-15.5,484.5,276.75,FALSE,FALSE,TRUE,TRUE,0,7,#N/A,119,#N/A,10.6785714285714,18.2941176470588,1,FALSE,FALSE,3,TRUE,1,FALSE,100,"Swvu.cashpr96.","ACwvu.cashpr96.",#N/A,FALSE,FALSE,0.75,0.75,1,1,2,"&amp;L&amp;D&amp;C&amp;""Britannic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fincpr." localSheetId="4" hidden="1">{TRUE,TRUE,-1.25,-15.5,484.5,276.75,FALSE,FALSE,TRUE,TRUE,0,13,#N/A,1,#N/A,10.3928571428571,14.4285714285714,1,FALSE,FALSE,3,TRUE,1,FALSE,100,"Swvu.fincpr.","ACwvu.fincpr.",#N/A,FALSE,FALSE,0.75,0.75,1,1,2,"&amp;L&amp;D&amp;R&amp;T","&amp;L&amp;F&amp;CPage 6",FALSE,FALSE,FALSE,FALSE,1,#N/A,1,1,"=R1C1:R87C17",FALSE,#N/A,#N/A,FALSE,FALSE,FALSE,1,65532,65532,FALSE,FALSE,TRUE,TRUE,TRUE}</definedName>
    <definedName name="wvu.idcpr." localSheetId="5" hidden="1">{TRUE,TRUE,-1.25,-15.5,484.5,276.75,FALSE,FALSE,TRUE,TRUE,0,1,#N/A,1,#N/A,8.54166666666667,17.2857142857143,1,FALSE,FALSE,3,TRUE,1,FALSE,100,"Swvu.idcpr.","ACwvu.idcpr.",#N/A,FALSE,FALSE,0.75,0.75,1,1,2,"&amp;L&amp;D&amp;C&amp;""Britannic Bold,Bold Italic""CONFIDENTIAL&amp;R&amp;T","&amp;CPage 7",FALSE,FALSE,FALSE,FALSE,1,#N/A,1,1,"=R1C1:R66C22",FALSE,#N/A,#N/A,FALSE,FALSE,FALSE,1,65532,65532,FALSE,FALSE,TRUE,TRUE,TRUE}</definedName>
    <definedName name="wvu.sucfpr." localSheetId="7" hidden="1">{TRUE,TRUE,-1.25,-15.5,484.5,276.75,FALSE,FALSE,TRUE,TRUE,0,1,#N/A,46,#N/A,7.23333333333333,17.5882352941176,1,FALSE,FALSE,3,TRUE,1,FALSE,100,"Swvu.sucfpr.","ACwvu.sucfpr.",#N/A,FALSE,FALSE,0.75,0.75,1,1,2,"&amp;L&amp;D&amp;C&amp;""Britannic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TAXES." localSheetId="6" hidden="1">{TRUE,TRUE,-1.25,-15.5,484.5,276.75,FALSE,FALSE,TRUE,TRUE,0,1,#N/A,1,#N/A,10.6785714285714,17.3529411764706,1,FALSE,FALSE,3,TRUE,1,FALSE,100,"Swvu.TAXES.","ACwvu.TAXES.",#N/A,FALSE,FALSE,0.75,0.75,1,1,2,"&amp;L&amp;D&amp;C&amp;""Britannic Bold,Bold Italic""CONFIDENTIAL&amp;R&amp;T","&amp;CPage 5",FALSE,FALSE,FALSE,FALSE,1,#N/A,1,1,"=R1C1:R46C17",FALSE,#N/A,#N/A,FALSE,FALSE,FALSE,1,65532,65532,FALSE,FALSE,TRUE,TRUE,TRUE}</definedName>
    <definedName name="ZA0" localSheetId="2">"Crystal Ball Data : Ver. 3.0.2"</definedName>
    <definedName name="ZA0F" localSheetId="2">1+100</definedName>
    <definedName name="ZA0T" localSheetId="2">23753579+0</definedName>
    <definedName name="_ZF100" localSheetId="2">CF!$F$105+"C74"+"NPV"+16417+33+377+57+18+336+472+4+3+"-"+"+"+2.6+50+2</definedName>
  </definedNames>
  <calcPr calcId="152511" fullCalcOnLoad="1"/>
  <customWorkbookViews>
    <customWorkbookView name="TAXES (E)" guid="{247772E1-F62B-11D1-9A7E-3C9971000000}" maximized="1" xWindow="2" yWindow="2" windowWidth="636" windowHeight="340" tabRatio="491" activeSheetId="4"/>
    <customWorkbookView name="sucfpr (H1)" guid="{247772E0-F62B-11D1-9A7E-3C9971000000}" maximized="1" xWindow="2" yWindow="2" windowWidth="636" windowHeight="340" tabRatio="491" activeSheetId="7"/>
    <customWorkbookView name="idcpr (G)" guid="{247772DF-F62B-11D1-9A7E-3C9971000000}" maximized="1" xWindow="2" yWindow="2" windowWidth="636" windowHeight="340" tabRatio="491" activeSheetId="6"/>
    <customWorkbookView name="fincpr (F)" guid="{247772DE-F62B-11D1-9A7E-3C9971000000}" maximized="1" xWindow="2" yWindow="2" windowWidth="636" windowHeight="340" tabRatio="491" activeSheetId="5"/>
    <customWorkbookView name="cashpr96 (D)" guid="{247772DD-F62B-11D1-9A7E-3C9971000000}" maximized="1" xWindow="2" yWindow="2" windowWidth="636" windowHeight="340" tabRatio="491" activeSheetId="2"/>
    <customWorkbookView name="cashpr95 (D)" guid="{247772DC-F62B-11D1-9A7E-3C9971000000}" maximized="1" xWindow="2" yWindow="2" windowWidth="636" windowHeight="340" tabRatio="491" activeSheetId="2"/>
    <customWorkbookView name="cashpr (D)" guid="{247772DB-F62B-11D1-9A7E-3C9971000000}" maximized="1" xWindow="2" yWindow="2" windowWidth="636" windowHeight="340" tabRatio="491" activeSheetId="2"/>
    <customWorkbookView name="balincpr (H1)" guid="{247772DA-F62B-11D1-9A7E-3C9971000000}" maximized="1" xWindow="2" yWindow="2" windowWidth="636" windowHeight="340" tabRatio="491" activeSheetId="7"/>
  </customWorkbookViews>
</workbook>
</file>

<file path=xl/calcChain.xml><?xml version="1.0" encoding="utf-8"?>
<calcChain xmlns="http://schemas.openxmlformats.org/spreadsheetml/2006/main">
  <c r="S6" i="1" l="1"/>
  <c r="Q7" i="1"/>
  <c r="S7" i="1"/>
  <c r="AA8" i="1"/>
  <c r="E9" i="1"/>
  <c r="E10" i="1"/>
  <c r="E11" i="1" s="1"/>
  <c r="AA11" i="1"/>
  <c r="AA12" i="1"/>
  <c r="AA13" i="1"/>
  <c r="L14" i="1"/>
  <c r="S14" i="1"/>
  <c r="AA14" i="1"/>
  <c r="AA15" i="1"/>
  <c r="S16" i="1"/>
  <c r="E17" i="1"/>
  <c r="E50" i="1" s="1"/>
  <c r="E18" i="1"/>
  <c r="L19" i="1"/>
  <c r="S21" i="1"/>
  <c r="S22" i="1" s="1"/>
  <c r="S24" i="1" s="1"/>
  <c r="C22" i="1"/>
  <c r="D22" i="1"/>
  <c r="C23" i="1" s="1"/>
  <c r="E29" i="1"/>
  <c r="S30" i="1"/>
  <c r="S31" i="1"/>
  <c r="Q34" i="1"/>
  <c r="Q35" i="1"/>
  <c r="E36" i="1"/>
  <c r="Q36" i="1"/>
  <c r="C37" i="1"/>
  <c r="C45" i="1" s="1"/>
  <c r="E37" i="1"/>
  <c r="S37" i="1"/>
  <c r="E38" i="1"/>
  <c r="L38" i="1"/>
  <c r="S38" i="1"/>
  <c r="E39" i="1"/>
  <c r="S39" i="1"/>
  <c r="E40" i="1"/>
  <c r="E41" i="1"/>
  <c r="E42" i="1"/>
  <c r="E43" i="1"/>
  <c r="E44" i="1"/>
  <c r="L44" i="1"/>
  <c r="L47" i="1"/>
  <c r="S47" i="1"/>
  <c r="S48" i="1"/>
  <c r="G50" i="1"/>
  <c r="S35" i="1" s="1"/>
  <c r="S50" i="1"/>
  <c r="L53" i="1"/>
  <c r="L56" i="1"/>
  <c r="L62" i="1"/>
  <c r="A1" i="7"/>
  <c r="A2" i="7"/>
  <c r="D12" i="7"/>
  <c r="D19" i="7"/>
  <c r="D22" i="7"/>
  <c r="D25" i="7"/>
  <c r="D27" i="7"/>
  <c r="A30" i="7"/>
  <c r="A31" i="7"/>
  <c r="D43" i="7"/>
  <c r="D45" i="7"/>
  <c r="A47" i="7"/>
  <c r="A48" i="7"/>
  <c r="D60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E65" i="7"/>
  <c r="E22" i="7" s="1"/>
  <c r="F22" i="7" s="1"/>
  <c r="D68" i="7"/>
  <c r="D70" i="7"/>
  <c r="D72" i="7" s="1"/>
  <c r="A74" i="7"/>
  <c r="A75" i="7"/>
  <c r="F81" i="7"/>
  <c r="H81" i="7"/>
  <c r="I81" i="7"/>
  <c r="J81" i="7"/>
  <c r="K81" i="7"/>
  <c r="L81" i="7"/>
  <c r="N81" i="7"/>
  <c r="P81" i="7"/>
  <c r="Q81" i="7"/>
  <c r="R81" i="7"/>
  <c r="S81" i="7"/>
  <c r="T81" i="7"/>
  <c r="V81" i="7"/>
  <c r="X81" i="7"/>
  <c r="Y81" i="7"/>
  <c r="Z81" i="7"/>
  <c r="AA81" i="7"/>
  <c r="AB81" i="7"/>
  <c r="AD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F91" i="7"/>
  <c r="A1" i="2"/>
  <c r="A2" i="2"/>
  <c r="E5" i="2"/>
  <c r="E30" i="2" s="1"/>
  <c r="F5" i="2"/>
  <c r="F2" i="7" s="1"/>
  <c r="F31" i="7" s="1"/>
  <c r="F48" i="7" s="1"/>
  <c r="F78" i="7" s="1"/>
  <c r="E6" i="2"/>
  <c r="F6" i="2" s="1"/>
  <c r="F10" i="2" s="1"/>
  <c r="F13" i="2" s="1"/>
  <c r="E7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17" i="2"/>
  <c r="A27" i="2"/>
  <c r="E27" i="2"/>
  <c r="A28" i="2"/>
  <c r="F28" i="2"/>
  <c r="A29" i="2"/>
  <c r="E29" i="2"/>
  <c r="A30" i="2"/>
  <c r="A31" i="2"/>
  <c r="E31" i="2"/>
  <c r="A32" i="2"/>
  <c r="E32" i="2"/>
  <c r="A33" i="2"/>
  <c r="E33" i="2"/>
  <c r="A34" i="2"/>
  <c r="E34" i="2"/>
  <c r="A35" i="2"/>
  <c r="E35" i="2"/>
  <c r="F35" i="2"/>
  <c r="F42" i="2"/>
  <c r="E43" i="2"/>
  <c r="AF44" i="2"/>
  <c r="A1" i="5"/>
  <c r="A2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Q4" i="5"/>
  <c r="R4" i="5"/>
  <c r="S4" i="5"/>
  <c r="T4" i="5"/>
  <c r="U4" i="5"/>
  <c r="V4" i="5"/>
  <c r="X4" i="5"/>
  <c r="Y4" i="5"/>
  <c r="Z4" i="5"/>
  <c r="AA4" i="5"/>
  <c r="AB4" i="5"/>
  <c r="AC4" i="5"/>
  <c r="AD4" i="5"/>
  <c r="AE4" i="5"/>
  <c r="A5" i="5"/>
  <c r="E5" i="5"/>
  <c r="F5" i="5"/>
  <c r="A6" i="5"/>
  <c r="E6" i="5"/>
  <c r="F6" i="5"/>
  <c r="E7" i="5"/>
  <c r="E8" i="5"/>
  <c r="A11" i="5"/>
  <c r="A24" i="5"/>
  <c r="E25" i="5"/>
  <c r="E27" i="5"/>
  <c r="A37" i="5"/>
  <c r="A1" i="4"/>
  <c r="A2" i="4"/>
  <c r="A5" i="4"/>
  <c r="E5" i="4"/>
  <c r="F5" i="4"/>
  <c r="A6" i="4"/>
  <c r="E6" i="4"/>
  <c r="F6" i="4"/>
  <c r="A7" i="4"/>
  <c r="E7" i="4"/>
  <c r="E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E35" i="4"/>
  <c r="E50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E59" i="4"/>
  <c r="D69" i="4"/>
  <c r="D74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E83" i="4"/>
  <c r="D84" i="4"/>
  <c r="E84" i="4" s="1"/>
  <c r="E87" i="4" s="1"/>
  <c r="F85" i="4"/>
  <c r="G85" i="4"/>
  <c r="H85" i="4" s="1"/>
  <c r="I85" i="4" s="1"/>
  <c r="J85" i="4" s="1"/>
  <c r="K85" i="4" s="1"/>
  <c r="L85" i="4" s="1"/>
  <c r="M85" i="4" s="1"/>
  <c r="N85" i="4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1" i="6"/>
  <c r="A50" i="6" s="1"/>
  <c r="A2" i="6"/>
  <c r="J4" i="6"/>
  <c r="D5" i="6"/>
  <c r="E5" i="6"/>
  <c r="F5" i="6"/>
  <c r="G5" i="6"/>
  <c r="C6" i="6"/>
  <c r="D6" i="6" s="1"/>
  <c r="E6" i="6" s="1"/>
  <c r="A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O8" i="6"/>
  <c r="AO9" i="6" s="1"/>
  <c r="AO10" i="6" s="1"/>
  <c r="AO11" i="6" s="1"/>
  <c r="AO12" i="6" s="1"/>
  <c r="AO13" i="6" s="1"/>
  <c r="AO14" i="6" s="1"/>
  <c r="AO15" i="6" s="1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O27" i="6" s="1"/>
  <c r="AO28" i="6" s="1"/>
  <c r="AO29" i="6" s="1"/>
  <c r="AO30" i="6" s="1"/>
  <c r="AO31" i="6" s="1"/>
  <c r="AO32" i="6" s="1"/>
  <c r="AO33" i="6" s="1"/>
  <c r="AO34" i="6" s="1"/>
  <c r="AO35" i="6" s="1"/>
  <c r="AO36" i="6" s="1"/>
  <c r="AO37" i="6" s="1"/>
  <c r="AO38" i="6" s="1"/>
  <c r="AO39" i="6" s="1"/>
  <c r="AO40" i="6" s="1"/>
  <c r="AO41" i="6" s="1"/>
  <c r="AO42" i="6" s="1"/>
  <c r="AO43" i="6" s="1"/>
  <c r="AO44" i="6" s="1"/>
  <c r="AO45" i="6" s="1"/>
  <c r="AO46" i="6" s="1"/>
  <c r="AO47" i="6" s="1"/>
  <c r="AO48" i="6" s="1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C18" i="6"/>
  <c r="B19" i="6"/>
  <c r="C27" i="6"/>
  <c r="D27" i="6"/>
  <c r="E27" i="6"/>
  <c r="F27" i="6"/>
  <c r="B28" i="6"/>
  <c r="C28" i="6"/>
  <c r="C29" i="6" s="1"/>
  <c r="D28" i="6"/>
  <c r="E28" i="6"/>
  <c r="F28" i="6"/>
  <c r="D29" i="6"/>
  <c r="B33" i="6"/>
  <c r="B35" i="6"/>
  <c r="B37" i="6"/>
  <c r="B39" i="6"/>
  <c r="B41" i="6"/>
  <c r="A51" i="6"/>
  <c r="C54" i="6"/>
  <c r="D54" i="6"/>
  <c r="E54" i="6"/>
  <c r="E63" i="6" s="1"/>
  <c r="F54" i="6"/>
  <c r="G54" i="6"/>
  <c r="C55" i="6"/>
  <c r="D55" i="6"/>
  <c r="E55" i="6"/>
  <c r="B57" i="6"/>
  <c r="B58" i="6"/>
  <c r="B59" i="6"/>
  <c r="C63" i="6"/>
  <c r="D63" i="6"/>
  <c r="F63" i="6"/>
  <c r="G63" i="6"/>
  <c r="AM66" i="6"/>
  <c r="A1" i="3"/>
  <c r="A2" i="3"/>
  <c r="A6" i="3"/>
  <c r="F6" i="3"/>
  <c r="E6" i="3" s="1"/>
  <c r="G6" i="3"/>
  <c r="H6" i="3"/>
  <c r="I6" i="3"/>
  <c r="AI6" i="3"/>
  <c r="A7" i="3"/>
  <c r="H7" i="3"/>
  <c r="I7" i="3"/>
  <c r="A8" i="3"/>
  <c r="H8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E22" i="3"/>
  <c r="F22" i="3"/>
  <c r="G22" i="3"/>
  <c r="A29" i="3"/>
  <c r="G17" i="14"/>
  <c r="O17" i="14"/>
  <c r="G18" i="14"/>
  <c r="O18" i="14"/>
  <c r="G19" i="14"/>
  <c r="O20" i="14"/>
  <c r="P20" i="14"/>
  <c r="B21" i="14"/>
  <c r="G21" i="14"/>
  <c r="O21" i="14"/>
  <c r="P21" i="14"/>
  <c r="B22" i="14"/>
  <c r="G22" i="14"/>
  <c r="B23" i="14"/>
  <c r="G23" i="14"/>
  <c r="O23" i="14"/>
  <c r="B24" i="14"/>
  <c r="G24" i="14"/>
  <c r="O24" i="14"/>
  <c r="B25" i="14"/>
  <c r="G25" i="14"/>
  <c r="O25" i="14"/>
  <c r="B26" i="14"/>
  <c r="G26" i="14"/>
  <c r="B27" i="14"/>
  <c r="G27" i="14"/>
  <c r="B28" i="14"/>
  <c r="G28" i="14"/>
  <c r="A1" i="13"/>
  <c r="A2" i="13"/>
  <c r="F11" i="13"/>
  <c r="F13" i="13"/>
  <c r="K13" i="13"/>
  <c r="K15" i="13" s="1"/>
  <c r="K17" i="13" s="1"/>
  <c r="K19" i="13" s="1"/>
  <c r="K21" i="13" s="1"/>
  <c r="K23" i="13" s="1"/>
  <c r="F15" i="13"/>
  <c r="F17" i="13"/>
  <c r="F19" i="13"/>
  <c r="F21" i="13"/>
  <c r="C6" i="3" l="1"/>
  <c r="A17" i="3" s="1"/>
  <c r="E41" i="7"/>
  <c r="E57" i="7" s="1"/>
  <c r="E51" i="2"/>
  <c r="E60" i="2"/>
  <c r="E23" i="4"/>
  <c r="E47" i="4"/>
  <c r="AM9" i="6"/>
  <c r="AM8" i="6"/>
  <c r="F6" i="6"/>
  <c r="E29" i="6"/>
  <c r="G28" i="6"/>
  <c r="G27" i="6"/>
  <c r="H5" i="6"/>
  <c r="T10" i="6"/>
  <c r="K10" i="6"/>
  <c r="P10" i="6"/>
  <c r="AH10" i="6"/>
  <c r="S10" i="6"/>
  <c r="AK10" i="6"/>
  <c r="AD10" i="6"/>
  <c r="L10" i="6"/>
  <c r="W10" i="6"/>
  <c r="E9" i="5"/>
  <c r="E21" i="5"/>
  <c r="E34" i="5"/>
  <c r="E47" i="5"/>
  <c r="E3" i="7"/>
  <c r="E32" i="7" s="1"/>
  <c r="E49" i="7" s="1"/>
  <c r="E77" i="7" s="1"/>
  <c r="F7" i="2"/>
  <c r="F45" i="2"/>
  <c r="F37" i="7" s="1"/>
  <c r="F17" i="2"/>
  <c r="F14" i="2"/>
  <c r="F34" i="2"/>
  <c r="AE81" i="7"/>
  <c r="W81" i="7"/>
  <c r="O81" i="7"/>
  <c r="G81" i="7"/>
  <c r="F32" i="2"/>
  <c r="F43" i="2"/>
  <c r="F31" i="2"/>
  <c r="AC81" i="7"/>
  <c r="U81" i="7"/>
  <c r="M81" i="7"/>
  <c r="E81" i="7"/>
  <c r="F30" i="2"/>
  <c r="F29" i="2"/>
  <c r="F27" i="2"/>
  <c r="E42" i="2"/>
  <c r="F33" i="2"/>
  <c r="F18" i="2"/>
  <c r="F19" i="2" s="1"/>
  <c r="F21" i="2" s="1"/>
  <c r="F23" i="2" s="1"/>
  <c r="G22" i="7"/>
  <c r="E28" i="2"/>
  <c r="D6" i="7"/>
  <c r="D14" i="7" s="1"/>
  <c r="D28" i="7" s="1"/>
  <c r="E71" i="7"/>
  <c r="G6" i="2"/>
  <c r="G5" i="2"/>
  <c r="E10" i="2"/>
  <c r="H6" i="2"/>
  <c r="E2" i="7"/>
  <c r="E31" i="7" s="1"/>
  <c r="E48" i="7" s="1"/>
  <c r="E78" i="7" s="1"/>
  <c r="E18" i="2"/>
  <c r="S28" i="1"/>
  <c r="S26" i="1"/>
  <c r="S25" i="1"/>
  <c r="S27" i="1"/>
  <c r="G59" i="1"/>
  <c r="G41" i="1"/>
  <c r="L35" i="1" s="1"/>
  <c r="Z10" i="1"/>
  <c r="AA10" i="1" s="1"/>
  <c r="S8" i="1"/>
  <c r="J3" i="6" l="1"/>
  <c r="J2" i="6"/>
  <c r="E10" i="6"/>
  <c r="AF10" i="6"/>
  <c r="D10" i="6"/>
  <c r="I6" i="2"/>
  <c r="E26" i="5"/>
  <c r="AE10" i="6"/>
  <c r="U10" i="6"/>
  <c r="AB10" i="6"/>
  <c r="Y10" i="6"/>
  <c r="C10" i="6"/>
  <c r="F34" i="7"/>
  <c r="F24" i="2"/>
  <c r="G2" i="7"/>
  <c r="G31" i="7" s="1"/>
  <c r="G48" i="7" s="1"/>
  <c r="G78" i="7" s="1"/>
  <c r="H5" i="2"/>
  <c r="G28" i="2"/>
  <c r="G18" i="2"/>
  <c r="G31" i="2"/>
  <c r="G30" i="2"/>
  <c r="G33" i="2"/>
  <c r="G34" i="2"/>
  <c r="G32" i="2"/>
  <c r="G29" i="2"/>
  <c r="G5" i="5"/>
  <c r="G27" i="2"/>
  <c r="G35" i="2"/>
  <c r="G5" i="4"/>
  <c r="J6" i="3"/>
  <c r="J6" i="2"/>
  <c r="F8" i="5"/>
  <c r="E48" i="5"/>
  <c r="E22" i="5"/>
  <c r="E35" i="5"/>
  <c r="O10" i="6"/>
  <c r="J10" i="6"/>
  <c r="F10" i="6"/>
  <c r="H10" i="6"/>
  <c r="G10" i="2"/>
  <c r="G13" i="2" s="1"/>
  <c r="G42" i="2"/>
  <c r="G43" i="2"/>
  <c r="G6" i="5"/>
  <c r="G6" i="4"/>
  <c r="J7" i="3"/>
  <c r="H22" i="7"/>
  <c r="E36" i="2"/>
  <c r="G10" i="6"/>
  <c r="AJ10" i="6"/>
  <c r="AG10" i="6"/>
  <c r="E13" i="2"/>
  <c r="F3" i="7"/>
  <c r="F32" i="7" s="1"/>
  <c r="F49" i="7" s="1"/>
  <c r="F77" i="7" s="1"/>
  <c r="G7" i="2"/>
  <c r="F7" i="5"/>
  <c r="F7" i="4"/>
  <c r="I8" i="3"/>
  <c r="F36" i="2"/>
  <c r="F39" i="2" s="1"/>
  <c r="F47" i="2" s="1"/>
  <c r="Q10" i="6"/>
  <c r="I10" i="6"/>
  <c r="AA10" i="6"/>
  <c r="X10" i="6"/>
  <c r="H28" i="6"/>
  <c r="H27" i="6"/>
  <c r="I5" i="6"/>
  <c r="H54" i="6"/>
  <c r="F55" i="6"/>
  <c r="F29" i="6"/>
  <c r="G6" i="6"/>
  <c r="Z10" i="6"/>
  <c r="R10" i="6"/>
  <c r="N10" i="6"/>
  <c r="E45" i="2"/>
  <c r="S34" i="1"/>
  <c r="E12" i="5"/>
  <c r="E13" i="5"/>
  <c r="E17" i="5"/>
  <c r="B31" i="6"/>
  <c r="S36" i="1"/>
  <c r="E39" i="5"/>
  <c r="E38" i="5"/>
  <c r="E43" i="5"/>
  <c r="H10" i="2"/>
  <c r="H13" i="2" s="1"/>
  <c r="H6" i="5"/>
  <c r="H42" i="2"/>
  <c r="H43" i="2"/>
  <c r="H6" i="4"/>
  <c r="K7" i="3"/>
  <c r="AI10" i="6"/>
  <c r="M10" i="6"/>
  <c r="AC10" i="6"/>
  <c r="AL10" i="6"/>
  <c r="V10" i="6"/>
  <c r="F57" i="2" l="1"/>
  <c r="F20" i="4"/>
  <c r="F44" i="4"/>
  <c r="H45" i="2"/>
  <c r="H37" i="7" s="1"/>
  <c r="F9" i="5"/>
  <c r="F47" i="5"/>
  <c r="F21" i="5"/>
  <c r="F34" i="5"/>
  <c r="L13" i="6"/>
  <c r="U13" i="6"/>
  <c r="AD13" i="6"/>
  <c r="D13" i="6"/>
  <c r="M13" i="6"/>
  <c r="V13" i="6"/>
  <c r="AE13" i="6"/>
  <c r="E13" i="6"/>
  <c r="N13" i="6"/>
  <c r="F13" i="6"/>
  <c r="O13" i="6"/>
  <c r="AG13" i="6"/>
  <c r="G13" i="6"/>
  <c r="Y13" i="6"/>
  <c r="I13" i="6"/>
  <c r="AK13" i="6"/>
  <c r="J13" i="6"/>
  <c r="AC13" i="6"/>
  <c r="Q13" i="6"/>
  <c r="T13" i="6"/>
  <c r="AJ13" i="6"/>
  <c r="AL13" i="6"/>
  <c r="X13" i="6"/>
  <c r="K13" i="6"/>
  <c r="P13" i="6"/>
  <c r="AH13" i="6"/>
  <c r="C13" i="6"/>
  <c r="Z13" i="6"/>
  <c r="R13" i="6"/>
  <c r="AI13" i="6"/>
  <c r="AB13" i="6"/>
  <c r="H13" i="6"/>
  <c r="W13" i="6"/>
  <c r="AA13" i="6"/>
  <c r="AF13" i="6"/>
  <c r="S13" i="6"/>
  <c r="G3" i="7"/>
  <c r="G32" i="7" s="1"/>
  <c r="G49" i="7" s="1"/>
  <c r="G77" i="7" s="1"/>
  <c r="H7" i="2"/>
  <c r="G7" i="5"/>
  <c r="G7" i="4"/>
  <c r="J8" i="3"/>
  <c r="E36" i="7"/>
  <c r="S52" i="1"/>
  <c r="E37" i="2"/>
  <c r="J10" i="2"/>
  <c r="J13" i="2" s="1"/>
  <c r="J42" i="2"/>
  <c r="J43" i="2"/>
  <c r="J6" i="5"/>
  <c r="J6" i="4"/>
  <c r="M7" i="3"/>
  <c r="H2" i="7"/>
  <c r="H31" i="7" s="1"/>
  <c r="H48" i="7" s="1"/>
  <c r="H78" i="7" s="1"/>
  <c r="H29" i="2"/>
  <c r="H27" i="2"/>
  <c r="H31" i="2"/>
  <c r="I5" i="2"/>
  <c r="H30" i="2"/>
  <c r="H35" i="2"/>
  <c r="H28" i="2"/>
  <c r="H33" i="2"/>
  <c r="H34" i="2"/>
  <c r="H32" i="2"/>
  <c r="H18" i="2"/>
  <c r="H19" i="2" s="1"/>
  <c r="H21" i="2" s="1"/>
  <c r="H23" i="2" s="1"/>
  <c r="H5" i="5"/>
  <c r="H5" i="4"/>
  <c r="K6" i="3"/>
  <c r="I43" i="2"/>
  <c r="I10" i="2"/>
  <c r="I13" i="2" s="1"/>
  <c r="I42" i="2"/>
  <c r="I6" i="5"/>
  <c r="I6" i="4"/>
  <c r="L7" i="3"/>
  <c r="K6" i="2"/>
  <c r="S40" i="1"/>
  <c r="E14" i="2"/>
  <c r="E17" i="2"/>
  <c r="H63" i="6"/>
  <c r="H17" i="2"/>
  <c r="H14" i="2"/>
  <c r="E40" i="5"/>
  <c r="E41" i="5" s="1"/>
  <c r="E42" i="5"/>
  <c r="E37" i="7"/>
  <c r="J5" i="6"/>
  <c r="I27" i="6"/>
  <c r="I28" i="6"/>
  <c r="I54" i="6"/>
  <c r="F36" i="7"/>
  <c r="F37" i="2"/>
  <c r="I22" i="7"/>
  <c r="G45" i="2"/>
  <c r="G37" i="7" s="1"/>
  <c r="E30" i="5"/>
  <c r="E52" i="5" s="1"/>
  <c r="E28" i="5"/>
  <c r="E29" i="5"/>
  <c r="H6" i="6"/>
  <c r="G55" i="6"/>
  <c r="G29" i="6"/>
  <c r="F52" i="7"/>
  <c r="E14" i="5"/>
  <c r="E16" i="5"/>
  <c r="G14" i="2"/>
  <c r="G17" i="2"/>
  <c r="G36" i="2"/>
  <c r="G19" i="2"/>
  <c r="G21" i="2" s="1"/>
  <c r="G23" i="2" s="1"/>
  <c r="D12" i="6"/>
  <c r="M12" i="6"/>
  <c r="M14" i="6" s="1"/>
  <c r="AE12" i="6"/>
  <c r="E12" i="6"/>
  <c r="W12" i="6"/>
  <c r="W14" i="6" s="1"/>
  <c r="O12" i="6"/>
  <c r="O14" i="6" s="1"/>
  <c r="G12" i="6"/>
  <c r="G14" i="6" s="1"/>
  <c r="Z12" i="6"/>
  <c r="Z14" i="6" s="1"/>
  <c r="AI12" i="6"/>
  <c r="R12" i="6"/>
  <c r="R14" i="6" s="1"/>
  <c r="AA12" i="6"/>
  <c r="AA14" i="6" s="1"/>
  <c r="AJ12" i="6"/>
  <c r="AJ14" i="6" s="1"/>
  <c r="K12" i="6"/>
  <c r="T12" i="6"/>
  <c r="T14" i="6" s="1"/>
  <c r="J12" i="6"/>
  <c r="J14" i="6" s="1"/>
  <c r="L12" i="6"/>
  <c r="L14" i="6" s="1"/>
  <c r="S12" i="6"/>
  <c r="U12" i="6"/>
  <c r="U14" i="6" s="1"/>
  <c r="AB12" i="6"/>
  <c r="AD12" i="6"/>
  <c r="AD14" i="6" s="1"/>
  <c r="AK12" i="6"/>
  <c r="C12" i="6"/>
  <c r="X12" i="6"/>
  <c r="X14" i="6" s="1"/>
  <c r="N12" i="6"/>
  <c r="N14" i="6" s="1"/>
  <c r="F12" i="6"/>
  <c r="AH12" i="6"/>
  <c r="AH14" i="6" s="1"/>
  <c r="P12" i="6"/>
  <c r="P14" i="6" s="1"/>
  <c r="H12" i="6"/>
  <c r="AG12" i="6"/>
  <c r="AG14" i="6" s="1"/>
  <c r="AC12" i="6"/>
  <c r="AC14" i="6" s="1"/>
  <c r="Y12" i="6"/>
  <c r="Y14" i="6" s="1"/>
  <c r="I12" i="6"/>
  <c r="I14" i="6" s="1"/>
  <c r="Q12" i="6"/>
  <c r="AL12" i="6"/>
  <c r="AL14" i="6" s="1"/>
  <c r="AF12" i="6"/>
  <c r="AF14" i="6" s="1"/>
  <c r="V12" i="6"/>
  <c r="V14" i="6" s="1"/>
  <c r="E62" i="2" l="1"/>
  <c r="L19" i="6"/>
  <c r="L20" i="6"/>
  <c r="K10" i="2"/>
  <c r="K13" i="2" s="1"/>
  <c r="K42" i="2"/>
  <c r="K43" i="2"/>
  <c r="K6" i="5"/>
  <c r="K6" i="4"/>
  <c r="N7" i="3"/>
  <c r="J20" i="6"/>
  <c r="J19" i="6"/>
  <c r="G36" i="7"/>
  <c r="G37" i="2"/>
  <c r="V19" i="6"/>
  <c r="V20" i="6"/>
  <c r="AD19" i="6"/>
  <c r="AD20" i="6"/>
  <c r="AJ19" i="6"/>
  <c r="AJ20" i="6"/>
  <c r="AF19" i="6"/>
  <c r="AF20" i="6"/>
  <c r="P19" i="6"/>
  <c r="P20" i="6"/>
  <c r="AB14" i="6"/>
  <c r="AA19" i="6"/>
  <c r="AA20" i="6"/>
  <c r="E20" i="5"/>
  <c r="F12" i="5" s="1"/>
  <c r="E18" i="5"/>
  <c r="E19" i="5" s="1"/>
  <c r="H34" i="7"/>
  <c r="H24" i="2"/>
  <c r="AL20" i="6"/>
  <c r="AL19" i="6"/>
  <c r="AH19" i="6"/>
  <c r="AH20" i="6"/>
  <c r="U20" i="6"/>
  <c r="U19" i="6"/>
  <c r="R19" i="6"/>
  <c r="R20" i="6"/>
  <c r="M20" i="6"/>
  <c r="M19" i="6"/>
  <c r="E33" i="5"/>
  <c r="F25" i="5" s="1"/>
  <c r="E31" i="5"/>
  <c r="F53" i="7"/>
  <c r="F86" i="7" s="1"/>
  <c r="E15" i="5"/>
  <c r="H36" i="2"/>
  <c r="J14" i="2"/>
  <c r="J17" i="2"/>
  <c r="Q14" i="6"/>
  <c r="F14" i="6"/>
  <c r="S14" i="6"/>
  <c r="AI14" i="6"/>
  <c r="D14" i="6"/>
  <c r="F80" i="7"/>
  <c r="F83" i="7" s="1"/>
  <c r="I63" i="6"/>
  <c r="E46" i="5"/>
  <c r="F38" i="5" s="1"/>
  <c r="I45" i="2"/>
  <c r="I37" i="7" s="1"/>
  <c r="Z20" i="6"/>
  <c r="Z19" i="6"/>
  <c r="Y19" i="6"/>
  <c r="Y20" i="6"/>
  <c r="H3" i="7"/>
  <c r="H32" i="7" s="1"/>
  <c r="H49" i="7" s="1"/>
  <c r="H77" i="7" s="1"/>
  <c r="I7" i="2"/>
  <c r="H7" i="4"/>
  <c r="H7" i="5"/>
  <c r="K8" i="3"/>
  <c r="F13" i="5"/>
  <c r="F68" i="2"/>
  <c r="G34" i="7"/>
  <c r="G24" i="2"/>
  <c r="G39" i="2"/>
  <c r="G47" i="2" s="1"/>
  <c r="I17" i="2"/>
  <c r="I14" i="2"/>
  <c r="H29" i="6"/>
  <c r="I6" i="6"/>
  <c r="H55" i="6"/>
  <c r="F39" i="5"/>
  <c r="AC20" i="6"/>
  <c r="AC19" i="6"/>
  <c r="C14" i="6"/>
  <c r="AM12" i="6"/>
  <c r="T20" i="6"/>
  <c r="T19" i="6"/>
  <c r="O19" i="6"/>
  <c r="O20" i="6"/>
  <c r="K5" i="6"/>
  <c r="J28" i="6"/>
  <c r="J54" i="6"/>
  <c r="J27" i="6"/>
  <c r="E19" i="2"/>
  <c r="AG19" i="6"/>
  <c r="AG20" i="6"/>
  <c r="AK14" i="6"/>
  <c r="K14" i="6"/>
  <c r="W19" i="6"/>
  <c r="W20" i="6"/>
  <c r="L6" i="2"/>
  <c r="F35" i="5"/>
  <c r="F48" i="5"/>
  <c r="G8" i="5"/>
  <c r="F22" i="5"/>
  <c r="I19" i="6"/>
  <c r="I20" i="6"/>
  <c r="F26" i="5"/>
  <c r="G19" i="6"/>
  <c r="G20" i="6"/>
  <c r="I2" i="7"/>
  <c r="I31" i="7" s="1"/>
  <c r="I48" i="7" s="1"/>
  <c r="I78" i="7" s="1"/>
  <c r="I27" i="2"/>
  <c r="I34" i="2"/>
  <c r="J5" i="2"/>
  <c r="I29" i="2"/>
  <c r="I30" i="2"/>
  <c r="I32" i="2"/>
  <c r="I18" i="2"/>
  <c r="I19" i="2" s="1"/>
  <c r="I21" i="2" s="1"/>
  <c r="I23" i="2" s="1"/>
  <c r="I28" i="2"/>
  <c r="I33" i="2"/>
  <c r="I35" i="2"/>
  <c r="I5" i="4"/>
  <c r="I31" i="2"/>
  <c r="I5" i="5"/>
  <c r="L6" i="3"/>
  <c r="E7" i="7"/>
  <c r="N66" i="7"/>
  <c r="N91" i="7" s="1"/>
  <c r="Y66" i="7"/>
  <c r="Y91" i="7" s="1"/>
  <c r="Q66" i="7"/>
  <c r="Q91" i="7" s="1"/>
  <c r="Z66" i="7"/>
  <c r="Z91" i="7" s="1"/>
  <c r="I66" i="7"/>
  <c r="I91" i="7" s="1"/>
  <c r="R66" i="7"/>
  <c r="R91" i="7" s="1"/>
  <c r="AA66" i="7"/>
  <c r="AA91" i="7" s="1"/>
  <c r="J66" i="7"/>
  <c r="J91" i="7" s="1"/>
  <c r="S66" i="7"/>
  <c r="S91" i="7" s="1"/>
  <c r="AB66" i="7"/>
  <c r="AB91" i="7" s="1"/>
  <c r="AD66" i="7"/>
  <c r="AD91" i="7" s="1"/>
  <c r="T66" i="7"/>
  <c r="T91" i="7" s="1"/>
  <c r="V66" i="7"/>
  <c r="V91" i="7" s="1"/>
  <c r="K66" i="7"/>
  <c r="K91" i="7" s="1"/>
  <c r="G66" i="7"/>
  <c r="G91" i="7" s="1"/>
  <c r="AE66" i="7"/>
  <c r="AE91" i="7" s="1"/>
  <c r="U66" i="7"/>
  <c r="U91" i="7" s="1"/>
  <c r="L66" i="7"/>
  <c r="L91" i="7" s="1"/>
  <c r="W66" i="7"/>
  <c r="W91" i="7" s="1"/>
  <c r="O66" i="7"/>
  <c r="O91" i="7" s="1"/>
  <c r="S53" i="1"/>
  <c r="H66" i="7"/>
  <c r="H91" i="7" s="1"/>
  <c r="X66" i="7"/>
  <c r="X91" i="7" s="1"/>
  <c r="M66" i="7"/>
  <c r="M91" i="7" s="1"/>
  <c r="E66" i="7"/>
  <c r="E91" i="7" s="1"/>
  <c r="AC66" i="7"/>
  <c r="AC91" i="7" s="1"/>
  <c r="P66" i="7"/>
  <c r="P91" i="7" s="1"/>
  <c r="N19" i="6"/>
  <c r="N20" i="6"/>
  <c r="X19" i="6"/>
  <c r="X20" i="6"/>
  <c r="H14" i="6"/>
  <c r="E14" i="6"/>
  <c r="J22" i="7"/>
  <c r="AE14" i="6"/>
  <c r="J45" i="2"/>
  <c r="J37" i="7" s="1"/>
  <c r="E53" i="7"/>
  <c r="E86" i="7" s="1"/>
  <c r="AM13" i="6"/>
  <c r="AM15" i="6" s="1"/>
  <c r="L10" i="2" l="1"/>
  <c r="L43" i="2"/>
  <c r="L42" i="2"/>
  <c r="L6" i="5"/>
  <c r="L6" i="4"/>
  <c r="O7" i="3"/>
  <c r="AE19" i="6"/>
  <c r="AE20" i="6"/>
  <c r="K22" i="7"/>
  <c r="E20" i="6"/>
  <c r="E19" i="6"/>
  <c r="J2" i="7"/>
  <c r="J31" i="7" s="1"/>
  <c r="J48" i="7" s="1"/>
  <c r="J78" i="7" s="1"/>
  <c r="K5" i="2"/>
  <c r="J27" i="2"/>
  <c r="J18" i="2"/>
  <c r="J19" i="2" s="1"/>
  <c r="J21" i="2" s="1"/>
  <c r="J23" i="2" s="1"/>
  <c r="J29" i="2"/>
  <c r="J31" i="2"/>
  <c r="J35" i="2"/>
  <c r="J28" i="2"/>
  <c r="J30" i="2"/>
  <c r="J33" i="2"/>
  <c r="J34" i="2"/>
  <c r="J32" i="2"/>
  <c r="J5" i="5"/>
  <c r="J5" i="4"/>
  <c r="M6" i="3"/>
  <c r="K19" i="6"/>
  <c r="K20" i="6"/>
  <c r="E32" i="5"/>
  <c r="E44" i="5" s="1"/>
  <c r="E45" i="5" s="1"/>
  <c r="H20" i="6"/>
  <c r="H19" i="6"/>
  <c r="AK20" i="6"/>
  <c r="AK19" i="6"/>
  <c r="J63" i="6"/>
  <c r="G52" i="7"/>
  <c r="I3" i="7"/>
  <c r="I32" i="7" s="1"/>
  <c r="I49" i="7" s="1"/>
  <c r="I77" i="7" s="1"/>
  <c r="J7" i="2"/>
  <c r="I7" i="5"/>
  <c r="I7" i="4"/>
  <c r="L8" i="3"/>
  <c r="F16" i="5"/>
  <c r="F14" i="5"/>
  <c r="F15" i="5" s="1"/>
  <c r="I36" i="2"/>
  <c r="AM14" i="6"/>
  <c r="F15" i="6"/>
  <c r="N15" i="6"/>
  <c r="V15" i="6"/>
  <c r="AD15" i="6"/>
  <c r="AL15" i="6"/>
  <c r="C19" i="6"/>
  <c r="H15" i="6"/>
  <c r="Q15" i="6"/>
  <c r="Z15" i="6"/>
  <c r="AI15" i="6"/>
  <c r="I15" i="6"/>
  <c r="R15" i="6"/>
  <c r="AA15" i="6"/>
  <c r="AJ15" i="6"/>
  <c r="J15" i="6"/>
  <c r="S15" i="6"/>
  <c r="AB15" i="6"/>
  <c r="AK15" i="6"/>
  <c r="C20" i="6"/>
  <c r="K15" i="6"/>
  <c r="T15" i="6"/>
  <c r="AC15" i="6"/>
  <c r="C15" i="6"/>
  <c r="L15" i="6"/>
  <c r="U15" i="6"/>
  <c r="AE15" i="6"/>
  <c r="E15" i="6"/>
  <c r="O15" i="6"/>
  <c r="X15" i="6"/>
  <c r="AG15" i="6"/>
  <c r="D15" i="6"/>
  <c r="G15" i="6"/>
  <c r="M15" i="6"/>
  <c r="P15" i="6"/>
  <c r="Y15" i="6"/>
  <c r="W15" i="6"/>
  <c r="AF15" i="6"/>
  <c r="AH15" i="6"/>
  <c r="F7" i="7"/>
  <c r="F54" i="7"/>
  <c r="E54" i="7"/>
  <c r="I34" i="7"/>
  <c r="I24" i="2"/>
  <c r="I39" i="2"/>
  <c r="I47" i="2" s="1"/>
  <c r="D19" i="6"/>
  <c r="D20" i="6"/>
  <c r="F29" i="5"/>
  <c r="F27" i="5"/>
  <c r="F28" i="5" s="1"/>
  <c r="F17" i="5"/>
  <c r="AI19" i="6"/>
  <c r="AI20" i="6"/>
  <c r="H36" i="7"/>
  <c r="H37" i="2"/>
  <c r="AB20" i="6"/>
  <c r="AB19" i="6"/>
  <c r="K45" i="2"/>
  <c r="K37" i="7" s="1"/>
  <c r="I29" i="6"/>
  <c r="J6" i="6"/>
  <c r="I55" i="6"/>
  <c r="G21" i="5"/>
  <c r="G34" i="5"/>
  <c r="G9" i="5"/>
  <c r="G47" i="5"/>
  <c r="E21" i="2"/>
  <c r="S19" i="6"/>
  <c r="S20" i="6"/>
  <c r="H39" i="2"/>
  <c r="H47" i="2" s="1"/>
  <c r="G53" i="7"/>
  <c r="G86" i="7" s="1"/>
  <c r="M6" i="2"/>
  <c r="K14" i="2"/>
  <c r="K17" i="2"/>
  <c r="E64" i="7"/>
  <c r="F43" i="5"/>
  <c r="G57" i="2"/>
  <c r="G20" i="4"/>
  <c r="G44" i="4"/>
  <c r="F42" i="5"/>
  <c r="F40" i="5"/>
  <c r="F41" i="5" s="1"/>
  <c r="F19" i="6"/>
  <c r="F20" i="6"/>
  <c r="H52" i="7"/>
  <c r="L5" i="6"/>
  <c r="K27" i="6"/>
  <c r="K28" i="6"/>
  <c r="K54" i="6"/>
  <c r="F30" i="5"/>
  <c r="Q20" i="6"/>
  <c r="Q19" i="6"/>
  <c r="H20" i="4" l="1"/>
  <c r="H57" i="2"/>
  <c r="H44" i="4"/>
  <c r="F31" i="5"/>
  <c r="F33" i="5"/>
  <c r="G25" i="5" s="1"/>
  <c r="AK21" i="6"/>
  <c r="AK16" i="6"/>
  <c r="F19" i="5"/>
  <c r="AG21" i="6"/>
  <c r="AG16" i="6"/>
  <c r="AC21" i="6"/>
  <c r="AC16" i="6"/>
  <c r="H16" i="6"/>
  <c r="H21" i="6"/>
  <c r="G80" i="7"/>
  <c r="G83" i="7" s="1"/>
  <c r="L28" i="6"/>
  <c r="L27" i="6"/>
  <c r="M5" i="6"/>
  <c r="L54" i="6"/>
  <c r="I57" i="2"/>
  <c r="I44" i="4"/>
  <c r="I20" i="4"/>
  <c r="AF16" i="6"/>
  <c r="AF21" i="6"/>
  <c r="X16" i="6"/>
  <c r="X21" i="6"/>
  <c r="AA21" i="6"/>
  <c r="AA16" i="6"/>
  <c r="AM19" i="6"/>
  <c r="C22" i="6"/>
  <c r="F18" i="5"/>
  <c r="F20" i="5"/>
  <c r="G12" i="5" s="1"/>
  <c r="F44" i="5"/>
  <c r="F45" i="5" s="1"/>
  <c r="F46" i="5"/>
  <c r="G38" i="5" s="1"/>
  <c r="E23" i="2"/>
  <c r="W16" i="6"/>
  <c r="W21" i="6"/>
  <c r="O16" i="6"/>
  <c r="O21" i="6"/>
  <c r="K21" i="6"/>
  <c r="K16" i="6"/>
  <c r="R21" i="6"/>
  <c r="R16" i="6"/>
  <c r="AL21" i="6"/>
  <c r="AL16" i="6"/>
  <c r="G39" i="5"/>
  <c r="I52" i="7"/>
  <c r="Y16" i="6"/>
  <c r="Y21" i="6"/>
  <c r="E16" i="6"/>
  <c r="E21" i="6"/>
  <c r="AM20" i="6"/>
  <c r="I21" i="6"/>
  <c r="I16" i="6"/>
  <c r="AD21" i="6"/>
  <c r="AD16" i="6"/>
  <c r="L45" i="2"/>
  <c r="K6" i="6"/>
  <c r="J29" i="6"/>
  <c r="J55" i="6"/>
  <c r="P16" i="6"/>
  <c r="P21" i="6"/>
  <c r="V21" i="6"/>
  <c r="V16" i="6"/>
  <c r="J34" i="7"/>
  <c r="J24" i="2"/>
  <c r="J39" i="2"/>
  <c r="J47" i="2" s="1"/>
  <c r="L22" i="7"/>
  <c r="G26" i="5"/>
  <c r="F52" i="5"/>
  <c r="M21" i="6"/>
  <c r="M16" i="6"/>
  <c r="AB21" i="6"/>
  <c r="AB16" i="6"/>
  <c r="N21" i="6"/>
  <c r="N16" i="6"/>
  <c r="J36" i="2"/>
  <c r="L13" i="2"/>
  <c r="G13" i="5"/>
  <c r="G7" i="7"/>
  <c r="G54" i="7"/>
  <c r="G16" i="6"/>
  <c r="G21" i="6"/>
  <c r="L21" i="6"/>
  <c r="L16" i="6"/>
  <c r="S21" i="6"/>
  <c r="S16" i="6"/>
  <c r="Z16" i="6"/>
  <c r="Z21" i="6"/>
  <c r="F16" i="6"/>
  <c r="F21" i="6"/>
  <c r="I36" i="7"/>
  <c r="I37" i="2"/>
  <c r="K2" i="7"/>
  <c r="K31" i="7" s="1"/>
  <c r="K48" i="7" s="1"/>
  <c r="K78" i="7" s="1"/>
  <c r="K18" i="2"/>
  <c r="K19" i="2" s="1"/>
  <c r="K21" i="2" s="1"/>
  <c r="K23" i="2" s="1"/>
  <c r="L5" i="2"/>
  <c r="K28" i="2"/>
  <c r="K32" i="2"/>
  <c r="K27" i="2"/>
  <c r="K34" i="2"/>
  <c r="K29" i="2"/>
  <c r="K31" i="2"/>
  <c r="K35" i="2"/>
  <c r="K30" i="2"/>
  <c r="K33" i="2"/>
  <c r="K5" i="5"/>
  <c r="K5" i="4"/>
  <c r="N6" i="3"/>
  <c r="H80" i="7"/>
  <c r="H83" i="7" s="1"/>
  <c r="AE16" i="6"/>
  <c r="AE21" i="6"/>
  <c r="G68" i="2"/>
  <c r="E90" i="7"/>
  <c r="E18" i="7"/>
  <c r="U21" i="6"/>
  <c r="U16" i="6"/>
  <c r="AI16" i="6"/>
  <c r="AI21" i="6"/>
  <c r="J3" i="7"/>
  <c r="J32" i="7" s="1"/>
  <c r="J49" i="7" s="1"/>
  <c r="J77" i="7" s="1"/>
  <c r="K7" i="2"/>
  <c r="J7" i="5"/>
  <c r="J7" i="4"/>
  <c r="M8" i="3"/>
  <c r="K63" i="6"/>
  <c r="N6" i="2"/>
  <c r="O6" i="2" s="1"/>
  <c r="D21" i="6"/>
  <c r="D16" i="6"/>
  <c r="C21" i="6"/>
  <c r="C16" i="6"/>
  <c r="J21" i="6"/>
  <c r="J16" i="6"/>
  <c r="Q16" i="6"/>
  <c r="Q21" i="6"/>
  <c r="E51" i="5"/>
  <c r="F32" i="5"/>
  <c r="G22" i="5"/>
  <c r="G35" i="5"/>
  <c r="G48" i="5"/>
  <c r="H8" i="5"/>
  <c r="M42" i="2"/>
  <c r="M45" i="2" s="1"/>
  <c r="M37" i="7" s="1"/>
  <c r="M10" i="2"/>
  <c r="M13" i="2" s="1"/>
  <c r="M43" i="2"/>
  <c r="M6" i="5"/>
  <c r="M6" i="4"/>
  <c r="P7" i="3"/>
  <c r="H53" i="7"/>
  <c r="H86" i="7" s="1"/>
  <c r="AH16" i="6"/>
  <c r="AH21" i="6"/>
  <c r="AJ21" i="6"/>
  <c r="AJ16" i="6"/>
  <c r="T21" i="6"/>
  <c r="T16" i="6"/>
  <c r="O10" i="2" l="1"/>
  <c r="O13" i="2" s="1"/>
  <c r="O43" i="2"/>
  <c r="O42" i="2"/>
  <c r="O45" i="2" s="1"/>
  <c r="O37" i="7" s="1"/>
  <c r="O6" i="5"/>
  <c r="O6" i="4"/>
  <c r="R7" i="3"/>
  <c r="P6" i="2"/>
  <c r="G17" i="5"/>
  <c r="G52" i="5" s="1"/>
  <c r="I53" i="7"/>
  <c r="I86" i="7" s="1"/>
  <c r="AM16" i="6"/>
  <c r="F51" i="5"/>
  <c r="F49" i="2" s="1"/>
  <c r="AM21" i="6"/>
  <c r="K36" i="2"/>
  <c r="F62" i="2"/>
  <c r="J52" i="7"/>
  <c r="I80" i="7"/>
  <c r="I83" i="7" s="1"/>
  <c r="G16" i="5"/>
  <c r="G14" i="5"/>
  <c r="G27" i="5"/>
  <c r="G28" i="5" s="1"/>
  <c r="G29" i="5"/>
  <c r="M14" i="2"/>
  <c r="M17" i="2"/>
  <c r="J36" i="7"/>
  <c r="J37" i="2"/>
  <c r="L63" i="6"/>
  <c r="H9" i="5"/>
  <c r="H21" i="5"/>
  <c r="H47" i="5"/>
  <c r="H34" i="5"/>
  <c r="L2" i="7"/>
  <c r="L31" i="7" s="1"/>
  <c r="L48" i="7" s="1"/>
  <c r="L78" i="7" s="1"/>
  <c r="L35" i="2"/>
  <c r="L32" i="2"/>
  <c r="M5" i="2"/>
  <c r="L33" i="2"/>
  <c r="L27" i="2"/>
  <c r="L34" i="2"/>
  <c r="L18" i="2"/>
  <c r="L19" i="2" s="1"/>
  <c r="L21" i="2" s="1"/>
  <c r="L23" i="2" s="1"/>
  <c r="L28" i="2"/>
  <c r="L30" i="2"/>
  <c r="L31" i="2"/>
  <c r="L5" i="5"/>
  <c r="L29" i="2"/>
  <c r="L5" i="4"/>
  <c r="O6" i="3"/>
  <c r="H7" i="7"/>
  <c r="H54" i="7"/>
  <c r="H68" i="2"/>
  <c r="L37" i="7"/>
  <c r="E34" i="7"/>
  <c r="E39" i="2"/>
  <c r="E24" i="2"/>
  <c r="L6" i="6"/>
  <c r="K29" i="6"/>
  <c r="K55" i="6"/>
  <c r="G43" i="5"/>
  <c r="K34" i="7"/>
  <c r="K24" i="2"/>
  <c r="K39" i="2"/>
  <c r="K47" i="2" s="1"/>
  <c r="M22" i="7"/>
  <c r="G30" i="5"/>
  <c r="K3" i="7"/>
  <c r="K32" i="7" s="1"/>
  <c r="K49" i="7" s="1"/>
  <c r="K77" i="7" s="1"/>
  <c r="L7" i="2"/>
  <c r="K7" i="5"/>
  <c r="K7" i="4"/>
  <c r="N8" i="3"/>
  <c r="G42" i="5"/>
  <c r="G40" i="5"/>
  <c r="G41" i="5" s="1"/>
  <c r="I68" i="2"/>
  <c r="C23" i="6"/>
  <c r="D18" i="6"/>
  <c r="C25" i="6"/>
  <c r="J57" i="2"/>
  <c r="J44" i="4"/>
  <c r="J20" i="4"/>
  <c r="E49" i="2"/>
  <c r="E53" i="5"/>
  <c r="M28" i="6"/>
  <c r="M27" i="6"/>
  <c r="N5" i="6"/>
  <c r="M54" i="6"/>
  <c r="N10" i="2"/>
  <c r="N42" i="2"/>
  <c r="N43" i="2"/>
  <c r="N6" i="5"/>
  <c r="N6" i="4"/>
  <c r="Q7" i="3"/>
  <c r="L14" i="2"/>
  <c r="L17" i="2"/>
  <c r="G62" i="2" l="1"/>
  <c r="C31" i="6"/>
  <c r="C35" i="6"/>
  <c r="C39" i="6"/>
  <c r="H26" i="5"/>
  <c r="J68" i="2"/>
  <c r="M63" i="6"/>
  <c r="E52" i="7"/>
  <c r="N28" i="6"/>
  <c r="N27" i="6"/>
  <c r="O5" i="6"/>
  <c r="N54" i="6"/>
  <c r="I7" i="7"/>
  <c r="I54" i="7"/>
  <c r="J53" i="7"/>
  <c r="J86" i="7" s="1"/>
  <c r="K36" i="7"/>
  <c r="K37" i="2"/>
  <c r="P10" i="2"/>
  <c r="P13" i="2" s="1"/>
  <c r="P42" i="2"/>
  <c r="P6" i="5"/>
  <c r="P43" i="2"/>
  <c r="P6" i="4"/>
  <c r="S7" i="3"/>
  <c r="Q6" i="2"/>
  <c r="N45" i="2"/>
  <c r="D22" i="6"/>
  <c r="N22" i="7"/>
  <c r="H39" i="5"/>
  <c r="F39" i="7"/>
  <c r="F55" i="7" s="1"/>
  <c r="F50" i="2"/>
  <c r="F58" i="2"/>
  <c r="F45" i="4"/>
  <c r="F21" i="4"/>
  <c r="L34" i="7"/>
  <c r="L24" i="2"/>
  <c r="L39" i="2"/>
  <c r="L47" i="2" s="1"/>
  <c r="N13" i="2"/>
  <c r="L3" i="7"/>
  <c r="L32" i="7" s="1"/>
  <c r="L49" i="7" s="1"/>
  <c r="L77" i="7" s="1"/>
  <c r="M7" i="2"/>
  <c r="L7" i="5"/>
  <c r="L7" i="4"/>
  <c r="O8" i="3"/>
  <c r="K57" i="2"/>
  <c r="K20" i="4"/>
  <c r="K44" i="4"/>
  <c r="L36" i="2"/>
  <c r="H13" i="5"/>
  <c r="J80" i="7"/>
  <c r="J83" i="7" s="1"/>
  <c r="G44" i="5"/>
  <c r="G45" i="5" s="1"/>
  <c r="G46" i="5"/>
  <c r="H38" i="5" s="1"/>
  <c r="I8" i="5"/>
  <c r="H22" i="5"/>
  <c r="H35" i="5"/>
  <c r="H48" i="5"/>
  <c r="E39" i="7"/>
  <c r="E55" i="7" s="1"/>
  <c r="E88" i="7" s="1"/>
  <c r="E50" i="2"/>
  <c r="E58" i="2"/>
  <c r="E21" i="4"/>
  <c r="E45" i="4"/>
  <c r="K52" i="7"/>
  <c r="E47" i="2"/>
  <c r="M2" i="7"/>
  <c r="M31" i="7" s="1"/>
  <c r="M48" i="7" s="1"/>
  <c r="M78" i="7" s="1"/>
  <c r="M18" i="2"/>
  <c r="M19" i="2" s="1"/>
  <c r="M21" i="2" s="1"/>
  <c r="M23" i="2" s="1"/>
  <c r="N5" i="2"/>
  <c r="M27" i="2"/>
  <c r="M30" i="2"/>
  <c r="M31" i="2"/>
  <c r="M33" i="2"/>
  <c r="M35" i="2"/>
  <c r="M5" i="5"/>
  <c r="M32" i="2"/>
  <c r="M34" i="2"/>
  <c r="M29" i="2"/>
  <c r="M5" i="4"/>
  <c r="P6" i="3"/>
  <c r="M28" i="2"/>
  <c r="G20" i="5"/>
  <c r="H12" i="5" s="1"/>
  <c r="G18" i="5"/>
  <c r="G51" i="5" s="1"/>
  <c r="F53" i="5"/>
  <c r="M6" i="6"/>
  <c r="L29" i="6"/>
  <c r="L55" i="6"/>
  <c r="G33" i="5"/>
  <c r="H25" i="5" s="1"/>
  <c r="G31" i="5"/>
  <c r="G32" i="5" s="1"/>
  <c r="G19" i="5"/>
  <c r="G15" i="5"/>
  <c r="F64" i="7"/>
  <c r="O17" i="2"/>
  <c r="O14" i="2"/>
  <c r="G49" i="2" l="1"/>
  <c r="G53" i="5"/>
  <c r="K80" i="7"/>
  <c r="K83" i="7" s="1"/>
  <c r="K68" i="2"/>
  <c r="M36" i="2"/>
  <c r="H17" i="5"/>
  <c r="H52" i="5"/>
  <c r="L57" i="2"/>
  <c r="L20" i="4"/>
  <c r="L44" i="4"/>
  <c r="D25" i="6"/>
  <c r="D23" i="6"/>
  <c r="E80" i="7"/>
  <c r="E83" i="7" s="1"/>
  <c r="C32" i="6"/>
  <c r="N6" i="6"/>
  <c r="M29" i="6"/>
  <c r="M55" i="6"/>
  <c r="N2" i="7"/>
  <c r="N31" i="7" s="1"/>
  <c r="N48" i="7" s="1"/>
  <c r="N78" i="7" s="1"/>
  <c r="O5" i="2"/>
  <c r="N33" i="2"/>
  <c r="N32" i="2"/>
  <c r="N29" i="2"/>
  <c r="N27" i="2"/>
  <c r="N18" i="2"/>
  <c r="N31" i="2"/>
  <c r="N28" i="2"/>
  <c r="N30" i="2"/>
  <c r="N35" i="2"/>
  <c r="N5" i="5"/>
  <c r="N34" i="2"/>
  <c r="N5" i="4"/>
  <c r="Q6" i="3"/>
  <c r="I9" i="5"/>
  <c r="I21" i="5"/>
  <c r="I13" i="5" s="1"/>
  <c r="I47" i="5"/>
  <c r="I39" i="5" s="1"/>
  <c r="I34" i="5"/>
  <c r="L36" i="7"/>
  <c r="L37" i="2"/>
  <c r="F59" i="2"/>
  <c r="F72" i="2" s="1"/>
  <c r="E18" i="6"/>
  <c r="P45" i="2"/>
  <c r="P37" i="7" s="1"/>
  <c r="J7" i="7"/>
  <c r="O22" i="7"/>
  <c r="M34" i="7"/>
  <c r="M24" i="2"/>
  <c r="M39" i="2"/>
  <c r="E59" i="2"/>
  <c r="E72" i="2" s="1"/>
  <c r="M3" i="7"/>
  <c r="M32" i="7" s="1"/>
  <c r="M49" i="7" s="1"/>
  <c r="M77" i="7" s="1"/>
  <c r="N7" i="2"/>
  <c r="M7" i="5"/>
  <c r="M7" i="4"/>
  <c r="P8" i="3"/>
  <c r="P14" i="2"/>
  <c r="P17" i="2"/>
  <c r="H27" i="5"/>
  <c r="H29" i="5"/>
  <c r="E40" i="7"/>
  <c r="E56" i="7" s="1"/>
  <c r="E22" i="4"/>
  <c r="E46" i="4"/>
  <c r="F88" i="7"/>
  <c r="N63" i="6"/>
  <c r="H43" i="5"/>
  <c r="H42" i="5"/>
  <c r="H40" i="5"/>
  <c r="H41" i="5" s="1"/>
  <c r="L52" i="7"/>
  <c r="F40" i="7"/>
  <c r="F56" i="7" s="1"/>
  <c r="F22" i="4"/>
  <c r="F46" i="4"/>
  <c r="N37" i="7"/>
  <c r="F90" i="7"/>
  <c r="F18" i="7"/>
  <c r="H16" i="5"/>
  <c r="H14" i="5"/>
  <c r="H15" i="5" s="1"/>
  <c r="E57" i="2"/>
  <c r="E20" i="4"/>
  <c r="E44" i="4"/>
  <c r="Q10" i="2"/>
  <c r="Q13" i="2" s="1"/>
  <c r="Q43" i="2"/>
  <c r="Q42" i="2"/>
  <c r="Q6" i="4"/>
  <c r="T7" i="3"/>
  <c r="R6" i="2"/>
  <c r="K53" i="7"/>
  <c r="K86" i="7" s="1"/>
  <c r="O28" i="6"/>
  <c r="O27" i="6"/>
  <c r="P5" i="6"/>
  <c r="O54" i="6"/>
  <c r="H28" i="5"/>
  <c r="C40" i="6"/>
  <c r="C41" i="6" s="1"/>
  <c r="G64" i="7"/>
  <c r="H30" i="5"/>
  <c r="N17" i="2"/>
  <c r="N14" i="2"/>
  <c r="C36" i="6"/>
  <c r="C37" i="6" l="1"/>
  <c r="Q17" i="2"/>
  <c r="Q14" i="2"/>
  <c r="H18" i="5"/>
  <c r="H20" i="5"/>
  <c r="I12" i="5" s="1"/>
  <c r="K7" i="7"/>
  <c r="K54" i="7"/>
  <c r="G18" i="7"/>
  <c r="H45" i="5"/>
  <c r="M52" i="7"/>
  <c r="O2" i="7"/>
  <c r="O31" i="7" s="1"/>
  <c r="O48" i="7" s="1"/>
  <c r="O78" i="7" s="1"/>
  <c r="P5" i="2"/>
  <c r="O18" i="2"/>
  <c r="O19" i="2" s="1"/>
  <c r="O21" i="2" s="1"/>
  <c r="O23" i="2" s="1"/>
  <c r="O28" i="2"/>
  <c r="O30" i="2"/>
  <c r="O31" i="2"/>
  <c r="O32" i="2"/>
  <c r="O34" i="2"/>
  <c r="O29" i="2"/>
  <c r="O27" i="2"/>
  <c r="O35" i="2"/>
  <c r="O33" i="2"/>
  <c r="O5" i="5"/>
  <c r="O5" i="4"/>
  <c r="R6" i="3"/>
  <c r="L68" i="2"/>
  <c r="J8" i="5"/>
  <c r="I22" i="5"/>
  <c r="I17" i="5" s="1"/>
  <c r="I35" i="5"/>
  <c r="I48" i="5"/>
  <c r="I43" i="5" s="1"/>
  <c r="H62" i="2"/>
  <c r="H32" i="5"/>
  <c r="R10" i="2"/>
  <c r="R13" i="2" s="1"/>
  <c r="R43" i="2"/>
  <c r="R6" i="5"/>
  <c r="R42" i="2"/>
  <c r="R45" i="2" s="1"/>
  <c r="R37" i="7" s="1"/>
  <c r="R6" i="4"/>
  <c r="U7" i="3"/>
  <c r="S6" i="2"/>
  <c r="L80" i="7"/>
  <c r="L83" i="7" s="1"/>
  <c r="H33" i="5"/>
  <c r="I25" i="5" s="1"/>
  <c r="H31" i="5"/>
  <c r="N3" i="7"/>
  <c r="N32" i="7" s="1"/>
  <c r="N49" i="7" s="1"/>
  <c r="N77" i="7" s="1"/>
  <c r="O7" i="2"/>
  <c r="N7" i="5"/>
  <c r="N7" i="4"/>
  <c r="Q8" i="3"/>
  <c r="E22" i="6"/>
  <c r="E68" i="2"/>
  <c r="E74" i="2" s="1"/>
  <c r="F74" i="2"/>
  <c r="N19" i="2"/>
  <c r="N21" i="2" s="1"/>
  <c r="D31" i="6"/>
  <c r="D39" i="6"/>
  <c r="D35" i="6"/>
  <c r="O63" i="6"/>
  <c r="N36" i="2"/>
  <c r="C60" i="6"/>
  <c r="C33" i="6"/>
  <c r="H19" i="5"/>
  <c r="G90" i="7"/>
  <c r="P28" i="6"/>
  <c r="Q5" i="6"/>
  <c r="P54" i="6"/>
  <c r="P27" i="6"/>
  <c r="Q45" i="2"/>
  <c r="Q37" i="7" s="1"/>
  <c r="H44" i="5"/>
  <c r="H46" i="5"/>
  <c r="I38" i="5" s="1"/>
  <c r="P22" i="7"/>
  <c r="L53" i="7"/>
  <c r="L86" i="7" s="1"/>
  <c r="H51" i="5"/>
  <c r="H53" i="5" s="1"/>
  <c r="M47" i="2"/>
  <c r="J54" i="7"/>
  <c r="I26" i="5"/>
  <c r="O6" i="6"/>
  <c r="N55" i="6"/>
  <c r="N29" i="6"/>
  <c r="M36" i="7"/>
  <c r="M37" i="2"/>
  <c r="G39" i="7"/>
  <c r="G55" i="7" s="1"/>
  <c r="G50" i="2"/>
  <c r="G58" i="2"/>
  <c r="G21" i="4"/>
  <c r="G45" i="4"/>
  <c r="P6" i="6" l="1"/>
  <c r="O29" i="6"/>
  <c r="O55" i="6"/>
  <c r="M53" i="7"/>
  <c r="M86" i="7" s="1"/>
  <c r="I30" i="5"/>
  <c r="L7" i="7"/>
  <c r="L54" i="7"/>
  <c r="Q27" i="6"/>
  <c r="Q28" i="6"/>
  <c r="R5" i="6"/>
  <c r="Q54" i="6"/>
  <c r="Q22" i="7"/>
  <c r="N36" i="7"/>
  <c r="N37" i="2"/>
  <c r="G59" i="2"/>
  <c r="D40" i="6"/>
  <c r="D41" i="6" s="1"/>
  <c r="S43" i="2"/>
  <c r="S42" i="2"/>
  <c r="S6" i="5"/>
  <c r="S10" i="2"/>
  <c r="S13" i="2" s="1"/>
  <c r="S6" i="4"/>
  <c r="V7" i="3"/>
  <c r="T6" i="2"/>
  <c r="G40" i="7"/>
  <c r="G56" i="7" s="1"/>
  <c r="G22" i="4"/>
  <c r="G46" i="4"/>
  <c r="M57" i="2"/>
  <c r="M20" i="4"/>
  <c r="M44" i="4"/>
  <c r="I42" i="5"/>
  <c r="I40" i="5"/>
  <c r="I41" i="5" s="1"/>
  <c r="D32" i="6"/>
  <c r="E25" i="6"/>
  <c r="E23" i="6"/>
  <c r="O36" i="2"/>
  <c r="P2" i="7"/>
  <c r="P31" i="7" s="1"/>
  <c r="P48" i="7" s="1"/>
  <c r="P78" i="7" s="1"/>
  <c r="Q5" i="2"/>
  <c r="P31" i="2"/>
  <c r="P18" i="2"/>
  <c r="P19" i="2" s="1"/>
  <c r="P21" i="2" s="1"/>
  <c r="P23" i="2" s="1"/>
  <c r="P29" i="2"/>
  <c r="P27" i="2"/>
  <c r="P32" i="2"/>
  <c r="P33" i="2"/>
  <c r="P34" i="2"/>
  <c r="P28" i="2"/>
  <c r="P35" i="2"/>
  <c r="P30" i="2"/>
  <c r="P5" i="5"/>
  <c r="P5" i="4"/>
  <c r="S6" i="3"/>
  <c r="G88" i="7"/>
  <c r="N23" i="2"/>
  <c r="F18" i="6"/>
  <c r="H64" i="7"/>
  <c r="C43" i="6"/>
  <c r="H49" i="2"/>
  <c r="M80" i="7"/>
  <c r="M83" i="7" s="1"/>
  <c r="I29" i="5"/>
  <c r="I27" i="5"/>
  <c r="I28" i="5" s="1"/>
  <c r="O3" i="7"/>
  <c r="O32" i="7" s="1"/>
  <c r="O49" i="7" s="1"/>
  <c r="O77" i="7" s="1"/>
  <c r="P7" i="2"/>
  <c r="O7" i="5"/>
  <c r="O7" i="4"/>
  <c r="R8" i="3"/>
  <c r="R17" i="2"/>
  <c r="R14" i="2"/>
  <c r="J34" i="5"/>
  <c r="J26" i="5" s="1"/>
  <c r="J21" i="5"/>
  <c r="J13" i="5" s="1"/>
  <c r="J47" i="5"/>
  <c r="J39" i="5" s="1"/>
  <c r="J9" i="5"/>
  <c r="I16" i="5"/>
  <c r="I14" i="5"/>
  <c r="P63" i="6"/>
  <c r="D36" i="6"/>
  <c r="O34" i="7"/>
  <c r="O24" i="2"/>
  <c r="O39" i="2"/>
  <c r="O47" i="2" s="1"/>
  <c r="H18" i="7"/>
  <c r="Q63" i="6" l="1"/>
  <c r="D37" i="6"/>
  <c r="C47" i="6"/>
  <c r="C48" i="6"/>
  <c r="C64" i="6"/>
  <c r="P34" i="7"/>
  <c r="P24" i="2"/>
  <c r="E35" i="6"/>
  <c r="E31" i="6"/>
  <c r="E39" i="6"/>
  <c r="S5" i="6"/>
  <c r="R28" i="6"/>
  <c r="R54" i="6"/>
  <c r="R27" i="6"/>
  <c r="T10" i="2"/>
  <c r="T13" i="2" s="1"/>
  <c r="T42" i="2"/>
  <c r="T45" i="2" s="1"/>
  <c r="T37" i="7" s="1"/>
  <c r="T43" i="2"/>
  <c r="T6" i="5"/>
  <c r="T6" i="4"/>
  <c r="W7" i="3"/>
  <c r="U6" i="2"/>
  <c r="N53" i="7"/>
  <c r="N86" i="7" s="1"/>
  <c r="H39" i="7"/>
  <c r="H55" i="7" s="1"/>
  <c r="H50" i="2"/>
  <c r="H58" i="2"/>
  <c r="H45" i="4"/>
  <c r="H21" i="4"/>
  <c r="F22" i="6"/>
  <c r="M7" i="7"/>
  <c r="M54" i="7"/>
  <c r="O52" i="7"/>
  <c r="I15" i="5"/>
  <c r="I33" i="5"/>
  <c r="J25" i="5" s="1"/>
  <c r="I31" i="5"/>
  <c r="I32" i="5" s="1"/>
  <c r="N34" i="7"/>
  <c r="N24" i="2"/>
  <c r="N39" i="2"/>
  <c r="Q2" i="7"/>
  <c r="Q31" i="7" s="1"/>
  <c r="Q48" i="7" s="1"/>
  <c r="Q78" i="7" s="1"/>
  <c r="Q27" i="2"/>
  <c r="Q34" i="2"/>
  <c r="Q28" i="2"/>
  <c r="Q30" i="2"/>
  <c r="Q35" i="2"/>
  <c r="R5" i="2"/>
  <c r="Q31" i="2"/>
  <c r="Q33" i="2"/>
  <c r="Q29" i="2"/>
  <c r="Q32" i="2"/>
  <c r="Q18" i="2"/>
  <c r="Q19" i="2" s="1"/>
  <c r="Q21" i="2" s="1"/>
  <c r="Q23" i="2" s="1"/>
  <c r="Q5" i="5"/>
  <c r="Q5" i="4"/>
  <c r="T6" i="3"/>
  <c r="I52" i="5"/>
  <c r="O57" i="2"/>
  <c r="O20" i="4"/>
  <c r="O44" i="4"/>
  <c r="R22" i="7"/>
  <c r="O36" i="7"/>
  <c r="O37" i="2"/>
  <c r="D60" i="6"/>
  <c r="D33" i="6"/>
  <c r="S14" i="2"/>
  <c r="S17" i="2"/>
  <c r="G72" i="2"/>
  <c r="P29" i="6"/>
  <c r="P55" i="6"/>
  <c r="Q6" i="6"/>
  <c r="I44" i="5"/>
  <c r="I45" i="5" s="1"/>
  <c r="I46" i="5"/>
  <c r="J38" i="5" s="1"/>
  <c r="I18" i="5"/>
  <c r="I19" i="5" s="1"/>
  <c r="I20" i="5"/>
  <c r="J12" i="5" s="1"/>
  <c r="M68" i="2"/>
  <c r="K8" i="5"/>
  <c r="J22" i="5"/>
  <c r="J17" i="5" s="1"/>
  <c r="J35" i="5"/>
  <c r="J30" i="5" s="1"/>
  <c r="J48" i="5"/>
  <c r="J43" i="5" s="1"/>
  <c r="H90" i="7"/>
  <c r="P3" i="7"/>
  <c r="P32" i="7" s="1"/>
  <c r="P49" i="7" s="1"/>
  <c r="P77" i="7" s="1"/>
  <c r="Q7" i="2"/>
  <c r="P7" i="4"/>
  <c r="P7" i="5"/>
  <c r="S8" i="3"/>
  <c r="P36" i="2"/>
  <c r="P39" i="2" s="1"/>
  <c r="P47" i="2" s="1"/>
  <c r="S45" i="2"/>
  <c r="S37" i="7" s="1"/>
  <c r="P57" i="2" l="1"/>
  <c r="P20" i="4"/>
  <c r="P44" i="4"/>
  <c r="K9" i="5"/>
  <c r="K21" i="5"/>
  <c r="K13" i="5" s="1"/>
  <c r="K34" i="5"/>
  <c r="K26" i="5" s="1"/>
  <c r="K47" i="5"/>
  <c r="K39" i="5" s="1"/>
  <c r="P52" i="7"/>
  <c r="Q3" i="7"/>
  <c r="Q32" i="7" s="1"/>
  <c r="Q49" i="7" s="1"/>
  <c r="Q77" i="7" s="1"/>
  <c r="R7" i="2"/>
  <c r="Q7" i="5"/>
  <c r="Q7" i="4"/>
  <c r="T8" i="3"/>
  <c r="R2" i="7"/>
  <c r="R31" i="7" s="1"/>
  <c r="R48" i="7" s="1"/>
  <c r="R78" i="7" s="1"/>
  <c r="S5" i="2"/>
  <c r="R27" i="2"/>
  <c r="R29" i="2"/>
  <c r="R18" i="2"/>
  <c r="R19" i="2" s="1"/>
  <c r="R21" i="2" s="1"/>
  <c r="R23" i="2" s="1"/>
  <c r="R28" i="2"/>
  <c r="R30" i="2"/>
  <c r="R32" i="2"/>
  <c r="R33" i="2"/>
  <c r="R34" i="2"/>
  <c r="R31" i="2"/>
  <c r="R35" i="2"/>
  <c r="R5" i="5"/>
  <c r="R5" i="4"/>
  <c r="U6" i="3"/>
  <c r="J40" i="5"/>
  <c r="J41" i="5" s="1"/>
  <c r="J42" i="5"/>
  <c r="G74" i="2"/>
  <c r="J52" i="5"/>
  <c r="O68" i="2"/>
  <c r="N52" i="7"/>
  <c r="O80" i="7"/>
  <c r="O83" i="7" s="1"/>
  <c r="U42" i="2"/>
  <c r="U10" i="2"/>
  <c r="U13" i="2" s="1"/>
  <c r="U6" i="5"/>
  <c r="U43" i="2"/>
  <c r="U6" i="4"/>
  <c r="X7" i="3"/>
  <c r="V6" i="2"/>
  <c r="R63" i="6"/>
  <c r="D43" i="6"/>
  <c r="Q29" i="6"/>
  <c r="R6" i="6"/>
  <c r="Q55" i="6"/>
  <c r="P36" i="7"/>
  <c r="P37" i="2"/>
  <c r="S22" i="7"/>
  <c r="I62" i="2"/>
  <c r="I53" i="5"/>
  <c r="J29" i="5"/>
  <c r="J27" i="5"/>
  <c r="J28" i="5" s="1"/>
  <c r="N7" i="7"/>
  <c r="N54" i="7"/>
  <c r="H59" i="2"/>
  <c r="T83" i="4"/>
  <c r="T84" i="4" s="1"/>
  <c r="T87" i="4" s="1"/>
  <c r="T5" i="6"/>
  <c r="S27" i="6"/>
  <c r="S28" i="6"/>
  <c r="S54" i="6"/>
  <c r="Q36" i="2"/>
  <c r="F25" i="6"/>
  <c r="F23" i="6"/>
  <c r="H40" i="7"/>
  <c r="H56" i="7" s="1"/>
  <c r="H22" i="4"/>
  <c r="H46" i="4"/>
  <c r="C65" i="6"/>
  <c r="Q34" i="7"/>
  <c r="Q39" i="2"/>
  <c r="Q47" i="2" s="1"/>
  <c r="Q24" i="2"/>
  <c r="I51" i="5"/>
  <c r="G18" i="6"/>
  <c r="H88" i="7"/>
  <c r="E40" i="6"/>
  <c r="E41" i="6" s="1"/>
  <c r="J16" i="5"/>
  <c r="J14" i="5"/>
  <c r="E32" i="6"/>
  <c r="O53" i="7"/>
  <c r="O86" i="7" s="1"/>
  <c r="N47" i="2"/>
  <c r="T14" i="2"/>
  <c r="T17" i="2"/>
  <c r="E36" i="6"/>
  <c r="C67" i="6" l="1"/>
  <c r="D62" i="6"/>
  <c r="P53" i="7"/>
  <c r="P86" i="7" s="1"/>
  <c r="J20" i="5"/>
  <c r="K12" i="5" s="1"/>
  <c r="J18" i="5"/>
  <c r="J19" i="5" s="1"/>
  <c r="Q57" i="2"/>
  <c r="Q44" i="4"/>
  <c r="Q20" i="4"/>
  <c r="T28" i="6"/>
  <c r="U5" i="6"/>
  <c r="T27" i="6"/>
  <c r="T54" i="6"/>
  <c r="T22" i="7"/>
  <c r="R29" i="6"/>
  <c r="S6" i="6"/>
  <c r="R55" i="6"/>
  <c r="Q52" i="7"/>
  <c r="T41" i="7"/>
  <c r="T57" i="7" s="1"/>
  <c r="T51" i="2"/>
  <c r="T60" i="2"/>
  <c r="T23" i="4"/>
  <c r="T47" i="4"/>
  <c r="O7" i="7"/>
  <c r="O54" i="7"/>
  <c r="U83" i="4"/>
  <c r="U84" i="4" s="1"/>
  <c r="U87" i="4" s="1"/>
  <c r="L8" i="5"/>
  <c r="K22" i="5"/>
  <c r="K17" i="5" s="1"/>
  <c r="K35" i="5"/>
  <c r="K30" i="5" s="1"/>
  <c r="K48" i="5"/>
  <c r="K43" i="5" s="1"/>
  <c r="N20" i="4"/>
  <c r="N44" i="4"/>
  <c r="N57" i="2"/>
  <c r="G22" i="6"/>
  <c r="H18" i="6" s="1"/>
  <c r="Q36" i="7"/>
  <c r="Q37" i="2"/>
  <c r="J33" i="5"/>
  <c r="K25" i="5" s="1"/>
  <c r="J31" i="5"/>
  <c r="J32" i="5" s="1"/>
  <c r="R3" i="7"/>
  <c r="R32" i="7" s="1"/>
  <c r="R49" i="7" s="1"/>
  <c r="R77" i="7" s="1"/>
  <c r="S7" i="2"/>
  <c r="R7" i="4"/>
  <c r="R7" i="5"/>
  <c r="U8" i="3"/>
  <c r="F35" i="6"/>
  <c r="F39" i="6"/>
  <c r="F31" i="6"/>
  <c r="E60" i="6"/>
  <c r="E33" i="6"/>
  <c r="J15" i="5"/>
  <c r="I49" i="2"/>
  <c r="H72" i="2"/>
  <c r="D64" i="6"/>
  <c r="D47" i="6"/>
  <c r="D48" i="6"/>
  <c r="U14" i="2"/>
  <c r="U17" i="2"/>
  <c r="R36" i="2"/>
  <c r="E37" i="6"/>
  <c r="N80" i="7"/>
  <c r="N83" i="7" s="1"/>
  <c r="S63" i="6"/>
  <c r="U45" i="2"/>
  <c r="U37" i="7" s="1"/>
  <c r="J44" i="5"/>
  <c r="J45" i="5" s="1"/>
  <c r="J46" i="5"/>
  <c r="K38" i="5" s="1"/>
  <c r="S2" i="7"/>
  <c r="S31" i="7" s="1"/>
  <c r="S48" i="7" s="1"/>
  <c r="S78" i="7" s="1"/>
  <c r="S18" i="2"/>
  <c r="S19" i="2" s="1"/>
  <c r="S21" i="2" s="1"/>
  <c r="S23" i="2" s="1"/>
  <c r="S27" i="2"/>
  <c r="S32" i="2"/>
  <c r="S29" i="2"/>
  <c r="T5" i="2"/>
  <c r="S33" i="2"/>
  <c r="S31" i="2"/>
  <c r="S28" i="2"/>
  <c r="S34" i="2"/>
  <c r="S30" i="2"/>
  <c r="S35" i="2"/>
  <c r="S5" i="5"/>
  <c r="S5" i="4"/>
  <c r="V6" i="3"/>
  <c r="P80" i="7"/>
  <c r="P83" i="7" s="1"/>
  <c r="R34" i="7"/>
  <c r="R24" i="2"/>
  <c r="R39" i="2"/>
  <c r="I64" i="7"/>
  <c r="P68" i="2"/>
  <c r="V42" i="2"/>
  <c r="V43" i="2"/>
  <c r="V10" i="2"/>
  <c r="V13" i="2" s="1"/>
  <c r="V6" i="4"/>
  <c r="V6" i="5"/>
  <c r="Y7" i="3"/>
  <c r="W6" i="2"/>
  <c r="J62" i="2"/>
  <c r="H22" i="6" l="1"/>
  <c r="H25" i="6" s="1"/>
  <c r="W10" i="2"/>
  <c r="W13" i="2" s="1"/>
  <c r="W42" i="2"/>
  <c r="W43" i="2"/>
  <c r="W6" i="5"/>
  <c r="W6" i="4"/>
  <c r="Z7" i="3"/>
  <c r="X6" i="2"/>
  <c r="V83" i="4"/>
  <c r="V84" i="4" s="1"/>
  <c r="V87" i="4" s="1"/>
  <c r="I90" i="7"/>
  <c r="I18" i="7"/>
  <c r="J18" i="7" s="1"/>
  <c r="J51" i="5"/>
  <c r="Q53" i="7"/>
  <c r="Q86" i="7" s="1"/>
  <c r="U41" i="7"/>
  <c r="U57" i="7" s="1"/>
  <c r="U60" i="2"/>
  <c r="U51" i="2"/>
  <c r="U23" i="4"/>
  <c r="U47" i="4"/>
  <c r="U28" i="6"/>
  <c r="V5" i="6"/>
  <c r="U27" i="6"/>
  <c r="U54" i="6"/>
  <c r="J64" i="7"/>
  <c r="V45" i="2"/>
  <c r="V37" i="7" s="1"/>
  <c r="T2" i="7"/>
  <c r="T31" i="7" s="1"/>
  <c r="T48" i="7" s="1"/>
  <c r="T78" i="7" s="1"/>
  <c r="T18" i="2"/>
  <c r="T19" i="2" s="1"/>
  <c r="T21" i="2" s="1"/>
  <c r="T23" i="2" s="1"/>
  <c r="U5" i="2"/>
  <c r="T28" i="2"/>
  <c r="T35" i="2"/>
  <c r="T34" i="2"/>
  <c r="T29" i="2"/>
  <c r="T31" i="2"/>
  <c r="T27" i="2"/>
  <c r="T32" i="2"/>
  <c r="T33" i="2"/>
  <c r="T5" i="5"/>
  <c r="T30" i="2"/>
  <c r="T5" i="4"/>
  <c r="W6" i="3"/>
  <c r="R47" i="2"/>
  <c r="R36" i="7"/>
  <c r="R37" i="2"/>
  <c r="Q80" i="7"/>
  <c r="Q83" i="7" s="1"/>
  <c r="D65" i="6"/>
  <c r="S3" i="7"/>
  <c r="S32" i="7" s="1"/>
  <c r="S49" i="7" s="1"/>
  <c r="S77" i="7" s="1"/>
  <c r="T7" i="2"/>
  <c r="S7" i="4"/>
  <c r="S7" i="5"/>
  <c r="V8" i="3"/>
  <c r="R52" i="7"/>
  <c r="S36" i="2"/>
  <c r="H74" i="2"/>
  <c r="L21" i="5"/>
  <c r="L13" i="5" s="1"/>
  <c r="L34" i="5"/>
  <c r="L26" i="5" s="1"/>
  <c r="L47" i="5"/>
  <c r="L39" i="5" s="1"/>
  <c r="L9" i="5"/>
  <c r="P7" i="7"/>
  <c r="U22" i="7"/>
  <c r="C68" i="6"/>
  <c r="G25" i="6"/>
  <c r="G23" i="6"/>
  <c r="S34" i="7"/>
  <c r="S24" i="2"/>
  <c r="S39" i="2"/>
  <c r="S47" i="2" s="1"/>
  <c r="F32" i="6"/>
  <c r="N68" i="2"/>
  <c r="Q68" i="2"/>
  <c r="I39" i="7"/>
  <c r="I55" i="7" s="1"/>
  <c r="I50" i="2"/>
  <c r="I58" i="2"/>
  <c r="I21" i="4"/>
  <c r="I45" i="4"/>
  <c r="F40" i="6"/>
  <c r="F41" i="6" s="1"/>
  <c r="K27" i="5"/>
  <c r="K28" i="5" s="1"/>
  <c r="K29" i="5"/>
  <c r="K52" i="5"/>
  <c r="T63" i="6"/>
  <c r="V14" i="2"/>
  <c r="V17" i="2"/>
  <c r="K40" i="5"/>
  <c r="K41" i="5" s="1"/>
  <c r="K42" i="5"/>
  <c r="E43" i="6"/>
  <c r="F36" i="6"/>
  <c r="T6" i="6"/>
  <c r="S29" i="6"/>
  <c r="S55" i="6"/>
  <c r="K14" i="5"/>
  <c r="K16" i="5"/>
  <c r="K20" i="5" l="1"/>
  <c r="L12" i="5" s="1"/>
  <c r="K18" i="5"/>
  <c r="K19" i="5" s="1"/>
  <c r="I88" i="7"/>
  <c r="T36" i="2"/>
  <c r="J49" i="2"/>
  <c r="J53" i="5"/>
  <c r="E64" i="6"/>
  <c r="E47" i="6"/>
  <c r="E48" i="6"/>
  <c r="F60" i="6"/>
  <c r="F33" i="6"/>
  <c r="Q7" i="7"/>
  <c r="Q54" i="7" s="1"/>
  <c r="W83" i="4"/>
  <c r="W84" i="4" s="1"/>
  <c r="W87" i="4" s="1"/>
  <c r="K46" i="5"/>
  <c r="L38" i="5" s="1"/>
  <c r="K44" i="5"/>
  <c r="K45" i="5" s="1"/>
  <c r="K62" i="2"/>
  <c r="S52" i="7"/>
  <c r="P54" i="7"/>
  <c r="S36" i="7"/>
  <c r="S37" i="2"/>
  <c r="J90" i="7"/>
  <c r="G39" i="6"/>
  <c r="G31" i="6"/>
  <c r="G35" i="6"/>
  <c r="R80" i="7"/>
  <c r="R83" i="7" s="1"/>
  <c r="R53" i="7"/>
  <c r="R86" i="7" s="1"/>
  <c r="U63" i="6"/>
  <c r="V41" i="7"/>
  <c r="V57" i="7" s="1"/>
  <c r="V60" i="2"/>
  <c r="V51" i="2"/>
  <c r="V47" i="4"/>
  <c r="V23" i="4"/>
  <c r="W45" i="2"/>
  <c r="W37" i="7" s="1"/>
  <c r="E62" i="6"/>
  <c r="K15" i="5"/>
  <c r="F37" i="6"/>
  <c r="K31" i="5"/>
  <c r="K32" i="5" s="1"/>
  <c r="K33" i="5"/>
  <c r="L25" i="5" s="1"/>
  <c r="I59" i="2"/>
  <c r="I72" i="2" s="1"/>
  <c r="H23" i="6"/>
  <c r="D67" i="6"/>
  <c r="U2" i="7"/>
  <c r="U31" i="7" s="1"/>
  <c r="U48" i="7" s="1"/>
  <c r="U78" i="7" s="1"/>
  <c r="U18" i="2"/>
  <c r="U19" i="2" s="1"/>
  <c r="U21" i="2" s="1"/>
  <c r="U23" i="2" s="1"/>
  <c r="U30" i="2"/>
  <c r="U27" i="2"/>
  <c r="U32" i="2"/>
  <c r="U33" i="2"/>
  <c r="U34" i="2"/>
  <c r="V5" i="2"/>
  <c r="U29" i="2"/>
  <c r="U31" i="2"/>
  <c r="U5" i="5"/>
  <c r="U35" i="2"/>
  <c r="U5" i="4"/>
  <c r="X6" i="3"/>
  <c r="U28" i="2"/>
  <c r="W14" i="2"/>
  <c r="W17" i="2"/>
  <c r="U6" i="6"/>
  <c r="T55" i="6"/>
  <c r="T29" i="6"/>
  <c r="I40" i="7"/>
  <c r="I56" i="7" s="1"/>
  <c r="I22" i="4"/>
  <c r="I46" i="4"/>
  <c r="R57" i="2"/>
  <c r="R44" i="4"/>
  <c r="R20" i="4"/>
  <c r="T34" i="7"/>
  <c r="T24" i="2"/>
  <c r="T39" i="2"/>
  <c r="T47" i="2" s="1"/>
  <c r="V28" i="6"/>
  <c r="W5" i="6"/>
  <c r="V27" i="6"/>
  <c r="V54" i="6"/>
  <c r="L48" i="5"/>
  <c r="L43" i="5" s="1"/>
  <c r="M8" i="5"/>
  <c r="L22" i="5"/>
  <c r="L17" i="5" s="1"/>
  <c r="L52" i="5" s="1"/>
  <c r="L35" i="5"/>
  <c r="L30" i="5" s="1"/>
  <c r="X10" i="2"/>
  <c r="X13" i="2" s="1"/>
  <c r="X43" i="2"/>
  <c r="X42" i="2"/>
  <c r="X45" i="2" s="1"/>
  <c r="X37" i="7" s="1"/>
  <c r="X6" i="4"/>
  <c r="X6" i="5"/>
  <c r="AA7" i="3"/>
  <c r="Y6" i="2"/>
  <c r="H39" i="6"/>
  <c r="H31" i="6"/>
  <c r="H35" i="6"/>
  <c r="S57" i="2"/>
  <c r="S20" i="4"/>
  <c r="S44" i="4"/>
  <c r="V22" i="7"/>
  <c r="T3" i="7"/>
  <c r="T32" i="7" s="1"/>
  <c r="T49" i="7" s="1"/>
  <c r="T77" i="7" s="1"/>
  <c r="U7" i="2"/>
  <c r="T7" i="5"/>
  <c r="T7" i="4"/>
  <c r="W8" i="3"/>
  <c r="I18" i="6"/>
  <c r="L62" i="2" l="1"/>
  <c r="I74" i="2"/>
  <c r="G36" i="6"/>
  <c r="H36" i="6"/>
  <c r="S80" i="7"/>
  <c r="S83" i="7" s="1"/>
  <c r="V63" i="6"/>
  <c r="X17" i="2"/>
  <c r="X14" i="2"/>
  <c r="W28" i="6"/>
  <c r="X5" i="6"/>
  <c r="W27" i="6"/>
  <c r="W54" i="6"/>
  <c r="U36" i="2"/>
  <c r="S53" i="7"/>
  <c r="S86" i="7" s="1"/>
  <c r="W41" i="7"/>
  <c r="W57" i="7" s="1"/>
  <c r="W51" i="2"/>
  <c r="W60" i="2"/>
  <c r="W23" i="4"/>
  <c r="W47" i="4"/>
  <c r="J39" i="7"/>
  <c r="J55" i="7" s="1"/>
  <c r="J50" i="2"/>
  <c r="J58" i="2"/>
  <c r="J45" i="4"/>
  <c r="J21" i="4"/>
  <c r="R68" i="2"/>
  <c r="K51" i="5"/>
  <c r="T36" i="7"/>
  <c r="T37" i="2"/>
  <c r="E65" i="6"/>
  <c r="G32" i="6"/>
  <c r="H32" i="6"/>
  <c r="V6" i="6"/>
  <c r="U29" i="6"/>
  <c r="U55" i="6"/>
  <c r="S68" i="2"/>
  <c r="T52" i="7"/>
  <c r="V2" i="7"/>
  <c r="V31" i="7" s="1"/>
  <c r="V48" i="7" s="1"/>
  <c r="V78" i="7" s="1"/>
  <c r="W5" i="2"/>
  <c r="V27" i="2"/>
  <c r="V33" i="2"/>
  <c r="V31" i="2"/>
  <c r="V18" i="2"/>
  <c r="V19" i="2" s="1"/>
  <c r="V21" i="2" s="1"/>
  <c r="V23" i="2" s="1"/>
  <c r="V30" i="2"/>
  <c r="V35" i="2"/>
  <c r="V29" i="2"/>
  <c r="V32" i="2"/>
  <c r="V34" i="2"/>
  <c r="V28" i="2"/>
  <c r="V5" i="5"/>
  <c r="V5" i="4"/>
  <c r="Y6" i="3"/>
  <c r="L29" i="5"/>
  <c r="L27" i="5"/>
  <c r="L28" i="5" s="1"/>
  <c r="H40" i="6"/>
  <c r="H41" i="6" s="1"/>
  <c r="G40" i="6"/>
  <c r="G41" i="6" s="1"/>
  <c r="T57" i="2"/>
  <c r="T44" i="4"/>
  <c r="T20" i="4"/>
  <c r="M34" i="5"/>
  <c r="M26" i="5" s="1"/>
  <c r="M9" i="5"/>
  <c r="M21" i="5"/>
  <c r="M13" i="5" s="1"/>
  <c r="M47" i="5"/>
  <c r="M39" i="5" s="1"/>
  <c r="U3" i="7"/>
  <c r="U32" i="7" s="1"/>
  <c r="U49" i="7" s="1"/>
  <c r="U77" i="7" s="1"/>
  <c r="V7" i="2"/>
  <c r="U7" i="5"/>
  <c r="U7" i="4"/>
  <c r="X8" i="3"/>
  <c r="X83" i="4"/>
  <c r="X84" i="4" s="1"/>
  <c r="X87" i="4" s="1"/>
  <c r="D68" i="6"/>
  <c r="K64" i="7"/>
  <c r="L14" i="5"/>
  <c r="L16" i="5"/>
  <c r="Y10" i="2"/>
  <c r="Y13" i="2" s="1"/>
  <c r="Y43" i="2"/>
  <c r="Y42" i="2"/>
  <c r="Y45" i="2" s="1"/>
  <c r="Y37" i="7" s="1"/>
  <c r="Y6" i="5"/>
  <c r="Y6" i="4"/>
  <c r="AB7" i="3"/>
  <c r="Z6" i="2"/>
  <c r="F43" i="6"/>
  <c r="R7" i="7"/>
  <c r="R54" i="7"/>
  <c r="U34" i="7"/>
  <c r="U24" i="2"/>
  <c r="U39" i="2"/>
  <c r="U47" i="2" s="1"/>
  <c r="I22" i="6"/>
  <c r="J18" i="6" s="1"/>
  <c r="W22" i="7"/>
  <c r="L42" i="5"/>
  <c r="L40" i="5"/>
  <c r="L41" i="5" s="1"/>
  <c r="J22" i="6" l="1"/>
  <c r="Y83" i="4"/>
  <c r="Y84" i="4" s="1"/>
  <c r="Y87" i="4" s="1"/>
  <c r="L46" i="5"/>
  <c r="M38" i="5" s="1"/>
  <c r="L44" i="5"/>
  <c r="L45" i="5" s="1"/>
  <c r="F64" i="6"/>
  <c r="F48" i="6"/>
  <c r="F47" i="6"/>
  <c r="V3" i="7"/>
  <c r="V32" i="7" s="1"/>
  <c r="V49" i="7" s="1"/>
  <c r="V77" i="7" s="1"/>
  <c r="W7" i="2"/>
  <c r="V7" i="5"/>
  <c r="V7" i="4"/>
  <c r="Y8" i="3"/>
  <c r="K49" i="2"/>
  <c r="K53" i="5"/>
  <c r="U57" i="2"/>
  <c r="U20" i="4"/>
  <c r="U44" i="4"/>
  <c r="Z10" i="2"/>
  <c r="Z13" i="2" s="1"/>
  <c r="Z42" i="2"/>
  <c r="Z43" i="2"/>
  <c r="Z6" i="5"/>
  <c r="Z6" i="4"/>
  <c r="AC7" i="3"/>
  <c r="AA6" i="2"/>
  <c r="L15" i="5"/>
  <c r="T68" i="2"/>
  <c r="X41" i="7"/>
  <c r="X57" i="7" s="1"/>
  <c r="X60" i="2"/>
  <c r="X51" i="2"/>
  <c r="X23" i="4"/>
  <c r="X47" i="4"/>
  <c r="V36" i="2"/>
  <c r="J59" i="2"/>
  <c r="J72" i="2"/>
  <c r="F62" i="6"/>
  <c r="N8" i="5"/>
  <c r="M48" i="5"/>
  <c r="M43" i="5" s="1"/>
  <c r="M35" i="5"/>
  <c r="M30" i="5" s="1"/>
  <c r="M22" i="5"/>
  <c r="M17" i="5" s="1"/>
  <c r="G60" i="6"/>
  <c r="G33" i="6"/>
  <c r="E67" i="6"/>
  <c r="J88" i="7"/>
  <c r="U36" i="7"/>
  <c r="U37" i="2"/>
  <c r="U52" i="7"/>
  <c r="J40" i="7"/>
  <c r="J56" i="7" s="1"/>
  <c r="J46" i="4"/>
  <c r="J22" i="4"/>
  <c r="K90" i="7"/>
  <c r="K18" i="7"/>
  <c r="L33" i="5"/>
  <c r="M25" i="5" s="1"/>
  <c r="L31" i="5"/>
  <c r="L32" i="5" s="1"/>
  <c r="W63" i="6"/>
  <c r="W2" i="7"/>
  <c r="W31" i="7" s="1"/>
  <c r="W48" i="7" s="1"/>
  <c r="W78" i="7" s="1"/>
  <c r="X5" i="2"/>
  <c r="W32" i="2"/>
  <c r="W33" i="2"/>
  <c r="W28" i="2"/>
  <c r="W29" i="2"/>
  <c r="W30" i="2"/>
  <c r="W35" i="2"/>
  <c r="W18" i="2"/>
  <c r="W19" i="2" s="1"/>
  <c r="W21" i="2" s="1"/>
  <c r="W23" i="2" s="1"/>
  <c r="W27" i="2"/>
  <c r="W36" i="2" s="1"/>
  <c r="W34" i="2"/>
  <c r="W5" i="5"/>
  <c r="W31" i="2"/>
  <c r="W5" i="4"/>
  <c r="Z6" i="3"/>
  <c r="X22" i="7"/>
  <c r="S7" i="7"/>
  <c r="S54" i="7"/>
  <c r="T80" i="7"/>
  <c r="T83" i="7" s="1"/>
  <c r="T53" i="7"/>
  <c r="T86" i="7" s="1"/>
  <c r="I25" i="6"/>
  <c r="I23" i="6"/>
  <c r="Y17" i="2"/>
  <c r="Y14" i="2"/>
  <c r="V34" i="7"/>
  <c r="V24" i="2"/>
  <c r="V39" i="2"/>
  <c r="V47" i="2" s="1"/>
  <c r="W6" i="6"/>
  <c r="V55" i="6"/>
  <c r="V29" i="6"/>
  <c r="X28" i="6"/>
  <c r="X27" i="6"/>
  <c r="X54" i="6"/>
  <c r="Y5" i="6"/>
  <c r="H60" i="6"/>
  <c r="H33" i="6"/>
  <c r="L20" i="5"/>
  <c r="M12" i="5" s="1"/>
  <c r="L18" i="5"/>
  <c r="L19" i="5" s="1"/>
  <c r="G37" i="6"/>
  <c r="H37" i="6" s="1"/>
  <c r="H43" i="6" s="1"/>
  <c r="L64" i="7"/>
  <c r="H64" i="6" l="1"/>
  <c r="V57" i="2"/>
  <c r="V20" i="4"/>
  <c r="V44" i="4"/>
  <c r="X2" i="7"/>
  <c r="X31" i="7" s="1"/>
  <c r="X48" i="7" s="1"/>
  <c r="X78" i="7" s="1"/>
  <c r="Y5" i="2"/>
  <c r="X18" i="2"/>
  <c r="X19" i="2" s="1"/>
  <c r="X21" i="2" s="1"/>
  <c r="X23" i="2" s="1"/>
  <c r="X31" i="2"/>
  <c r="X30" i="2"/>
  <c r="X27" i="2"/>
  <c r="X32" i="2"/>
  <c r="X34" i="2"/>
  <c r="X35" i="2"/>
  <c r="X29" i="2"/>
  <c r="X33" i="2"/>
  <c r="X28" i="2"/>
  <c r="X5" i="5"/>
  <c r="X5" i="4"/>
  <c r="AA6" i="3"/>
  <c r="L51" i="5"/>
  <c r="Z5" i="6"/>
  <c r="Y27" i="6"/>
  <c r="Y54" i="6"/>
  <c r="Y28" i="6"/>
  <c r="X63" i="6"/>
  <c r="T7" i="7"/>
  <c r="T54" i="7"/>
  <c r="U53" i="7"/>
  <c r="U86" i="7" s="1"/>
  <c r="V36" i="7"/>
  <c r="V37" i="2"/>
  <c r="U68" i="2"/>
  <c r="X6" i="6"/>
  <c r="W55" i="6"/>
  <c r="W29" i="6"/>
  <c r="I31" i="6"/>
  <c r="I39" i="6"/>
  <c r="I40" i="6" s="1"/>
  <c r="I41" i="6" s="1"/>
  <c r="I35" i="6"/>
  <c r="I36" i="6" s="1"/>
  <c r="Y22" i="7"/>
  <c r="N9" i="5"/>
  <c r="N21" i="5"/>
  <c r="N13" i="5" s="1"/>
  <c r="N34" i="5"/>
  <c r="N26" i="5" s="1"/>
  <c r="N47" i="5"/>
  <c r="N39" i="5" s="1"/>
  <c r="Z83" i="4"/>
  <c r="Z84" i="4" s="1"/>
  <c r="Z87" i="4" s="1"/>
  <c r="M42" i="5"/>
  <c r="M40" i="5"/>
  <c r="M41" i="5" s="1"/>
  <c r="W36" i="7"/>
  <c r="W37" i="2"/>
  <c r="M14" i="5"/>
  <c r="M16" i="5"/>
  <c r="M27" i="5"/>
  <c r="M28" i="5" s="1"/>
  <c r="M29" i="5"/>
  <c r="Y41" i="7"/>
  <c r="Y57" i="7" s="1"/>
  <c r="Y51" i="2"/>
  <c r="Y60" i="2"/>
  <c r="Y23" i="4"/>
  <c r="Y47" i="4"/>
  <c r="F65" i="6"/>
  <c r="F67" i="6" s="1"/>
  <c r="K39" i="7"/>
  <c r="K55" i="7" s="1"/>
  <c r="K50" i="2"/>
  <c r="K58" i="2"/>
  <c r="K21" i="4"/>
  <c r="K45" i="4"/>
  <c r="V52" i="7"/>
  <c r="L18" i="7"/>
  <c r="U80" i="7"/>
  <c r="U83" i="7" s="1"/>
  <c r="Z45" i="2"/>
  <c r="Z37" i="7" s="1"/>
  <c r="W34" i="7"/>
  <c r="W24" i="2"/>
  <c r="W39" i="2"/>
  <c r="W47" i="2" s="1"/>
  <c r="E68" i="6"/>
  <c r="L90" i="7"/>
  <c r="M52" i="5"/>
  <c r="J74" i="2"/>
  <c r="Z17" i="2"/>
  <c r="Z14" i="2"/>
  <c r="G43" i="6"/>
  <c r="J25" i="6"/>
  <c r="J23" i="6"/>
  <c r="AA10" i="2"/>
  <c r="AA13" i="2" s="1"/>
  <c r="AA42" i="2"/>
  <c r="AA43" i="2"/>
  <c r="AA6" i="5"/>
  <c r="AA6" i="4"/>
  <c r="AD7" i="3"/>
  <c r="AB6" i="2"/>
  <c r="W3" i="7"/>
  <c r="W32" i="7" s="1"/>
  <c r="W49" i="7" s="1"/>
  <c r="W77" i="7" s="1"/>
  <c r="X7" i="2"/>
  <c r="W7" i="5"/>
  <c r="W7" i="4"/>
  <c r="Z8" i="3"/>
  <c r="K18" i="6"/>
  <c r="F68" i="6" l="1"/>
  <c r="Y6" i="6"/>
  <c r="X29" i="6"/>
  <c r="X55" i="6"/>
  <c r="X3" i="7"/>
  <c r="X32" i="7" s="1"/>
  <c r="X49" i="7" s="1"/>
  <c r="X77" i="7" s="1"/>
  <c r="Y7" i="2"/>
  <c r="X7" i="4"/>
  <c r="X7" i="5"/>
  <c r="AA8" i="3"/>
  <c r="AA45" i="2"/>
  <c r="AA37" i="7" s="1"/>
  <c r="K59" i="2"/>
  <c r="W53" i="7"/>
  <c r="W86" i="7" s="1"/>
  <c r="AA14" i="2"/>
  <c r="AA17" i="2"/>
  <c r="K40" i="7"/>
  <c r="K56" i="7" s="1"/>
  <c r="K22" i="4"/>
  <c r="K46" i="4"/>
  <c r="N35" i="5"/>
  <c r="N30" i="5" s="1"/>
  <c r="O8" i="5"/>
  <c r="N48" i="5"/>
  <c r="N43" i="5" s="1"/>
  <c r="N22" i="5"/>
  <c r="N17" i="5" s="1"/>
  <c r="K88" i="7"/>
  <c r="M46" i="5"/>
  <c r="N38" i="5" s="1"/>
  <c r="M44" i="5"/>
  <c r="M45" i="5" s="1"/>
  <c r="Y63" i="6"/>
  <c r="X36" i="2"/>
  <c r="AB10" i="2"/>
  <c r="AB13" i="2" s="1"/>
  <c r="AB42" i="2"/>
  <c r="AB43" i="2"/>
  <c r="AB6" i="5"/>
  <c r="AB6" i="4"/>
  <c r="AE7" i="3"/>
  <c r="AC6" i="2"/>
  <c r="W57" i="2"/>
  <c r="W20" i="4"/>
  <c r="W44" i="4"/>
  <c r="V80" i="7"/>
  <c r="V83" i="7" s="1"/>
  <c r="M33" i="5"/>
  <c r="N25" i="5" s="1"/>
  <c r="M31" i="5"/>
  <c r="M32" i="5" s="1"/>
  <c r="Z41" i="7"/>
  <c r="Z57" i="7" s="1"/>
  <c r="Z51" i="2"/>
  <c r="Z60" i="2"/>
  <c r="Z23" i="4"/>
  <c r="Z47" i="4"/>
  <c r="Z22" i="7"/>
  <c r="V68" i="2"/>
  <c r="AA83" i="4"/>
  <c r="AA84" i="4" s="1"/>
  <c r="AA87" i="4" s="1"/>
  <c r="J31" i="6"/>
  <c r="J35" i="6"/>
  <c r="J36" i="6" s="1"/>
  <c r="J39" i="6"/>
  <c r="J40" i="6" s="1"/>
  <c r="J41" i="6" s="1"/>
  <c r="M62" i="2"/>
  <c r="W52" i="7"/>
  <c r="M18" i="5"/>
  <c r="M19" i="5" s="1"/>
  <c r="M20" i="5"/>
  <c r="N12" i="5" s="1"/>
  <c r="U7" i="7"/>
  <c r="U54" i="7"/>
  <c r="X34" i="7"/>
  <c r="X39" i="2"/>
  <c r="X47" i="2" s="1"/>
  <c r="X24" i="2"/>
  <c r="Y2" i="7"/>
  <c r="Y31" i="7" s="1"/>
  <c r="Y48" i="7" s="1"/>
  <c r="Y78" i="7" s="1"/>
  <c r="Z5" i="2"/>
  <c r="Y34" i="2"/>
  <c r="Y28" i="2"/>
  <c r="Y29" i="2"/>
  <c r="Y31" i="2"/>
  <c r="Y27" i="2"/>
  <c r="Y30" i="2"/>
  <c r="Y18" i="2"/>
  <c r="Y19" i="2" s="1"/>
  <c r="Y21" i="2" s="1"/>
  <c r="Y23" i="2" s="1"/>
  <c r="Y32" i="2"/>
  <c r="Y33" i="2"/>
  <c r="Y35" i="2"/>
  <c r="Y5" i="4"/>
  <c r="Y5" i="5"/>
  <c r="AB6" i="3"/>
  <c r="K22" i="6"/>
  <c r="G62" i="6"/>
  <c r="Z28" i="6"/>
  <c r="Z54" i="6"/>
  <c r="AA5" i="6"/>
  <c r="Z27" i="6"/>
  <c r="I32" i="6"/>
  <c r="G64" i="6"/>
  <c r="G48" i="6"/>
  <c r="H48" i="6"/>
  <c r="G47" i="6"/>
  <c r="L49" i="2"/>
  <c r="L53" i="5"/>
  <c r="N52" i="5"/>
  <c r="V53" i="7"/>
  <c r="V86" i="7" s="1"/>
  <c r="H47" i="6"/>
  <c r="I37" i="6"/>
  <c r="M15" i="5"/>
  <c r="Z2" i="7" l="1"/>
  <c r="Z31" i="7" s="1"/>
  <c r="Z48" i="7" s="1"/>
  <c r="Z78" i="7" s="1"/>
  <c r="AA5" i="2"/>
  <c r="Z27" i="2"/>
  <c r="Z29" i="2"/>
  <c r="Z30" i="2"/>
  <c r="Z35" i="2"/>
  <c r="Z31" i="2"/>
  <c r="Z18" i="2"/>
  <c r="Z19" i="2" s="1"/>
  <c r="Z21" i="2" s="1"/>
  <c r="Z23" i="2" s="1"/>
  <c r="Z33" i="2"/>
  <c r="Z28" i="2"/>
  <c r="Z32" i="2"/>
  <c r="Z34" i="2"/>
  <c r="Z5" i="5"/>
  <c r="Z5" i="4"/>
  <c r="AC6" i="3"/>
  <c r="X20" i="4"/>
  <c r="X57" i="2"/>
  <c r="X44" i="4"/>
  <c r="M51" i="5"/>
  <c r="L39" i="7"/>
  <c r="L55" i="7" s="1"/>
  <c r="L50" i="2"/>
  <c r="L58" i="2"/>
  <c r="L45" i="4"/>
  <c r="L21" i="4"/>
  <c r="I60" i="6"/>
  <c r="I33" i="6"/>
  <c r="I43" i="6" s="1"/>
  <c r="G65" i="6"/>
  <c r="V7" i="7"/>
  <c r="J37" i="6"/>
  <c r="AA22" i="7"/>
  <c r="AB83" i="4"/>
  <c r="AB84" i="4" s="1"/>
  <c r="AB87" i="4" s="1"/>
  <c r="N16" i="5"/>
  <c r="N14" i="5"/>
  <c r="J32" i="6"/>
  <c r="Y34" i="7"/>
  <c r="Y24" i="2"/>
  <c r="AB45" i="2"/>
  <c r="AB37" i="7" s="1"/>
  <c r="K72" i="2"/>
  <c r="Y3" i="7"/>
  <c r="Y32" i="7" s="1"/>
  <c r="Y49" i="7" s="1"/>
  <c r="Y77" i="7" s="1"/>
  <c r="Z7" i="2"/>
  <c r="Y7" i="5"/>
  <c r="Y7" i="4"/>
  <c r="AB8" i="3"/>
  <c r="Y29" i="6"/>
  <c r="Z6" i="6"/>
  <c r="Y55" i="6"/>
  <c r="N40" i="5"/>
  <c r="N41" i="5" s="1"/>
  <c r="N42" i="5"/>
  <c r="K25" i="6"/>
  <c r="K23" i="6"/>
  <c r="AB5" i="6"/>
  <c r="AA27" i="6"/>
  <c r="AA28" i="6"/>
  <c r="AA54" i="6"/>
  <c r="L18" i="6"/>
  <c r="W80" i="7"/>
  <c r="W83" i="7" s="1"/>
  <c r="W68" i="2"/>
  <c r="AB17" i="2"/>
  <c r="AB14" i="2"/>
  <c r="X36" i="7"/>
  <c r="X37" i="2"/>
  <c r="O21" i="5"/>
  <c r="O13" i="5" s="1"/>
  <c r="O9" i="5"/>
  <c r="O34" i="5"/>
  <c r="O26" i="5" s="1"/>
  <c r="O47" i="5"/>
  <c r="O39" i="5" s="1"/>
  <c r="Y36" i="2"/>
  <c r="X52" i="7"/>
  <c r="M64" i="7"/>
  <c r="AC10" i="2"/>
  <c r="AC13" i="2" s="1"/>
  <c r="AC42" i="2"/>
  <c r="AC43" i="2"/>
  <c r="AC6" i="5"/>
  <c r="AC6" i="4"/>
  <c r="AF7" i="3"/>
  <c r="AD6" i="2"/>
  <c r="AA41" i="7"/>
  <c r="AA57" i="7" s="1"/>
  <c r="AA51" i="2"/>
  <c r="AA60" i="2"/>
  <c r="AA23" i="4"/>
  <c r="AA47" i="4"/>
  <c r="N62" i="2"/>
  <c r="Z63" i="6"/>
  <c r="N29" i="5"/>
  <c r="N27" i="5"/>
  <c r="N28" i="5" s="1"/>
  <c r="I47" i="6" l="1"/>
  <c r="I64" i="6"/>
  <c r="I48" i="6"/>
  <c r="K74" i="2"/>
  <c r="AD10" i="2"/>
  <c r="AD13" i="2" s="1"/>
  <c r="AD42" i="2"/>
  <c r="AD43" i="2"/>
  <c r="AD6" i="4"/>
  <c r="AD6" i="5"/>
  <c r="AG7" i="3"/>
  <c r="AE6" i="2"/>
  <c r="M90" i="7"/>
  <c r="M18" i="7"/>
  <c r="K31" i="6"/>
  <c r="K35" i="6"/>
  <c r="K36" i="6" s="1"/>
  <c r="K39" i="6"/>
  <c r="K40" i="6" s="1"/>
  <c r="K41" i="6" s="1"/>
  <c r="J60" i="6"/>
  <c r="J33" i="6"/>
  <c r="H62" i="6"/>
  <c r="L40" i="7"/>
  <c r="L56" i="7" s="1"/>
  <c r="L22" i="4"/>
  <c r="L46" i="4"/>
  <c r="X80" i="7"/>
  <c r="X83" i="7" s="1"/>
  <c r="L22" i="6"/>
  <c r="N44" i="5"/>
  <c r="N45" i="5" s="1"/>
  <c r="N46" i="5"/>
  <c r="O38" i="5" s="1"/>
  <c r="G67" i="6"/>
  <c r="L88" i="7"/>
  <c r="P8" i="5"/>
  <c r="O48" i="5"/>
  <c r="O43" i="5" s="1"/>
  <c r="O22" i="5"/>
  <c r="O17" i="5" s="1"/>
  <c r="O35" i="5"/>
  <c r="O30" i="5" s="1"/>
  <c r="AC83" i="4"/>
  <c r="AC84" i="4" s="1"/>
  <c r="AC87" i="4" s="1"/>
  <c r="W7" i="7"/>
  <c r="W54" i="7" s="1"/>
  <c r="N64" i="7"/>
  <c r="X53" i="7"/>
  <c r="X86" i="7" s="1"/>
  <c r="AA63" i="6"/>
  <c r="O52" i="5"/>
  <c r="N15" i="5"/>
  <c r="AB22" i="7"/>
  <c r="Y36" i="7"/>
  <c r="Y37" i="2"/>
  <c r="Y39" i="2"/>
  <c r="Y47" i="2" s="1"/>
  <c r="N20" i="5"/>
  <c r="O12" i="5" s="1"/>
  <c r="N18" i="5"/>
  <c r="N19" i="5" s="1"/>
  <c r="J43" i="6"/>
  <c r="J64" i="6" s="1"/>
  <c r="M49" i="2"/>
  <c r="M53" i="5"/>
  <c r="Z29" i="6"/>
  <c r="AA6" i="6"/>
  <c r="Z55" i="6"/>
  <c r="Z3" i="7"/>
  <c r="Z32" i="7" s="1"/>
  <c r="Z49" i="7" s="1"/>
  <c r="Z77" i="7" s="1"/>
  <c r="AA7" i="2"/>
  <c r="Z7" i="5"/>
  <c r="Z7" i="4"/>
  <c r="AC8" i="3"/>
  <c r="Y52" i="7"/>
  <c r="J48" i="6"/>
  <c r="Z36" i="2"/>
  <c r="N33" i="5"/>
  <c r="O25" i="5" s="1"/>
  <c r="N31" i="5"/>
  <c r="N32" i="5" s="1"/>
  <c r="AC45" i="2"/>
  <c r="AC37" i="7" s="1"/>
  <c r="AC5" i="6"/>
  <c r="AB28" i="6"/>
  <c r="AB27" i="6"/>
  <c r="AB54" i="6"/>
  <c r="V54" i="7"/>
  <c r="X68" i="2"/>
  <c r="AA2" i="7"/>
  <c r="AA31" i="7" s="1"/>
  <c r="AA48" i="7" s="1"/>
  <c r="AA78" i="7" s="1"/>
  <c r="AA32" i="2"/>
  <c r="AA28" i="2"/>
  <c r="AA30" i="2"/>
  <c r="AB5" i="2"/>
  <c r="AA35" i="2"/>
  <c r="AA27" i="2"/>
  <c r="AA18" i="2"/>
  <c r="AA19" i="2" s="1"/>
  <c r="AA21" i="2" s="1"/>
  <c r="AA23" i="2" s="1"/>
  <c r="AA29" i="2"/>
  <c r="AA34" i="2"/>
  <c r="AA33" i="2"/>
  <c r="AA5" i="4"/>
  <c r="AA31" i="2"/>
  <c r="AA5" i="5"/>
  <c r="AD6" i="3"/>
  <c r="AB41" i="7"/>
  <c r="AB57" i="7" s="1"/>
  <c r="AB51" i="2"/>
  <c r="AB60" i="2"/>
  <c r="AB23" i="4"/>
  <c r="AB47" i="4"/>
  <c r="AC14" i="2"/>
  <c r="AC17" i="2"/>
  <c r="L59" i="2"/>
  <c r="L72" i="2"/>
  <c r="Z34" i="7"/>
  <c r="Z39" i="2"/>
  <c r="Z47" i="2" s="1"/>
  <c r="Z24" i="2"/>
  <c r="AB2" i="7" l="1"/>
  <c r="AB31" i="7" s="1"/>
  <c r="AB48" i="7" s="1"/>
  <c r="AB78" i="7" s="1"/>
  <c r="AB18" i="2"/>
  <c r="AB19" i="2" s="1"/>
  <c r="AB21" i="2" s="1"/>
  <c r="AB23" i="2" s="1"/>
  <c r="AB27" i="2"/>
  <c r="AB35" i="2"/>
  <c r="AB29" i="2"/>
  <c r="AB28" i="2"/>
  <c r="AB32" i="2"/>
  <c r="AB31" i="2"/>
  <c r="AB30" i="2"/>
  <c r="AC5" i="2"/>
  <c r="AB5" i="5"/>
  <c r="AB34" i="2"/>
  <c r="AB33" i="2"/>
  <c r="AB5" i="4"/>
  <c r="AE6" i="3"/>
  <c r="AA36" i="2"/>
  <c r="Y80" i="7"/>
  <c r="Y83" i="7" s="1"/>
  <c r="O16" i="5"/>
  <c r="O14" i="5"/>
  <c r="O62" i="2"/>
  <c r="N90" i="7"/>
  <c r="L25" i="6"/>
  <c r="L23" i="6"/>
  <c r="H65" i="6"/>
  <c r="I62" i="6" s="1"/>
  <c r="H67" i="6"/>
  <c r="H68" i="6" s="1"/>
  <c r="AD14" i="2"/>
  <c r="AD17" i="2"/>
  <c r="Y57" i="2"/>
  <c r="Y44" i="4"/>
  <c r="Y20" i="4"/>
  <c r="M18" i="6"/>
  <c r="X7" i="7"/>
  <c r="X54" i="7"/>
  <c r="Y53" i="7"/>
  <c r="Y86" i="7" s="1"/>
  <c r="AC41" i="7"/>
  <c r="AC57" i="7" s="1"/>
  <c r="AC60" i="2"/>
  <c r="AC51" i="2"/>
  <c r="AC23" i="4"/>
  <c r="AC47" i="4"/>
  <c r="AE10" i="2"/>
  <c r="AE43" i="2"/>
  <c r="AF43" i="2" s="1"/>
  <c r="AE42" i="2"/>
  <c r="AE6" i="5"/>
  <c r="AE6" i="4"/>
  <c r="AH7" i="3"/>
  <c r="AF6" i="2"/>
  <c r="AI7" i="3" s="1"/>
  <c r="Z57" i="2"/>
  <c r="Z44" i="4"/>
  <c r="Z20" i="4"/>
  <c r="AB63" i="6"/>
  <c r="Z36" i="7"/>
  <c r="Z37" i="2"/>
  <c r="Z52" i="7"/>
  <c r="AA3" i="7"/>
  <c r="AA32" i="7" s="1"/>
  <c r="AA49" i="7" s="1"/>
  <c r="AA77" i="7" s="1"/>
  <c r="AB7" i="2"/>
  <c r="AA7" i="5"/>
  <c r="AA7" i="4"/>
  <c r="AD8" i="3"/>
  <c r="AC22" i="7"/>
  <c r="K37" i="6"/>
  <c r="AB6" i="6"/>
  <c r="AA29" i="6"/>
  <c r="AA55" i="6"/>
  <c r="L74" i="2"/>
  <c r="M39" i="7"/>
  <c r="M55" i="7" s="1"/>
  <c r="M58" i="2"/>
  <c r="M50" i="2"/>
  <c r="M21" i="4"/>
  <c r="M45" i="4"/>
  <c r="G68" i="6"/>
  <c r="K32" i="6"/>
  <c r="AD83" i="4"/>
  <c r="AD84" i="4" s="1"/>
  <c r="AD87" i="4" s="1"/>
  <c r="O27" i="5"/>
  <c r="O28" i="5" s="1"/>
  <c r="O29" i="5"/>
  <c r="P9" i="5"/>
  <c r="P34" i="5"/>
  <c r="P26" i="5" s="1"/>
  <c r="P47" i="5"/>
  <c r="P39" i="5" s="1"/>
  <c r="P21" i="5"/>
  <c r="P13" i="5" s="1"/>
  <c r="AD5" i="6"/>
  <c r="AC28" i="6"/>
  <c r="AC27" i="6"/>
  <c r="AC54" i="6"/>
  <c r="O42" i="5"/>
  <c r="O40" i="5"/>
  <c r="O41" i="5" s="1"/>
  <c r="J47" i="6"/>
  <c r="AA34" i="7"/>
  <c r="AA24" i="2"/>
  <c r="N51" i="5"/>
  <c r="N18" i="7"/>
  <c r="AD45" i="2"/>
  <c r="AD37" i="7" s="1"/>
  <c r="N49" i="2" l="1"/>
  <c r="N53" i="5"/>
  <c r="AC6" i="6"/>
  <c r="AB29" i="6"/>
  <c r="AB55" i="6"/>
  <c r="AC63" i="6"/>
  <c r="AE13" i="2"/>
  <c r="AF10" i="2"/>
  <c r="Y68" i="2"/>
  <c r="Z80" i="7"/>
  <c r="Z83" i="7" s="1"/>
  <c r="Z68" i="2"/>
  <c r="AA36" i="7"/>
  <c r="AA37" i="2"/>
  <c r="AE5" i="6"/>
  <c r="AD28" i="6"/>
  <c r="AD27" i="6"/>
  <c r="AD54" i="6"/>
  <c r="Z53" i="7"/>
  <c r="Z86" i="7" s="1"/>
  <c r="M22" i="6"/>
  <c r="M40" i="7"/>
  <c r="M56" i="7" s="1"/>
  <c r="M22" i="4"/>
  <c r="M46" i="4"/>
  <c r="AE83" i="4"/>
  <c r="AE84" i="4" s="1"/>
  <c r="AE87" i="4" s="1"/>
  <c r="O64" i="7"/>
  <c r="K60" i="6"/>
  <c r="K33" i="6"/>
  <c r="M59" i="2"/>
  <c r="M72" i="2" s="1"/>
  <c r="I65" i="6"/>
  <c r="J62" i="6" s="1"/>
  <c r="I67" i="6"/>
  <c r="I68" i="6" s="1"/>
  <c r="O15" i="5"/>
  <c r="O46" i="5"/>
  <c r="P38" i="5" s="1"/>
  <c r="O44" i="5"/>
  <c r="O45" i="5" s="1"/>
  <c r="M88" i="7"/>
  <c r="AE45" i="2"/>
  <c r="AF42" i="2"/>
  <c r="O18" i="5"/>
  <c r="O19" i="5" s="1"/>
  <c r="O20" i="5"/>
  <c r="P12" i="5" s="1"/>
  <c r="AB36" i="2"/>
  <c r="AA39" i="2"/>
  <c r="AA47" i="2" s="1"/>
  <c r="Q8" i="5"/>
  <c r="P22" i="5"/>
  <c r="P17" i="5" s="1"/>
  <c r="P35" i="5"/>
  <c r="P30" i="5" s="1"/>
  <c r="P48" i="5"/>
  <c r="P43" i="5" s="1"/>
  <c r="K43" i="6"/>
  <c r="L31" i="6"/>
  <c r="L35" i="6"/>
  <c r="L36" i="6" s="1"/>
  <c r="L39" i="6"/>
  <c r="L40" i="6" s="1"/>
  <c r="L41" i="6" s="1"/>
  <c r="AC2" i="7"/>
  <c r="AC31" i="7" s="1"/>
  <c r="AC48" i="7" s="1"/>
  <c r="AC78" i="7" s="1"/>
  <c r="AC18" i="2"/>
  <c r="AC19" i="2" s="1"/>
  <c r="AC21" i="2" s="1"/>
  <c r="AC23" i="2" s="1"/>
  <c r="AD5" i="2"/>
  <c r="AC30" i="2"/>
  <c r="AC34" i="2"/>
  <c r="AC29" i="2"/>
  <c r="AC31" i="2"/>
  <c r="AC33" i="2"/>
  <c r="AC35" i="2"/>
  <c r="AC27" i="2"/>
  <c r="AC5" i="5"/>
  <c r="AC32" i="2"/>
  <c r="AC5" i="4"/>
  <c r="AF6" i="3"/>
  <c r="AC28" i="2"/>
  <c r="AB34" i="7"/>
  <c r="AB24" i="2"/>
  <c r="AB39" i="2"/>
  <c r="AB47" i="2" s="1"/>
  <c r="AB3" i="7"/>
  <c r="AB32" i="7" s="1"/>
  <c r="AB49" i="7" s="1"/>
  <c r="AB77" i="7" s="1"/>
  <c r="AC7" i="2"/>
  <c r="AB7" i="5"/>
  <c r="AB7" i="4"/>
  <c r="AE8" i="3"/>
  <c r="O31" i="5"/>
  <c r="O32" i="5" s="1"/>
  <c r="O33" i="5"/>
  <c r="P25" i="5" s="1"/>
  <c r="AA52" i="7"/>
  <c r="AD41" i="7"/>
  <c r="AD57" i="7" s="1"/>
  <c r="AD51" i="2"/>
  <c r="AD60" i="2"/>
  <c r="AD47" i="4"/>
  <c r="AD23" i="4"/>
  <c r="AD22" i="7"/>
  <c r="Y7" i="7"/>
  <c r="Y54" i="7" s="1"/>
  <c r="M74" i="2" l="1"/>
  <c r="AF5" i="6"/>
  <c r="AE28" i="6"/>
  <c r="AE27" i="6"/>
  <c r="AE54" i="6"/>
  <c r="AE22" i="7"/>
  <c r="L37" i="6"/>
  <c r="AA57" i="2"/>
  <c r="AA20" i="4"/>
  <c r="AA44" i="4"/>
  <c r="O90" i="7"/>
  <c r="P27" i="5"/>
  <c r="P28" i="5" s="1"/>
  <c r="P29" i="5"/>
  <c r="L32" i="6"/>
  <c r="AB36" i="7"/>
  <c r="AB37" i="2"/>
  <c r="AE41" i="7"/>
  <c r="AE57" i="7" s="1"/>
  <c r="AE60" i="2"/>
  <c r="AE51" i="2"/>
  <c r="AE23" i="4"/>
  <c r="AE47" i="4"/>
  <c r="O18" i="7"/>
  <c r="K47" i="6"/>
  <c r="K64" i="6"/>
  <c r="K48" i="6"/>
  <c r="AB57" i="2"/>
  <c r="AB20" i="4"/>
  <c r="AB44" i="4"/>
  <c r="AC36" i="2"/>
  <c r="AC34" i="7"/>
  <c r="AC24" i="2"/>
  <c r="AC39" i="2"/>
  <c r="AC47" i="2" s="1"/>
  <c r="AA53" i="7"/>
  <c r="AA86" i="7" s="1"/>
  <c r="M25" i="6"/>
  <c r="M23" i="6"/>
  <c r="AD2" i="7"/>
  <c r="AD31" i="7" s="1"/>
  <c r="AD48" i="7" s="1"/>
  <c r="AD78" i="7" s="1"/>
  <c r="AD18" i="2"/>
  <c r="AD19" i="2" s="1"/>
  <c r="AD21" i="2" s="1"/>
  <c r="AD23" i="2" s="1"/>
  <c r="AD28" i="2"/>
  <c r="AD33" i="2"/>
  <c r="AE5" i="2"/>
  <c r="AD27" i="2"/>
  <c r="AD34" i="2"/>
  <c r="AD31" i="2"/>
  <c r="AD30" i="2"/>
  <c r="AD35" i="2"/>
  <c r="AD5" i="5"/>
  <c r="AD29" i="2"/>
  <c r="AD5" i="4"/>
  <c r="AD32" i="2"/>
  <c r="AG6" i="3"/>
  <c r="Z7" i="7"/>
  <c r="Z54" i="7"/>
  <c r="O51" i="5"/>
  <c r="AE14" i="2"/>
  <c r="AE17" i="2"/>
  <c r="AF17" i="2" s="1"/>
  <c r="AF13" i="2"/>
  <c r="AD6" i="6"/>
  <c r="AC29" i="6"/>
  <c r="AC55" i="6"/>
  <c r="P16" i="5"/>
  <c r="P14" i="5"/>
  <c r="P42" i="5"/>
  <c r="P40" i="5"/>
  <c r="P41" i="5" s="1"/>
  <c r="N18" i="6"/>
  <c r="AA80" i="7"/>
  <c r="AA83" i="7" s="1"/>
  <c r="AC3" i="7"/>
  <c r="AC32" i="7" s="1"/>
  <c r="AC49" i="7" s="1"/>
  <c r="AC77" i="7" s="1"/>
  <c r="AD7" i="2"/>
  <c r="AC7" i="5"/>
  <c r="AC7" i="4"/>
  <c r="AF8" i="3"/>
  <c r="AB52" i="7"/>
  <c r="Q9" i="5"/>
  <c r="Q21" i="5"/>
  <c r="Q13" i="5" s="1"/>
  <c r="Q34" i="5"/>
  <c r="Q26" i="5" s="1"/>
  <c r="Q47" i="5"/>
  <c r="Q39" i="5" s="1"/>
  <c r="AE37" i="7"/>
  <c r="AF45" i="2"/>
  <c r="J65" i="6"/>
  <c r="K62" i="6" s="1"/>
  <c r="P52" i="5"/>
  <c r="AD63" i="6"/>
  <c r="N39" i="7"/>
  <c r="N55" i="7" s="1"/>
  <c r="N50" i="2"/>
  <c r="N58" i="2"/>
  <c r="N45" i="4"/>
  <c r="N21" i="4"/>
  <c r="AD3" i="7" l="1"/>
  <c r="AD32" i="7" s="1"/>
  <c r="AD49" i="7" s="1"/>
  <c r="AD77" i="7" s="1"/>
  <c r="AE7" i="2"/>
  <c r="AD7" i="5"/>
  <c r="AD7" i="4"/>
  <c r="AG8" i="3"/>
  <c r="AE2" i="7"/>
  <c r="AE31" i="7" s="1"/>
  <c r="AE48" i="7" s="1"/>
  <c r="AE78" i="7" s="1"/>
  <c r="AE27" i="2"/>
  <c r="AE18" i="2"/>
  <c r="AE19" i="2" s="1"/>
  <c r="AE31" i="2"/>
  <c r="AF31" i="2" s="1"/>
  <c r="AE33" i="2"/>
  <c r="AF33" i="2" s="1"/>
  <c r="AE30" i="2"/>
  <c r="AF30" i="2" s="1"/>
  <c r="AE35" i="2"/>
  <c r="AF35" i="2" s="1"/>
  <c r="AE32" i="2"/>
  <c r="AF32" i="2" s="1"/>
  <c r="AE28" i="2"/>
  <c r="AF28" i="2" s="1"/>
  <c r="AE34" i="2"/>
  <c r="AF34" i="2" s="1"/>
  <c r="AE5" i="5"/>
  <c r="AE29" i="2"/>
  <c r="AF29" i="2" s="1"/>
  <c r="AE5" i="4"/>
  <c r="AH6" i="3"/>
  <c r="O49" i="2"/>
  <c r="O53" i="5"/>
  <c r="K65" i="6"/>
  <c r="L62" i="6" s="1"/>
  <c r="AD34" i="7"/>
  <c r="AD24" i="2"/>
  <c r="AB68" i="2"/>
  <c r="N59" i="2"/>
  <c r="N72" i="2"/>
  <c r="J67" i="6"/>
  <c r="J68" i="6" s="1"/>
  <c r="AB80" i="7"/>
  <c r="AB83" i="7" s="1"/>
  <c r="N22" i="6"/>
  <c r="N40" i="7"/>
  <c r="N56" i="7" s="1"/>
  <c r="N22" i="4"/>
  <c r="N46" i="4"/>
  <c r="AA7" i="7"/>
  <c r="AA54" i="7"/>
  <c r="N88" i="7"/>
  <c r="P44" i="5"/>
  <c r="P45" i="5" s="1"/>
  <c r="P46" i="5"/>
  <c r="Q38" i="5" s="1"/>
  <c r="AE6" i="6"/>
  <c r="AD55" i="6"/>
  <c r="AD29" i="6"/>
  <c r="M35" i="6"/>
  <c r="M36" i="6" s="1"/>
  <c r="M31" i="6"/>
  <c r="M39" i="6"/>
  <c r="M40" i="6" s="1"/>
  <c r="M41" i="6" s="1"/>
  <c r="AC52" i="7"/>
  <c r="AB53" i="7"/>
  <c r="AB86" i="7" s="1"/>
  <c r="AE63" i="6"/>
  <c r="P15" i="5"/>
  <c r="AD36" i="2"/>
  <c r="AD39" i="2" s="1"/>
  <c r="AD47" i="2" s="1"/>
  <c r="AC36" i="7"/>
  <c r="AC37" i="2"/>
  <c r="L60" i="6"/>
  <c r="L33" i="6"/>
  <c r="L43" i="6" s="1"/>
  <c r="P33" i="5"/>
  <c r="Q25" i="5" s="1"/>
  <c r="P31" i="5"/>
  <c r="P32" i="5" s="1"/>
  <c r="AG5" i="6"/>
  <c r="AF28" i="6"/>
  <c r="AF54" i="6"/>
  <c r="AF27" i="6"/>
  <c r="AM27" i="6" s="1"/>
  <c r="P18" i="5"/>
  <c r="P19" i="5" s="1"/>
  <c r="P20" i="5"/>
  <c r="Q12" i="5" s="1"/>
  <c r="P62" i="2"/>
  <c r="AC57" i="2"/>
  <c r="AC20" i="4"/>
  <c r="AC44" i="4"/>
  <c r="AA68" i="2"/>
  <c r="Q22" i="5"/>
  <c r="Q17" i="5" s="1"/>
  <c r="Q35" i="5"/>
  <c r="Q30" i="5" s="1"/>
  <c r="R8" i="5"/>
  <c r="Q48" i="5"/>
  <c r="Q43" i="5" s="1"/>
  <c r="L48" i="6" l="1"/>
  <c r="L47" i="6"/>
  <c r="L64" i="6"/>
  <c r="AD57" i="2"/>
  <c r="AD20" i="4"/>
  <c r="AD44" i="4"/>
  <c r="N25" i="6"/>
  <c r="N23" i="6"/>
  <c r="AF63" i="6"/>
  <c r="AC80" i="7"/>
  <c r="AC83" i="7" s="1"/>
  <c r="P51" i="5"/>
  <c r="AG27" i="6"/>
  <c r="AH5" i="6"/>
  <c r="AG28" i="6"/>
  <c r="AG54" i="6"/>
  <c r="N74" i="2"/>
  <c r="M32" i="6"/>
  <c r="L65" i="6"/>
  <c r="M62" i="6" s="1"/>
  <c r="AE21" i="2"/>
  <c r="AF19" i="2"/>
  <c r="P64" i="7"/>
  <c r="M37" i="6"/>
  <c r="K67" i="6"/>
  <c r="K68" i="6" s="1"/>
  <c r="AE36" i="2"/>
  <c r="AF27" i="2"/>
  <c r="Q16" i="5"/>
  <c r="Q14" i="5"/>
  <c r="AC53" i="7"/>
  <c r="AC86" i="7" s="1"/>
  <c r="O18" i="6"/>
  <c r="O39" i="7"/>
  <c r="O55" i="7" s="1"/>
  <c r="O58" i="2"/>
  <c r="O50" i="2"/>
  <c r="O21" i="4"/>
  <c r="O45" i="4"/>
  <c r="R34" i="5"/>
  <c r="R26" i="5" s="1"/>
  <c r="R9" i="5"/>
  <c r="R21" i="5"/>
  <c r="R13" i="5" s="1"/>
  <c r="R47" i="5"/>
  <c r="R39" i="5" s="1"/>
  <c r="Q29" i="5"/>
  <c r="Q27" i="5"/>
  <c r="Q28" i="5" s="1"/>
  <c r="AD36" i="7"/>
  <c r="AD37" i="2"/>
  <c r="AF6" i="6"/>
  <c r="AE55" i="6"/>
  <c r="AE29" i="6"/>
  <c r="AB7" i="7"/>
  <c r="AB54" i="7"/>
  <c r="AD52" i="7"/>
  <c r="AE3" i="7"/>
  <c r="AE32" i="7" s="1"/>
  <c r="AE49" i="7" s="1"/>
  <c r="AE77" i="7" s="1"/>
  <c r="AF7" i="2"/>
  <c r="AI8" i="3" s="1"/>
  <c r="AE7" i="5"/>
  <c r="AE7" i="4"/>
  <c r="AH8" i="3"/>
  <c r="AC68" i="2"/>
  <c r="Q52" i="5"/>
  <c r="Q42" i="5"/>
  <c r="Q40" i="5"/>
  <c r="Q41" i="5" s="1"/>
  <c r="Q44" i="5" l="1"/>
  <c r="Q45" i="5" s="1"/>
  <c r="Q46" i="5"/>
  <c r="R38" i="5" s="1"/>
  <c r="O22" i="6"/>
  <c r="P18" i="6" s="1"/>
  <c r="E10" i="3"/>
  <c r="Q62" i="2"/>
  <c r="L67" i="6"/>
  <c r="L68" i="6" s="1"/>
  <c r="N35" i="6"/>
  <c r="N36" i="6" s="1"/>
  <c r="N31" i="6"/>
  <c r="N39" i="6"/>
  <c r="N40" i="6" s="1"/>
  <c r="N41" i="6" s="1"/>
  <c r="AD80" i="7"/>
  <c r="AD83" i="7" s="1"/>
  <c r="Q33" i="5"/>
  <c r="R25" i="5" s="1"/>
  <c r="Q31" i="5"/>
  <c r="Q32" i="5" s="1"/>
  <c r="Q15" i="5"/>
  <c r="P90" i="7"/>
  <c r="P18" i="7"/>
  <c r="AG6" i="6"/>
  <c r="AF55" i="6"/>
  <c r="AF29" i="6"/>
  <c r="AM29" i="6" s="1"/>
  <c r="O40" i="7"/>
  <c r="O56" i="7" s="1"/>
  <c r="O22" i="4"/>
  <c r="O46" i="4"/>
  <c r="Q18" i="5"/>
  <c r="Q19" i="5" s="1"/>
  <c r="Q20" i="5"/>
  <c r="R12" i="5" s="1"/>
  <c r="AD68" i="2"/>
  <c r="O59" i="2"/>
  <c r="AG63" i="6"/>
  <c r="AC7" i="7"/>
  <c r="AC54" i="7"/>
  <c r="AD53" i="7"/>
  <c r="AD86" i="7" s="1"/>
  <c r="S8" i="5"/>
  <c r="R22" i="5"/>
  <c r="R17" i="5" s="1"/>
  <c r="R52" i="5" s="1"/>
  <c r="R35" i="5"/>
  <c r="R30" i="5" s="1"/>
  <c r="R48" i="5"/>
  <c r="R43" i="5" s="1"/>
  <c r="O88" i="7"/>
  <c r="AE36" i="7"/>
  <c r="AE37" i="2"/>
  <c r="AF36" i="2"/>
  <c r="AE23" i="2"/>
  <c r="AF21" i="2"/>
  <c r="AI5" i="6"/>
  <c r="AH28" i="6"/>
  <c r="AH54" i="6"/>
  <c r="AH27" i="6"/>
  <c r="M60" i="6"/>
  <c r="M33" i="6"/>
  <c r="M43" i="6" s="1"/>
  <c r="P49" i="2"/>
  <c r="P53" i="5"/>
  <c r="M48" i="6" l="1"/>
  <c r="M47" i="6"/>
  <c r="M64" i="6"/>
  <c r="M65" i="6" s="1"/>
  <c r="Q18" i="6"/>
  <c r="P22" i="6"/>
  <c r="R62" i="2"/>
  <c r="E12" i="3"/>
  <c r="E21" i="3"/>
  <c r="AE53" i="7"/>
  <c r="AE86" i="7" s="1"/>
  <c r="AH63" i="6"/>
  <c r="Q18" i="7"/>
  <c r="N37" i="6"/>
  <c r="O25" i="6"/>
  <c r="O23" i="6"/>
  <c r="N32" i="6"/>
  <c r="AD7" i="7"/>
  <c r="AD54" i="7"/>
  <c r="AJ5" i="6"/>
  <c r="AI27" i="6"/>
  <c r="AI28" i="6"/>
  <c r="AI54" i="6"/>
  <c r="R16" i="5"/>
  <c r="R14" i="5"/>
  <c r="R40" i="5"/>
  <c r="R41" i="5" s="1"/>
  <c r="R42" i="5"/>
  <c r="O72" i="2"/>
  <c r="R29" i="5"/>
  <c r="R27" i="5"/>
  <c r="R28" i="5" s="1"/>
  <c r="AG29" i="6"/>
  <c r="AH6" i="6"/>
  <c r="AG55" i="6"/>
  <c r="P39" i="7"/>
  <c r="P55" i="7" s="1"/>
  <c r="P50" i="2"/>
  <c r="P58" i="2"/>
  <c r="P45" i="4"/>
  <c r="P21" i="4"/>
  <c r="AE34" i="7"/>
  <c r="AE24" i="2"/>
  <c r="AE39" i="2"/>
  <c r="AF23" i="2"/>
  <c r="S9" i="5"/>
  <c r="S21" i="5"/>
  <c r="S13" i="5" s="1"/>
  <c r="S34" i="5"/>
  <c r="S26" i="5" s="1"/>
  <c r="S47" i="5"/>
  <c r="S39" i="5" s="1"/>
  <c r="Q51" i="5"/>
  <c r="Q64" i="7"/>
  <c r="E14" i="3" l="1"/>
  <c r="E15" i="3"/>
  <c r="T8" i="5"/>
  <c r="S22" i="5"/>
  <c r="S17" i="5" s="1"/>
  <c r="S35" i="5"/>
  <c r="S30" i="5" s="1"/>
  <c r="S48" i="5"/>
  <c r="S43" i="5" s="1"/>
  <c r="P59" i="2"/>
  <c r="P72" i="2" s="1"/>
  <c r="AE7" i="7"/>
  <c r="AE54" i="7"/>
  <c r="N60" i="6"/>
  <c r="N33" i="6"/>
  <c r="O74" i="2"/>
  <c r="AI63" i="6"/>
  <c r="Q49" i="2"/>
  <c r="Q53" i="5"/>
  <c r="AE52" i="7"/>
  <c r="O31" i="6"/>
  <c r="O35" i="6"/>
  <c r="O36" i="6" s="1"/>
  <c r="O39" i="6"/>
  <c r="O40" i="6" s="1"/>
  <c r="O41" i="6" s="1"/>
  <c r="R64" i="7"/>
  <c r="R44" i="5"/>
  <c r="R45" i="5" s="1"/>
  <c r="R46" i="5"/>
  <c r="S38" i="5" s="1"/>
  <c r="N43" i="6"/>
  <c r="E24" i="3"/>
  <c r="AH29" i="6"/>
  <c r="AI6" i="6"/>
  <c r="AH55" i="6"/>
  <c r="AJ27" i="6"/>
  <c r="AK5" i="6"/>
  <c r="AJ28" i="6"/>
  <c r="AJ54" i="6"/>
  <c r="N48" i="6"/>
  <c r="P25" i="6"/>
  <c r="P23" i="6"/>
  <c r="R15" i="5"/>
  <c r="R20" i="5"/>
  <c r="S12" i="5" s="1"/>
  <c r="R18" i="5"/>
  <c r="R19" i="5" s="1"/>
  <c r="R18" i="7"/>
  <c r="S52" i="5"/>
  <c r="P40" i="7"/>
  <c r="P56" i="7" s="1"/>
  <c r="P22" i="4"/>
  <c r="P46" i="4"/>
  <c r="AE47" i="2"/>
  <c r="AF39" i="2"/>
  <c r="P88" i="7"/>
  <c r="R33" i="5"/>
  <c r="S25" i="5" s="1"/>
  <c r="R31" i="5"/>
  <c r="R32" i="5" s="1"/>
  <c r="N62" i="6"/>
  <c r="M67" i="6"/>
  <c r="M68" i="6" s="1"/>
  <c r="Q22" i="6"/>
  <c r="R18" i="6"/>
  <c r="Q90" i="7"/>
  <c r="P74" i="2" l="1"/>
  <c r="S29" i="5"/>
  <c r="S27" i="5"/>
  <c r="S28" i="5" s="1"/>
  <c r="S62" i="2"/>
  <c r="N64" i="6"/>
  <c r="N65" i="6" s="1"/>
  <c r="N47" i="6"/>
  <c r="R22" i="6"/>
  <c r="AJ63" i="6"/>
  <c r="AE57" i="2"/>
  <c r="AE20" i="4"/>
  <c r="AE44" i="4"/>
  <c r="AF47" i="2"/>
  <c r="S16" i="5"/>
  <c r="S14" i="5"/>
  <c r="R51" i="5"/>
  <c r="E26" i="3"/>
  <c r="E27" i="3"/>
  <c r="R90" i="7"/>
  <c r="O32" i="6"/>
  <c r="O37" i="6"/>
  <c r="AJ6" i="6"/>
  <c r="AI55" i="6"/>
  <c r="AI29" i="6"/>
  <c r="S40" i="5"/>
  <c r="S41" i="5" s="1"/>
  <c r="S42" i="5"/>
  <c r="Q25" i="6"/>
  <c r="Q23" i="6"/>
  <c r="AE80" i="7"/>
  <c r="AE83" i="7" s="1"/>
  <c r="P31" i="6"/>
  <c r="P35" i="6"/>
  <c r="P36" i="6" s="1"/>
  <c r="P39" i="6"/>
  <c r="P40" i="6" s="1"/>
  <c r="P41" i="6" s="1"/>
  <c r="AL5" i="6"/>
  <c r="AK28" i="6"/>
  <c r="AK27" i="6"/>
  <c r="AK54" i="6"/>
  <c r="Q39" i="7"/>
  <c r="Q55" i="7" s="1"/>
  <c r="Q50" i="2"/>
  <c r="Q58" i="2"/>
  <c r="Q45" i="4"/>
  <c r="Q21" i="4"/>
  <c r="T9" i="5"/>
  <c r="T21" i="5"/>
  <c r="T13" i="5" s="1"/>
  <c r="T34" i="5"/>
  <c r="T26" i="5" s="1"/>
  <c r="T47" i="5"/>
  <c r="T39" i="5" s="1"/>
  <c r="O62" i="6" l="1"/>
  <c r="N67" i="6"/>
  <c r="N68" i="6" s="1"/>
  <c r="Q31" i="6"/>
  <c r="Q39" i="6"/>
  <c r="Q40" i="6" s="1"/>
  <c r="Q41" i="6" s="1"/>
  <c r="Q35" i="6"/>
  <c r="Q36" i="6" s="1"/>
  <c r="S46" i="5"/>
  <c r="T38" i="5" s="1"/>
  <c r="S44" i="5"/>
  <c r="S45" i="5" s="1"/>
  <c r="O60" i="6"/>
  <c r="O33" i="6"/>
  <c r="Q88" i="7"/>
  <c r="AK63" i="6"/>
  <c r="T48" i="5"/>
  <c r="T43" i="5" s="1"/>
  <c r="T22" i="5"/>
  <c r="T17" i="5" s="1"/>
  <c r="T35" i="5"/>
  <c r="T30" i="5" s="1"/>
  <c r="U8" i="5"/>
  <c r="R49" i="2"/>
  <c r="R53" i="5"/>
  <c r="AF20" i="4"/>
  <c r="AE68" i="2"/>
  <c r="AF68" i="2" s="1"/>
  <c r="AF57" i="2"/>
  <c r="O43" i="6"/>
  <c r="O48" i="6" s="1"/>
  <c r="S64" i="7"/>
  <c r="Q59" i="2"/>
  <c r="Q72" i="2"/>
  <c r="S51" i="5"/>
  <c r="S15" i="5"/>
  <c r="S31" i="5"/>
  <c r="S32" i="5" s="1"/>
  <c r="S33" i="5"/>
  <c r="T25" i="5" s="1"/>
  <c r="AK6" i="6"/>
  <c r="AJ29" i="6"/>
  <c r="AJ55" i="6"/>
  <c r="Q40" i="7"/>
  <c r="Q56" i="7" s="1"/>
  <c r="Q22" i="4"/>
  <c r="Q46" i="4"/>
  <c r="S20" i="5"/>
  <c r="T12" i="5" s="1"/>
  <c r="S18" i="5"/>
  <c r="S19" i="5" s="1"/>
  <c r="R25" i="6"/>
  <c r="R23" i="6"/>
  <c r="P37" i="6"/>
  <c r="P32" i="6"/>
  <c r="S18" i="6"/>
  <c r="S43" i="1"/>
  <c r="S44" i="1" s="1"/>
  <c r="S55" i="1" s="1"/>
  <c r="AL28" i="6"/>
  <c r="AL27" i="6"/>
  <c r="AL54" i="6"/>
  <c r="AF44" i="4"/>
  <c r="R39" i="7" l="1"/>
  <c r="R55" i="7" s="1"/>
  <c r="R50" i="2"/>
  <c r="R58" i="2"/>
  <c r="R45" i="4"/>
  <c r="R21" i="4"/>
  <c r="S56" i="1"/>
  <c r="W4" i="5" s="1"/>
  <c r="S58" i="1"/>
  <c r="S22" i="6"/>
  <c r="T14" i="5"/>
  <c r="T16" i="5"/>
  <c r="Q74" i="2"/>
  <c r="Q75" i="2"/>
  <c r="U9" i="5"/>
  <c r="U21" i="5"/>
  <c r="U13" i="5" s="1"/>
  <c r="U34" i="5"/>
  <c r="U26" i="5" s="1"/>
  <c r="U47" i="5"/>
  <c r="U39" i="5" s="1"/>
  <c r="Q32" i="6"/>
  <c r="P60" i="6"/>
  <c r="P33" i="6"/>
  <c r="T52" i="5"/>
  <c r="P43" i="6"/>
  <c r="P64" i="6" s="1"/>
  <c r="T27" i="5"/>
  <c r="T28" i="5" s="1"/>
  <c r="T29" i="5"/>
  <c r="AL63" i="6"/>
  <c r="AM63" i="6" s="1"/>
  <c r="S90" i="7"/>
  <c r="S18" i="7"/>
  <c r="T42" i="5"/>
  <c r="T40" i="5"/>
  <c r="T41" i="5" s="1"/>
  <c r="Q37" i="6"/>
  <c r="AL6" i="6"/>
  <c r="AK29" i="6"/>
  <c r="AK55" i="6"/>
  <c r="S49" i="2"/>
  <c r="S53" i="5"/>
  <c r="R31" i="6"/>
  <c r="R39" i="6"/>
  <c r="R40" i="6" s="1"/>
  <c r="R41" i="6" s="1"/>
  <c r="R35" i="6"/>
  <c r="R36" i="6" s="1"/>
  <c r="O64" i="6"/>
  <c r="O47" i="6"/>
  <c r="O65" i="6"/>
  <c r="P62" i="6" s="1"/>
  <c r="O67" i="6"/>
  <c r="O68" i="6" s="1"/>
  <c r="R37" i="6" l="1"/>
  <c r="R32" i="6"/>
  <c r="T46" i="5"/>
  <c r="U38" i="5" s="1"/>
  <c r="T44" i="5"/>
  <c r="T45" i="5" s="1"/>
  <c r="R40" i="7"/>
  <c r="R56" i="7" s="1"/>
  <c r="R46" i="4"/>
  <c r="R22" i="4"/>
  <c r="AL55" i="6"/>
  <c r="AL29" i="6"/>
  <c r="T62" i="2"/>
  <c r="J30" i="1"/>
  <c r="E10" i="4" s="1"/>
  <c r="Z7" i="1"/>
  <c r="AA7" i="1" s="1"/>
  <c r="J31" i="1"/>
  <c r="E15" i="4" s="1"/>
  <c r="E10" i="7"/>
  <c r="P48" i="6"/>
  <c r="V8" i="5"/>
  <c r="U48" i="5"/>
  <c r="U43" i="5" s="1"/>
  <c r="U22" i="5"/>
  <c r="U17" i="5" s="1"/>
  <c r="U35" i="5"/>
  <c r="U30" i="5" s="1"/>
  <c r="P47" i="6"/>
  <c r="Q60" i="6"/>
  <c r="Q33" i="6"/>
  <c r="Q43" i="6" s="1"/>
  <c r="T20" i="5"/>
  <c r="U12" i="5" s="1"/>
  <c r="T18" i="5"/>
  <c r="T19" i="5" s="1"/>
  <c r="T15" i="5"/>
  <c r="R59" i="2"/>
  <c r="R72" i="2"/>
  <c r="P65" i="6"/>
  <c r="Q62" i="6" s="1"/>
  <c r="P67" i="6"/>
  <c r="P68" i="6" s="1"/>
  <c r="S25" i="6"/>
  <c r="S23" i="6"/>
  <c r="S39" i="7"/>
  <c r="S55" i="7" s="1"/>
  <c r="S50" i="2"/>
  <c r="S58" i="2"/>
  <c r="S21" i="4"/>
  <c r="S45" i="4"/>
  <c r="T18" i="6"/>
  <c r="R88" i="7"/>
  <c r="T31" i="5"/>
  <c r="T32" i="5" s="1"/>
  <c r="T33" i="5"/>
  <c r="U25" i="5" s="1"/>
  <c r="Q47" i="6" l="1"/>
  <c r="Q64" i="6"/>
  <c r="Q48" i="6"/>
  <c r="U40" i="5"/>
  <c r="U41" i="5" s="1"/>
  <c r="U42" i="5"/>
  <c r="S59" i="2"/>
  <c r="S72" i="2"/>
  <c r="R74" i="2"/>
  <c r="R75" i="2"/>
  <c r="S88" i="7"/>
  <c r="T22" i="6"/>
  <c r="U18" i="6" s="1"/>
  <c r="F10" i="7"/>
  <c r="T51" i="5"/>
  <c r="E16" i="4"/>
  <c r="AF15" i="4"/>
  <c r="F16" i="4"/>
  <c r="F48" i="4" s="1"/>
  <c r="G16" i="4"/>
  <c r="G48" i="4" s="1"/>
  <c r="H16" i="4"/>
  <c r="H48" i="4" s="1"/>
  <c r="J16" i="4"/>
  <c r="J48" i="4" s="1"/>
  <c r="I16" i="4"/>
  <c r="I48" i="4" s="1"/>
  <c r="K16" i="4"/>
  <c r="K48" i="4" s="1"/>
  <c r="L16" i="4"/>
  <c r="L48" i="4" s="1"/>
  <c r="M16" i="4"/>
  <c r="M48" i="4" s="1"/>
  <c r="N16" i="4"/>
  <c r="N48" i="4" s="1"/>
  <c r="O16" i="4"/>
  <c r="O48" i="4" s="1"/>
  <c r="P16" i="4"/>
  <c r="P48" i="4" s="1"/>
  <c r="Q16" i="4"/>
  <c r="Q48" i="4" s="1"/>
  <c r="R16" i="4"/>
  <c r="R48" i="4" s="1"/>
  <c r="S16" i="4"/>
  <c r="S48" i="4" s="1"/>
  <c r="T16" i="4"/>
  <c r="T48" i="4" s="1"/>
  <c r="U16" i="4"/>
  <c r="U48" i="4" s="1"/>
  <c r="V16" i="4"/>
  <c r="V48" i="4" s="1"/>
  <c r="W16" i="4"/>
  <c r="W48" i="4" s="1"/>
  <c r="X16" i="4"/>
  <c r="X48" i="4" s="1"/>
  <c r="Y16" i="4"/>
  <c r="Y48" i="4" s="1"/>
  <c r="Z16" i="4"/>
  <c r="Z48" i="4" s="1"/>
  <c r="AA16" i="4"/>
  <c r="AA48" i="4" s="1"/>
  <c r="AB16" i="4"/>
  <c r="AB48" i="4" s="1"/>
  <c r="AC16" i="4"/>
  <c r="AC48" i="4" s="1"/>
  <c r="AD16" i="4"/>
  <c r="AD48" i="4" s="1"/>
  <c r="AE16" i="4"/>
  <c r="AE48" i="4" s="1"/>
  <c r="Q65" i="6"/>
  <c r="R62" i="6" s="1"/>
  <c r="Q67" i="6"/>
  <c r="Q68" i="6" s="1"/>
  <c r="E12" i="4"/>
  <c r="F10" i="4" s="1"/>
  <c r="F12" i="4" s="1"/>
  <c r="G10" i="4" s="1"/>
  <c r="G12" i="4" s="1"/>
  <c r="H10" i="4" s="1"/>
  <c r="H12" i="4" s="1"/>
  <c r="I10" i="4" s="1"/>
  <c r="AF10" i="4"/>
  <c r="E11" i="4"/>
  <c r="F11" i="4"/>
  <c r="H11" i="4"/>
  <c r="G11" i="4"/>
  <c r="J11" i="4"/>
  <c r="I11" i="4"/>
  <c r="K11" i="4"/>
  <c r="L11" i="4"/>
  <c r="M11" i="4"/>
  <c r="O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U14" i="5"/>
  <c r="U16" i="5"/>
  <c r="V9" i="5"/>
  <c r="V47" i="5"/>
  <c r="V39" i="5" s="1"/>
  <c r="V34" i="5"/>
  <c r="V26" i="5" s="1"/>
  <c r="V21" i="5"/>
  <c r="V13" i="5" s="1"/>
  <c r="U52" i="5"/>
  <c r="R60" i="6"/>
  <c r="R33" i="6"/>
  <c r="R43" i="6" s="1"/>
  <c r="S40" i="7"/>
  <c r="S56" i="7" s="1"/>
  <c r="S22" i="4"/>
  <c r="S46" i="4"/>
  <c r="U29" i="5"/>
  <c r="U27" i="5"/>
  <c r="U28" i="5" s="1"/>
  <c r="T64" i="7"/>
  <c r="S39" i="6"/>
  <c r="S40" i="6" s="1"/>
  <c r="S41" i="6" s="1"/>
  <c r="S35" i="6"/>
  <c r="S36" i="6" s="1"/>
  <c r="S31" i="6"/>
  <c r="U22" i="6" l="1"/>
  <c r="R64" i="6"/>
  <c r="R47" i="6"/>
  <c r="R48" i="6"/>
  <c r="V35" i="5"/>
  <c r="V30" i="5" s="1"/>
  <c r="V48" i="5"/>
  <c r="V43" i="5" s="1"/>
  <c r="W8" i="5"/>
  <c r="V22" i="5"/>
  <c r="V17" i="5" s="1"/>
  <c r="AF17" i="4"/>
  <c r="Y52" i="2"/>
  <c r="Y38" i="7" s="1"/>
  <c r="Y24" i="4"/>
  <c r="U15" i="5"/>
  <c r="X52" i="2"/>
  <c r="X38" i="7" s="1"/>
  <c r="X24" i="4"/>
  <c r="P52" i="2"/>
  <c r="P38" i="7" s="1"/>
  <c r="P24" i="4"/>
  <c r="G52" i="2"/>
  <c r="G38" i="7" s="1"/>
  <c r="G24" i="4"/>
  <c r="R65" i="6"/>
  <c r="S62" i="6" s="1"/>
  <c r="T49" i="2"/>
  <c r="T53" i="5"/>
  <c r="R52" i="2"/>
  <c r="R38" i="7" s="1"/>
  <c r="R24" i="4"/>
  <c r="U20" i="5"/>
  <c r="V12" i="5" s="1"/>
  <c r="U18" i="5"/>
  <c r="U19" i="5" s="1"/>
  <c r="AE52" i="2"/>
  <c r="AE38" i="7" s="1"/>
  <c r="AE24" i="4"/>
  <c r="W52" i="2"/>
  <c r="W38" i="7" s="1"/>
  <c r="W24" i="4"/>
  <c r="N52" i="2"/>
  <c r="N38" i="7" s="1"/>
  <c r="N24" i="4"/>
  <c r="H52" i="2"/>
  <c r="H38" i="7" s="1"/>
  <c r="H24" i="4"/>
  <c r="G10" i="7"/>
  <c r="Q52" i="2"/>
  <c r="Q38" i="7" s="1"/>
  <c r="Q24" i="4"/>
  <c r="V52" i="2"/>
  <c r="V38" i="7" s="1"/>
  <c r="V24" i="4"/>
  <c r="S74" i="2"/>
  <c r="S75" i="2"/>
  <c r="Z52" i="2"/>
  <c r="Z38" i="7" s="1"/>
  <c r="Z24" i="4"/>
  <c r="I52" i="2"/>
  <c r="I38" i="7" s="1"/>
  <c r="I24" i="4"/>
  <c r="J52" i="2"/>
  <c r="J38" i="7" s="1"/>
  <c r="J24" i="4"/>
  <c r="T90" i="7"/>
  <c r="T18" i="7"/>
  <c r="O52" i="2"/>
  <c r="O38" i="7" s="1"/>
  <c r="O24" i="4"/>
  <c r="AC52" i="2"/>
  <c r="AC38" i="7" s="1"/>
  <c r="AC24" i="4"/>
  <c r="I11" i="7"/>
  <c r="Q11" i="7"/>
  <c r="Y11" i="7"/>
  <c r="K11" i="7"/>
  <c r="S11" i="7"/>
  <c r="AA11" i="7"/>
  <c r="L11" i="7"/>
  <c r="T11" i="7"/>
  <c r="AB11" i="7"/>
  <c r="E11" i="7"/>
  <c r="E12" i="7" s="1"/>
  <c r="M11" i="7"/>
  <c r="U11" i="7"/>
  <c r="AC11" i="7"/>
  <c r="G11" i="7"/>
  <c r="O11" i="7"/>
  <c r="W11" i="7"/>
  <c r="AE11" i="7"/>
  <c r="N11" i="7"/>
  <c r="P11" i="7"/>
  <c r="R11" i="7"/>
  <c r="V11" i="7"/>
  <c r="H11" i="7"/>
  <c r="AD11" i="7"/>
  <c r="F11" i="7"/>
  <c r="F12" i="7" s="1"/>
  <c r="J11" i="7"/>
  <c r="Z11" i="7"/>
  <c r="X11" i="7"/>
  <c r="E52" i="2"/>
  <c r="AF11" i="4"/>
  <c r="E24" i="4"/>
  <c r="AF16" i="4"/>
  <c r="E48" i="4"/>
  <c r="U62" i="2"/>
  <c r="AD52" i="2"/>
  <c r="AD38" i="7" s="1"/>
  <c r="AD24" i="4"/>
  <c r="F52" i="2"/>
  <c r="F38" i="7" s="1"/>
  <c r="F24" i="4"/>
  <c r="S32" i="6"/>
  <c r="U52" i="2"/>
  <c r="U38" i="7" s="1"/>
  <c r="U24" i="4"/>
  <c r="M52" i="2"/>
  <c r="M38" i="7" s="1"/>
  <c r="M24" i="4"/>
  <c r="S37" i="6"/>
  <c r="U33" i="5"/>
  <c r="V25" i="5" s="1"/>
  <c r="U31" i="5"/>
  <c r="U32" i="5" s="1"/>
  <c r="AB52" i="2"/>
  <c r="AB38" i="7" s="1"/>
  <c r="AB24" i="4"/>
  <c r="T52" i="2"/>
  <c r="T38" i="7" s="1"/>
  <c r="T24" i="4"/>
  <c r="L52" i="2"/>
  <c r="L38" i="7" s="1"/>
  <c r="L24" i="4"/>
  <c r="AF12" i="4"/>
  <c r="E17" i="4"/>
  <c r="F15" i="4" s="1"/>
  <c r="F17" i="4" s="1"/>
  <c r="G15" i="4" s="1"/>
  <c r="G17" i="4" s="1"/>
  <c r="H15" i="4" s="1"/>
  <c r="H17" i="4" s="1"/>
  <c r="I15" i="4" s="1"/>
  <c r="I17" i="4" s="1"/>
  <c r="J15" i="4" s="1"/>
  <c r="J17" i="4" s="1"/>
  <c r="K15" i="4" s="1"/>
  <c r="K17" i="4" s="1"/>
  <c r="L15" i="4" s="1"/>
  <c r="L17" i="4" s="1"/>
  <c r="M15" i="4" s="1"/>
  <c r="M17" i="4" s="1"/>
  <c r="N15" i="4" s="1"/>
  <c r="N17" i="4" s="1"/>
  <c r="O15" i="4" s="1"/>
  <c r="O17" i="4" s="1"/>
  <c r="P15" i="4" s="1"/>
  <c r="P17" i="4" s="1"/>
  <c r="Q15" i="4" s="1"/>
  <c r="Q17" i="4" s="1"/>
  <c r="R15" i="4" s="1"/>
  <c r="R17" i="4" s="1"/>
  <c r="S15" i="4" s="1"/>
  <c r="S17" i="4" s="1"/>
  <c r="T15" i="4" s="1"/>
  <c r="T17" i="4" s="1"/>
  <c r="U15" i="4" s="1"/>
  <c r="U17" i="4" s="1"/>
  <c r="V15" i="4" s="1"/>
  <c r="V17" i="4" s="1"/>
  <c r="W15" i="4" s="1"/>
  <c r="W17" i="4" s="1"/>
  <c r="X15" i="4" s="1"/>
  <c r="X17" i="4" s="1"/>
  <c r="Y15" i="4" s="1"/>
  <c r="Y17" i="4" s="1"/>
  <c r="Z15" i="4" s="1"/>
  <c r="Z17" i="4" s="1"/>
  <c r="AA15" i="4" s="1"/>
  <c r="AA17" i="4" s="1"/>
  <c r="AB15" i="4" s="1"/>
  <c r="AB17" i="4" s="1"/>
  <c r="AC15" i="4" s="1"/>
  <c r="AC17" i="4" s="1"/>
  <c r="AD15" i="4" s="1"/>
  <c r="AD17" i="4" s="1"/>
  <c r="AE15" i="4" s="1"/>
  <c r="AE17" i="4" s="1"/>
  <c r="AA52" i="2"/>
  <c r="AA38" i="7" s="1"/>
  <c r="AA24" i="4"/>
  <c r="S52" i="2"/>
  <c r="S38" i="7" s="1"/>
  <c r="S24" i="4"/>
  <c r="K52" i="2"/>
  <c r="K38" i="7" s="1"/>
  <c r="K24" i="4"/>
  <c r="I12" i="4"/>
  <c r="J10" i="4" s="1"/>
  <c r="J12" i="4" s="1"/>
  <c r="K10" i="4" s="1"/>
  <c r="K12" i="4" s="1"/>
  <c r="L10" i="4" s="1"/>
  <c r="L12" i="4" s="1"/>
  <c r="M10" i="4" s="1"/>
  <c r="M12" i="4" s="1"/>
  <c r="N10" i="4" s="1"/>
  <c r="N12" i="4" s="1"/>
  <c r="O10" i="4" s="1"/>
  <c r="O12" i="4" s="1"/>
  <c r="P10" i="4" s="1"/>
  <c r="P12" i="4" s="1"/>
  <c r="Q10" i="4" s="1"/>
  <c r="Q12" i="4" s="1"/>
  <c r="R10" i="4" s="1"/>
  <c r="R12" i="4" s="1"/>
  <c r="S10" i="4" s="1"/>
  <c r="S12" i="4" s="1"/>
  <c r="T10" i="4" s="1"/>
  <c r="T12" i="4" s="1"/>
  <c r="U10" i="4" s="1"/>
  <c r="U12" i="4" s="1"/>
  <c r="V10" i="4" s="1"/>
  <c r="V12" i="4" s="1"/>
  <c r="W10" i="4" s="1"/>
  <c r="W12" i="4" s="1"/>
  <c r="X10" i="4" s="1"/>
  <c r="X12" i="4" s="1"/>
  <c r="Y10" i="4" s="1"/>
  <c r="Y12" i="4" s="1"/>
  <c r="Z10" i="4" s="1"/>
  <c r="Z12" i="4" s="1"/>
  <c r="AA10" i="4" s="1"/>
  <c r="AA12" i="4" s="1"/>
  <c r="AB10" i="4" s="1"/>
  <c r="AB12" i="4" s="1"/>
  <c r="AC10" i="4" s="1"/>
  <c r="AC12" i="4" s="1"/>
  <c r="AD10" i="4" s="1"/>
  <c r="AD12" i="4" s="1"/>
  <c r="AE10" i="4" s="1"/>
  <c r="AE12" i="4" s="1"/>
  <c r="T25" i="6"/>
  <c r="T23" i="6"/>
  <c r="U46" i="5"/>
  <c r="V38" i="5" s="1"/>
  <c r="U44" i="5"/>
  <c r="U45" i="5" s="1"/>
  <c r="E38" i="7" l="1"/>
  <c r="AF52" i="2"/>
  <c r="T39" i="6"/>
  <c r="T40" i="6" s="1"/>
  <c r="T41" i="6" s="1"/>
  <c r="T31" i="6"/>
  <c r="T35" i="6"/>
  <c r="T36" i="6" s="1"/>
  <c r="AF24" i="4"/>
  <c r="E25" i="4"/>
  <c r="V16" i="5"/>
  <c r="V14" i="5"/>
  <c r="V27" i="5"/>
  <c r="V28" i="5" s="1"/>
  <c r="V29" i="5"/>
  <c r="V52" i="5"/>
  <c r="U64" i="7"/>
  <c r="U18" i="7" s="1"/>
  <c r="W21" i="5"/>
  <c r="W13" i="5" s="1"/>
  <c r="W9" i="5"/>
  <c r="W34" i="5"/>
  <c r="W26" i="5" s="1"/>
  <c r="W47" i="5"/>
  <c r="W39" i="5" s="1"/>
  <c r="U25" i="6"/>
  <c r="U23" i="6"/>
  <c r="V42" i="5"/>
  <c r="V40" i="5"/>
  <c r="V41" i="5" s="1"/>
  <c r="S60" i="6"/>
  <c r="S33" i="6"/>
  <c r="S43" i="6" s="1"/>
  <c r="AF48" i="4"/>
  <c r="E49" i="4"/>
  <c r="G12" i="7"/>
  <c r="H10" i="7"/>
  <c r="T39" i="7"/>
  <c r="T55" i="7" s="1"/>
  <c r="T58" i="2"/>
  <c r="T50" i="2"/>
  <c r="T45" i="4"/>
  <c r="T21" i="4"/>
  <c r="V18" i="6"/>
  <c r="R67" i="6"/>
  <c r="R68" i="6" s="1"/>
  <c r="U51" i="5"/>
  <c r="S64" i="6" l="1"/>
  <c r="S65" i="6" s="1"/>
  <c r="S48" i="6"/>
  <c r="S47" i="6"/>
  <c r="T37" i="6"/>
  <c r="V15" i="5"/>
  <c r="V44" i="5"/>
  <c r="V45" i="5" s="1"/>
  <c r="V46" i="5"/>
  <c r="W38" i="5" s="1"/>
  <c r="V31" i="5"/>
  <c r="V32" i="5" s="1"/>
  <c r="V33" i="5"/>
  <c r="W25" i="5" s="1"/>
  <c r="V18" i="5"/>
  <c r="V19" i="5" s="1"/>
  <c r="V20" i="5"/>
  <c r="W12" i="5" s="1"/>
  <c r="T49" i="4"/>
  <c r="E51" i="4"/>
  <c r="E61" i="4"/>
  <c r="E60" i="4"/>
  <c r="E64" i="4"/>
  <c r="T40" i="7"/>
  <c r="T22" i="4"/>
  <c r="T25" i="4" s="1"/>
  <c r="T46" i="4"/>
  <c r="U49" i="2"/>
  <c r="U53" i="5"/>
  <c r="T59" i="2"/>
  <c r="T72" i="2"/>
  <c r="W18" i="6"/>
  <c r="V22" i="6"/>
  <c r="T88" i="7"/>
  <c r="U35" i="6"/>
  <c r="U36" i="6" s="1"/>
  <c r="U31" i="6"/>
  <c r="U39" i="6"/>
  <c r="U40" i="6" s="1"/>
  <c r="U41" i="6" s="1"/>
  <c r="V62" i="2"/>
  <c r="U90" i="7"/>
  <c r="H12" i="7"/>
  <c r="I10" i="7"/>
  <c r="E27" i="4"/>
  <c r="E40" i="4"/>
  <c r="E36" i="4"/>
  <c r="E37" i="4"/>
  <c r="W48" i="5"/>
  <c r="W43" i="5" s="1"/>
  <c r="W22" i="5"/>
  <c r="W17" i="5" s="1"/>
  <c r="W35" i="5"/>
  <c r="W30" i="5" s="1"/>
  <c r="X8" i="5"/>
  <c r="T32" i="6"/>
  <c r="T40" i="4" l="1"/>
  <c r="T37" i="4"/>
  <c r="W22" i="6"/>
  <c r="X18" i="6" s="1"/>
  <c r="X47" i="5"/>
  <c r="X39" i="5" s="1"/>
  <c r="X21" i="5"/>
  <c r="X13" i="5" s="1"/>
  <c r="X9" i="5"/>
  <c r="X34" i="5"/>
  <c r="X26" i="5" s="1"/>
  <c r="E30" i="4"/>
  <c r="V64" i="7"/>
  <c r="W27" i="5"/>
  <c r="W28" i="5" s="1"/>
  <c r="W29" i="5"/>
  <c r="V51" i="5"/>
  <c r="E65" i="4"/>
  <c r="F57" i="4" s="1"/>
  <c r="F59" i="4" s="1"/>
  <c r="I12" i="7"/>
  <c r="J10" i="7"/>
  <c r="U32" i="6"/>
  <c r="W52" i="5"/>
  <c r="U37" i="6"/>
  <c r="U39" i="7"/>
  <c r="U58" i="2"/>
  <c r="U50" i="2"/>
  <c r="U21" i="4"/>
  <c r="U45" i="4"/>
  <c r="E54" i="4"/>
  <c r="W40" i="5"/>
  <c r="W41" i="5" s="1"/>
  <c r="W42" i="5"/>
  <c r="T60" i="6"/>
  <c r="T33" i="6"/>
  <c r="T43" i="6" s="1"/>
  <c r="V25" i="6"/>
  <c r="V23" i="6"/>
  <c r="W14" i="5"/>
  <c r="W16" i="5"/>
  <c r="E41" i="4"/>
  <c r="F33" i="4" s="1"/>
  <c r="F35" i="4" s="1"/>
  <c r="T61" i="4"/>
  <c r="T64" i="4"/>
  <c r="T62" i="6"/>
  <c r="S67" i="6"/>
  <c r="S68" i="6" s="1"/>
  <c r="T56" i="7"/>
  <c r="T75" i="2"/>
  <c r="T74" i="2"/>
  <c r="T47" i="6" l="1"/>
  <c r="T64" i="6"/>
  <c r="T65" i="6" s="1"/>
  <c r="T48" i="6"/>
  <c r="Y18" i="6"/>
  <c r="X22" i="6"/>
  <c r="W20" i="5"/>
  <c r="X12" i="5" s="1"/>
  <c r="W18" i="5"/>
  <c r="W19" i="5" s="1"/>
  <c r="J12" i="7"/>
  <c r="K10" i="7"/>
  <c r="U49" i="4"/>
  <c r="W33" i="5"/>
  <c r="X25" i="5" s="1"/>
  <c r="W31" i="5"/>
  <c r="W32" i="5" s="1"/>
  <c r="U40" i="7"/>
  <c r="U56" i="7" s="1"/>
  <c r="U22" i="4"/>
  <c r="U25" i="4" s="1"/>
  <c r="U46" i="4"/>
  <c r="W46" i="5"/>
  <c r="X38" i="5" s="1"/>
  <c r="W44" i="5"/>
  <c r="W45" i="5" s="1"/>
  <c r="U59" i="2"/>
  <c r="U72" i="2"/>
  <c r="U60" i="6"/>
  <c r="U33" i="6"/>
  <c r="V90" i="7"/>
  <c r="V18" i="7"/>
  <c r="U55" i="7"/>
  <c r="E53" i="2"/>
  <c r="E73" i="4"/>
  <c r="U43" i="6"/>
  <c r="U64" i="6" s="1"/>
  <c r="V49" i="2"/>
  <c r="V53" i="5"/>
  <c r="Y8" i="5"/>
  <c r="X48" i="5"/>
  <c r="X43" i="5" s="1"/>
  <c r="X35" i="5"/>
  <c r="X30" i="5" s="1"/>
  <c r="X22" i="5"/>
  <c r="X17" i="5" s="1"/>
  <c r="E61" i="2"/>
  <c r="W15" i="5"/>
  <c r="V35" i="6"/>
  <c r="V36" i="6" s="1"/>
  <c r="V39" i="6"/>
  <c r="V40" i="6" s="1"/>
  <c r="V41" i="6" s="1"/>
  <c r="V31" i="6"/>
  <c r="W62" i="2"/>
  <c r="W25" i="6"/>
  <c r="W23" i="6"/>
  <c r="U40" i="4" l="1"/>
  <c r="U37" i="4"/>
  <c r="U62" i="6"/>
  <c r="T67" i="6"/>
  <c r="T68" i="6" s="1"/>
  <c r="E74" i="4"/>
  <c r="E58" i="7"/>
  <c r="E69" i="2"/>
  <c r="E64" i="2"/>
  <c r="V39" i="7"/>
  <c r="V50" i="2"/>
  <c r="V58" i="2"/>
  <c r="V45" i="4"/>
  <c r="V21" i="4"/>
  <c r="W64" i="7"/>
  <c r="V32" i="6"/>
  <c r="U75" i="2"/>
  <c r="U74" i="2"/>
  <c r="U47" i="6"/>
  <c r="U88" i="7"/>
  <c r="X16" i="5"/>
  <c r="X14" i="5"/>
  <c r="V37" i="6"/>
  <c r="W18" i="7"/>
  <c r="X25" i="6"/>
  <c r="X23" i="6"/>
  <c r="Y22" i="6"/>
  <c r="Z18" i="6"/>
  <c r="W51" i="5"/>
  <c r="Y9" i="5"/>
  <c r="Y34" i="5"/>
  <c r="Y26" i="5" s="1"/>
  <c r="Y47" i="5"/>
  <c r="Y39" i="5" s="1"/>
  <c r="Y21" i="5"/>
  <c r="Y13" i="5" s="1"/>
  <c r="X42" i="5"/>
  <c r="X40" i="5"/>
  <c r="X41" i="5" s="1"/>
  <c r="X27" i="5"/>
  <c r="X28" i="5" s="1"/>
  <c r="X29" i="5"/>
  <c r="U48" i="6"/>
  <c r="W31" i="6"/>
  <c r="W35" i="6"/>
  <c r="W36" i="6" s="1"/>
  <c r="W39" i="6"/>
  <c r="W40" i="6" s="1"/>
  <c r="W41" i="6" s="1"/>
  <c r="U61" i="4"/>
  <c r="U64" i="4"/>
  <c r="L10" i="7"/>
  <c r="K12" i="7"/>
  <c r="X52" i="5"/>
  <c r="E42" i="7"/>
  <c r="E55" i="2"/>
  <c r="E67" i="7" l="1"/>
  <c r="E68" i="4"/>
  <c r="E69" i="4" s="1"/>
  <c r="H11" i="3"/>
  <c r="X51" i="5"/>
  <c r="X49" i="2" s="1"/>
  <c r="X15" i="5"/>
  <c r="X62" i="2"/>
  <c r="Y25" i="6"/>
  <c r="Y23" i="6"/>
  <c r="Y52" i="5"/>
  <c r="V40" i="7"/>
  <c r="V56" i="7" s="1"/>
  <c r="V22" i="4"/>
  <c r="V46" i="4"/>
  <c r="V49" i="4" s="1"/>
  <c r="L12" i="7"/>
  <c r="M10" i="7"/>
  <c r="W37" i="6"/>
  <c r="X31" i="6"/>
  <c r="X35" i="6"/>
  <c r="X36" i="6" s="1"/>
  <c r="X39" i="6"/>
  <c r="X40" i="6" s="1"/>
  <c r="X41" i="6" s="1"/>
  <c r="V55" i="7"/>
  <c r="U65" i="6"/>
  <c r="V62" i="6" s="1"/>
  <c r="W32" i="6"/>
  <c r="Z8" i="5"/>
  <c r="Y22" i="5"/>
  <c r="Y17" i="5" s="1"/>
  <c r="Y35" i="5"/>
  <c r="Y30" i="5" s="1"/>
  <c r="Y48" i="5"/>
  <c r="Y43" i="5" s="1"/>
  <c r="W90" i="7"/>
  <c r="E70" i="2"/>
  <c r="W49" i="2"/>
  <c r="W53" i="5"/>
  <c r="V43" i="6"/>
  <c r="V25" i="4"/>
  <c r="E87" i="7"/>
  <c r="E60" i="7"/>
  <c r="X31" i="5"/>
  <c r="X32" i="5" s="1"/>
  <c r="X33" i="5"/>
  <c r="Y25" i="5" s="1"/>
  <c r="E17" i="7"/>
  <c r="E43" i="7"/>
  <c r="E45" i="7" s="1"/>
  <c r="Z22" i="6"/>
  <c r="X46" i="5"/>
  <c r="Y38" i="5" s="1"/>
  <c r="X44" i="5"/>
  <c r="X45" i="5" s="1"/>
  <c r="X18" i="5"/>
  <c r="X19" i="5" s="1"/>
  <c r="X20" i="5"/>
  <c r="Y12" i="5" s="1"/>
  <c r="V60" i="6"/>
  <c r="V33" i="6"/>
  <c r="V59" i="2"/>
  <c r="V72" i="2"/>
  <c r="V64" i="4" l="1"/>
  <c r="V61" i="4"/>
  <c r="E19" i="7"/>
  <c r="V67" i="6"/>
  <c r="V68" i="6" s="1"/>
  <c r="V65" i="6"/>
  <c r="W62" i="6" s="1"/>
  <c r="M12" i="7"/>
  <c r="N10" i="7"/>
  <c r="V47" i="6"/>
  <c r="V64" i="6"/>
  <c r="V75" i="2"/>
  <c r="V74" i="2"/>
  <c r="Y42" i="5"/>
  <c r="Y40" i="5"/>
  <c r="Y41" i="5" s="1"/>
  <c r="Z25" i="6"/>
  <c r="Z23" i="6"/>
  <c r="E76" i="4"/>
  <c r="W39" i="7"/>
  <c r="W50" i="2"/>
  <c r="W58" i="2"/>
  <c r="W21" i="4"/>
  <c r="W45" i="4"/>
  <c r="Z34" i="5"/>
  <c r="Z26" i="5" s="1"/>
  <c r="Z21" i="5"/>
  <c r="Z13" i="5" s="1"/>
  <c r="Z47" i="5"/>
  <c r="Z39" i="5" s="1"/>
  <c r="Z9" i="5"/>
  <c r="X37" i="6"/>
  <c r="X53" i="5"/>
  <c r="V48" i="6"/>
  <c r="AA18" i="6"/>
  <c r="X32" i="6"/>
  <c r="X64" i="7"/>
  <c r="E24" i="7"/>
  <c r="E46" i="7"/>
  <c r="E75" i="2"/>
  <c r="W60" i="6"/>
  <c r="W33" i="6"/>
  <c r="Y62" i="2"/>
  <c r="Y16" i="5"/>
  <c r="Y14" i="5"/>
  <c r="Y29" i="5"/>
  <c r="Y27" i="5"/>
  <c r="Y28" i="5" s="1"/>
  <c r="U67" i="6"/>
  <c r="U68" i="6" s="1"/>
  <c r="H22" i="3"/>
  <c r="E70" i="4"/>
  <c r="V88" i="7"/>
  <c r="X39" i="7"/>
  <c r="X50" i="2"/>
  <c r="X58" i="2"/>
  <c r="X21" i="4"/>
  <c r="X45" i="4"/>
  <c r="Y31" i="6"/>
  <c r="Y39" i="6"/>
  <c r="Y40" i="6" s="1"/>
  <c r="Y41" i="6" s="1"/>
  <c r="Y35" i="6"/>
  <c r="Y36" i="6" s="1"/>
  <c r="E23" i="7"/>
  <c r="E25" i="7" s="1"/>
  <c r="E92" i="7"/>
  <c r="E93" i="7" s="1"/>
  <c r="E95" i="7" s="1"/>
  <c r="E68" i="7"/>
  <c r="E70" i="7" s="1"/>
  <c r="E72" i="7" s="1"/>
  <c r="W43" i="6"/>
  <c r="W64" i="6" s="1"/>
  <c r="V37" i="4"/>
  <c r="V40" i="4"/>
  <c r="E6" i="7" l="1"/>
  <c r="E14" i="7" s="1"/>
  <c r="E28" i="7" s="1"/>
  <c r="F71" i="7"/>
  <c r="X90" i="7"/>
  <c r="X18" i="7"/>
  <c r="AA8" i="5"/>
  <c r="Z22" i="5"/>
  <c r="Z17" i="5" s="1"/>
  <c r="Z35" i="5"/>
  <c r="Z30" i="5" s="1"/>
  <c r="Z48" i="5"/>
  <c r="Z43" i="5" s="1"/>
  <c r="W40" i="7"/>
  <c r="W56" i="7" s="1"/>
  <c r="W22" i="4"/>
  <c r="W25" i="4" s="1"/>
  <c r="W46" i="4"/>
  <c r="E27" i="7"/>
  <c r="F83" i="4"/>
  <c r="F84" i="4" s="1"/>
  <c r="F87" i="4" s="1"/>
  <c r="X59" i="2"/>
  <c r="W55" i="7"/>
  <c r="F10" i="3"/>
  <c r="W47" i="6"/>
  <c r="E78" i="4"/>
  <c r="O10" i="7"/>
  <c r="N12" i="7"/>
  <c r="Y37" i="6"/>
  <c r="X60" i="6"/>
  <c r="X33" i="6"/>
  <c r="X43" i="6" s="1"/>
  <c r="X55" i="7"/>
  <c r="E71" i="4"/>
  <c r="Y33" i="5"/>
  <c r="Z25" i="5" s="1"/>
  <c r="Y31" i="5"/>
  <c r="Y32" i="5" s="1"/>
  <c r="AB18" i="6"/>
  <c r="AA22" i="6"/>
  <c r="Y32" i="6"/>
  <c r="Y15" i="5"/>
  <c r="Z31" i="6"/>
  <c r="Z35" i="6"/>
  <c r="Z36" i="6" s="1"/>
  <c r="Z39" i="6"/>
  <c r="Z40" i="6" s="1"/>
  <c r="Z41" i="6" s="1"/>
  <c r="Y18" i="5"/>
  <c r="Y19" i="5" s="1"/>
  <c r="Y20" i="5"/>
  <c r="Z12" i="5" s="1"/>
  <c r="W49" i="4"/>
  <c r="X40" i="7"/>
  <c r="X56" i="7" s="1"/>
  <c r="X22" i="4"/>
  <c r="X25" i="4" s="1"/>
  <c r="X46" i="4"/>
  <c r="Y44" i="5"/>
  <c r="Y45" i="5" s="1"/>
  <c r="Y46" i="5"/>
  <c r="Z38" i="5" s="1"/>
  <c r="X49" i="4"/>
  <c r="W48" i="6"/>
  <c r="Y64" i="7"/>
  <c r="X72" i="2"/>
  <c r="W59" i="2"/>
  <c r="W72" i="2"/>
  <c r="W65" i="6"/>
  <c r="X62" i="6" s="1"/>
  <c r="W37" i="4" l="1"/>
  <c r="W40" i="4"/>
  <c r="X37" i="4"/>
  <c r="X40" i="4"/>
  <c r="X47" i="6"/>
  <c r="X64" i="6"/>
  <c r="X48" i="6"/>
  <c r="X64" i="4"/>
  <c r="X61" i="4"/>
  <c r="W64" i="4"/>
  <c r="W61" i="4"/>
  <c r="Z32" i="6"/>
  <c r="Z16" i="5"/>
  <c r="Z14" i="5"/>
  <c r="Y51" i="5"/>
  <c r="Y43" i="6"/>
  <c r="X65" i="6"/>
  <c r="Y62" i="6" s="1"/>
  <c r="X67" i="6"/>
  <c r="X68" i="6" s="1"/>
  <c r="Y90" i="7"/>
  <c r="Z29" i="5"/>
  <c r="Z27" i="5"/>
  <c r="Z28" i="5" s="1"/>
  <c r="F12" i="3"/>
  <c r="F21" i="3"/>
  <c r="W67" i="6"/>
  <c r="W68" i="6" s="1"/>
  <c r="Y60" i="6"/>
  <c r="Y33" i="6"/>
  <c r="F41" i="7"/>
  <c r="F60" i="2"/>
  <c r="F51" i="2"/>
  <c r="F47" i="4"/>
  <c r="F49" i="4" s="1"/>
  <c r="F23" i="4"/>
  <c r="F25" i="4" s="1"/>
  <c r="AA9" i="5"/>
  <c r="AA21" i="5"/>
  <c r="AA13" i="5" s="1"/>
  <c r="AA34" i="5"/>
  <c r="AA26" i="5" s="1"/>
  <c r="AA47" i="5"/>
  <c r="AA39" i="5" s="1"/>
  <c r="AA25" i="6"/>
  <c r="AA23" i="6"/>
  <c r="X88" i="7"/>
  <c r="O12" i="7"/>
  <c r="P10" i="7"/>
  <c r="Z52" i="5"/>
  <c r="Y18" i="7"/>
  <c r="W74" i="2"/>
  <c r="W75" i="2"/>
  <c r="Z37" i="6"/>
  <c r="AB22" i="6"/>
  <c r="E80" i="4"/>
  <c r="X74" i="2"/>
  <c r="X75" i="2"/>
  <c r="W88" i="7"/>
  <c r="Z40" i="5"/>
  <c r="Z41" i="5" s="1"/>
  <c r="Z42" i="5"/>
  <c r="H23" i="3" l="1"/>
  <c r="AA31" i="6"/>
  <c r="AA35" i="6"/>
  <c r="AA36" i="6" s="1"/>
  <c r="AA39" i="6"/>
  <c r="AA40" i="6" s="1"/>
  <c r="AA41" i="6" s="1"/>
  <c r="AB25" i="6"/>
  <c r="AB23" i="6"/>
  <c r="AB8" i="5"/>
  <c r="AA22" i="5"/>
  <c r="AA17" i="5" s="1"/>
  <c r="AA35" i="5"/>
  <c r="AA30" i="5" s="1"/>
  <c r="AA48" i="5"/>
  <c r="AA43" i="5" s="1"/>
  <c r="F14" i="3"/>
  <c r="F15" i="3"/>
  <c r="Y64" i="6"/>
  <c r="Y47" i="6"/>
  <c r="Y49" i="2"/>
  <c r="Y53" i="5"/>
  <c r="Y48" i="6"/>
  <c r="F36" i="4"/>
  <c r="F37" i="4"/>
  <c r="F39" i="4"/>
  <c r="F40" i="4"/>
  <c r="Z33" i="5"/>
  <c r="AA25" i="5" s="1"/>
  <c r="Z31" i="5"/>
  <c r="Z32" i="5" s="1"/>
  <c r="Z15" i="5"/>
  <c r="Z44" i="5"/>
  <c r="Z45" i="5" s="1"/>
  <c r="Z46" i="5"/>
  <c r="AA38" i="5" s="1"/>
  <c r="F64" i="4"/>
  <c r="F61" i="4"/>
  <c r="F63" i="4"/>
  <c r="F60" i="4"/>
  <c r="Z20" i="5"/>
  <c r="AA12" i="5" s="1"/>
  <c r="Z18" i="5"/>
  <c r="Z19" i="5" s="1"/>
  <c r="Y65" i="6"/>
  <c r="Z62" i="6" s="1"/>
  <c r="Y67" i="6"/>
  <c r="Y68" i="6" s="1"/>
  <c r="Z62" i="2"/>
  <c r="F57" i="7"/>
  <c r="AC18" i="6"/>
  <c r="P12" i="7"/>
  <c r="Q10" i="7"/>
  <c r="F24" i="3"/>
  <c r="Z60" i="6"/>
  <c r="Z33" i="6"/>
  <c r="Z43" i="6" s="1"/>
  <c r="Z64" i="6" l="1"/>
  <c r="Z65" i="6" s="1"/>
  <c r="Z48" i="6"/>
  <c r="Z47" i="6"/>
  <c r="F26" i="4"/>
  <c r="F41" i="4"/>
  <c r="G33" i="4" s="1"/>
  <c r="G35" i="4" s="1"/>
  <c r="AC22" i="6"/>
  <c r="AD18" i="6"/>
  <c r="AA29" i="5"/>
  <c r="AA27" i="5"/>
  <c r="AA28" i="5" s="1"/>
  <c r="AB39" i="6"/>
  <c r="AB40" i="6" s="1"/>
  <c r="AB41" i="6" s="1"/>
  <c r="AB31" i="6"/>
  <c r="AB35" i="6"/>
  <c r="AB36" i="6" s="1"/>
  <c r="F26" i="3"/>
  <c r="F27" i="3"/>
  <c r="Z64" i="7"/>
  <c r="AA16" i="5"/>
  <c r="AA14" i="5"/>
  <c r="AA40" i="5"/>
  <c r="AA41" i="5" s="1"/>
  <c r="AA42" i="5"/>
  <c r="Y39" i="7"/>
  <c r="Y58" i="2"/>
  <c r="Y50" i="2"/>
  <c r="Y45" i="4"/>
  <c r="Y21" i="4"/>
  <c r="AA37" i="6"/>
  <c r="AA32" i="6"/>
  <c r="AB21" i="5"/>
  <c r="AB13" i="5" s="1"/>
  <c r="AB34" i="5"/>
  <c r="AB26" i="5" s="1"/>
  <c r="AB47" i="5"/>
  <c r="AB39" i="5" s="1"/>
  <c r="AB9" i="5"/>
  <c r="AA52" i="5"/>
  <c r="Q12" i="7"/>
  <c r="R10" i="7"/>
  <c r="F50" i="4"/>
  <c r="F65" i="4"/>
  <c r="G57" i="4" s="1"/>
  <c r="G59" i="4" s="1"/>
  <c r="Z51" i="5"/>
  <c r="AA62" i="6" l="1"/>
  <c r="Z67" i="6"/>
  <c r="Z68" i="6" s="1"/>
  <c r="F51" i="4"/>
  <c r="AA46" i="5"/>
  <c r="AB38" i="5" s="1"/>
  <c r="AA44" i="5"/>
  <c r="AA45" i="5" s="1"/>
  <c r="S10" i="7"/>
  <c r="R12" i="7"/>
  <c r="AA20" i="5"/>
  <c r="AB12" i="5" s="1"/>
  <c r="AA18" i="5"/>
  <c r="AA19" i="5" s="1"/>
  <c r="Z49" i="2"/>
  <c r="Z53" i="5"/>
  <c r="AA62" i="2"/>
  <c r="Y40" i="7"/>
  <c r="Y56" i="7" s="1"/>
  <c r="Y22" i="4"/>
  <c r="Y25" i="4" s="1"/>
  <c r="Y46" i="4"/>
  <c r="Y49" i="4" s="1"/>
  <c r="Z90" i="7"/>
  <c r="Z18" i="7"/>
  <c r="AD22" i="6"/>
  <c r="Y59" i="2"/>
  <c r="Y72" i="2"/>
  <c r="AC25" i="6"/>
  <c r="AC23" i="6"/>
  <c r="AB48" i="5"/>
  <c r="AB43" i="5" s="1"/>
  <c r="AC8" i="5"/>
  <c r="AB22" i="5"/>
  <c r="AB17" i="5" s="1"/>
  <c r="AB35" i="5"/>
  <c r="AB30" i="5" s="1"/>
  <c r="AA43" i="6"/>
  <c r="Y55" i="7"/>
  <c r="AB37" i="6"/>
  <c r="AB32" i="6"/>
  <c r="AA15" i="5"/>
  <c r="AA31" i="5"/>
  <c r="AA32" i="5" s="1"/>
  <c r="AA33" i="5"/>
  <c r="AB25" i="5" s="1"/>
  <c r="F27" i="4"/>
  <c r="AB52" i="5"/>
  <c r="AA60" i="6"/>
  <c r="AA33" i="6"/>
  <c r="Y40" i="4" l="1"/>
  <c r="Y37" i="4"/>
  <c r="Y64" i="4"/>
  <c r="Y61" i="4"/>
  <c r="AB42" i="5"/>
  <c r="AB40" i="5"/>
  <c r="AB41" i="5" s="1"/>
  <c r="Y88" i="7"/>
  <c r="Y74" i="2"/>
  <c r="Y75" i="2"/>
  <c r="Z39" i="7"/>
  <c r="Z50" i="2"/>
  <c r="Z58" i="2"/>
  <c r="Z45" i="4"/>
  <c r="Z21" i="4"/>
  <c r="F54" i="4"/>
  <c r="AB62" i="2"/>
  <c r="F30" i="4"/>
  <c r="AB60" i="6"/>
  <c r="AB33" i="6"/>
  <c r="AB14" i="5"/>
  <c r="AB16" i="5"/>
  <c r="AD25" i="6"/>
  <c r="AD23" i="6"/>
  <c r="AB29" i="5"/>
  <c r="AB27" i="5"/>
  <c r="AB28" i="5" s="1"/>
  <c r="AC9" i="5"/>
  <c r="AC21" i="5"/>
  <c r="AC13" i="5" s="1"/>
  <c r="AC34" i="5"/>
  <c r="AC26" i="5" s="1"/>
  <c r="AC47" i="5"/>
  <c r="AC39" i="5" s="1"/>
  <c r="AE18" i="6"/>
  <c r="AB43" i="6"/>
  <c r="T10" i="7"/>
  <c r="S12" i="7"/>
  <c r="AA64" i="7"/>
  <c r="AC35" i="6"/>
  <c r="AC36" i="6" s="1"/>
  <c r="AC31" i="6"/>
  <c r="AC39" i="6"/>
  <c r="AC40" i="6" s="1"/>
  <c r="AC41" i="6" s="1"/>
  <c r="AA51" i="5"/>
  <c r="AB47" i="6"/>
  <c r="AA64" i="6"/>
  <c r="AA65" i="6" s="1"/>
  <c r="AA47" i="6"/>
  <c r="AA48" i="6"/>
  <c r="AB62" i="6" l="1"/>
  <c r="AA67" i="6"/>
  <c r="AA68" i="6" s="1"/>
  <c r="AA90" i="7"/>
  <c r="Z49" i="4"/>
  <c r="F53" i="2"/>
  <c r="F73" i="4"/>
  <c r="AB46" i="5"/>
  <c r="AC38" i="5" s="1"/>
  <c r="AB44" i="5"/>
  <c r="AB45" i="5" s="1"/>
  <c r="U10" i="7"/>
  <c r="T12" i="7"/>
  <c r="Z40" i="7"/>
  <c r="Z56" i="7" s="1"/>
  <c r="Z46" i="4"/>
  <c r="Z22" i="4"/>
  <c r="AB15" i="5"/>
  <c r="AC32" i="6"/>
  <c r="AB64" i="6"/>
  <c r="AB48" i="6"/>
  <c r="AB31" i="5"/>
  <c r="AB32" i="5" s="1"/>
  <c r="AB33" i="5"/>
  <c r="AC25" i="5" s="1"/>
  <c r="F61" i="2"/>
  <c r="AC37" i="6"/>
  <c r="AE22" i="6"/>
  <c r="Z25" i="4"/>
  <c r="AD35" i="6"/>
  <c r="AD36" i="6" s="1"/>
  <c r="AD39" i="6"/>
  <c r="AD40" i="6" s="1"/>
  <c r="AD41" i="6" s="1"/>
  <c r="AD31" i="6"/>
  <c r="Z59" i="2"/>
  <c r="AA49" i="2"/>
  <c r="AA53" i="5"/>
  <c r="AA18" i="7"/>
  <c r="AD8" i="5"/>
  <c r="AC48" i="5"/>
  <c r="AC43" i="5" s="1"/>
  <c r="AC22" i="5"/>
  <c r="AC17" i="5" s="1"/>
  <c r="AC52" i="5" s="1"/>
  <c r="AC35" i="5"/>
  <c r="AC30" i="5" s="1"/>
  <c r="AB20" i="5"/>
  <c r="AC12" i="5" s="1"/>
  <c r="AB18" i="5"/>
  <c r="AB19" i="5" s="1"/>
  <c r="AB64" i="7"/>
  <c r="Z55" i="7"/>
  <c r="AC62" i="2" l="1"/>
  <c r="AD32" i="6"/>
  <c r="AC60" i="6"/>
  <c r="AC33" i="6"/>
  <c r="AC43" i="6" s="1"/>
  <c r="F58" i="7"/>
  <c r="F69" i="2"/>
  <c r="F64" i="2"/>
  <c r="F74" i="4"/>
  <c r="AA39" i="7"/>
  <c r="AA50" i="2"/>
  <c r="AA58" i="2"/>
  <c r="AA21" i="4"/>
  <c r="AA45" i="4"/>
  <c r="Z40" i="4"/>
  <c r="Z37" i="4"/>
  <c r="AC27" i="5"/>
  <c r="AC28" i="5" s="1"/>
  <c r="AC29" i="5"/>
  <c r="AC16" i="5"/>
  <c r="AC14" i="5"/>
  <c r="Z72" i="2"/>
  <c r="AE25" i="6"/>
  <c r="AE23" i="6"/>
  <c r="F42" i="7"/>
  <c r="F55" i="2"/>
  <c r="AF18" i="6"/>
  <c r="U12" i="7"/>
  <c r="V10" i="7"/>
  <c r="Z64" i="4"/>
  <c r="Z61" i="4"/>
  <c r="AD9" i="5"/>
  <c r="AD21" i="5"/>
  <c r="AD13" i="5" s="1"/>
  <c r="AD34" i="5"/>
  <c r="AD26" i="5" s="1"/>
  <c r="AD47" i="5"/>
  <c r="AD39" i="5" s="1"/>
  <c r="AB18" i="7"/>
  <c r="AD37" i="6"/>
  <c r="AC42" i="5"/>
  <c r="AC40" i="5"/>
  <c r="AC41" i="5" s="1"/>
  <c r="Z88" i="7"/>
  <c r="AB90" i="7"/>
  <c r="AB51" i="5"/>
  <c r="AB65" i="6"/>
  <c r="AC62" i="6" s="1"/>
  <c r="AC47" i="6" l="1"/>
  <c r="AC64" i="6"/>
  <c r="AC65" i="6" s="1"/>
  <c r="AC48" i="6"/>
  <c r="AA40" i="7"/>
  <c r="AA56" i="7" s="1"/>
  <c r="AA22" i="4"/>
  <c r="AA46" i="4"/>
  <c r="AB67" i="6"/>
  <c r="AB68" i="6" s="1"/>
  <c r="AC46" i="5"/>
  <c r="AD38" i="5" s="1"/>
  <c r="AC44" i="5"/>
  <c r="AC45" i="5" s="1"/>
  <c r="AD35" i="5"/>
  <c r="AD30" i="5" s="1"/>
  <c r="AE8" i="5"/>
  <c r="AD48" i="5"/>
  <c r="AD43" i="5" s="1"/>
  <c r="AD22" i="5"/>
  <c r="AD17" i="5" s="1"/>
  <c r="Z74" i="2"/>
  <c r="Z75" i="2"/>
  <c r="AA55" i="7"/>
  <c r="AD60" i="6"/>
  <c r="AD33" i="6"/>
  <c r="AD43" i="6" s="1"/>
  <c r="AC15" i="5"/>
  <c r="AD52" i="5"/>
  <c r="AE39" i="6"/>
  <c r="AE40" i="6" s="1"/>
  <c r="AE41" i="6" s="1"/>
  <c r="AE31" i="6"/>
  <c r="AE35" i="6"/>
  <c r="AE36" i="6" s="1"/>
  <c r="AF22" i="6"/>
  <c r="AG18" i="6" s="1"/>
  <c r="AB49" i="2"/>
  <c r="AB53" i="5"/>
  <c r="AC20" i="5"/>
  <c r="AD12" i="5" s="1"/>
  <c r="AC18" i="5"/>
  <c r="AC19" i="5" s="1"/>
  <c r="AC33" i="5"/>
  <c r="AD25" i="5" s="1"/>
  <c r="AC31" i="5"/>
  <c r="AC32" i="5" s="1"/>
  <c r="F67" i="7"/>
  <c r="F68" i="4"/>
  <c r="F69" i="4" s="1"/>
  <c r="I11" i="3"/>
  <c r="AA49" i="4"/>
  <c r="F17" i="7"/>
  <c r="F43" i="7"/>
  <c r="F45" i="7" s="1"/>
  <c r="AA25" i="4"/>
  <c r="F70" i="2"/>
  <c r="AC64" i="7"/>
  <c r="W10" i="7"/>
  <c r="V12" i="7"/>
  <c r="AA59" i="2"/>
  <c r="F87" i="7"/>
  <c r="F60" i="7"/>
  <c r="AD64" i="6" l="1"/>
  <c r="AD47" i="6"/>
  <c r="AD48" i="6"/>
  <c r="AD62" i="6"/>
  <c r="AC67" i="6"/>
  <c r="AC68" i="6" s="1"/>
  <c r="AG22" i="6"/>
  <c r="AD16" i="5"/>
  <c r="AD14" i="5"/>
  <c r="AA88" i="7"/>
  <c r="F46" i="7"/>
  <c r="F24" i="7"/>
  <c r="AD29" i="5"/>
  <c r="AD27" i="5"/>
  <c r="AD28" i="5" s="1"/>
  <c r="AC51" i="5"/>
  <c r="AA61" i="4"/>
  <c r="AA64" i="4"/>
  <c r="AA72" i="2"/>
  <c r="AC90" i="7"/>
  <c r="AC18" i="7"/>
  <c r="AE37" i="6"/>
  <c r="AE21" i="5"/>
  <c r="AE9" i="5"/>
  <c r="AE47" i="5"/>
  <c r="AE34" i="5"/>
  <c r="I22" i="3"/>
  <c r="F76" i="4"/>
  <c r="AE32" i="6"/>
  <c r="F70" i="4"/>
  <c r="F23" i="7"/>
  <c r="F25" i="7" s="1"/>
  <c r="F92" i="7"/>
  <c r="F93" i="7" s="1"/>
  <c r="F95" i="7" s="1"/>
  <c r="F68" i="7"/>
  <c r="F70" i="7" s="1"/>
  <c r="F72" i="7" s="1"/>
  <c r="F75" i="2"/>
  <c r="AD40" i="5"/>
  <c r="AD41" i="5" s="1"/>
  <c r="AD42" i="5"/>
  <c r="AD62" i="2"/>
  <c r="W12" i="7"/>
  <c r="X10" i="7"/>
  <c r="F19" i="7"/>
  <c r="AB39" i="7"/>
  <c r="AB50" i="2"/>
  <c r="AB58" i="2"/>
  <c r="AB21" i="4"/>
  <c r="AB45" i="4"/>
  <c r="AA40" i="4"/>
  <c r="AA37" i="4"/>
  <c r="AF25" i="6"/>
  <c r="AF23" i="6"/>
  <c r="F6" i="7" l="1"/>
  <c r="F14" i="7" s="1"/>
  <c r="G71" i="7"/>
  <c r="AE60" i="6"/>
  <c r="AE33" i="6"/>
  <c r="X12" i="7"/>
  <c r="Y10" i="7"/>
  <c r="AG25" i="6"/>
  <c r="AG23" i="6"/>
  <c r="AD64" i="7"/>
  <c r="F27" i="7"/>
  <c r="G83" i="4"/>
  <c r="G84" i="4" s="1"/>
  <c r="G87" i="4" s="1"/>
  <c r="AD18" i="7"/>
  <c r="AF39" i="6"/>
  <c r="AF40" i="6" s="1"/>
  <c r="AF41" i="6" s="1"/>
  <c r="AF31" i="6"/>
  <c r="AF35" i="6"/>
  <c r="AF36" i="6" s="1"/>
  <c r="AD46" i="5"/>
  <c r="AE38" i="5" s="1"/>
  <c r="AD44" i="5"/>
  <c r="AD45" i="5" s="1"/>
  <c r="F71" i="4"/>
  <c r="AB59" i="2"/>
  <c r="AD67" i="6"/>
  <c r="AD68" i="6" s="1"/>
  <c r="AD65" i="6"/>
  <c r="AE62" i="6" s="1"/>
  <c r="AB40" i="7"/>
  <c r="AB56" i="7" s="1"/>
  <c r="AB22" i="4"/>
  <c r="AB25" i="4" s="1"/>
  <c r="AB46" i="4"/>
  <c r="AB49" i="4" s="1"/>
  <c r="AE26" i="5"/>
  <c r="AF34" i="5"/>
  <c r="AB55" i="7"/>
  <c r="AE39" i="5"/>
  <c r="AF47" i="5"/>
  <c r="AA74" i="2"/>
  <c r="AA75" i="2"/>
  <c r="AE48" i="5"/>
  <c r="AE35" i="5"/>
  <c r="AE22" i="5"/>
  <c r="AC49" i="2"/>
  <c r="AC53" i="5"/>
  <c r="AD15" i="5"/>
  <c r="AE13" i="5"/>
  <c r="AF21" i="5"/>
  <c r="AD20" i="5"/>
  <c r="AE12" i="5" s="1"/>
  <c r="AD18" i="5"/>
  <c r="AD19" i="5" s="1"/>
  <c r="F78" i="4"/>
  <c r="AE43" i="6"/>
  <c r="AE48" i="6" s="1"/>
  <c r="AD33" i="5"/>
  <c r="AE25" i="5" s="1"/>
  <c r="AD31" i="5"/>
  <c r="AD32" i="5" s="1"/>
  <c r="AH18" i="6"/>
  <c r="AB61" i="4" l="1"/>
  <c r="AB64" i="4"/>
  <c r="AB40" i="4"/>
  <c r="AB37" i="4"/>
  <c r="AE42" i="5"/>
  <c r="AE40" i="5"/>
  <c r="AE41" i="5" s="1"/>
  <c r="Y12" i="7"/>
  <c r="Z10" i="7"/>
  <c r="F80" i="4"/>
  <c r="AC39" i="7"/>
  <c r="AC58" i="2"/>
  <c r="AC50" i="2"/>
  <c r="AC21" i="4"/>
  <c r="AC45" i="4"/>
  <c r="AE17" i="5"/>
  <c r="AE52" i="5" s="1"/>
  <c r="AF22" i="5"/>
  <c r="AG22" i="5" s="1"/>
  <c r="AB88" i="7"/>
  <c r="AE16" i="5"/>
  <c r="AE14" i="5"/>
  <c r="AI18" i="6"/>
  <c r="AH22" i="6"/>
  <c r="AE43" i="5"/>
  <c r="AF48" i="5"/>
  <c r="AG48" i="5" s="1"/>
  <c r="AB72" i="2"/>
  <c r="AE15" i="5"/>
  <c r="G41" i="7"/>
  <c r="G51" i="2"/>
  <c r="G60" i="2"/>
  <c r="G23" i="4"/>
  <c r="G25" i="4" s="1"/>
  <c r="G47" i="4"/>
  <c r="G49" i="4" s="1"/>
  <c r="AE47" i="6"/>
  <c r="AE64" i="6"/>
  <c r="AE65" i="6" s="1"/>
  <c r="AD51" i="5"/>
  <c r="AF37" i="6"/>
  <c r="AD90" i="7"/>
  <c r="AF32" i="6"/>
  <c r="AE27" i="5"/>
  <c r="AE28" i="5" s="1"/>
  <c r="AE29" i="5"/>
  <c r="AE30" i="5"/>
  <c r="AF35" i="5"/>
  <c r="AG35" i="5" s="1"/>
  <c r="AG31" i="6"/>
  <c r="AG35" i="6"/>
  <c r="AG36" i="6" s="1"/>
  <c r="AG39" i="6"/>
  <c r="AG40" i="6" s="1"/>
  <c r="AG41" i="6" s="1"/>
  <c r="F28" i="7"/>
  <c r="AF62" i="6" l="1"/>
  <c r="AE67" i="6"/>
  <c r="AE68" i="6" s="1"/>
  <c r="AE62" i="2"/>
  <c r="AF52" i="5"/>
  <c r="G4" i="1" s="1"/>
  <c r="AF48" i="6"/>
  <c r="G37" i="4"/>
  <c r="G40" i="4"/>
  <c r="G36" i="4"/>
  <c r="G39" i="4"/>
  <c r="AG37" i="6"/>
  <c r="AF43" i="6"/>
  <c r="AE18" i="5"/>
  <c r="AE19" i="5" s="1"/>
  <c r="AE20" i="5"/>
  <c r="AA10" i="7"/>
  <c r="Z12" i="7"/>
  <c r="AE31" i="5"/>
  <c r="AE32" i="5" s="1"/>
  <c r="AE33" i="5"/>
  <c r="G60" i="4"/>
  <c r="G63" i="4" s="1"/>
  <c r="G64" i="4"/>
  <c r="G61" i="4"/>
  <c r="AB75" i="2"/>
  <c r="AB74" i="2"/>
  <c r="AC59" i="2"/>
  <c r="AC72" i="2"/>
  <c r="AE46" i="5"/>
  <c r="AE44" i="5"/>
  <c r="AC40" i="7"/>
  <c r="AC56" i="7" s="1"/>
  <c r="AC22" i="4"/>
  <c r="AC25" i="4" s="1"/>
  <c r="AC46" i="4"/>
  <c r="AC49" i="4" s="1"/>
  <c r="AF60" i="6"/>
  <c r="AF33" i="6"/>
  <c r="AE45" i="5"/>
  <c r="AC55" i="7"/>
  <c r="AG32" i="6"/>
  <c r="AD49" i="2"/>
  <c r="AD53" i="5"/>
  <c r="G57" i="7"/>
  <c r="AH25" i="6"/>
  <c r="AH23" i="6"/>
  <c r="AJ18" i="6"/>
  <c r="AI22" i="6"/>
  <c r="I23" i="3"/>
  <c r="AC40" i="4" l="1"/>
  <c r="AC37" i="4"/>
  <c r="G50" i="4"/>
  <c r="G65" i="4"/>
  <c r="H57" i="4" s="1"/>
  <c r="H59" i="4" s="1"/>
  <c r="AC61" i="4"/>
  <c r="AC64" i="4"/>
  <c r="AG60" i="6"/>
  <c r="AG33" i="6"/>
  <c r="AG43" i="6" s="1"/>
  <c r="AE64" i="7"/>
  <c r="AF62" i="2"/>
  <c r="AE51" i="5"/>
  <c r="AC75" i="2"/>
  <c r="AC74" i="2"/>
  <c r="AD39" i="7"/>
  <c r="AD50" i="2"/>
  <c r="AD58" i="2"/>
  <c r="AD45" i="4"/>
  <c r="AD21" i="4"/>
  <c r="AI25" i="6"/>
  <c r="AI23" i="6"/>
  <c r="G26" i="4"/>
  <c r="G41" i="4"/>
  <c r="H33" i="4" s="1"/>
  <c r="H35" i="4" s="1"/>
  <c r="AJ22" i="6"/>
  <c r="AB10" i="7"/>
  <c r="AA12" i="7"/>
  <c r="AH31" i="6"/>
  <c r="AH39" i="6"/>
  <c r="AH40" i="6" s="1"/>
  <c r="AH41" i="6" s="1"/>
  <c r="AH35" i="6"/>
  <c r="AH36" i="6" s="1"/>
  <c r="AC88" i="7"/>
  <c r="AF47" i="6"/>
  <c r="AF64" i="6"/>
  <c r="AF65" i="6" s="1"/>
  <c r="AG64" i="6" l="1"/>
  <c r="AG48" i="6"/>
  <c r="AG47" i="6"/>
  <c r="AG62" i="6"/>
  <c r="AF67" i="6"/>
  <c r="AF68" i="6" s="1"/>
  <c r="AD25" i="4"/>
  <c r="AH32" i="6"/>
  <c r="AJ25" i="6"/>
  <c r="AJ23" i="6"/>
  <c r="AD55" i="7"/>
  <c r="AI35" i="6"/>
  <c r="AI36" i="6" s="1"/>
  <c r="AI39" i="6"/>
  <c r="AI40" i="6" s="1"/>
  <c r="AI41" i="6" s="1"/>
  <c r="AI31" i="6"/>
  <c r="AE49" i="2"/>
  <c r="AF51" i="5"/>
  <c r="AE53" i="5"/>
  <c r="AF53" i="5" s="1"/>
  <c r="G51" i="4"/>
  <c r="AH37" i="6"/>
  <c r="AB12" i="7"/>
  <c r="AC10" i="7"/>
  <c r="AD59" i="2"/>
  <c r="AD72" i="2"/>
  <c r="G27" i="4"/>
  <c r="AK18" i="6"/>
  <c r="AD40" i="7"/>
  <c r="AD56" i="7" s="1"/>
  <c r="AD46" i="4"/>
  <c r="AD49" i="4" s="1"/>
  <c r="AD22" i="4"/>
  <c r="AE90" i="7"/>
  <c r="AE18" i="7"/>
  <c r="AD64" i="4" l="1"/>
  <c r="AD61" i="4"/>
  <c r="G54" i="4"/>
  <c r="AD40" i="4"/>
  <c r="AD37" i="4"/>
  <c r="AD88" i="7"/>
  <c r="AG65" i="6"/>
  <c r="AH62" i="6" s="1"/>
  <c r="AG67" i="6"/>
  <c r="AG68" i="6" s="1"/>
  <c r="AI32" i="6"/>
  <c r="AC12" i="7"/>
  <c r="AD10" i="7"/>
  <c r="AE39" i="7"/>
  <c r="AE58" i="2"/>
  <c r="AE50" i="2"/>
  <c r="AE21" i="4"/>
  <c r="AE45" i="4"/>
  <c r="AF49" i="2"/>
  <c r="AK22" i="6"/>
  <c r="AJ31" i="6"/>
  <c r="AJ35" i="6"/>
  <c r="AJ36" i="6" s="1"/>
  <c r="AJ39" i="6"/>
  <c r="AJ40" i="6" s="1"/>
  <c r="AJ41" i="6" s="1"/>
  <c r="G30" i="4"/>
  <c r="AI37" i="6"/>
  <c r="AH60" i="6"/>
  <c r="AH33" i="6"/>
  <c r="AH43" i="6" s="1"/>
  <c r="AD75" i="2"/>
  <c r="AD74" i="2"/>
  <c r="AH47" i="6" l="1"/>
  <c r="AH64" i="6"/>
  <c r="AH48" i="6"/>
  <c r="AF45" i="4"/>
  <c r="AE49" i="4"/>
  <c r="AE59" i="2"/>
  <c r="AF59" i="2" s="1"/>
  <c r="AF58" i="2"/>
  <c r="AE72" i="2"/>
  <c r="AI43" i="6"/>
  <c r="AI64" i="6" s="1"/>
  <c r="AK25" i="6"/>
  <c r="AK23" i="6"/>
  <c r="AE55" i="7"/>
  <c r="AL18" i="6"/>
  <c r="AL22" i="6" s="1"/>
  <c r="AE10" i="7"/>
  <c r="AE12" i="7" s="1"/>
  <c r="AD12" i="7"/>
  <c r="G53" i="2"/>
  <c r="G73" i="4"/>
  <c r="G61" i="2"/>
  <c r="AJ37" i="6"/>
  <c r="AI60" i="6"/>
  <c r="AI33" i="6"/>
  <c r="AJ32" i="6"/>
  <c r="AH67" i="6"/>
  <c r="AH68" i="6" s="1"/>
  <c r="AH65" i="6"/>
  <c r="AI62" i="6" s="1"/>
  <c r="AF21" i="4"/>
  <c r="AE25" i="4"/>
  <c r="AE40" i="7"/>
  <c r="AE56" i="7" s="1"/>
  <c r="AE22" i="4"/>
  <c r="AF22" i="4" s="1"/>
  <c r="AE46" i="4"/>
  <c r="AF46" i="4" s="1"/>
  <c r="AF50" i="2"/>
  <c r="G58" i="7" l="1"/>
  <c r="G69" i="2"/>
  <c r="G64" i="2"/>
  <c r="AE88" i="7"/>
  <c r="AE64" i="4"/>
  <c r="AE61" i="4"/>
  <c r="AJ60" i="6"/>
  <c r="AJ33" i="6"/>
  <c r="AJ43" i="6" s="1"/>
  <c r="G74" i="4"/>
  <c r="AK35" i="6"/>
  <c r="AK36" i="6" s="1"/>
  <c r="AK31" i="6"/>
  <c r="AK39" i="6"/>
  <c r="AK40" i="6" s="1"/>
  <c r="AK41" i="6" s="1"/>
  <c r="AI48" i="6"/>
  <c r="G42" i="7"/>
  <c r="G55" i="2"/>
  <c r="AE74" i="2"/>
  <c r="AE75" i="2"/>
  <c r="AF72" i="2"/>
  <c r="AI47" i="6"/>
  <c r="AI67" i="6"/>
  <c r="AI68" i="6" s="1"/>
  <c r="AI65" i="6"/>
  <c r="AJ62" i="6" s="1"/>
  <c r="AL25" i="6"/>
  <c r="AL23" i="6"/>
  <c r="AM22" i="6"/>
  <c r="AE37" i="4"/>
  <c r="AE40" i="4"/>
  <c r="AJ64" i="6" l="1"/>
  <c r="AJ48" i="6"/>
  <c r="AJ47" i="6"/>
  <c r="D79" i="2"/>
  <c r="D78" i="2"/>
  <c r="AL35" i="6"/>
  <c r="AL39" i="6"/>
  <c r="AL31" i="6"/>
  <c r="AM25" i="6"/>
  <c r="AJ65" i="6"/>
  <c r="AK62" i="6" s="1"/>
  <c r="G67" i="7"/>
  <c r="G68" i="4"/>
  <c r="G69" i="4" s="1"/>
  <c r="J11" i="3"/>
  <c r="G17" i="7"/>
  <c r="G43" i="7"/>
  <c r="G45" i="7" s="1"/>
  <c r="AK32" i="6"/>
  <c r="G70" i="2"/>
  <c r="G87" i="7"/>
  <c r="G60" i="7"/>
  <c r="AK37" i="6"/>
  <c r="G70" i="7" l="1"/>
  <c r="G72" i="7" s="1"/>
  <c r="G19" i="7"/>
  <c r="G93" i="7"/>
  <c r="G95" i="7" s="1"/>
  <c r="AM31" i="6"/>
  <c r="AL32" i="6"/>
  <c r="G70" i="4"/>
  <c r="G71" i="4" s="1"/>
  <c r="AM39" i="6"/>
  <c r="AL40" i="6"/>
  <c r="AL41" i="6" s="1"/>
  <c r="AM41" i="6" s="1"/>
  <c r="G75" i="2"/>
  <c r="G23" i="7"/>
  <c r="G92" i="7"/>
  <c r="G68" i="7"/>
  <c r="AM35" i="6"/>
  <c r="AL36" i="6"/>
  <c r="G76" i="4"/>
  <c r="G46" i="7"/>
  <c r="G24" i="7"/>
  <c r="AJ67" i="6"/>
  <c r="AJ68" i="6" s="1"/>
  <c r="AK43" i="6"/>
  <c r="AK48" i="6" s="1"/>
  <c r="J22" i="3"/>
  <c r="AK60" i="6"/>
  <c r="AK33" i="6"/>
  <c r="G6" i="7" l="1"/>
  <c r="G14" i="7" s="1"/>
  <c r="H71" i="7"/>
  <c r="G25" i="7"/>
  <c r="AL60" i="6"/>
  <c r="AL33" i="6"/>
  <c r="AM33" i="6" s="1"/>
  <c r="AK47" i="6"/>
  <c r="AK64" i="6"/>
  <c r="AK65" i="6" s="1"/>
  <c r="AL37" i="6"/>
  <c r="G78" i="4"/>
  <c r="G80" i="4" l="1"/>
  <c r="AL43" i="6"/>
  <c r="AM37" i="6"/>
  <c r="G27" i="7"/>
  <c r="G28" i="7" s="1"/>
  <c r="H83" i="4"/>
  <c r="H84" i="4" s="1"/>
  <c r="H87" i="4" s="1"/>
  <c r="AL62" i="6"/>
  <c r="AK67" i="6"/>
  <c r="AK68" i="6" s="1"/>
  <c r="J23" i="3" l="1"/>
  <c r="AM62" i="6"/>
  <c r="H41" i="7"/>
  <c r="H51" i="2"/>
  <c r="H60" i="2"/>
  <c r="H23" i="4"/>
  <c r="H25" i="4" s="1"/>
  <c r="H47" i="4"/>
  <c r="H49" i="4" s="1"/>
  <c r="AM43" i="6"/>
  <c r="AL64" i="6"/>
  <c r="AM64" i="6" s="1"/>
  <c r="AL47" i="6"/>
  <c r="AM47" i="6" s="1"/>
  <c r="H2" i="1" s="1"/>
  <c r="AL48" i="6"/>
  <c r="AM48" i="6" s="1"/>
  <c r="H57" i="7" l="1"/>
  <c r="C45" i="6"/>
  <c r="Z6" i="1" s="1"/>
  <c r="AA6" i="1" s="1"/>
  <c r="AN14" i="6"/>
  <c r="G2" i="1"/>
  <c r="AN22" i="6"/>
  <c r="AN25" i="6"/>
  <c r="AL65" i="6"/>
  <c r="H60" i="4"/>
  <c r="H64" i="4"/>
  <c r="H61" i="4"/>
  <c r="H63" i="4"/>
  <c r="H37" i="4"/>
  <c r="H40" i="4"/>
  <c r="H36" i="4"/>
  <c r="H39" i="4" s="1"/>
  <c r="G10" i="3"/>
  <c r="H26" i="4" l="1"/>
  <c r="H41" i="4"/>
  <c r="I33" i="4" s="1"/>
  <c r="I35" i="4" s="1"/>
  <c r="AM65" i="6"/>
  <c r="AL67" i="6"/>
  <c r="H10" i="3"/>
  <c r="G12" i="3"/>
  <c r="G21" i="3"/>
  <c r="H50" i="4"/>
  <c r="H65" i="4"/>
  <c r="I57" i="4" s="1"/>
  <c r="I59" i="4" s="1"/>
  <c r="H51" i="4" l="1"/>
  <c r="I10" i="3"/>
  <c r="J10" i="3"/>
  <c r="G24" i="3"/>
  <c r="G14" i="3"/>
  <c r="G15" i="3"/>
  <c r="H12" i="3"/>
  <c r="H21" i="3"/>
  <c r="H24" i="3" s="1"/>
  <c r="AL68" i="6"/>
  <c r="AM67" i="6"/>
  <c r="H27" i="4"/>
  <c r="L10" i="3" l="1"/>
  <c r="H15" i="3"/>
  <c r="I21" i="3"/>
  <c r="I24" i="3" s="1"/>
  <c r="I12" i="3"/>
  <c r="C10" i="3"/>
  <c r="K10" i="3"/>
  <c r="I15" i="3"/>
  <c r="I14" i="3"/>
  <c r="G26" i="3"/>
  <c r="H27" i="3"/>
  <c r="I27" i="3"/>
  <c r="I26" i="3"/>
  <c r="G27" i="3"/>
  <c r="H26" i="3"/>
  <c r="B70" i="6"/>
  <c r="Z9" i="1" s="1"/>
  <c r="AA9" i="1" s="1"/>
  <c r="AC14" i="1" s="1"/>
  <c r="N1" i="1" s="1"/>
  <c r="AM68" i="6"/>
  <c r="H14" i="3"/>
  <c r="H54" i="4"/>
  <c r="J12" i="3"/>
  <c r="J21" i="3"/>
  <c r="J24" i="3" s="1"/>
  <c r="H30" i="4"/>
  <c r="H53" i="2" l="1"/>
  <c r="H73" i="4"/>
  <c r="K21" i="3"/>
  <c r="J15" i="3"/>
  <c r="J27" i="3"/>
  <c r="H61" i="2"/>
  <c r="J26" i="3"/>
  <c r="C21" i="3"/>
  <c r="AI21" i="3"/>
  <c r="L21" i="3"/>
  <c r="AI10" i="3"/>
  <c r="J14" i="3"/>
  <c r="H74" i="4" l="1"/>
  <c r="H42" i="7"/>
  <c r="H55" i="2"/>
  <c r="H58" i="7"/>
  <c r="H69" i="2"/>
  <c r="H64" i="2"/>
  <c r="H87" i="7" l="1"/>
  <c r="H60" i="7"/>
  <c r="H17" i="7"/>
  <c r="H43" i="7"/>
  <c r="H45" i="7" s="1"/>
  <c r="H67" i="7"/>
  <c r="H68" i="4"/>
  <c r="H69" i="4" s="1"/>
  <c r="K11" i="3"/>
  <c r="H70" i="2"/>
  <c r="H70" i="4" l="1"/>
  <c r="H71" i="4" s="1"/>
  <c r="H23" i="7"/>
  <c r="H25" i="7" s="1"/>
  <c r="H92" i="7"/>
  <c r="H68" i="7"/>
  <c r="H70" i="7" s="1"/>
  <c r="H72" i="7" s="1"/>
  <c r="H46" i="7"/>
  <c r="H24" i="7"/>
  <c r="H19" i="7"/>
  <c r="H75" i="2"/>
  <c r="H76" i="4"/>
  <c r="H93" i="7"/>
  <c r="H95" i="7" s="1"/>
  <c r="K22" i="3"/>
  <c r="K12" i="3"/>
  <c r="H6" i="7" l="1"/>
  <c r="H14" i="7" s="1"/>
  <c r="I71" i="7"/>
  <c r="H78" i="4"/>
  <c r="H27" i="7"/>
  <c r="I83" i="4"/>
  <c r="I84" i="4" s="1"/>
  <c r="I87" i="4" s="1"/>
  <c r="K15" i="3"/>
  <c r="K14" i="3"/>
  <c r="H28" i="7" l="1"/>
  <c r="I41" i="7"/>
  <c r="I51" i="2"/>
  <c r="I60" i="2"/>
  <c r="I23" i="4"/>
  <c r="I25" i="4" s="1"/>
  <c r="I47" i="4"/>
  <c r="I49" i="4" s="1"/>
  <c r="H80" i="4"/>
  <c r="I60" i="4" l="1"/>
  <c r="I64" i="4"/>
  <c r="I61" i="4"/>
  <c r="I63" i="4" s="1"/>
  <c r="I57" i="7"/>
  <c r="K23" i="3"/>
  <c r="I40" i="4"/>
  <c r="I39" i="4"/>
  <c r="I37" i="4"/>
  <c r="I36" i="4"/>
  <c r="I50" i="4" l="1"/>
  <c r="I65" i="4"/>
  <c r="J57" i="4" s="1"/>
  <c r="J59" i="4" s="1"/>
  <c r="I26" i="4"/>
  <c r="I41" i="4"/>
  <c r="J33" i="4" s="1"/>
  <c r="J35" i="4" s="1"/>
  <c r="K24" i="3"/>
  <c r="I51" i="4" l="1"/>
  <c r="I27" i="4"/>
  <c r="K27" i="3"/>
  <c r="K26" i="3"/>
  <c r="I30" i="4" l="1"/>
  <c r="I54" i="4"/>
  <c r="I61" i="2" l="1"/>
  <c r="I53" i="2"/>
  <c r="I73" i="4"/>
  <c r="I74" i="4" l="1"/>
  <c r="I42" i="7"/>
  <c r="I55" i="2"/>
  <c r="I58" i="7"/>
  <c r="I69" i="2"/>
  <c r="I64" i="2"/>
  <c r="I87" i="7" l="1"/>
  <c r="I60" i="7"/>
  <c r="I17" i="7"/>
  <c r="I43" i="7"/>
  <c r="I45" i="7" s="1"/>
  <c r="I67" i="7"/>
  <c r="I68" i="4"/>
  <c r="I69" i="4" s="1"/>
  <c r="L11" i="3"/>
  <c r="I70" i="2"/>
  <c r="I70" i="4" l="1"/>
  <c r="I71" i="4" s="1"/>
  <c r="I23" i="7"/>
  <c r="I25" i="7" s="1"/>
  <c r="I92" i="7"/>
  <c r="I68" i="7"/>
  <c r="I70" i="7" s="1"/>
  <c r="I72" i="7" s="1"/>
  <c r="I46" i="7"/>
  <c r="I24" i="7"/>
  <c r="I19" i="7"/>
  <c r="I75" i="2"/>
  <c r="I76" i="4"/>
  <c r="I93" i="7"/>
  <c r="I95" i="7" s="1"/>
  <c r="L22" i="3"/>
  <c r="L12" i="3"/>
  <c r="I6" i="7" l="1"/>
  <c r="I14" i="7" s="1"/>
  <c r="J71" i="7"/>
  <c r="I78" i="4"/>
  <c r="I27" i="7"/>
  <c r="J83" i="4"/>
  <c r="J84" i="4" s="1"/>
  <c r="J87" i="4" s="1"/>
  <c r="L14" i="3"/>
  <c r="L15" i="3"/>
  <c r="I28" i="7" l="1"/>
  <c r="J41" i="7"/>
  <c r="J60" i="2"/>
  <c r="J51" i="2"/>
  <c r="J23" i="4"/>
  <c r="J25" i="4" s="1"/>
  <c r="J47" i="4"/>
  <c r="J49" i="4" s="1"/>
  <c r="I80" i="4"/>
  <c r="J36" i="4" l="1"/>
  <c r="J39" i="4"/>
  <c r="J40" i="4"/>
  <c r="J37" i="4"/>
  <c r="J57" i="7"/>
  <c r="L23" i="3"/>
  <c r="J60" i="4"/>
  <c r="J64" i="4"/>
  <c r="J61" i="4"/>
  <c r="J63" i="4" s="1"/>
  <c r="J50" i="4" l="1"/>
  <c r="K58" i="4"/>
  <c r="J65" i="4"/>
  <c r="K57" i="4" s="1"/>
  <c r="J26" i="4"/>
  <c r="K34" i="4"/>
  <c r="J41" i="4"/>
  <c r="K33" i="4" s="1"/>
  <c r="K35" i="4" s="1"/>
  <c r="L24" i="3"/>
  <c r="L26" i="3" l="1"/>
  <c r="L27" i="3"/>
  <c r="K59" i="4"/>
  <c r="J27" i="4"/>
  <c r="J30" i="4" s="1"/>
  <c r="J51" i="4"/>
  <c r="J54" i="4" s="1"/>
  <c r="J61" i="2" s="1"/>
  <c r="J53" i="2" l="1"/>
  <c r="J73" i="4"/>
  <c r="J74" i="4" s="1"/>
  <c r="J58" i="7"/>
  <c r="J69" i="2"/>
  <c r="J70" i="2" s="1"/>
  <c r="J75" i="2" s="1"/>
  <c r="J64" i="2"/>
  <c r="J67" i="7" l="1"/>
  <c r="J68" i="4"/>
  <c r="J69" i="4" s="1"/>
  <c r="M11" i="3"/>
  <c r="J76" i="4"/>
  <c r="J78" i="4" s="1"/>
  <c r="J87" i="7"/>
  <c r="J60" i="7"/>
  <c r="J42" i="7"/>
  <c r="J55" i="2"/>
  <c r="M12" i="3" l="1"/>
  <c r="M22" i="3"/>
  <c r="J17" i="7"/>
  <c r="J43" i="7"/>
  <c r="J45" i="7" s="1"/>
  <c r="J70" i="4"/>
  <c r="J23" i="7"/>
  <c r="J92" i="7"/>
  <c r="J93" i="7" s="1"/>
  <c r="J95" i="7" s="1"/>
  <c r="J68" i="7"/>
  <c r="J70" i="7" s="1"/>
  <c r="J72" i="7" s="1"/>
  <c r="J6" i="7" l="1"/>
  <c r="J14" i="7" s="1"/>
  <c r="K71" i="7"/>
  <c r="J46" i="7"/>
  <c r="J24" i="7"/>
  <c r="J19" i="7"/>
  <c r="M15" i="3"/>
  <c r="M14" i="3"/>
  <c r="J71" i="4"/>
  <c r="J80" i="4" s="1"/>
  <c r="M23" i="3" s="1"/>
  <c r="M24" i="3" s="1"/>
  <c r="M26" i="3" l="1"/>
  <c r="M27" i="3"/>
  <c r="J25" i="7"/>
  <c r="J27" i="7" l="1"/>
  <c r="J28" i="7" s="1"/>
  <c r="K83" i="4"/>
  <c r="K84" i="4" s="1"/>
  <c r="K87" i="4" s="1"/>
  <c r="K41" i="7" l="1"/>
  <c r="K51" i="2"/>
  <c r="K60" i="2"/>
  <c r="K23" i="4"/>
  <c r="K25" i="4" s="1"/>
  <c r="K47" i="4"/>
  <c r="K49" i="4" s="1"/>
  <c r="K57" i="7" l="1"/>
  <c r="K60" i="4"/>
  <c r="K64" i="4"/>
  <c r="K61" i="4"/>
  <c r="K63" i="4" s="1"/>
  <c r="K40" i="4"/>
  <c r="K36" i="4"/>
  <c r="K39" i="4" s="1"/>
  <c r="K37" i="4"/>
  <c r="K50" i="4" l="1"/>
  <c r="K51" i="4" s="1"/>
  <c r="K54" i="4" s="1"/>
  <c r="K61" i="2" s="1"/>
  <c r="L58" i="4"/>
  <c r="K65" i="4"/>
  <c r="L57" i="4" s="1"/>
  <c r="L59" i="4" s="1"/>
  <c r="K26" i="4"/>
  <c r="K27" i="4" s="1"/>
  <c r="K30" i="4" s="1"/>
  <c r="L34" i="4"/>
  <c r="K41" i="4"/>
  <c r="L33" i="4" s="1"/>
  <c r="K53" i="2" l="1"/>
  <c r="K73" i="4"/>
  <c r="K74" i="4" s="1"/>
  <c r="K58" i="7"/>
  <c r="K69" i="2"/>
  <c r="K70" i="2" s="1"/>
  <c r="K75" i="2" s="1"/>
  <c r="K64" i="2"/>
  <c r="L35" i="4"/>
  <c r="K42" i="7" l="1"/>
  <c r="K55" i="2"/>
  <c r="K67" i="7"/>
  <c r="K68" i="4"/>
  <c r="K69" i="4" s="1"/>
  <c r="N11" i="3"/>
  <c r="K87" i="7"/>
  <c r="K60" i="7"/>
  <c r="K17" i="7" l="1"/>
  <c r="K43" i="7"/>
  <c r="K45" i="7" s="1"/>
  <c r="K70" i="7"/>
  <c r="K72" i="7" s="1"/>
  <c r="K93" i="7"/>
  <c r="K95" i="7" s="1"/>
  <c r="N12" i="3"/>
  <c r="N22" i="3"/>
  <c r="K92" i="7"/>
  <c r="K23" i="7"/>
  <c r="K68" i="7"/>
  <c r="K70" i="4"/>
  <c r="K71" i="4" s="1"/>
  <c r="K76" i="4"/>
  <c r="K78" i="4" s="1"/>
  <c r="K6" i="7" l="1"/>
  <c r="K14" i="7" s="1"/>
  <c r="L71" i="7"/>
  <c r="K46" i="7"/>
  <c r="K24" i="7"/>
  <c r="K25" i="7"/>
  <c r="K80" i="4"/>
  <c r="N23" i="3" s="1"/>
  <c r="N24" i="3" s="1"/>
  <c r="N15" i="3"/>
  <c r="N14" i="3"/>
  <c r="K19" i="7"/>
  <c r="N26" i="3" l="1"/>
  <c r="N27" i="3"/>
  <c r="K27" i="7"/>
  <c r="K28" i="7" s="1"/>
  <c r="L83" i="4"/>
  <c r="L84" i="4" s="1"/>
  <c r="L87" i="4" s="1"/>
  <c r="L41" i="7" l="1"/>
  <c r="L51" i="2"/>
  <c r="L60" i="2"/>
  <c r="L23" i="4"/>
  <c r="L25" i="4" s="1"/>
  <c r="L47" i="4"/>
  <c r="L49" i="4" s="1"/>
  <c r="L61" i="4" l="1"/>
  <c r="L64" i="4"/>
  <c r="L60" i="4"/>
  <c r="L63" i="4" s="1"/>
  <c r="L39" i="4"/>
  <c r="L40" i="4"/>
  <c r="L37" i="4"/>
  <c r="L36" i="4"/>
  <c r="L57" i="7"/>
  <c r="L50" i="4" l="1"/>
  <c r="L51" i="4" s="1"/>
  <c r="L54" i="4" s="1"/>
  <c r="L61" i="2" s="1"/>
  <c r="M58" i="4"/>
  <c r="L65" i="4"/>
  <c r="M57" i="4" s="1"/>
  <c r="M59" i="4" s="1"/>
  <c r="L26" i="4"/>
  <c r="L27" i="4" s="1"/>
  <c r="L30" i="4" s="1"/>
  <c r="M34" i="4"/>
  <c r="L41" i="4"/>
  <c r="M33" i="4" s="1"/>
  <c r="M35" i="4" s="1"/>
  <c r="L53" i="2" l="1"/>
  <c r="L73" i="4"/>
  <c r="L74" i="4" s="1"/>
  <c r="L58" i="7"/>
  <c r="L69" i="2"/>
  <c r="L70" i="2" s="1"/>
  <c r="L75" i="2" s="1"/>
  <c r="L64" i="2"/>
  <c r="L42" i="7" l="1"/>
  <c r="L55" i="2"/>
  <c r="L67" i="7"/>
  <c r="L68" i="4"/>
  <c r="L69" i="4" s="1"/>
  <c r="O11" i="3"/>
  <c r="L87" i="7"/>
  <c r="L60" i="7"/>
  <c r="O12" i="3" l="1"/>
  <c r="O22" i="3"/>
  <c r="L70" i="4"/>
  <c r="L71" i="4" s="1"/>
  <c r="L23" i="7"/>
  <c r="L92" i="7"/>
  <c r="L93" i="7" s="1"/>
  <c r="L95" i="7" s="1"/>
  <c r="L68" i="7"/>
  <c r="L17" i="7"/>
  <c r="L43" i="7"/>
  <c r="L45" i="7" s="1"/>
  <c r="L76" i="4"/>
  <c r="L78" i="4" s="1"/>
  <c r="L70" i="7"/>
  <c r="L72" i="7" s="1"/>
  <c r="L25" i="7" l="1"/>
  <c r="L6" i="7"/>
  <c r="L14" i="7" s="1"/>
  <c r="M71" i="7"/>
  <c r="L80" i="4"/>
  <c r="O23" i="3" s="1"/>
  <c r="O24" i="3"/>
  <c r="L46" i="7"/>
  <c r="L24" i="7"/>
  <c r="O14" i="3"/>
  <c r="O15" i="3"/>
  <c r="L19" i="7"/>
  <c r="L27" i="7" l="1"/>
  <c r="L28" i="7" s="1"/>
  <c r="M83" i="4"/>
  <c r="M84" i="4" s="1"/>
  <c r="M87" i="4" s="1"/>
  <c r="O27" i="3"/>
  <c r="O26" i="3"/>
  <c r="M41" i="7" l="1"/>
  <c r="M60" i="2"/>
  <c r="M51" i="2"/>
  <c r="M23" i="4"/>
  <c r="M25" i="4" s="1"/>
  <c r="M47" i="4"/>
  <c r="M49" i="4" s="1"/>
  <c r="M61" i="4" l="1"/>
  <c r="M63" i="4"/>
  <c r="M60" i="4"/>
  <c r="M64" i="4"/>
  <c r="M39" i="4"/>
  <c r="M36" i="4"/>
  <c r="M37" i="4"/>
  <c r="M40" i="4"/>
  <c r="M57" i="7"/>
  <c r="M26" i="4" l="1"/>
  <c r="M27" i="4" s="1"/>
  <c r="M30" i="4" s="1"/>
  <c r="N34" i="4"/>
  <c r="M41" i="4"/>
  <c r="N33" i="4" s="1"/>
  <c r="N35" i="4" s="1"/>
  <c r="M50" i="4"/>
  <c r="M51" i="4" s="1"/>
  <c r="M54" i="4" s="1"/>
  <c r="M61" i="2" s="1"/>
  <c r="N58" i="4"/>
  <c r="M65" i="4"/>
  <c r="N57" i="4" s="1"/>
  <c r="N59" i="4" s="1"/>
  <c r="M53" i="2" l="1"/>
  <c r="M73" i="4"/>
  <c r="M74" i="4" s="1"/>
  <c r="M58" i="7"/>
  <c r="M69" i="2"/>
  <c r="M70" i="2" s="1"/>
  <c r="M75" i="2" s="1"/>
  <c r="M64" i="2"/>
  <c r="M87" i="7" l="1"/>
  <c r="M60" i="7"/>
  <c r="M76" i="4"/>
  <c r="M78" i="4" s="1"/>
  <c r="M42" i="7"/>
  <c r="M55" i="2"/>
  <c r="M67" i="7"/>
  <c r="M68" i="4"/>
  <c r="M69" i="4" s="1"/>
  <c r="P11" i="3"/>
  <c r="M23" i="7" l="1"/>
  <c r="M92" i="7"/>
  <c r="M93" i="7" s="1"/>
  <c r="M95" i="7" s="1"/>
  <c r="M68" i="7"/>
  <c r="M70" i="7" s="1"/>
  <c r="M72" i="7" s="1"/>
  <c r="M17" i="7"/>
  <c r="M43" i="7"/>
  <c r="M45" i="7" s="1"/>
  <c r="P12" i="3"/>
  <c r="P22" i="3"/>
  <c r="M70" i="4"/>
  <c r="M6" i="7" l="1"/>
  <c r="M14" i="7" s="1"/>
  <c r="N71" i="7"/>
  <c r="M46" i="7"/>
  <c r="M24" i="7"/>
  <c r="M25" i="7" s="1"/>
  <c r="M71" i="4"/>
  <c r="M80" i="4" s="1"/>
  <c r="P23" i="3" s="1"/>
  <c r="P24" i="3" s="1"/>
  <c r="M19" i="7"/>
  <c r="P14" i="3"/>
  <c r="P15" i="3"/>
  <c r="P26" i="3" l="1"/>
  <c r="P27" i="3"/>
  <c r="M27" i="7"/>
  <c r="N83" i="4"/>
  <c r="N84" i="4" s="1"/>
  <c r="N87" i="4" s="1"/>
  <c r="M28" i="7"/>
  <c r="N41" i="7" l="1"/>
  <c r="N51" i="2"/>
  <c r="N60" i="2"/>
  <c r="N47" i="4"/>
  <c r="N49" i="4" s="1"/>
  <c r="N23" i="4"/>
  <c r="N25" i="4" s="1"/>
  <c r="N40" i="4" l="1"/>
  <c r="N37" i="4"/>
  <c r="N36" i="4"/>
  <c r="N39" i="4"/>
  <c r="N64" i="4"/>
  <c r="N61" i="4"/>
  <c r="N60" i="4"/>
  <c r="N63" i="4" s="1"/>
  <c r="N57" i="7"/>
  <c r="N50" i="4" l="1"/>
  <c r="N51" i="4" s="1"/>
  <c r="N54" i="4" s="1"/>
  <c r="N61" i="2" s="1"/>
  <c r="O58" i="4"/>
  <c r="N65" i="4"/>
  <c r="O57" i="4" s="1"/>
  <c r="O59" i="4" s="1"/>
  <c r="N26" i="4"/>
  <c r="N27" i="4" s="1"/>
  <c r="N30" i="4" s="1"/>
  <c r="O34" i="4"/>
  <c r="N41" i="4"/>
  <c r="O33" i="4" s="1"/>
  <c r="O35" i="4" s="1"/>
  <c r="N53" i="2" l="1"/>
  <c r="N73" i="4"/>
  <c r="N74" i="4" s="1"/>
  <c r="N58" i="7"/>
  <c r="N69" i="2"/>
  <c r="N70" i="2" s="1"/>
  <c r="N75" i="2" s="1"/>
  <c r="N64" i="2"/>
  <c r="N87" i="7" l="1"/>
  <c r="N60" i="7"/>
  <c r="N76" i="4"/>
  <c r="N78" i="4" s="1"/>
  <c r="N42" i="7"/>
  <c r="N55" i="2"/>
  <c r="N67" i="7"/>
  <c r="N68" i="4"/>
  <c r="N69" i="4" s="1"/>
  <c r="Q11" i="3"/>
  <c r="N23" i="7" l="1"/>
  <c r="N92" i="7"/>
  <c r="N93" i="7" s="1"/>
  <c r="N95" i="7" s="1"/>
  <c r="N68" i="7"/>
  <c r="N70" i="7" s="1"/>
  <c r="N72" i="7" s="1"/>
  <c r="N17" i="7"/>
  <c r="N43" i="7"/>
  <c r="N45" i="7" s="1"/>
  <c r="Q22" i="3"/>
  <c r="Q12" i="3"/>
  <c r="N70" i="4"/>
  <c r="N6" i="7" l="1"/>
  <c r="N14" i="7" s="1"/>
  <c r="O71" i="7"/>
  <c r="N46" i="7"/>
  <c r="N24" i="7"/>
  <c r="N25" i="7" s="1"/>
  <c r="N71" i="4"/>
  <c r="N80" i="4" s="1"/>
  <c r="Q23" i="3" s="1"/>
  <c r="Q24" i="3" s="1"/>
  <c r="N19" i="7"/>
  <c r="Q14" i="3"/>
  <c r="Q15" i="3"/>
  <c r="Q27" i="3" l="1"/>
  <c r="Q26" i="3"/>
  <c r="N27" i="7"/>
  <c r="O83" i="4"/>
  <c r="O84" i="4" s="1"/>
  <c r="O87" i="4" s="1"/>
  <c r="N28" i="7"/>
  <c r="O41" i="7" l="1"/>
  <c r="O51" i="2"/>
  <c r="O60" i="2"/>
  <c r="O23" i="4"/>
  <c r="O25" i="4" s="1"/>
  <c r="O47" i="4"/>
  <c r="O49" i="4" s="1"/>
  <c r="O60" i="4" l="1"/>
  <c r="O64" i="4"/>
  <c r="O61" i="4"/>
  <c r="O63" i="4"/>
  <c r="O37" i="4"/>
  <c r="O39" i="4" s="1"/>
  <c r="O36" i="4"/>
  <c r="O40" i="4"/>
  <c r="O57" i="7"/>
  <c r="O26" i="4" l="1"/>
  <c r="O27" i="4" s="1"/>
  <c r="O30" i="4" s="1"/>
  <c r="P34" i="4"/>
  <c r="O41" i="4"/>
  <c r="P33" i="4" s="1"/>
  <c r="P35" i="4" s="1"/>
  <c r="O50" i="4"/>
  <c r="O51" i="4" s="1"/>
  <c r="O54" i="4" s="1"/>
  <c r="O61" i="2" s="1"/>
  <c r="P58" i="4"/>
  <c r="O65" i="4"/>
  <c r="P57" i="4" s="1"/>
  <c r="P59" i="4" s="1"/>
  <c r="O53" i="2" l="1"/>
  <c r="O73" i="4"/>
  <c r="O74" i="4" s="1"/>
  <c r="O58" i="7"/>
  <c r="O69" i="2"/>
  <c r="O70" i="2" s="1"/>
  <c r="O75" i="2" s="1"/>
  <c r="O64" i="2"/>
  <c r="O76" i="4" l="1"/>
  <c r="O78" i="4" s="1"/>
  <c r="O42" i="7"/>
  <c r="O55" i="2"/>
  <c r="O87" i="7"/>
  <c r="O60" i="7"/>
  <c r="O67" i="7"/>
  <c r="O68" i="4"/>
  <c r="O69" i="4" s="1"/>
  <c r="R11" i="3"/>
  <c r="O23" i="7" l="1"/>
  <c r="O92" i="7"/>
  <c r="O68" i="7"/>
  <c r="O70" i="7" s="1"/>
  <c r="O72" i="7" s="1"/>
  <c r="O17" i="7"/>
  <c r="O43" i="7"/>
  <c r="O45" i="7" s="1"/>
  <c r="R12" i="3"/>
  <c r="R22" i="3"/>
  <c r="O70" i="4"/>
  <c r="O93" i="7"/>
  <c r="O95" i="7" s="1"/>
  <c r="O6" i="7" l="1"/>
  <c r="O14" i="7" s="1"/>
  <c r="P71" i="7"/>
  <c r="O19" i="7"/>
  <c r="O25" i="7"/>
  <c r="O71" i="4"/>
  <c r="O80" i="4" s="1"/>
  <c r="R23" i="3" s="1"/>
  <c r="R24" i="3"/>
  <c r="R14" i="3"/>
  <c r="R15" i="3"/>
  <c r="O46" i="7"/>
  <c r="O24" i="7"/>
  <c r="R26" i="3" l="1"/>
  <c r="R27" i="3"/>
  <c r="O27" i="7"/>
  <c r="O28" i="7" s="1"/>
  <c r="P83" i="4"/>
  <c r="P84" i="4" s="1"/>
  <c r="P87" i="4" s="1"/>
  <c r="P51" i="2" l="1"/>
  <c r="P41" i="7"/>
  <c r="P60" i="2"/>
  <c r="P23" i="4"/>
  <c r="P25" i="4" s="1"/>
  <c r="P47" i="4"/>
  <c r="P49" i="4" s="1"/>
  <c r="P60" i="4" l="1"/>
  <c r="P64" i="4"/>
  <c r="P61" i="4"/>
  <c r="P63" i="4"/>
  <c r="P37" i="4"/>
  <c r="P40" i="4"/>
  <c r="P36" i="4"/>
  <c r="P39" i="4"/>
  <c r="P57" i="7"/>
  <c r="P50" i="4" l="1"/>
  <c r="P51" i="4" s="1"/>
  <c r="P54" i="4" s="1"/>
  <c r="P61" i="2" s="1"/>
  <c r="Q58" i="4"/>
  <c r="P65" i="4"/>
  <c r="Q57" i="4" s="1"/>
  <c r="P26" i="4"/>
  <c r="P27" i="4" s="1"/>
  <c r="P30" i="4" s="1"/>
  <c r="Q34" i="4"/>
  <c r="P41" i="4"/>
  <c r="Q33" i="4" s="1"/>
  <c r="P53" i="2" l="1"/>
  <c r="P73" i="4"/>
  <c r="P74" i="4" s="1"/>
  <c r="P58" i="7"/>
  <c r="P69" i="2"/>
  <c r="P70" i="2" s="1"/>
  <c r="P75" i="2" s="1"/>
  <c r="P64" i="2"/>
  <c r="Q35" i="4"/>
  <c r="Q59" i="4"/>
  <c r="P67" i="7" l="1"/>
  <c r="P68" i="4"/>
  <c r="P69" i="4" s="1"/>
  <c r="S11" i="3"/>
  <c r="E78" i="2"/>
  <c r="E30" i="1" s="1"/>
  <c r="E79" i="2"/>
  <c r="P87" i="7"/>
  <c r="P60" i="7"/>
  <c r="P42" i="7"/>
  <c r="P55" i="2"/>
  <c r="H4" i="1" l="1"/>
  <c r="E31" i="1"/>
  <c r="S22" i="3"/>
  <c r="S12" i="3"/>
  <c r="P70" i="4"/>
  <c r="P71" i="4" s="1"/>
  <c r="P17" i="7"/>
  <c r="P43" i="7"/>
  <c r="P45" i="7" s="1"/>
  <c r="P23" i="7"/>
  <c r="P92" i="7"/>
  <c r="P68" i="7"/>
  <c r="P76" i="4"/>
  <c r="P78" i="4" s="1"/>
  <c r="P70" i="7"/>
  <c r="P72" i="7" s="1"/>
  <c r="P93" i="7"/>
  <c r="P95" i="7" s="1"/>
  <c r="P46" i="7" l="1"/>
  <c r="P24" i="7"/>
  <c r="P25" i="7" s="1"/>
  <c r="P6" i="7"/>
  <c r="P14" i="7" s="1"/>
  <c r="Q71" i="7"/>
  <c r="S14" i="3"/>
  <c r="S15" i="3"/>
  <c r="P19" i="7"/>
  <c r="P80" i="4"/>
  <c r="S23" i="3" s="1"/>
  <c r="S24" i="3"/>
  <c r="P27" i="7" l="1"/>
  <c r="Q83" i="4"/>
  <c r="Q84" i="4" s="1"/>
  <c r="Q87" i="4" s="1"/>
  <c r="S27" i="3"/>
  <c r="S26" i="3"/>
  <c r="P28" i="7"/>
  <c r="Q41" i="7" l="1"/>
  <c r="Q51" i="2"/>
  <c r="Q60" i="2"/>
  <c r="Q23" i="4"/>
  <c r="Q25" i="4" s="1"/>
  <c r="Q47" i="4"/>
  <c r="Q49" i="4" s="1"/>
  <c r="Q60" i="4" l="1"/>
  <c r="Q64" i="4"/>
  <c r="Q61" i="4"/>
  <c r="Q63" i="4" s="1"/>
  <c r="Q40" i="4"/>
  <c r="Q37" i="4"/>
  <c r="Q36" i="4"/>
  <c r="Q39" i="4" s="1"/>
  <c r="Q57" i="7"/>
  <c r="Q50" i="4" l="1"/>
  <c r="Q51" i="4" s="1"/>
  <c r="Q54" i="4" s="1"/>
  <c r="Q61" i="2" s="1"/>
  <c r="R58" i="4"/>
  <c r="Q65" i="4"/>
  <c r="R57" i="4" s="1"/>
  <c r="R59" i="4" s="1"/>
  <c r="Q26" i="4"/>
  <c r="Q27" i="4" s="1"/>
  <c r="Q30" i="4" s="1"/>
  <c r="R34" i="4"/>
  <c r="Q41" i="4"/>
  <c r="R33" i="4" s="1"/>
  <c r="R35" i="4" s="1"/>
  <c r="Q53" i="2" l="1"/>
  <c r="Q73" i="4"/>
  <c r="Q74" i="4" s="1"/>
  <c r="Q58" i="7"/>
  <c r="Q69" i="2"/>
  <c r="Q70" i="2" s="1"/>
  <c r="Q64" i="2"/>
  <c r="Q87" i="7" l="1"/>
  <c r="Q60" i="7"/>
  <c r="Q76" i="4"/>
  <c r="Q78" i="4" s="1"/>
  <c r="Q42" i="7"/>
  <c r="Q55" i="2"/>
  <c r="Q67" i="7"/>
  <c r="Q68" i="4"/>
  <c r="Q69" i="4" s="1"/>
  <c r="T11" i="3"/>
  <c r="Q23" i="7" l="1"/>
  <c r="Q92" i="7"/>
  <c r="Q93" i="7" s="1"/>
  <c r="Q95" i="7" s="1"/>
  <c r="Q68" i="7"/>
  <c r="Q70" i="7" s="1"/>
  <c r="Q72" i="7" s="1"/>
  <c r="Q17" i="7"/>
  <c r="Q43" i="7"/>
  <c r="Q45" i="7" s="1"/>
  <c r="T12" i="3"/>
  <c r="T22" i="3"/>
  <c r="Q70" i="4"/>
  <c r="Q6" i="7" l="1"/>
  <c r="Q14" i="7" s="1"/>
  <c r="R71" i="7"/>
  <c r="Q46" i="7"/>
  <c r="Q24" i="7"/>
  <c r="Q71" i="4"/>
  <c r="Q80" i="4" s="1"/>
  <c r="T23" i="3" s="1"/>
  <c r="T24" i="3" s="1"/>
  <c r="Q19" i="7"/>
  <c r="T14" i="3"/>
  <c r="T15" i="3"/>
  <c r="T26" i="3" l="1"/>
  <c r="T27" i="3"/>
  <c r="Q25" i="7"/>
  <c r="Q27" i="7" l="1"/>
  <c r="Q28" i="7" s="1"/>
  <c r="R83" i="4"/>
  <c r="R84" i="4" s="1"/>
  <c r="R87" i="4" s="1"/>
  <c r="R41" i="7" l="1"/>
  <c r="R51" i="2"/>
  <c r="R60" i="2"/>
  <c r="R23" i="4"/>
  <c r="R25" i="4" s="1"/>
  <c r="R47" i="4"/>
  <c r="R49" i="4" s="1"/>
  <c r="R60" i="4" l="1"/>
  <c r="R63" i="4" s="1"/>
  <c r="R64" i="4"/>
  <c r="R61" i="4"/>
  <c r="R36" i="4"/>
  <c r="R39" i="4" s="1"/>
  <c r="R40" i="4"/>
  <c r="R37" i="4"/>
  <c r="R57" i="7"/>
  <c r="R26" i="4" l="1"/>
  <c r="R27" i="4" s="1"/>
  <c r="R30" i="4" s="1"/>
  <c r="S34" i="4"/>
  <c r="R41" i="4"/>
  <c r="S33" i="4" s="1"/>
  <c r="R50" i="4"/>
  <c r="R51" i="4" s="1"/>
  <c r="R54" i="4" s="1"/>
  <c r="R61" i="2" s="1"/>
  <c r="S58" i="4"/>
  <c r="R65" i="4"/>
  <c r="S57" i="4" s="1"/>
  <c r="S59" i="4" s="1"/>
  <c r="S35" i="4" l="1"/>
  <c r="R53" i="2"/>
  <c r="R73" i="4"/>
  <c r="R74" i="4" s="1"/>
  <c r="R58" i="7"/>
  <c r="R69" i="2"/>
  <c r="R70" i="2" s="1"/>
  <c r="R64" i="2"/>
  <c r="R87" i="7" l="1"/>
  <c r="R60" i="7"/>
  <c r="R42" i="7"/>
  <c r="R55" i="2"/>
  <c r="R67" i="7"/>
  <c r="R68" i="4"/>
  <c r="R69" i="4" s="1"/>
  <c r="U11" i="3"/>
  <c r="U12" i="3" l="1"/>
  <c r="U22" i="3"/>
  <c r="R71" i="4"/>
  <c r="R70" i="4"/>
  <c r="R23" i="7"/>
  <c r="R92" i="7"/>
  <c r="R93" i="7" s="1"/>
  <c r="R95" i="7" s="1"/>
  <c r="R68" i="7"/>
  <c r="R17" i="7"/>
  <c r="R43" i="7"/>
  <c r="R45" i="7" s="1"/>
  <c r="R76" i="4"/>
  <c r="R78" i="4" s="1"/>
  <c r="R70" i="7"/>
  <c r="R72" i="7" s="1"/>
  <c r="R25" i="7" l="1"/>
  <c r="R6" i="7"/>
  <c r="R14" i="7" s="1"/>
  <c r="S71" i="7"/>
  <c r="R80" i="4"/>
  <c r="U23" i="3" s="1"/>
  <c r="U24" i="3" s="1"/>
  <c r="R46" i="7"/>
  <c r="R24" i="7"/>
  <c r="R19" i="7"/>
  <c r="U14" i="3"/>
  <c r="U15" i="3"/>
  <c r="U27" i="3" l="1"/>
  <c r="U26" i="3"/>
  <c r="R27" i="7"/>
  <c r="R28" i="7" s="1"/>
  <c r="S83" i="4"/>
  <c r="S84" i="4" s="1"/>
  <c r="S87" i="4" s="1"/>
  <c r="S41" i="7" l="1"/>
  <c r="S60" i="2"/>
  <c r="S51" i="2"/>
  <c r="S23" i="4"/>
  <c r="S25" i="4" s="1"/>
  <c r="S47" i="4"/>
  <c r="S49" i="4" s="1"/>
  <c r="AF87" i="4"/>
  <c r="S60" i="4" l="1"/>
  <c r="S63" i="4" s="1"/>
  <c r="S61" i="4"/>
  <c r="S64" i="4"/>
  <c r="AF49" i="4"/>
  <c r="S40" i="4"/>
  <c r="S36" i="4"/>
  <c r="S39" i="4" s="1"/>
  <c r="S37" i="4"/>
  <c r="AF25" i="4"/>
  <c r="AF51" i="2"/>
  <c r="AF60" i="2"/>
  <c r="S57" i="7"/>
  <c r="S26" i="4" l="1"/>
  <c r="S27" i="4" s="1"/>
  <c r="S30" i="4" s="1"/>
  <c r="T34" i="4"/>
  <c r="S41" i="4"/>
  <c r="T33" i="4" s="1"/>
  <c r="T35" i="4" s="1"/>
  <c r="S50" i="4"/>
  <c r="S51" i="4" s="1"/>
  <c r="S54" i="4" s="1"/>
  <c r="S61" i="2" s="1"/>
  <c r="T58" i="4"/>
  <c r="S65" i="4"/>
  <c r="T57" i="4" s="1"/>
  <c r="T59" i="4" s="1"/>
  <c r="AF64" i="4"/>
  <c r="AF40" i="4"/>
  <c r="T36" i="4" l="1"/>
  <c r="T39" i="4" s="1"/>
  <c r="T60" i="4"/>
  <c r="T63" i="4" s="1"/>
  <c r="S53" i="2"/>
  <c r="S73" i="4"/>
  <c r="S74" i="4" s="1"/>
  <c r="S58" i="7"/>
  <c r="S69" i="2"/>
  <c r="S70" i="2" s="1"/>
  <c r="S64" i="2"/>
  <c r="S42" i="7" l="1"/>
  <c r="S55" i="2"/>
  <c r="T50" i="4"/>
  <c r="T51" i="4" s="1"/>
  <c r="T54" i="4" s="1"/>
  <c r="T61" i="2" s="1"/>
  <c r="U58" i="4"/>
  <c r="T65" i="4"/>
  <c r="U57" i="4" s="1"/>
  <c r="T26" i="4"/>
  <c r="T27" i="4" s="1"/>
  <c r="T30" i="4" s="1"/>
  <c r="U34" i="4"/>
  <c r="S67" i="7"/>
  <c r="S68" i="4"/>
  <c r="S69" i="4" s="1"/>
  <c r="V11" i="3"/>
  <c r="T41" i="4"/>
  <c r="U33" i="4" s="1"/>
  <c r="U35" i="4" s="1"/>
  <c r="S87" i="7"/>
  <c r="S60" i="7"/>
  <c r="S76" i="4" l="1"/>
  <c r="S78" i="4" s="1"/>
  <c r="S70" i="7"/>
  <c r="S72" i="7" s="1"/>
  <c r="T53" i="2"/>
  <c r="T73" i="4"/>
  <c r="T74" i="4" s="1"/>
  <c r="S93" i="7"/>
  <c r="S95" i="7" s="1"/>
  <c r="U59" i="4"/>
  <c r="V12" i="3"/>
  <c r="V22" i="3"/>
  <c r="U36" i="4"/>
  <c r="U39" i="4" s="1"/>
  <c r="T58" i="7"/>
  <c r="T69" i="2"/>
  <c r="T70" i="2" s="1"/>
  <c r="T64" i="2"/>
  <c r="S23" i="7"/>
  <c r="S92" i="7"/>
  <c r="S68" i="7"/>
  <c r="S70" i="4"/>
  <c r="S71" i="4" s="1"/>
  <c r="S17" i="7"/>
  <c r="S43" i="7"/>
  <c r="S45" i="7" s="1"/>
  <c r="T67" i="7" l="1"/>
  <c r="T68" i="4"/>
  <c r="T69" i="4" s="1"/>
  <c r="W11" i="3"/>
  <c r="S46" i="7"/>
  <c r="S24" i="7"/>
  <c r="S25" i="7" s="1"/>
  <c r="S27" i="7" s="1"/>
  <c r="T76" i="4"/>
  <c r="T78" i="4" s="1"/>
  <c r="S19" i="7"/>
  <c r="T17" i="7"/>
  <c r="T87" i="7"/>
  <c r="T60" i="7"/>
  <c r="T42" i="7"/>
  <c r="T43" i="7" s="1"/>
  <c r="T45" i="7" s="1"/>
  <c r="T55" i="2"/>
  <c r="U26" i="4"/>
  <c r="U27" i="4" s="1"/>
  <c r="U30" i="4" s="1"/>
  <c r="V34" i="4"/>
  <c r="S6" i="7"/>
  <c r="S14" i="7" s="1"/>
  <c r="T71" i="7"/>
  <c r="U41" i="4"/>
  <c r="V33" i="4" s="1"/>
  <c r="S80" i="4"/>
  <c r="V23" i="3" s="1"/>
  <c r="T70" i="4"/>
  <c r="V24" i="3"/>
  <c r="V14" i="3"/>
  <c r="V15" i="3"/>
  <c r="U60" i="4"/>
  <c r="U63" i="4" s="1"/>
  <c r="U50" i="4" l="1"/>
  <c r="U51" i="4" s="1"/>
  <c r="U54" i="4" s="1"/>
  <c r="U61" i="2" s="1"/>
  <c r="V58" i="4"/>
  <c r="U65" i="4"/>
  <c r="V57" i="4" s="1"/>
  <c r="V59" i="4" s="1"/>
  <c r="T19" i="7"/>
  <c r="S28" i="7"/>
  <c r="U53" i="2"/>
  <c r="U73" i="4"/>
  <c r="U74" i="4" s="1"/>
  <c r="T24" i="7"/>
  <c r="T80" i="4"/>
  <c r="W23" i="3" s="1"/>
  <c r="T46" i="7"/>
  <c r="W12" i="3"/>
  <c r="W22" i="3"/>
  <c r="T71" i="4"/>
  <c r="V27" i="3"/>
  <c r="V26" i="3"/>
  <c r="V35" i="4"/>
  <c r="T93" i="7"/>
  <c r="T95" i="7" s="1"/>
  <c r="T23" i="7"/>
  <c r="T25" i="7" s="1"/>
  <c r="T27" i="7" s="1"/>
  <c r="T92" i="7"/>
  <c r="T68" i="7"/>
  <c r="T70" i="7" s="1"/>
  <c r="T72" i="7" s="1"/>
  <c r="T6" i="7" l="1"/>
  <c r="T14" i="7" s="1"/>
  <c r="T28" i="7" s="1"/>
  <c r="U71" i="7"/>
  <c r="V36" i="4"/>
  <c r="V39" i="4" s="1"/>
  <c r="U58" i="7"/>
  <c r="U69" i="2"/>
  <c r="U70" i="2" s="1"/>
  <c r="U64" i="2"/>
  <c r="U42" i="7"/>
  <c r="U55" i="2"/>
  <c r="W24" i="3"/>
  <c r="W14" i="3"/>
  <c r="W15" i="3"/>
  <c r="V60" i="4"/>
  <c r="V63" i="4" s="1"/>
  <c r="W27" i="3" l="1"/>
  <c r="W26" i="3"/>
  <c r="V26" i="4"/>
  <c r="V27" i="4" s="1"/>
  <c r="V30" i="4" s="1"/>
  <c r="W34" i="4"/>
  <c r="V41" i="4"/>
  <c r="W33" i="4" s="1"/>
  <c r="W35" i="4" s="1"/>
  <c r="U43" i="7"/>
  <c r="U45" i="7" s="1"/>
  <c r="U17" i="7"/>
  <c r="U67" i="7"/>
  <c r="U68" i="4"/>
  <c r="X11" i="3"/>
  <c r="V50" i="4"/>
  <c r="V51" i="4" s="1"/>
  <c r="V54" i="4" s="1"/>
  <c r="V61" i="2" s="1"/>
  <c r="W58" i="4"/>
  <c r="V65" i="4"/>
  <c r="W57" i="4" s="1"/>
  <c r="W59" i="4" s="1"/>
  <c r="U87" i="7"/>
  <c r="U60" i="7"/>
  <c r="U46" i="7" l="1"/>
  <c r="U24" i="7"/>
  <c r="V58" i="7"/>
  <c r="V69" i="2"/>
  <c r="V70" i="2" s="1"/>
  <c r="V64" i="2"/>
  <c r="V53" i="2"/>
  <c r="V73" i="4"/>
  <c r="V74" i="4" s="1"/>
  <c r="U69" i="4"/>
  <c r="U76" i="4"/>
  <c r="U78" i="4" s="1"/>
  <c r="U23" i="7"/>
  <c r="U25" i="7" s="1"/>
  <c r="U92" i="7"/>
  <c r="U93" i="7" s="1"/>
  <c r="U95" i="7" s="1"/>
  <c r="U68" i="7"/>
  <c r="U70" i="7" s="1"/>
  <c r="U72" i="7" s="1"/>
  <c r="U19" i="7"/>
  <c r="W36" i="4"/>
  <c r="W39" i="4" s="1"/>
  <c r="W65" i="4"/>
  <c r="X57" i="4" s="1"/>
  <c r="W60" i="4"/>
  <c r="W63" i="4" s="1"/>
  <c r="X12" i="3"/>
  <c r="X22" i="3"/>
  <c r="U6" i="7" l="1"/>
  <c r="U14" i="7" s="1"/>
  <c r="V71" i="7"/>
  <c r="W26" i="4"/>
  <c r="W27" i="4" s="1"/>
  <c r="W30" i="4" s="1"/>
  <c r="X34" i="4"/>
  <c r="U70" i="4"/>
  <c r="U71" i="4" s="1"/>
  <c r="U80" i="4" s="1"/>
  <c r="X23" i="3" s="1"/>
  <c r="X24" i="3" s="1"/>
  <c r="W41" i="4"/>
  <c r="X33" i="4" s="1"/>
  <c r="V42" i="7"/>
  <c r="V55" i="2"/>
  <c r="V67" i="7"/>
  <c r="V68" i="4"/>
  <c r="V69" i="4" s="1"/>
  <c r="Y11" i="3"/>
  <c r="X15" i="3"/>
  <c r="X14" i="3"/>
  <c r="V87" i="7"/>
  <c r="V60" i="7"/>
  <c r="W50" i="4"/>
  <c r="W51" i="4" s="1"/>
  <c r="W54" i="4" s="1"/>
  <c r="W61" i="2" s="1"/>
  <c r="X58" i="4"/>
  <c r="X59" i="4" s="1"/>
  <c r="U27" i="7"/>
  <c r="X60" i="4" l="1"/>
  <c r="X63" i="4" s="1"/>
  <c r="X26" i="3"/>
  <c r="X27" i="3"/>
  <c r="V43" i="7"/>
  <c r="V45" i="7" s="1"/>
  <c r="V17" i="7"/>
  <c r="V76" i="4"/>
  <c r="V78" i="4" s="1"/>
  <c r="V70" i="4"/>
  <c r="X35" i="4"/>
  <c r="W53" i="2"/>
  <c r="W73" i="4"/>
  <c r="W74" i="4" s="1"/>
  <c r="W58" i="7"/>
  <c r="W69" i="2"/>
  <c r="W70" i="2" s="1"/>
  <c r="W64" i="2"/>
  <c r="Y22" i="3"/>
  <c r="Y12" i="3"/>
  <c r="V71" i="4"/>
  <c r="V23" i="7"/>
  <c r="V92" i="7"/>
  <c r="V93" i="7" s="1"/>
  <c r="V95" i="7" s="1"/>
  <c r="V68" i="7"/>
  <c r="V70" i="7" s="1"/>
  <c r="V72" i="7" s="1"/>
  <c r="U28" i="7"/>
  <c r="V6" i="7" l="1"/>
  <c r="V14" i="7" s="1"/>
  <c r="W71" i="7"/>
  <c r="V46" i="7"/>
  <c r="V24" i="7"/>
  <c r="W24" i="7" s="1"/>
  <c r="W67" i="7"/>
  <c r="W68" i="4"/>
  <c r="W69" i="4" s="1"/>
  <c r="Z11" i="3"/>
  <c r="V80" i="4"/>
  <c r="Y23" i="3" s="1"/>
  <c r="Y24" i="3" s="1"/>
  <c r="W70" i="4"/>
  <c r="W87" i="7"/>
  <c r="W60" i="7"/>
  <c r="V25" i="7"/>
  <c r="W76" i="4"/>
  <c r="W78" i="4" s="1"/>
  <c r="W42" i="7"/>
  <c r="W43" i="7" s="1"/>
  <c r="W45" i="7" s="1"/>
  <c r="W55" i="2"/>
  <c r="V19" i="7"/>
  <c r="W17" i="7"/>
  <c r="X50" i="4"/>
  <c r="X51" i="4" s="1"/>
  <c r="X54" i="4" s="1"/>
  <c r="X61" i="2" s="1"/>
  <c r="Y58" i="4"/>
  <c r="Y14" i="3"/>
  <c r="Y15" i="3"/>
  <c r="X36" i="4"/>
  <c r="X39" i="4" s="1"/>
  <c r="X65" i="4"/>
  <c r="Y57" i="4" s="1"/>
  <c r="Y59" i="4" s="1"/>
  <c r="Y26" i="3" l="1"/>
  <c r="Y27" i="3"/>
  <c r="W19" i="7"/>
  <c r="Y60" i="4"/>
  <c r="Y63" i="4" s="1"/>
  <c r="V28" i="7"/>
  <c r="X26" i="4"/>
  <c r="X27" i="4" s="1"/>
  <c r="X30" i="4" s="1"/>
  <c r="Y34" i="4"/>
  <c r="Z12" i="3"/>
  <c r="Z22" i="3"/>
  <c r="X41" i="4"/>
  <c r="Y33" i="4" s="1"/>
  <c r="W46" i="7"/>
  <c r="W71" i="4"/>
  <c r="W80" i="4"/>
  <c r="Z23" i="3" s="1"/>
  <c r="W23" i="7"/>
  <c r="W25" i="7" s="1"/>
  <c r="W27" i="7" s="1"/>
  <c r="W92" i="7"/>
  <c r="W68" i="7"/>
  <c r="V27" i="7"/>
  <c r="W70" i="7"/>
  <c r="W72" i="7" s="1"/>
  <c r="X58" i="7"/>
  <c r="X69" i="2"/>
  <c r="X70" i="2" s="1"/>
  <c r="X64" i="2"/>
  <c r="W93" i="7"/>
  <c r="W95" i="7" s="1"/>
  <c r="W6" i="7" l="1"/>
  <c r="W14" i="7" s="1"/>
  <c r="W28" i="7" s="1"/>
  <c r="X71" i="7"/>
  <c r="Z15" i="3"/>
  <c r="Z14" i="3"/>
  <c r="X67" i="7"/>
  <c r="X68" i="4"/>
  <c r="X69" i="4" s="1"/>
  <c r="AA11" i="3"/>
  <c r="Y35" i="4"/>
  <c r="X53" i="2"/>
  <c r="X73" i="4"/>
  <c r="X74" i="4" s="1"/>
  <c r="X87" i="7"/>
  <c r="X60" i="7"/>
  <c r="Y50" i="4"/>
  <c r="Y51" i="4" s="1"/>
  <c r="Y54" i="4" s="1"/>
  <c r="Y61" i="2" s="1"/>
  <c r="Z58" i="4"/>
  <c r="Y65" i="4"/>
  <c r="Z57" i="4" s="1"/>
  <c r="Z24" i="3"/>
  <c r="Z27" i="3" l="1"/>
  <c r="Z26" i="3"/>
  <c r="Y41" i="4"/>
  <c r="Z33" i="4" s="1"/>
  <c r="Y36" i="4"/>
  <c r="Y39" i="4" s="1"/>
  <c r="AA22" i="3"/>
  <c r="AA12" i="3"/>
  <c r="X70" i="4"/>
  <c r="X71" i="4" s="1"/>
  <c r="X23" i="7"/>
  <c r="X92" i="7"/>
  <c r="X93" i="7" s="1"/>
  <c r="X95" i="7" s="1"/>
  <c r="X68" i="7"/>
  <c r="X70" i="7" s="1"/>
  <c r="X72" i="7" s="1"/>
  <c r="X76" i="4"/>
  <c r="X78" i="4" s="1"/>
  <c r="Z59" i="4"/>
  <c r="Y58" i="7"/>
  <c r="Y69" i="2"/>
  <c r="Y70" i="2" s="1"/>
  <c r="Y64" i="2"/>
  <c r="X42" i="7"/>
  <c r="X55" i="2"/>
  <c r="X6" i="7" l="1"/>
  <c r="X14" i="7" s="1"/>
  <c r="Y71" i="7"/>
  <c r="Y67" i="7"/>
  <c r="Y68" i="4"/>
  <c r="Y69" i="4" s="1"/>
  <c r="AB11" i="3"/>
  <c r="X80" i="4"/>
  <c r="AA23" i="3" s="1"/>
  <c r="Y70" i="4"/>
  <c r="AA14" i="3"/>
  <c r="AA15" i="3"/>
  <c r="AA24" i="3"/>
  <c r="Y87" i="7"/>
  <c r="Y60" i="7"/>
  <c r="Z60" i="4"/>
  <c r="Z63" i="4" s="1"/>
  <c r="X43" i="7"/>
  <c r="X45" i="7" s="1"/>
  <c r="X17" i="7"/>
  <c r="Y26" i="4"/>
  <c r="Y27" i="4" s="1"/>
  <c r="Y30" i="4" s="1"/>
  <c r="Z34" i="4"/>
  <c r="Z35" i="4" s="1"/>
  <c r="Z36" i="4" l="1"/>
  <c r="Z39" i="4" s="1"/>
  <c r="AA26" i="3"/>
  <c r="AA27" i="3"/>
  <c r="X19" i="7"/>
  <c r="X46" i="7"/>
  <c r="X24" i="7"/>
  <c r="Z50" i="4"/>
  <c r="Z51" i="4" s="1"/>
  <c r="Z54" i="4" s="1"/>
  <c r="Z61" i="2" s="1"/>
  <c r="AA58" i="4"/>
  <c r="Z65" i="4"/>
  <c r="AA57" i="4" s="1"/>
  <c r="Y70" i="7"/>
  <c r="Y72" i="7" s="1"/>
  <c r="AB12" i="3"/>
  <c r="AB22" i="3"/>
  <c r="Y93" i="7"/>
  <c r="Y95" i="7" s="1"/>
  <c r="Y71" i="4"/>
  <c r="Y53" i="2"/>
  <c r="Y73" i="4"/>
  <c r="Y74" i="4" s="1"/>
  <c r="Y76" i="4" s="1"/>
  <c r="Y78" i="4" s="1"/>
  <c r="Y23" i="7"/>
  <c r="Y92" i="7"/>
  <c r="Y68" i="7"/>
  <c r="Y6" i="7" l="1"/>
  <c r="Y14" i="7" s="1"/>
  <c r="Z71" i="7"/>
  <c r="Y80" i="4"/>
  <c r="AB23" i="3" s="1"/>
  <c r="Z26" i="4"/>
  <c r="Z27" i="4" s="1"/>
  <c r="Z30" i="4" s="1"/>
  <c r="AA34" i="4"/>
  <c r="Z58" i="7"/>
  <c r="Z69" i="2"/>
  <c r="Z70" i="2" s="1"/>
  <c r="Z64" i="2"/>
  <c r="Z41" i="4"/>
  <c r="AA33" i="4" s="1"/>
  <c r="AA35" i="4" s="1"/>
  <c r="X25" i="7"/>
  <c r="X27" i="7" s="1"/>
  <c r="X28" i="7" s="1"/>
  <c r="Y42" i="7"/>
  <c r="Y55" i="2"/>
  <c r="AB24" i="3"/>
  <c r="AB15" i="3"/>
  <c r="AB14" i="3"/>
  <c r="AA59" i="4"/>
  <c r="AB27" i="3" l="1"/>
  <c r="AB26" i="3"/>
  <c r="Y43" i="7"/>
  <c r="Y45" i="7" s="1"/>
  <c r="Y17" i="7"/>
  <c r="Z53" i="2"/>
  <c r="Z73" i="4"/>
  <c r="Z74" i="4" s="1"/>
  <c r="Z87" i="7"/>
  <c r="Z60" i="7"/>
  <c r="AA60" i="4"/>
  <c r="AA63" i="4" s="1"/>
  <c r="AA41" i="4"/>
  <c r="AB33" i="4" s="1"/>
  <c r="AA36" i="4"/>
  <c r="AA39" i="4" s="1"/>
  <c r="Z67" i="7"/>
  <c r="Z68" i="4"/>
  <c r="Z69" i="4" s="1"/>
  <c r="AC11" i="3"/>
  <c r="AC12" i="3" l="1"/>
  <c r="AC22" i="3"/>
  <c r="AA50" i="4"/>
  <c r="AA51" i="4" s="1"/>
  <c r="AA54" i="4" s="1"/>
  <c r="AA61" i="2" s="1"/>
  <c r="AB58" i="4"/>
  <c r="Y46" i="7"/>
  <c r="Y24" i="7"/>
  <c r="AA65" i="4"/>
  <c r="AB57" i="4" s="1"/>
  <c r="AB59" i="4" s="1"/>
  <c r="Z70" i="4"/>
  <c r="Z71" i="4" s="1"/>
  <c r="Z23" i="7"/>
  <c r="Z92" i="7"/>
  <c r="Z93" i="7" s="1"/>
  <c r="Z95" i="7" s="1"/>
  <c r="Z68" i="7"/>
  <c r="Z76" i="4"/>
  <c r="Z78" i="4" s="1"/>
  <c r="AA26" i="4"/>
  <c r="AA27" i="4" s="1"/>
  <c r="AA30" i="4" s="1"/>
  <c r="AB34" i="4"/>
  <c r="AB35" i="4" s="1"/>
  <c r="Z42" i="7"/>
  <c r="Z43" i="7" s="1"/>
  <c r="Z45" i="7" s="1"/>
  <c r="Z55" i="2"/>
  <c r="Y19" i="7"/>
  <c r="Z17" i="7"/>
  <c r="Z70" i="7"/>
  <c r="Z72" i="7" s="1"/>
  <c r="AB36" i="4" l="1"/>
  <c r="AB39" i="4" s="1"/>
  <c r="Z24" i="7"/>
  <c r="Z25" i="7" s="1"/>
  <c r="Z27" i="7" s="1"/>
  <c r="Y25" i="7"/>
  <c r="Y27" i="7" s="1"/>
  <c r="Y28" i="7" s="1"/>
  <c r="Z80" i="4"/>
  <c r="AC23" i="3" s="1"/>
  <c r="Z19" i="7"/>
  <c r="AA53" i="2"/>
  <c r="AA73" i="4"/>
  <c r="AA74" i="4" s="1"/>
  <c r="Z6" i="7"/>
  <c r="Z14" i="7" s="1"/>
  <c r="AA71" i="7"/>
  <c r="AC24" i="3"/>
  <c r="AB65" i="4"/>
  <c r="AC57" i="4" s="1"/>
  <c r="AB60" i="4"/>
  <c r="AB63" i="4" s="1"/>
  <c r="AA58" i="7"/>
  <c r="AA69" i="2"/>
  <c r="AA70" i="2" s="1"/>
  <c r="AA64" i="2"/>
  <c r="Z46" i="7"/>
  <c r="AC15" i="3"/>
  <c r="AC14" i="3"/>
  <c r="AA67" i="7" l="1"/>
  <c r="AA68" i="4"/>
  <c r="AA69" i="4" s="1"/>
  <c r="AD11" i="3"/>
  <c r="Z28" i="7"/>
  <c r="AB26" i="4"/>
  <c r="AB27" i="4" s="1"/>
  <c r="AB30" i="4" s="1"/>
  <c r="AC34" i="4"/>
  <c r="AA87" i="7"/>
  <c r="AA60" i="7"/>
  <c r="AA42" i="7"/>
  <c r="AA55" i="2"/>
  <c r="AB41" i="4"/>
  <c r="AC33" i="4" s="1"/>
  <c r="AB50" i="4"/>
  <c r="AB51" i="4" s="1"/>
  <c r="AB54" i="4" s="1"/>
  <c r="AB61" i="2" s="1"/>
  <c r="AC58" i="4"/>
  <c r="AC59" i="4"/>
  <c r="AC26" i="3"/>
  <c r="AC27" i="3"/>
  <c r="AB53" i="2" l="1"/>
  <c r="AB73" i="4"/>
  <c r="AB74" i="4" s="1"/>
  <c r="AB58" i="7"/>
  <c r="AB69" i="2"/>
  <c r="AB70" i="2" s="1"/>
  <c r="AB64" i="2"/>
  <c r="AC60" i="4"/>
  <c r="AC63" i="4" s="1"/>
  <c r="AC65" i="4" s="1"/>
  <c r="AD57" i="4" s="1"/>
  <c r="AC35" i="4"/>
  <c r="AD12" i="3"/>
  <c r="AD22" i="3"/>
  <c r="AA70" i="4"/>
  <c r="AA71" i="4" s="1"/>
  <c r="AA76" i="4"/>
  <c r="AA78" i="4" s="1"/>
  <c r="AA43" i="7"/>
  <c r="AA45" i="7" s="1"/>
  <c r="AA17" i="7"/>
  <c r="AA23" i="7"/>
  <c r="AA92" i="7"/>
  <c r="AA93" i="7" s="1"/>
  <c r="AA95" i="7" s="1"/>
  <c r="AA68" i="7"/>
  <c r="AA70" i="7" s="1"/>
  <c r="AA72" i="7" s="1"/>
  <c r="AB71" i="7" l="1"/>
  <c r="AA6" i="7"/>
  <c r="AA14" i="7" s="1"/>
  <c r="AA80" i="4"/>
  <c r="AD23" i="3" s="1"/>
  <c r="AB67" i="7"/>
  <c r="AB68" i="4"/>
  <c r="AB69" i="4" s="1"/>
  <c r="AE11" i="3"/>
  <c r="AA46" i="7"/>
  <c r="AA24" i="7"/>
  <c r="AB24" i="7" s="1"/>
  <c r="AB87" i="7"/>
  <c r="AB60" i="7"/>
  <c r="AD15" i="3"/>
  <c r="AD14" i="3"/>
  <c r="AB42" i="7"/>
  <c r="AB43" i="7" s="1"/>
  <c r="AB45" i="7" s="1"/>
  <c r="AB55" i="2"/>
  <c r="AA25" i="7"/>
  <c r="AA27" i="7" s="1"/>
  <c r="AC36" i="4"/>
  <c r="AC39" i="4" s="1"/>
  <c r="AD24" i="3"/>
  <c r="AA19" i="7"/>
  <c r="AC50" i="4"/>
  <c r="AC51" i="4" s="1"/>
  <c r="AC54" i="4" s="1"/>
  <c r="AC61" i="2" s="1"/>
  <c r="AD58" i="4"/>
  <c r="AD59" i="4" s="1"/>
  <c r="AD60" i="4" l="1"/>
  <c r="AD63" i="4" s="1"/>
  <c r="AD65" i="4" s="1"/>
  <c r="AE57" i="4" s="1"/>
  <c r="AA28" i="7"/>
  <c r="AB23" i="7"/>
  <c r="AB25" i="7" s="1"/>
  <c r="AB92" i="7"/>
  <c r="AB68" i="7"/>
  <c r="AC58" i="7"/>
  <c r="AC69" i="2"/>
  <c r="AC70" i="2" s="1"/>
  <c r="AC64" i="2"/>
  <c r="AE12" i="3"/>
  <c r="AE22" i="3"/>
  <c r="AB17" i="7"/>
  <c r="AB71" i="4"/>
  <c r="AD26" i="3"/>
  <c r="AD27" i="3"/>
  <c r="AB76" i="4"/>
  <c r="AB78" i="4" s="1"/>
  <c r="AB70" i="4"/>
  <c r="AB46" i="7"/>
  <c r="AC26" i="4"/>
  <c r="AC27" i="4" s="1"/>
  <c r="AC30" i="4" s="1"/>
  <c r="AD34" i="4"/>
  <c r="AB70" i="7"/>
  <c r="AB72" i="7" s="1"/>
  <c r="AC41" i="4"/>
  <c r="AD33" i="4" s="1"/>
  <c r="AD35" i="4" s="1"/>
  <c r="AB93" i="7"/>
  <c r="AB95" i="7" s="1"/>
  <c r="AE59" i="4" l="1"/>
  <c r="AB6" i="7"/>
  <c r="AB14" i="7" s="1"/>
  <c r="AC71" i="7"/>
  <c r="AB80" i="4"/>
  <c r="AE23" i="3" s="1"/>
  <c r="AB19" i="7"/>
  <c r="AC53" i="2"/>
  <c r="AC73" i="4"/>
  <c r="AC74" i="4" s="1"/>
  <c r="AE24" i="3"/>
  <c r="AB27" i="7"/>
  <c r="AE14" i="3"/>
  <c r="AE15" i="3"/>
  <c r="AD50" i="4"/>
  <c r="AD51" i="4" s="1"/>
  <c r="AD54" i="4" s="1"/>
  <c r="AD61" i="2" s="1"/>
  <c r="AE58" i="4"/>
  <c r="AF58" i="4" s="1"/>
  <c r="AC87" i="7"/>
  <c r="AC60" i="7"/>
  <c r="AD36" i="4"/>
  <c r="AD39" i="4" s="1"/>
  <c r="AD41" i="4" s="1"/>
  <c r="AE33" i="4" s="1"/>
  <c r="AC67" i="7"/>
  <c r="AC68" i="4"/>
  <c r="AC69" i="4" s="1"/>
  <c r="AC70" i="4" s="1"/>
  <c r="AF11" i="3"/>
  <c r="AE35" i="4" l="1"/>
  <c r="AE26" i="3"/>
  <c r="AE27" i="3"/>
  <c r="AB28" i="7"/>
  <c r="AC76" i="4"/>
  <c r="AC78" i="4" s="1"/>
  <c r="AE60" i="4"/>
  <c r="AE63" i="4" s="1"/>
  <c r="AC42" i="7"/>
  <c r="AC55" i="2"/>
  <c r="AF12" i="3"/>
  <c r="AF22" i="3"/>
  <c r="AD58" i="7"/>
  <c r="AD69" i="2"/>
  <c r="AD70" i="2" s="1"/>
  <c r="AD64" i="2"/>
  <c r="AC23" i="7"/>
  <c r="AC92" i="7"/>
  <c r="AC93" i="7" s="1"/>
  <c r="AC95" i="7" s="1"/>
  <c r="AC68" i="7"/>
  <c r="AC70" i="7" s="1"/>
  <c r="AC72" i="7" s="1"/>
  <c r="AC71" i="4"/>
  <c r="AD26" i="4"/>
  <c r="AD27" i="4" s="1"/>
  <c r="AD30" i="4" s="1"/>
  <c r="AE34" i="4"/>
  <c r="AF34" i="4" s="1"/>
  <c r="AC6" i="7" l="1"/>
  <c r="AC14" i="7" s="1"/>
  <c r="AD71" i="7"/>
  <c r="AE50" i="4"/>
  <c r="AF63" i="4"/>
  <c r="AE65" i="4"/>
  <c r="AF14" i="3"/>
  <c r="AF15" i="3"/>
  <c r="AD67" i="7"/>
  <c r="AD68" i="4"/>
  <c r="AD69" i="4" s="1"/>
  <c r="AG11" i="3"/>
  <c r="AD53" i="2"/>
  <c r="AD73" i="4"/>
  <c r="AD74" i="4" s="1"/>
  <c r="AD76" i="4" s="1"/>
  <c r="AD78" i="4" s="1"/>
  <c r="AD87" i="7"/>
  <c r="AD60" i="7"/>
  <c r="AC80" i="4"/>
  <c r="AF23" i="3" s="1"/>
  <c r="AF24" i="3" s="1"/>
  <c r="AC43" i="7"/>
  <c r="AC45" i="7" s="1"/>
  <c r="AC17" i="7"/>
  <c r="AE36" i="4"/>
  <c r="AE39" i="4" s="1"/>
  <c r="AF26" i="3" l="1"/>
  <c r="AF27" i="3"/>
  <c r="AE26" i="4"/>
  <c r="AF39" i="4"/>
  <c r="AD70" i="7"/>
  <c r="AD72" i="7" s="1"/>
  <c r="AC19" i="7"/>
  <c r="AD42" i="7"/>
  <c r="AD43" i="7" s="1"/>
  <c r="AD45" i="7" s="1"/>
  <c r="AD55" i="2"/>
  <c r="AC46" i="7"/>
  <c r="AC24" i="7"/>
  <c r="AG22" i="3"/>
  <c r="AG12" i="3"/>
  <c r="AE51" i="4"/>
  <c r="AF50" i="4"/>
  <c r="AD93" i="7"/>
  <c r="AD95" i="7" s="1"/>
  <c r="AE41" i="4"/>
  <c r="AD70" i="4"/>
  <c r="AD23" i="7"/>
  <c r="AD92" i="7"/>
  <c r="AD68" i="7"/>
  <c r="AD6" i="7" l="1"/>
  <c r="AD14" i="7" s="1"/>
  <c r="AE71" i="7"/>
  <c r="AD71" i="4"/>
  <c r="AD80" i="4" s="1"/>
  <c r="AG23" i="3" s="1"/>
  <c r="AG24" i="3" s="1"/>
  <c r="AD46" i="7"/>
  <c r="AE54" i="4"/>
  <c r="AF51" i="4"/>
  <c r="AD17" i="7"/>
  <c r="AG15" i="3"/>
  <c r="AG14" i="3"/>
  <c r="AD24" i="7"/>
  <c r="AC25" i="7"/>
  <c r="AC27" i="7" s="1"/>
  <c r="AC28" i="7" s="1"/>
  <c r="AE27" i="4"/>
  <c r="AF26" i="4"/>
  <c r="AG27" i="3" l="1"/>
  <c r="AG26" i="3"/>
  <c r="AD25" i="7"/>
  <c r="AD27" i="7" s="1"/>
  <c r="AD28" i="7"/>
  <c r="AD19" i="7"/>
  <c r="AE61" i="2"/>
  <c r="AF54" i="4"/>
  <c r="AE30" i="4"/>
  <c r="AF27" i="4"/>
  <c r="AE53" i="2" l="1"/>
  <c r="AE73" i="4"/>
  <c r="AF30" i="4"/>
  <c r="AE58" i="7"/>
  <c r="AE69" i="2"/>
  <c r="AE64" i="2"/>
  <c r="AF61" i="2"/>
  <c r="AE67" i="7" l="1"/>
  <c r="AE68" i="4"/>
  <c r="AE69" i="4" s="1"/>
  <c r="AH11" i="3"/>
  <c r="AF64" i="2"/>
  <c r="AE70" i="2"/>
  <c r="AF70" i="2" s="1"/>
  <c r="AF69" i="2"/>
  <c r="AE87" i="7"/>
  <c r="AE60" i="7"/>
  <c r="AE74" i="4"/>
  <c r="AF73" i="4"/>
  <c r="AE42" i="7"/>
  <c r="AE55" i="2"/>
  <c r="AF55" i="2" s="1"/>
  <c r="AF53" i="2"/>
  <c r="AE43" i="7" l="1"/>
  <c r="AE45" i="7" s="1"/>
  <c r="AE17" i="7"/>
  <c r="AE19" i="7" s="1"/>
  <c r="AH12" i="3"/>
  <c r="AH22" i="3"/>
  <c r="C11" i="3"/>
  <c r="C12" i="3" s="1"/>
  <c r="AI11" i="3"/>
  <c r="AE70" i="4"/>
  <c r="AF70" i="4" s="1"/>
  <c r="AE76" i="4"/>
  <c r="AE23" i="7"/>
  <c r="AE92" i="7"/>
  <c r="AE68" i="7"/>
  <c r="AE70" i="7"/>
  <c r="AE72" i="7" s="1"/>
  <c r="AE6" i="7" s="1"/>
  <c r="AE14" i="7" s="1"/>
  <c r="AE93" i="7"/>
  <c r="AE95" i="7" s="1"/>
  <c r="AE78" i="4" l="1"/>
  <c r="AF76" i="4"/>
  <c r="AE46" i="7"/>
  <c r="AF46" i="7" s="1"/>
  <c r="K1" i="1" s="1"/>
  <c r="AE24" i="7"/>
  <c r="AE71" i="4"/>
  <c r="AF71" i="4" s="1"/>
  <c r="AE28" i="7"/>
  <c r="AF28" i="7" s="1"/>
  <c r="G1" i="1" s="1"/>
  <c r="C22" i="3"/>
  <c r="AI22" i="3"/>
  <c r="AH15" i="3"/>
  <c r="AI15" i="3" s="1"/>
  <c r="B18" i="3" s="1"/>
  <c r="D28" i="1" s="1"/>
  <c r="AH14" i="3"/>
  <c r="AI14" i="3" s="1"/>
  <c r="B17" i="3" s="1"/>
  <c r="D27" i="1" s="1"/>
  <c r="AI12" i="3"/>
  <c r="AE25" i="7"/>
  <c r="AE27" i="7" s="1"/>
  <c r="AE80" i="4" l="1"/>
  <c r="AF78" i="4"/>
  <c r="AH23" i="3" l="1"/>
  <c r="AF80" i="4"/>
  <c r="C23" i="3" l="1"/>
  <c r="C24" i="3" s="1"/>
  <c r="AI23" i="3"/>
  <c r="AH24" i="3"/>
  <c r="AH27" i="3" l="1"/>
  <c r="AI27" i="3" s="1"/>
  <c r="B30" i="3" s="1"/>
  <c r="E28" i="1" s="1"/>
  <c r="AH26" i="3"/>
  <c r="AI26" i="3" s="1"/>
  <c r="B29" i="3" s="1"/>
  <c r="E27" i="1" s="1"/>
  <c r="AI24" i="3"/>
</calcChain>
</file>

<file path=xl/comments1.xml><?xml version="1.0" encoding="utf-8"?>
<comments xmlns="http://schemas.openxmlformats.org/spreadsheetml/2006/main">
  <authors>
    <author>ENRON</author>
  </authors>
  <commentList>
    <comment ref="L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maximum for electricity generation companies</t>
        </r>
      </text>
    </comment>
    <comment ref="L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V.Nieto's advice to Col-Pan Pipeline</t>
        </r>
      </text>
    </comment>
    <comment ref="S14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to get $150MM:  $115,591
to get $170MM:  $131,790</t>
        </r>
      </text>
    </comment>
    <comment ref="L1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 linked to anything</t>
        </r>
      </text>
    </comment>
    <comment ref="L1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estimate by Mrhee 2/12/00
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F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H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I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J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K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L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M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N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O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P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Q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R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S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T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U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V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W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X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Y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Z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A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B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C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D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</commentList>
</comments>
</file>

<file path=xl/comments3.xml><?xml version="1.0" encoding="utf-8"?>
<comments xmlns="http://schemas.openxmlformats.org/spreadsheetml/2006/main">
  <authors>
    <author>ENRON</author>
  </authors>
  <commentList>
    <comment ref="A2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ignore for now</t>
        </r>
      </text>
    </comment>
  </commentList>
</comments>
</file>

<file path=xl/comments4.xml><?xml version="1.0" encoding="utf-8"?>
<comments xmlns="http://schemas.openxmlformats.org/spreadsheetml/2006/main">
  <authors>
    <author>ENRON</author>
  </authors>
  <commentList>
    <comment ref="E83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assumed last year so as to not become circular</t>
        </r>
      </text>
    </comment>
  </commentList>
</comments>
</file>

<file path=xl/sharedStrings.xml><?xml version="1.0" encoding="utf-8"?>
<sst xmlns="http://schemas.openxmlformats.org/spreadsheetml/2006/main" count="540" uniqueCount="401">
  <si>
    <t>Assumptions</t>
  </si>
  <si>
    <t>Calculation</t>
  </si>
  <si>
    <t>Table</t>
  </si>
  <si>
    <t>Plant Data</t>
  </si>
  <si>
    <t>Tax Assumptions:</t>
  </si>
  <si>
    <t>Project Costs: (000's)</t>
  </si>
  <si>
    <t>Input</t>
  </si>
  <si>
    <t>Value</t>
  </si>
  <si>
    <t>Difference</t>
  </si>
  <si>
    <t>Annual MT Volume</t>
  </si>
  <si>
    <t>$ U.S.</t>
  </si>
  <si>
    <t>IDC</t>
  </si>
  <si>
    <t>Annual MMBTU Volume</t>
  </si>
  <si>
    <t>Terminal Cost:</t>
  </si>
  <si>
    <t>Total Cost</t>
  </si>
  <si>
    <t>Other</t>
  </si>
  <si>
    <t>Take or Pay Factor</t>
  </si>
  <si>
    <t>Project Operations:</t>
  </si>
  <si>
    <t>Start of Construction:</t>
  </si>
  <si>
    <t>Loop</t>
  </si>
  <si>
    <t>Factor</t>
  </si>
  <si>
    <t>Turnkey Contractor:</t>
  </si>
  <si>
    <t>?</t>
  </si>
  <si>
    <t>Regasification Tariff:</t>
  </si>
  <si>
    <t>Fixed Charge ($/MMBTU)</t>
  </si>
  <si>
    <t>Total Terminal &amp; Pipeline Cost</t>
  </si>
  <si>
    <t>Depreciation:</t>
  </si>
  <si>
    <t>Amount</t>
  </si>
  <si>
    <t>Method</t>
  </si>
  <si>
    <t>Economics:</t>
  </si>
  <si>
    <t>Project</t>
  </si>
  <si>
    <t>Interest During Construction:</t>
  </si>
  <si>
    <t>IRR</t>
  </si>
  <si>
    <t>Withholding Tax on IDC</t>
  </si>
  <si>
    <t>$ Committed</t>
  </si>
  <si>
    <t>Debt/Equity Structure: (000's)</t>
  </si>
  <si>
    <t>Financing Costs:</t>
  </si>
  <si>
    <t>Average Debt Coverage</t>
  </si>
  <si>
    <t>Debt</t>
  </si>
  <si>
    <t xml:space="preserve">     Reimbursable Lender's Expenses</t>
  </si>
  <si>
    <t>Minimum Debt Coverage</t>
  </si>
  <si>
    <t>Equity</t>
  </si>
  <si>
    <t xml:space="preserve">     Upfront Fee: Tranche 1</t>
  </si>
  <si>
    <t>Total Investment</t>
  </si>
  <si>
    <t xml:space="preserve">     Upfront Fee: Tranche 2</t>
  </si>
  <si>
    <t>Operating Expenses: (000's)</t>
  </si>
  <si>
    <t xml:space="preserve">     Upfront Fee: Tranche 3</t>
  </si>
  <si>
    <t>Assumed CPI:</t>
  </si>
  <si>
    <t>Weighted Average Cost of Debt:</t>
  </si>
  <si>
    <t>Escalation</t>
  </si>
  <si>
    <t xml:space="preserve">Tranche 1: </t>
  </si>
  <si>
    <t>O&amp;M</t>
  </si>
  <si>
    <t>Term: Years</t>
  </si>
  <si>
    <t xml:space="preserve">     Legal/Misc. Financing</t>
  </si>
  <si>
    <t>Contingency</t>
  </si>
  <si>
    <t>Upfront Fee:</t>
  </si>
  <si>
    <t>Total Financing Related:</t>
  </si>
  <si>
    <t>% of Total Debt</t>
  </si>
  <si>
    <t>Grace Periods</t>
  </si>
  <si>
    <t>Total Repayment Periods</t>
  </si>
  <si>
    <t>Pre-Financial Close Development Costs</t>
  </si>
  <si>
    <t>Transition Costs (Finc. Close- C.O.D.)</t>
  </si>
  <si>
    <t>Financing Assumptions (000's)</t>
  </si>
  <si>
    <t>Tranche 2: Banks</t>
  </si>
  <si>
    <t>Total Development:</t>
  </si>
  <si>
    <t>Capital Spares: Terminal</t>
  </si>
  <si>
    <t>O&amp;M Mobilization: Terminal</t>
  </si>
  <si>
    <t>Construction Insurance</t>
  </si>
  <si>
    <t>Working Capital:</t>
  </si>
  <si>
    <t>Months</t>
  </si>
  <si>
    <t>Miscellaneous Assumptions:</t>
  </si>
  <si>
    <t>Tranche 3</t>
  </si>
  <si>
    <t>Total Other Costs:</t>
  </si>
  <si>
    <t>Interest Capitalized Until:</t>
  </si>
  <si>
    <t xml:space="preserve">TOTAL PROJECT COST: </t>
  </si>
  <si>
    <t>Net Income and Cash Flow</t>
  </si>
  <si>
    <t>Months of Operation</t>
  </si>
  <si>
    <t>Contract Year</t>
  </si>
  <si>
    <t>Calendar Year</t>
  </si>
  <si>
    <t>Annual Volume:</t>
  </si>
  <si>
    <t>Annual MMBTU Production</t>
  </si>
  <si>
    <t>Total Annual Production (MMBTU)</t>
  </si>
  <si>
    <t>Fixed Revenue Calculation:</t>
  </si>
  <si>
    <t>Fixed Regas Payment ($/MMBTU)</t>
  </si>
  <si>
    <t>Total Fixed Regas Payment (000's)</t>
  </si>
  <si>
    <t>TOTAL REVENUES:</t>
  </si>
  <si>
    <t>Operating Expenses:</t>
  </si>
  <si>
    <t>Less: Book Depreciation Expense</t>
  </si>
  <si>
    <t>Less: Interest on LT Debt</t>
  </si>
  <si>
    <t>Less: Principal Payments</t>
  </si>
  <si>
    <t>NET CASH FLOW DISTRIBUTED</t>
  </si>
  <si>
    <t>Debt Service Ratio Calculation</t>
  </si>
  <si>
    <t>Less: Cash Income Taxes</t>
  </si>
  <si>
    <t>Total Debt Service Obligations</t>
  </si>
  <si>
    <t>After-Tax Debt Service Coverage Ratio</t>
  </si>
  <si>
    <t>Pre-Tax</t>
  </si>
  <si>
    <t>After-Tax</t>
  </si>
  <si>
    <t>Project Equity Contributions</t>
  </si>
  <si>
    <t>Project Cash Flow Distributed</t>
  </si>
  <si>
    <t>Running Project IRR</t>
  </si>
  <si>
    <t>Project IRR</t>
  </si>
  <si>
    <t>Book Depreciation</t>
  </si>
  <si>
    <t>Current Year Depreciation</t>
  </si>
  <si>
    <t>Ending Balance</t>
  </si>
  <si>
    <t>Tax Depreciation</t>
  </si>
  <si>
    <t>Total Revenues</t>
  </si>
  <si>
    <t>Total Expenses</t>
  </si>
  <si>
    <t>Less: Interest Expense on Debt</t>
  </si>
  <si>
    <t>Less: Tax Depreciation</t>
  </si>
  <si>
    <t>Current Year Taxable Income Before NOL</t>
  </si>
  <si>
    <t>Less: NOL Carryforward</t>
  </si>
  <si>
    <t>Current Year Taxable Income</t>
  </si>
  <si>
    <t>Trapped Cash</t>
  </si>
  <si>
    <t>Debt Service</t>
  </si>
  <si>
    <t>BOY Principal Outstanding</t>
  </si>
  <si>
    <t xml:space="preserve">    Principal Payment 1</t>
  </si>
  <si>
    <t xml:space="preserve">    Interest Payment 1</t>
  </si>
  <si>
    <t xml:space="preserve">       Debt Service 1</t>
  </si>
  <si>
    <t>1st. Period Principal Out.</t>
  </si>
  <si>
    <t xml:space="preserve">    Principal Payment 2</t>
  </si>
  <si>
    <t xml:space="preserve">    Interest Payment 2</t>
  </si>
  <si>
    <t xml:space="preserve">        Debt Service 2</t>
  </si>
  <si>
    <t>2nd. Period Principal Out.</t>
  </si>
  <si>
    <t>% Principal Paid Pmt. 1</t>
  </si>
  <si>
    <t>% Principal Paid Pmt. 2</t>
  </si>
  <si>
    <t>Annual Interest Payment</t>
  </si>
  <si>
    <t>Annual Principal Payment</t>
  </si>
  <si>
    <t>Total Debt Service</t>
  </si>
  <si>
    <t>Total Direct Construction:</t>
  </si>
  <si>
    <t>Interest During Construction</t>
  </si>
  <si>
    <t>Total Soft Costs (Less IDC):</t>
  </si>
  <si>
    <t>Total Debt Less IDC</t>
  </si>
  <si>
    <t>Construction Month</t>
  </si>
  <si>
    <t>Calendar Month</t>
  </si>
  <si>
    <t>TOTAL</t>
  </si>
  <si>
    <t>Direct Construction Drawdown</t>
  </si>
  <si>
    <t>Soft Cost Drawdown</t>
  </si>
  <si>
    <t>Total Direct Construction  Drawdown</t>
  </si>
  <si>
    <t>Total Soft Cost Drawdown</t>
  </si>
  <si>
    <t>Total Equity Available (Less IDC)</t>
  </si>
  <si>
    <t>Cumulative Equity Drawn</t>
  </si>
  <si>
    <t>Total Monthly Debt Required</t>
  </si>
  <si>
    <t>Pre-Financing Funded Debt</t>
  </si>
  <si>
    <t>Cumulative Pre-Financing Funded Debt</t>
  </si>
  <si>
    <t>Interest Incurred on Pre-Financing Funded Debt</t>
  </si>
  <si>
    <t>Tranche 1 Funded Debt</t>
  </si>
  <si>
    <t>Cumulative Tranche 1 Funded Debt</t>
  </si>
  <si>
    <t>Interest Incurred on Tranche 1 Debt</t>
  </si>
  <si>
    <t>Tranche 2 Funded Debt</t>
  </si>
  <si>
    <t>Cumulative Tranche 2 Funded Debt</t>
  </si>
  <si>
    <t>Interest Incurred on Tranche 2 Debt</t>
  </si>
  <si>
    <t>Tranche 3 Funded Debt</t>
  </si>
  <si>
    <t>Cumulative Tranche 3 Funded Debt</t>
  </si>
  <si>
    <t>Interest Incurred on Tranche 3 Debt</t>
  </si>
  <si>
    <t>Total Monthly Interest Incurred</t>
  </si>
  <si>
    <t>Total Interest During Construction:</t>
  </si>
  <si>
    <t>Cumulative % of Equity Spent (Incl. IDC)</t>
  </si>
  <si>
    <t>Cumulative % of Debt Spent (Incl. IDC)</t>
  </si>
  <si>
    <t>Beginning Debt Balance</t>
  </si>
  <si>
    <t>Plus: Debt Incurred</t>
  </si>
  <si>
    <t>Less: Funds Advanced</t>
  </si>
  <si>
    <t>Ending Debt Balance</t>
  </si>
  <si>
    <t>Average Monthly Fund Balance</t>
  </si>
  <si>
    <t>Balance Sheet</t>
  </si>
  <si>
    <t>Assets:</t>
  </si>
  <si>
    <t>Cash and Cash Equivalents</t>
  </si>
  <si>
    <t>Construction in Progress</t>
  </si>
  <si>
    <t>Property, Plant and Equipment</t>
  </si>
  <si>
    <t xml:space="preserve">Cost </t>
  </si>
  <si>
    <t>Accumulated Depreciation</t>
  </si>
  <si>
    <t>Net PP&amp;E</t>
  </si>
  <si>
    <t>Total Assets</t>
  </si>
  <si>
    <t>Liabilities:</t>
  </si>
  <si>
    <t>Long Term Debt</t>
  </si>
  <si>
    <t>Total Liabilities</t>
  </si>
  <si>
    <t>Stockholder's Equity:</t>
  </si>
  <si>
    <t>Capital Stock</t>
  </si>
  <si>
    <t>Retained Earnings</t>
  </si>
  <si>
    <t>Total Stockholder's Equity</t>
  </si>
  <si>
    <t>Total Liabilities and Stockholder's Equity</t>
  </si>
  <si>
    <t>Balance Check</t>
  </si>
  <si>
    <t>Income Statement</t>
  </si>
  <si>
    <t>Sales/Revenues</t>
  </si>
  <si>
    <t>Depreciation</t>
  </si>
  <si>
    <t>Interest Expense</t>
  </si>
  <si>
    <t>Net Income</t>
  </si>
  <si>
    <t>Statement of Cash Flows</t>
  </si>
  <si>
    <t>Cash Flows from Operating Activities</t>
  </si>
  <si>
    <t>Cash Received from Customers</t>
  </si>
  <si>
    <t>Cash Paid to Employees and Suppliers</t>
  </si>
  <si>
    <t>Interest Paid</t>
  </si>
  <si>
    <t>Net Cash from Operating Activities</t>
  </si>
  <si>
    <t>Cash Flows from Financing Activities:</t>
  </si>
  <si>
    <t>Principal Payments on LTD</t>
  </si>
  <si>
    <t>Proceeds from Issuance of LTD</t>
  </si>
  <si>
    <t>Capital Contribution</t>
  </si>
  <si>
    <t>Net Cash Provided by Financing Activities</t>
  </si>
  <si>
    <t>Net Increase in Cash and Cash Equivalants</t>
  </si>
  <si>
    <t>Cash and Cash Equivalents at Beginning of Year</t>
  </si>
  <si>
    <t>Cash and Cash Equivalents at End of Year</t>
  </si>
  <si>
    <t>Sources and Uses of Funds</t>
  </si>
  <si>
    <t>Sources of Funds:</t>
  </si>
  <si>
    <t>Capital Contributions</t>
  </si>
  <si>
    <t>Total Sources of Funds</t>
  </si>
  <si>
    <t>Uses of Funds:</t>
  </si>
  <si>
    <t>Less: Income Taxes Paid</t>
  </si>
  <si>
    <t>Dividends Paid</t>
  </si>
  <si>
    <t>Total Uses of Funds</t>
  </si>
  <si>
    <t>Net Sources and Uses of Funds</t>
  </si>
  <si>
    <t>Purch. Power</t>
  </si>
  <si>
    <t>Panama Regas Terminal</t>
  </si>
  <si>
    <t>Enron International</t>
  </si>
  <si>
    <t>MMBTU per MT LNG</t>
  </si>
  <si>
    <t>Construction Months / COD</t>
  </si>
  <si>
    <t>Contract Term (Yrs) / Term End Date</t>
  </si>
  <si>
    <t>TOTALS</t>
  </si>
  <si>
    <t xml:space="preserve">     Commitment Fee</t>
  </si>
  <si>
    <t>Commitment Fee</t>
  </si>
  <si>
    <t>Soft Cost Contingency:</t>
  </si>
  <si>
    <t>Terminal &amp; Pipeline Cost before VAT &amp; Contingency</t>
  </si>
  <si>
    <t>Onshore:</t>
  </si>
  <si>
    <t>Terminal Cost</t>
  </si>
  <si>
    <t>Total Onshore</t>
  </si>
  <si>
    <t>Offshore:</t>
  </si>
  <si>
    <t>Base Cost Estimate</t>
  </si>
  <si>
    <t>Breakwater</t>
  </si>
  <si>
    <t>Tugs</t>
  </si>
  <si>
    <t>Total Offshore</t>
  </si>
  <si>
    <t>Total Terminal Cost:</t>
  </si>
  <si>
    <t>Total Soft Costs</t>
  </si>
  <si>
    <t>Total Revenues / MMBtu Production</t>
  </si>
  <si>
    <t>Total Operating Expenses</t>
  </si>
  <si>
    <t>Total Expenses / MMBtu Production</t>
  </si>
  <si>
    <t>Cash Available for Debt Service</t>
  </si>
  <si>
    <t>Before-Tax Debt Service Coverage Ratio</t>
  </si>
  <si>
    <t>Minimum DS Coverage Ratio</t>
  </si>
  <si>
    <t>Average DS Coverage Ratio</t>
  </si>
  <si>
    <t>Total Drawdown</t>
  </si>
  <si>
    <t>Total Project Drawdown</t>
  </si>
  <si>
    <t>Cumulative Project Drawdown</t>
  </si>
  <si>
    <t>Cumulative Project % Complete</t>
  </si>
  <si>
    <t>Drawdown if PariPassu (0)</t>
  </si>
  <si>
    <t>Drawdown if Equity First (1)</t>
  </si>
  <si>
    <t>Drawdown if Equity Last (2)</t>
  </si>
  <si>
    <t>0 = Pari Passu</t>
  </si>
  <si>
    <t>1 = Equity First</t>
  </si>
  <si>
    <t>2 = Equity Last</t>
  </si>
  <si>
    <t>Tranche 2 Fee:</t>
  </si>
  <si>
    <t>Tranche 3 Fee:</t>
  </si>
  <si>
    <t>Tranche 1 Fee:</t>
  </si>
  <si>
    <t>Commitment Fee:</t>
  </si>
  <si>
    <t>Total Debt</t>
  </si>
  <si>
    <t>Less: Equity Drawn</t>
  </si>
  <si>
    <t>Project Drawdown:</t>
  </si>
  <si>
    <t>Debt Periods</t>
  </si>
  <si>
    <t>Cost of Debt:</t>
  </si>
  <si>
    <t>Amortization: 1=SL, 0=Mortgage</t>
  </si>
  <si>
    <t>Debt Service Summary</t>
  </si>
  <si>
    <t>Weigted Average Commitment Fee:</t>
  </si>
  <si>
    <t>Total Project Cash Flow</t>
  </si>
  <si>
    <t>Running Project NPV</t>
  </si>
  <si>
    <t>NPV</t>
  </si>
  <si>
    <t>Book Income Taxes</t>
  </si>
  <si>
    <t>Cash Income Taxes Paid</t>
  </si>
  <si>
    <t>(Increase)/Decrease in Working Capital</t>
  </si>
  <si>
    <t>Working Capital / Accounts Receivable</t>
  </si>
  <si>
    <t>Table of Contents</t>
  </si>
  <si>
    <t># PAGES</t>
  </si>
  <si>
    <t>PRINT? (1=YES)</t>
  </si>
  <si>
    <t>FINANCIAL STATEMENTS</t>
  </si>
  <si>
    <t>Panama Income Tax</t>
  </si>
  <si>
    <t>Withholding Tax on Interest</t>
  </si>
  <si>
    <t>Withholding Tax on Interest (Grossed Up)</t>
  </si>
  <si>
    <t>Beginning Balance</t>
  </si>
  <si>
    <t>Book Basis</t>
  </si>
  <si>
    <t>Tax Basis</t>
  </si>
  <si>
    <t>S/L</t>
  </si>
  <si>
    <t>Life (Yrs)</t>
  </si>
  <si>
    <t>ITBM</t>
  </si>
  <si>
    <t>Total Operating</t>
  </si>
  <si>
    <t>Property Taxes</t>
  </si>
  <si>
    <t>Property Taxes ($000) (maximum, assumed to be flat)</t>
  </si>
  <si>
    <t>Operating Income</t>
  </si>
  <si>
    <t>Other Income/(Expense):</t>
  </si>
  <si>
    <t>Total Other Income/(Expense)</t>
  </si>
  <si>
    <t>EBITDA</t>
  </si>
  <si>
    <t>Less: Withholding Tax on Interest</t>
  </si>
  <si>
    <t>Panama Income Tax Rate</t>
  </si>
  <si>
    <t>Total Panama Income Tax</t>
  </si>
  <si>
    <t>Operating Expenses</t>
  </si>
  <si>
    <t>Other (Income)/Expenses</t>
  </si>
  <si>
    <t>Panama Cash Income Tax</t>
  </si>
  <si>
    <t>Panama Book Income Tax</t>
  </si>
  <si>
    <t>Less: Book Depreciation</t>
  </si>
  <si>
    <t>Less: Book Income Taxes</t>
  </si>
  <si>
    <t>PANAMA BOOK INCOME</t>
  </si>
  <si>
    <t>Panama Deferred Tax Liability</t>
  </si>
  <si>
    <t>Adjustment Factor</t>
  </si>
  <si>
    <t>Volume Adjustment Year to Year (see Cash Flow page)</t>
  </si>
  <si>
    <t xml:space="preserve">MMBTU/Day </t>
  </si>
  <si>
    <t>assuming 340 days</t>
  </si>
  <si>
    <t>MMBTU/MMSCFD</t>
  </si>
  <si>
    <t>MMSCF/Day</t>
  </si>
  <si>
    <t>Total Annual Production (MMSCFD)</t>
  </si>
  <si>
    <t>Municipal Taxes</t>
  </si>
  <si>
    <t>Panama Book Income</t>
  </si>
  <si>
    <t>Threshhold % of Local Profits Before Complementary Tax Applies</t>
  </si>
  <si>
    <t>Annual Dividends</t>
  </si>
  <si>
    <t>Min Divs Before Complem. Taxes</t>
  </si>
  <si>
    <t>Dividends Subject to Complem. Tax</t>
  </si>
  <si>
    <t>Total Panama Taxes on Dividends</t>
  </si>
  <si>
    <t>Panama Taxes on Dividends</t>
  </si>
  <si>
    <t>Complementary Tax Rate</t>
  </si>
  <si>
    <t>Total Complementary Tax</t>
  </si>
  <si>
    <t>Funding Date for Debt (# months into Constr.):</t>
  </si>
  <si>
    <t>Withholding Tax on Dividends</t>
  </si>
  <si>
    <t>CONFIDENTIAL</t>
  </si>
  <si>
    <t>Depreciation and Taxes</t>
  </si>
  <si>
    <t>PROJECT PANAMA REGAS</t>
  </si>
  <si>
    <t>Nov. 7, 1999</t>
  </si>
  <si>
    <t>Target IRR</t>
  </si>
  <si>
    <t>Required Regas Tariff in 2003</t>
  </si>
  <si>
    <t>escalated at 2% ($/MMBtu)</t>
  </si>
  <si>
    <t>Variables</t>
  </si>
  <si>
    <t>Volume Scenario*</t>
  </si>
  <si>
    <t>High</t>
  </si>
  <si>
    <t>Low</t>
  </si>
  <si>
    <t>Total Project Cost</t>
  </si>
  <si>
    <t>$150MM</t>
  </si>
  <si>
    <t>$170MM</t>
  </si>
  <si>
    <t>O&amp;M Expense</t>
  </si>
  <si>
    <t>$4.5MM</t>
  </si>
  <si>
    <t>$5.5MM</t>
  </si>
  <si>
    <t>Other Assumptions:</t>
  </si>
  <si>
    <t>Construction Start Date</t>
  </si>
  <si>
    <t>CPI</t>
  </si>
  <si>
    <t>Operations Start Date</t>
  </si>
  <si>
    <t>Other Operating Expenses ($000)</t>
  </si>
  <si>
    <t>Project Term (Yrs)</t>
  </si>
  <si>
    <t>Book Depreciation (Yrs/Method)</t>
  </si>
  <si>
    <t>Tax Depreciation (Yrs/Method)</t>
  </si>
  <si>
    <t>Grace Periods on Debt</t>
  </si>
  <si>
    <t>Upfront Fee</t>
  </si>
  <si>
    <t>Amortization Method</t>
  </si>
  <si>
    <t>Mortgage-Style</t>
  </si>
  <si>
    <t>Capital Structure</t>
  </si>
  <si>
    <t>75% Debt</t>
  </si>
  <si>
    <t>*Volume Scenario</t>
  </si>
  <si>
    <t>"Low" Volume Production (SCFD)</t>
  </si>
  <si>
    <t>"High" Volume Production (SCFD)</t>
  </si>
  <si>
    <t>2008+</t>
  </si>
  <si>
    <t>Total Conversion Cost:</t>
  </si>
  <si>
    <t>Changes since 11/5/99:</t>
  </si>
  <si>
    <t>Customized Gas Demand Curve</t>
  </si>
  <si>
    <t>Shortened Project Term to 15 years from 20</t>
  </si>
  <si>
    <t>Included $10.507M cost of converting plants to gas-fueled</t>
  </si>
  <si>
    <t>as per competition with Colombia-Panama Gas Pipeline</t>
  </si>
  <si>
    <t>Insurance</t>
  </si>
  <si>
    <t>with more conservative tax assumptions</t>
  </si>
  <si>
    <t>NOL Carryforward (Years)</t>
  </si>
  <si>
    <t>NOL Carryforward (Limitations)</t>
  </si>
  <si>
    <t>20% of Ttl NOL or 50% of txble inc of carryfwd yr</t>
  </si>
  <si>
    <t>Beginning NOL</t>
  </si>
  <si>
    <t>Additions</t>
  </si>
  <si>
    <t>Expirations</t>
  </si>
  <si>
    <t>Available</t>
  </si>
  <si>
    <t>Ending NOL</t>
  </si>
  <si>
    <t>Lmt: 20% of Total NOLs</t>
  </si>
  <si>
    <t>Lmt: 50% of Taxable Income</t>
  </si>
  <si>
    <t>NOL Carryforward Calculation</t>
  </si>
  <si>
    <t>Utilized (Maximum of Lmts)</t>
  </si>
  <si>
    <t xml:space="preserve">     Withholding Tax on Commitment Fee</t>
  </si>
  <si>
    <t>Royalty Tax</t>
  </si>
  <si>
    <t>???</t>
  </si>
  <si>
    <t>FECI Tax (1%, exempt if loans not arranged by Panamanian banks)</t>
  </si>
  <si>
    <t>Dividends</t>
  </si>
  <si>
    <t>Enron IRR</t>
  </si>
  <si>
    <t>Less: Dividend Taxes</t>
  </si>
  <si>
    <t>Project &amp; Enron Returns</t>
  </si>
  <si>
    <t>W/H Tax on Dividends Applicable</t>
  </si>
  <si>
    <t>Less:  Complementary Tax Credit</t>
  </si>
  <si>
    <t>W/H Tax on Dividends Payable</t>
  </si>
  <si>
    <t>Complementary Tax (Creditable against future W/H Tax on Dividends)</t>
  </si>
  <si>
    <t>ITBM (Tax on Movable Goods Purchased In or Imported Into Panama)</t>
  </si>
  <si>
    <t>ITBM on Capital Spares</t>
  </si>
  <si>
    <t>Customs Duties</t>
  </si>
  <si>
    <t>Customs Duties on Capital Spares</t>
  </si>
  <si>
    <t>Annual License Tax on Net Assets, Max $20,000/Yr</t>
  </si>
  <si>
    <t>Registration Fee &amp; Business License</t>
  </si>
  <si>
    <t>License Tax</t>
  </si>
  <si>
    <t>Net Assets</t>
  </si>
  <si>
    <t>License Tax Payable</t>
  </si>
  <si>
    <t>License Tax Applicable</t>
  </si>
  <si>
    <t>Limit on License Tax</t>
  </si>
  <si>
    <t>Less: License Tax</t>
  </si>
  <si>
    <t>Last Updated: 2/18/00</t>
  </si>
  <si>
    <t>DiscRt:</t>
  </si>
  <si>
    <t>Enron</t>
  </si>
  <si>
    <t>Changes since 1/28/99:</t>
  </si>
  <si>
    <t>Revamped Tax Assumptions</t>
  </si>
  <si>
    <t>Moved Dividend Tax to Enron Returns; out of Project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</si>
</sst>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5" formatCode="_(&quot;$&quot;* #,##0.000_);_(&quot;$&quot;* \(#,##0.000\);_(&quot;$&quot;* &quot;-&quot;??_);_(@_)"/>
    <numFmt numFmtId="176" formatCode="_(&quot;$&quot;* #,##0.0000_);_(&quot;$&quot;* \(#,##0.0000\);_(&quot;$&quot;* &quot;-&quot;??_);_(@_)"/>
    <numFmt numFmtId="179" formatCode="_(&quot;$&quot;* #,##0_);_(&quot;$&quot;* \(#,##0\);_(&quot;$&quot;* &quot;-&quot;??_);_(@_)"/>
    <numFmt numFmtId="180" formatCode="0.000%"/>
    <numFmt numFmtId="181" formatCode="_(* #,##0.000_);_(* \(#,##0.000\);_(* &quot;-&quot;??_);_(@_)"/>
    <numFmt numFmtId="182" formatCode="_(* #,##0.0000_);_(* \(#,##0.0000\);_(* &quot;-&quot;??_);_(@_)"/>
    <numFmt numFmtId="183" formatCode="_(* #,##0.00000_);_(* \(#,##0.00000\);_(* &quot;-&quot;??_);_(@_)"/>
    <numFmt numFmtId="185" formatCode="0.000"/>
    <numFmt numFmtId="194" formatCode="0.00000%"/>
    <numFmt numFmtId="195" formatCode="#,##0.0_);\(#,##0.0\)"/>
    <numFmt numFmtId="198" formatCode="0.00\x"/>
    <numFmt numFmtId="216" formatCode="0000"/>
    <numFmt numFmtId="222" formatCode="m/d/yy"/>
  </numFmts>
  <fonts count="52" x14ac:knownFonts="1">
    <font>
      <sz val="10"/>
      <name val="Times New Roman"/>
    </font>
    <font>
      <sz val="10"/>
      <name val="Times New Roman"/>
    </font>
    <font>
      <i/>
      <sz val="10"/>
      <color indexed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4"/>
      <name val="Arial"/>
      <family val="2"/>
    </font>
    <font>
      <b/>
      <sz val="9"/>
      <color indexed="10"/>
      <name val="Arial"/>
      <family val="2"/>
    </font>
    <font>
      <b/>
      <sz val="10"/>
      <color indexed="8"/>
      <name val="Arial"/>
      <family val="2"/>
    </font>
    <font>
      <i/>
      <sz val="12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b/>
      <u val="double"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 val="singleAccounting"/>
      <sz val="1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b/>
      <i/>
      <sz val="10"/>
      <color indexed="8"/>
      <name val="Arial"/>
      <family val="2"/>
    </font>
    <font>
      <sz val="14"/>
      <name val="Arial"/>
      <family val="2"/>
    </font>
    <font>
      <i/>
      <sz val="10"/>
      <color indexed="1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u val="singleAccounting"/>
      <sz val="10"/>
      <name val="Arial"/>
      <family val="2"/>
    </font>
    <font>
      <u/>
      <sz val="12"/>
      <name val="Arial"/>
      <family val="2"/>
    </font>
    <font>
      <u val="doubleAccounting"/>
      <sz val="10"/>
      <name val="Arial"/>
      <family val="2"/>
    </font>
    <font>
      <vertAlign val="superscript"/>
      <sz val="10"/>
      <name val="Arial"/>
      <family val="2"/>
    </font>
    <font>
      <u val="singleAccounting"/>
      <sz val="8"/>
      <name val="Arial"/>
      <family val="2"/>
    </font>
    <font>
      <b/>
      <sz val="12"/>
      <color indexed="12"/>
      <name val="Arial"/>
      <family val="2"/>
    </font>
    <font>
      <b/>
      <u/>
      <sz val="10"/>
      <color indexed="8"/>
      <name val="Arial"/>
      <family val="2"/>
    </font>
    <font>
      <b/>
      <u/>
      <sz val="10"/>
      <color indexed="12"/>
      <name val="Arial"/>
      <family val="2"/>
    </font>
    <font>
      <i/>
      <sz val="10"/>
      <color indexed="12"/>
      <name val="Arial"/>
      <family val="2"/>
    </font>
    <font>
      <i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u/>
      <sz val="10"/>
      <color indexed="8"/>
      <name val="Arial"/>
      <family val="2"/>
    </font>
    <font>
      <sz val="10"/>
      <name val="Arial"/>
    </font>
    <font>
      <b/>
      <sz val="14"/>
      <name val="Arial"/>
      <family val="2"/>
    </font>
    <font>
      <b/>
      <i/>
      <sz val="10"/>
      <name val="Arial"/>
      <family val="2"/>
    </font>
    <font>
      <i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/>
    <xf numFmtId="9" fontId="1" fillId="0" borderId="0" applyFont="0" applyFill="0" applyBorder="0" applyAlignment="0" applyProtection="0"/>
  </cellStyleXfs>
  <cellXfs count="900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5" fillId="0" borderId="0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0" fontId="4" fillId="0" borderId="0" xfId="4" applyNumberFormat="1" applyFont="1"/>
    <xf numFmtId="0" fontId="9" fillId="0" borderId="0" xfId="0" applyFont="1" applyAlignment="1">
      <alignment horizontal="centerContinuous"/>
    </xf>
    <xf numFmtId="0" fontId="3" fillId="0" borderId="0" xfId="0" applyFont="1"/>
    <xf numFmtId="43" fontId="6" fillId="0" borderId="0" xfId="1" applyFont="1"/>
    <xf numFmtId="0" fontId="5" fillId="0" borderId="0" xfId="0" applyFont="1"/>
    <xf numFmtId="0" fontId="10" fillId="0" borderId="0" xfId="0" quotePrefix="1" applyFont="1" applyBorder="1" applyAlignment="1">
      <alignment horizontal="left"/>
    </xf>
    <xf numFmtId="10" fontId="6" fillId="0" borderId="0" xfId="0" applyNumberFormat="1" applyFont="1"/>
    <xf numFmtId="0" fontId="9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1" fillId="0" borderId="0" xfId="0" applyFont="1"/>
    <xf numFmtId="0" fontId="12" fillId="0" borderId="0" xfId="0" quotePrefix="1" applyFont="1" applyBorder="1" applyAlignment="1">
      <alignment horizontal="left"/>
    </xf>
    <xf numFmtId="0" fontId="12" fillId="0" borderId="0" xfId="0" applyFont="1" applyBorder="1"/>
    <xf numFmtId="43" fontId="12" fillId="0" borderId="0" xfId="1" applyFont="1" applyBorder="1"/>
    <xf numFmtId="0" fontId="5" fillId="0" borderId="0" xfId="0" applyFont="1" applyBorder="1"/>
    <xf numFmtId="0" fontId="9" fillId="0" borderId="4" xfId="0" applyFont="1" applyBorder="1"/>
    <xf numFmtId="0" fontId="4" fillId="0" borderId="0" xfId="0" applyFont="1" applyBorder="1"/>
    <xf numFmtId="0" fontId="4" fillId="0" borderId="5" xfId="0" applyFont="1" applyBorder="1"/>
    <xf numFmtId="173" fontId="13" fillId="0" borderId="0" xfId="1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6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 applyAlignment="1">
      <alignment horizontal="right"/>
    </xf>
    <xf numFmtId="0" fontId="9" fillId="0" borderId="6" xfId="0" quotePrefix="1" applyFont="1" applyBorder="1" applyAlignment="1">
      <alignment horizontal="left"/>
    </xf>
    <xf numFmtId="0" fontId="4" fillId="0" borderId="4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quotePrefix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73" fontId="4" fillId="0" borderId="0" xfId="1" applyNumberFormat="1" applyFont="1" applyAlignment="1">
      <alignment horizontal="center"/>
    </xf>
    <xf numFmtId="0" fontId="4" fillId="0" borderId="10" xfId="0" applyFont="1" applyBorder="1"/>
    <xf numFmtId="0" fontId="11" fillId="0" borderId="0" xfId="0" applyFont="1" applyBorder="1"/>
    <xf numFmtId="6" fontId="4" fillId="0" borderId="0" xfId="0" applyNumberFormat="1" applyFont="1"/>
    <xf numFmtId="10" fontId="4" fillId="0" borderId="0" xfId="4" applyNumberFormat="1" applyFont="1" applyBorder="1" applyAlignment="1">
      <alignment horizontal="center"/>
    </xf>
    <xf numFmtId="1" fontId="13" fillId="0" borderId="0" xfId="0" quotePrefix="1" applyNumberFormat="1" applyFont="1" applyBorder="1" applyAlignment="1">
      <alignment horizontal="center"/>
    </xf>
    <xf numFmtId="0" fontId="13" fillId="0" borderId="11" xfId="0" quotePrefix="1" applyFont="1" applyBorder="1" applyAlignment="1">
      <alignment horizontal="center"/>
    </xf>
    <xf numFmtId="173" fontId="14" fillId="0" borderId="0" xfId="1" applyNumberFormat="1" applyFont="1" applyBorder="1" applyAlignment="1">
      <alignment horizontal="center"/>
    </xf>
    <xf numFmtId="173" fontId="4" fillId="0" borderId="0" xfId="1" applyNumberFormat="1" applyFont="1" applyBorder="1" applyAlignment="1">
      <alignment horizontal="center"/>
    </xf>
    <xf numFmtId="173" fontId="4" fillId="0" borderId="5" xfId="1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3" fontId="11" fillId="0" borderId="0" xfId="1" applyFont="1" applyBorder="1"/>
    <xf numFmtId="10" fontId="14" fillId="0" borderId="0" xfId="4" applyNumberFormat="1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179" fontId="4" fillId="0" borderId="11" xfId="2" applyNumberFormat="1" applyFont="1" applyBorder="1"/>
    <xf numFmtId="194" fontId="4" fillId="0" borderId="0" xfId="0" applyNumberFormat="1" applyFont="1"/>
    <xf numFmtId="0" fontId="4" fillId="0" borderId="4" xfId="0" applyFont="1" applyBorder="1" applyAlignment="1">
      <alignment horizontal="left"/>
    </xf>
    <xf numFmtId="0" fontId="15" fillId="0" borderId="0" xfId="0" applyFont="1" applyBorder="1"/>
    <xf numFmtId="43" fontId="14" fillId="0" borderId="0" xfId="1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 applyAlignment="1">
      <alignment horizontal="left"/>
    </xf>
    <xf numFmtId="0" fontId="11" fillId="0" borderId="13" xfId="0" applyFont="1" applyBorder="1"/>
    <xf numFmtId="43" fontId="4" fillId="0" borderId="13" xfId="1" applyFont="1" applyBorder="1"/>
    <xf numFmtId="173" fontId="4" fillId="0" borderId="0" xfId="1" applyNumberFormat="1" applyFont="1"/>
    <xf numFmtId="173" fontId="11" fillId="0" borderId="0" xfId="1" applyNumberFormat="1" applyFont="1" applyBorder="1" applyAlignment="1">
      <alignment horizontal="center"/>
    </xf>
    <xf numFmtId="173" fontId="4" fillId="0" borderId="0" xfId="0" applyNumberFormat="1" applyFont="1"/>
    <xf numFmtId="10" fontId="11" fillId="0" borderId="0" xfId="4" applyNumberFormat="1" applyFont="1" applyFill="1" applyBorder="1"/>
    <xf numFmtId="173" fontId="11" fillId="0" borderId="11" xfId="1" applyNumberFormat="1" applyFont="1" applyBorder="1"/>
    <xf numFmtId="0" fontId="9" fillId="0" borderId="14" xfId="0" applyFont="1" applyBorder="1"/>
    <xf numFmtId="173" fontId="16" fillId="0" borderId="0" xfId="1" applyNumberFormat="1" applyFont="1" applyBorder="1"/>
    <xf numFmtId="0" fontId="4" fillId="0" borderId="4" xfId="0" quotePrefix="1" applyFont="1" applyBorder="1" applyAlignment="1">
      <alignment horizontal="left"/>
    </xf>
    <xf numFmtId="173" fontId="14" fillId="0" borderId="0" xfId="1" applyNumberFormat="1" applyFont="1"/>
    <xf numFmtId="0" fontId="13" fillId="0" borderId="0" xfId="0" applyFont="1"/>
    <xf numFmtId="0" fontId="4" fillId="0" borderId="10" xfId="0" quotePrefix="1" applyFont="1" applyBorder="1" applyAlignment="1">
      <alignment horizontal="left"/>
    </xf>
    <xf numFmtId="173" fontId="11" fillId="0" borderId="0" xfId="1" applyNumberFormat="1" applyFont="1" applyBorder="1"/>
    <xf numFmtId="0" fontId="4" fillId="2" borderId="15" xfId="0" quotePrefix="1" applyFont="1" applyFill="1" applyBorder="1" applyAlignment="1">
      <alignment horizontal="center"/>
    </xf>
    <xf numFmtId="0" fontId="14" fillId="0" borderId="0" xfId="0" applyFont="1" applyBorder="1"/>
    <xf numFmtId="0" fontId="4" fillId="0" borderId="13" xfId="0" applyFont="1" applyBorder="1"/>
    <xf numFmtId="10" fontId="4" fillId="0" borderId="13" xfId="4" applyNumberFormat="1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73" fontId="11" fillId="0" borderId="0" xfId="1" applyNumberFormat="1" applyFont="1"/>
    <xf numFmtId="0" fontId="4" fillId="2" borderId="17" xfId="0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8" xfId="0" applyFont="1" applyBorder="1"/>
    <xf numFmtId="0" fontId="4" fillId="0" borderId="19" xfId="0" applyFont="1" applyBorder="1"/>
    <xf numFmtId="173" fontId="14" fillId="0" borderId="19" xfId="1" applyNumberFormat="1" applyFont="1" applyBorder="1" applyAlignment="1">
      <alignment horizontal="center"/>
    </xf>
    <xf numFmtId="173" fontId="4" fillId="0" borderId="19" xfId="1" applyNumberFormat="1" applyFont="1" applyBorder="1" applyAlignment="1">
      <alignment horizontal="center"/>
    </xf>
    <xf numFmtId="173" fontId="4" fillId="0" borderId="20" xfId="1" applyNumberFormat="1" applyFont="1" applyBorder="1" applyAlignment="1">
      <alignment horizontal="center"/>
    </xf>
    <xf numFmtId="10" fontId="11" fillId="0" borderId="0" xfId="4" applyNumberFormat="1" applyFont="1"/>
    <xf numFmtId="10" fontId="11" fillId="0" borderId="0" xfId="4" applyNumberFormat="1" applyFont="1" applyAlignment="1">
      <alignment horizontal="center"/>
    </xf>
    <xf numFmtId="0" fontId="13" fillId="0" borderId="8" xfId="0" applyFont="1" applyBorder="1" applyAlignment="1">
      <alignment horizontal="center"/>
    </xf>
    <xf numFmtId="173" fontId="14" fillId="0" borderId="0" xfId="4" applyNumberFormat="1" applyFont="1" applyBorder="1" applyAlignment="1">
      <alignment horizontal="center"/>
    </xf>
    <xf numFmtId="182" fontId="4" fillId="0" borderId="0" xfId="1" applyNumberFormat="1" applyFont="1" applyBorder="1"/>
    <xf numFmtId="10" fontId="4" fillId="0" borderId="0" xfId="4" applyNumberFormat="1" applyFont="1" applyAlignment="1">
      <alignment horizontal="center"/>
    </xf>
    <xf numFmtId="173" fontId="9" fillId="0" borderId="0" xfId="1" applyNumberFormat="1" applyFont="1" applyBorder="1"/>
    <xf numFmtId="173" fontId="9" fillId="0" borderId="11" xfId="1" applyNumberFormat="1" applyFont="1" applyBorder="1"/>
    <xf numFmtId="9" fontId="4" fillId="0" borderId="0" xfId="4" applyFont="1"/>
    <xf numFmtId="0" fontId="4" fillId="0" borderId="0" xfId="0" quotePrefix="1" applyFont="1" applyAlignment="1">
      <alignment horizontal="left"/>
    </xf>
    <xf numFmtId="0" fontId="4" fillId="0" borderId="12" xfId="0" applyFont="1" applyBorder="1"/>
    <xf numFmtId="176" fontId="4" fillId="0" borderId="13" xfId="0" applyNumberFormat="1" applyFont="1" applyBorder="1"/>
    <xf numFmtId="185" fontId="4" fillId="0" borderId="13" xfId="0" applyNumberFormat="1" applyFont="1" applyBorder="1"/>
    <xf numFmtId="0" fontId="4" fillId="0" borderId="21" xfId="0" applyFont="1" applyBorder="1"/>
    <xf numFmtId="0" fontId="11" fillId="0" borderId="9" xfId="0" applyFont="1" applyBorder="1"/>
    <xf numFmtId="0" fontId="13" fillId="0" borderId="8" xfId="0" applyFont="1" applyBorder="1" applyAlignment="1">
      <alignment horizontal="right"/>
    </xf>
    <xf numFmtId="173" fontId="13" fillId="0" borderId="11" xfId="1" applyNumberFormat="1" applyFont="1" applyBorder="1"/>
    <xf numFmtId="173" fontId="4" fillId="0" borderId="11" xfId="1" applyNumberFormat="1" applyFont="1" applyBorder="1" applyAlignment="1">
      <alignment horizontal="right"/>
    </xf>
    <xf numFmtId="0" fontId="9" fillId="0" borderId="0" xfId="0" applyFont="1" applyBorder="1"/>
    <xf numFmtId="0" fontId="9" fillId="0" borderId="22" xfId="0" applyFont="1" applyBorder="1" applyAlignment="1"/>
    <xf numFmtId="0" fontId="16" fillId="0" borderId="9" xfId="0" applyFont="1" applyBorder="1" applyAlignment="1">
      <alignment horizontal="right"/>
    </xf>
    <xf numFmtId="173" fontId="4" fillId="0" borderId="11" xfId="1" applyNumberFormat="1" applyFont="1" applyBorder="1"/>
    <xf numFmtId="0" fontId="16" fillId="0" borderId="0" xfId="0" applyFont="1" applyBorder="1" applyAlignment="1">
      <alignment horizontal="right"/>
    </xf>
    <xf numFmtId="0" fontId="11" fillId="0" borderId="12" xfId="0" applyFont="1" applyBorder="1"/>
    <xf numFmtId="173" fontId="4" fillId="0" borderId="11" xfId="0" applyNumberFormat="1" applyFont="1" applyBorder="1"/>
    <xf numFmtId="0" fontId="11" fillId="0" borderId="10" xfId="0" applyFont="1" applyBorder="1" applyAlignment="1">
      <alignment horizontal="left"/>
    </xf>
    <xf numFmtId="10" fontId="11" fillId="0" borderId="0" xfId="0" applyNumberFormat="1" applyFont="1" applyBorder="1" applyAlignment="1">
      <alignment horizontal="right"/>
    </xf>
    <xf numFmtId="10" fontId="11" fillId="0" borderId="0" xfId="4" applyNumberFormat="1" applyFont="1" applyBorder="1" applyAlignment="1">
      <alignment horizontal="right"/>
    </xf>
    <xf numFmtId="10" fontId="11" fillId="0" borderId="11" xfId="0" applyNumberFormat="1" applyFont="1" applyBorder="1" applyAlignment="1">
      <alignment horizontal="right"/>
    </xf>
    <xf numFmtId="0" fontId="11" fillId="0" borderId="10" xfId="0" quotePrefix="1" applyFont="1" applyBorder="1" applyAlignment="1">
      <alignment horizontal="left"/>
    </xf>
    <xf numFmtId="174" fontId="11" fillId="0" borderId="0" xfId="4" applyNumberFormat="1" applyFont="1" applyBorder="1" applyAlignment="1">
      <alignment horizontal="right"/>
    </xf>
    <xf numFmtId="173" fontId="11" fillId="0" borderId="11" xfId="1" applyNumberFormat="1" applyFont="1" applyBorder="1" applyAlignment="1">
      <alignment horizontal="right"/>
    </xf>
    <xf numFmtId="0" fontId="4" fillId="0" borderId="23" xfId="0" applyFont="1" applyBorder="1"/>
    <xf numFmtId="2" fontId="4" fillId="0" borderId="9" xfId="0" applyNumberFormat="1" applyFont="1" applyBorder="1"/>
    <xf numFmtId="173" fontId="11" fillId="0" borderId="0" xfId="1" applyNumberFormat="1" applyFont="1" applyBorder="1" applyAlignment="1">
      <alignment horizontal="right"/>
    </xf>
    <xf numFmtId="43" fontId="11" fillId="0" borderId="11" xfId="1" applyFont="1" applyBorder="1" applyAlignment="1">
      <alignment horizontal="right"/>
    </xf>
    <xf numFmtId="10" fontId="11" fillId="0" borderId="13" xfId="4" applyNumberFormat="1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43" fontId="11" fillId="0" borderId="21" xfId="1" applyFont="1" applyBorder="1" applyAlignment="1">
      <alignment horizontal="right"/>
    </xf>
    <xf numFmtId="9" fontId="13" fillId="0" borderId="0" xfId="4" applyFont="1" applyBorder="1"/>
    <xf numFmtId="10" fontId="15" fillId="0" borderId="24" xfId="4" applyNumberFormat="1" applyFont="1" applyBorder="1"/>
    <xf numFmtId="179" fontId="4" fillId="0" borderId="21" xfId="2" applyNumberFormat="1" applyFont="1" applyBorder="1"/>
    <xf numFmtId="10" fontId="4" fillId="0" borderId="0" xfId="4" applyNumberFormat="1" applyFont="1" applyBorder="1"/>
    <xf numFmtId="0" fontId="4" fillId="0" borderId="11" xfId="0" applyFont="1" applyBorder="1"/>
    <xf numFmtId="0" fontId="13" fillId="0" borderId="0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179" fontId="4" fillId="0" borderId="0" xfId="2" applyNumberFormat="1" applyFont="1" applyBorder="1"/>
    <xf numFmtId="43" fontId="15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10" fontId="14" fillId="0" borderId="0" xfId="4" applyNumberFormat="1" applyFont="1" applyBorder="1" applyAlignment="1">
      <alignment horizontal="right"/>
    </xf>
    <xf numFmtId="10" fontId="11" fillId="0" borderId="0" xfId="4" applyNumberFormat="1" applyFont="1" applyBorder="1"/>
    <xf numFmtId="0" fontId="9" fillId="0" borderId="0" xfId="0" applyFont="1"/>
    <xf numFmtId="10" fontId="4" fillId="0" borderId="21" xfId="0" applyNumberFormat="1" applyFont="1" applyBorder="1"/>
    <xf numFmtId="0" fontId="11" fillId="3" borderId="0" xfId="0" applyFont="1" applyFill="1" applyBorder="1"/>
    <xf numFmtId="179" fontId="9" fillId="0" borderId="0" xfId="2" quotePrefix="1" applyNumberFormat="1" applyFont="1" applyBorder="1" applyAlignment="1">
      <alignment horizontal="left"/>
    </xf>
    <xf numFmtId="0" fontId="11" fillId="0" borderId="21" xfId="0" applyFont="1" applyBorder="1"/>
    <xf numFmtId="179" fontId="11" fillId="0" borderId="0" xfId="0" applyNumberFormat="1" applyFont="1"/>
    <xf numFmtId="0" fontId="4" fillId="0" borderId="0" xfId="0" applyFont="1" applyAlignment="1">
      <alignment horizontal="center"/>
    </xf>
    <xf numFmtId="179" fontId="4" fillId="0" borderId="0" xfId="0" applyNumberFormat="1" applyFont="1"/>
    <xf numFmtId="17" fontId="4" fillId="0" borderId="0" xfId="0" applyNumberFormat="1" applyFont="1" applyBorder="1"/>
    <xf numFmtId="43" fontId="11" fillId="0" borderId="0" xfId="0" applyNumberFormat="1" applyFont="1" applyBorder="1"/>
    <xf numFmtId="17" fontId="4" fillId="0" borderId="11" xfId="0" applyNumberFormat="1" applyFont="1" applyBorder="1"/>
    <xf numFmtId="10" fontId="14" fillId="0" borderId="0" xfId="4" applyNumberFormat="1" applyFont="1" applyBorder="1"/>
    <xf numFmtId="179" fontId="9" fillId="0" borderId="11" xfId="2" quotePrefix="1" applyNumberFormat="1" applyFont="1" applyBorder="1" applyAlignment="1">
      <alignment horizontal="left"/>
    </xf>
    <xf numFmtId="0" fontId="4" fillId="0" borderId="0" xfId="0" applyFont="1" applyFill="1" applyBorder="1"/>
    <xf numFmtId="0" fontId="11" fillId="0" borderId="0" xfId="0" applyFont="1" applyFill="1" applyBorder="1"/>
    <xf numFmtId="10" fontId="14" fillId="0" borderId="0" xfId="4" applyNumberFormat="1" applyFont="1" applyFill="1" applyBorder="1" applyAlignment="1">
      <alignment horizontal="right"/>
    </xf>
    <xf numFmtId="179" fontId="4" fillId="0" borderId="0" xfId="2" applyNumberFormat="1" applyFont="1" applyFill="1" applyBorder="1"/>
    <xf numFmtId="0" fontId="14" fillId="0" borderId="0" xfId="0" applyFont="1" applyFill="1" applyBorder="1"/>
    <xf numFmtId="10" fontId="14" fillId="0" borderId="0" xfId="4" applyNumberFormat="1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/>
    <xf numFmtId="10" fontId="4" fillId="0" borderId="0" xfId="0" applyNumberFormat="1" applyFont="1" applyFill="1" applyBorder="1"/>
    <xf numFmtId="0" fontId="4" fillId="0" borderId="0" xfId="0" applyFont="1" applyFill="1"/>
    <xf numFmtId="0" fontId="20" fillId="0" borderId="0" xfId="0" applyFont="1" applyFill="1"/>
    <xf numFmtId="0" fontId="3" fillId="0" borderId="0" xfId="0" quotePrefix="1" applyFont="1" applyAlignment="1">
      <alignment horizontal="left"/>
    </xf>
    <xf numFmtId="179" fontId="11" fillId="0" borderId="0" xfId="2" applyNumberFormat="1" applyFont="1"/>
    <xf numFmtId="0" fontId="21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3" fillId="0" borderId="0" xfId="0" quotePrefix="1" applyFont="1" applyBorder="1" applyAlignment="1">
      <alignment horizontal="left"/>
    </xf>
    <xf numFmtId="179" fontId="3" fillId="0" borderId="0" xfId="0" applyNumberFormat="1" applyFont="1"/>
    <xf numFmtId="0" fontId="3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left"/>
    </xf>
    <xf numFmtId="17" fontId="4" fillId="0" borderId="0" xfId="1" applyNumberFormat="1" applyFont="1" applyBorder="1"/>
    <xf numFmtId="0" fontId="3" fillId="0" borderId="0" xfId="0" applyFont="1" applyBorder="1"/>
    <xf numFmtId="179" fontId="3" fillId="0" borderId="0" xfId="2" applyNumberFormat="1" applyFont="1"/>
    <xf numFmtId="179" fontId="22" fillId="0" borderId="0" xfId="0" applyNumberFormat="1" applyFont="1"/>
    <xf numFmtId="0" fontId="4" fillId="0" borderId="0" xfId="0" applyFont="1" applyBorder="1" applyProtection="1">
      <protection locked="0" hidden="1"/>
    </xf>
    <xf numFmtId="0" fontId="9" fillId="0" borderId="0" xfId="0" quotePrefix="1" applyFont="1" applyBorder="1" applyAlignment="1">
      <alignment horizontal="left"/>
    </xf>
    <xf numFmtId="179" fontId="23" fillId="0" borderId="0" xfId="0" applyNumberFormat="1" applyFont="1"/>
    <xf numFmtId="0" fontId="15" fillId="0" borderId="0" xfId="0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10" fontId="4" fillId="0" borderId="0" xfId="0" applyNumberFormat="1" applyFont="1" applyBorder="1"/>
    <xf numFmtId="43" fontId="15" fillId="0" borderId="0" xfId="0" applyNumberFormat="1" applyFont="1" applyBorder="1"/>
    <xf numFmtId="0" fontId="4" fillId="0" borderId="0" xfId="0" applyFont="1" applyAlignment="1">
      <alignment horizontal="left"/>
    </xf>
    <xf numFmtId="179" fontId="14" fillId="0" borderId="0" xfId="2" applyNumberFormat="1" applyFont="1" applyBorder="1"/>
    <xf numFmtId="179" fontId="24" fillId="0" borderId="0" xfId="2" applyNumberFormat="1" applyFont="1"/>
    <xf numFmtId="174" fontId="4" fillId="0" borderId="0" xfId="4" applyNumberFormat="1" applyFont="1"/>
    <xf numFmtId="9" fontId="4" fillId="0" borderId="0" xfId="0" applyNumberFormat="1" applyFont="1"/>
    <xf numFmtId="173" fontId="4" fillId="0" borderId="0" xfId="1" applyNumberFormat="1" applyFont="1" applyBorder="1"/>
    <xf numFmtId="173" fontId="13" fillId="0" borderId="0" xfId="1" applyNumberFormat="1" applyFont="1" applyBorder="1"/>
    <xf numFmtId="179" fontId="9" fillId="0" borderId="0" xfId="0" applyNumberFormat="1" applyFont="1" applyBorder="1"/>
    <xf numFmtId="173" fontId="4" fillId="0" borderId="0" xfId="0" applyNumberFormat="1" applyFont="1" applyBorder="1"/>
    <xf numFmtId="10" fontId="15" fillId="0" borderId="0" xfId="4" applyNumberFormat="1" applyFont="1" applyBorder="1"/>
    <xf numFmtId="173" fontId="17" fillId="0" borderId="0" xfId="1" applyNumberFormat="1" applyFont="1" applyBorder="1"/>
    <xf numFmtId="179" fontId="9" fillId="0" borderId="0" xfId="2" applyNumberFormat="1" applyFont="1" applyBorder="1"/>
    <xf numFmtId="0" fontId="18" fillId="0" borderId="0" xfId="0" applyFont="1" applyBorder="1"/>
    <xf numFmtId="0" fontId="11" fillId="0" borderId="0" xfId="0" quotePrefix="1" applyFont="1" applyBorder="1" applyAlignment="1">
      <alignment horizontal="left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0" xfId="0" applyFont="1" applyBorder="1" applyAlignment="1">
      <alignment horizontal="center"/>
    </xf>
    <xf numFmtId="173" fontId="11" fillId="0" borderId="27" xfId="1" applyNumberFormat="1" applyFont="1" applyBorder="1"/>
    <xf numFmtId="0" fontId="18" fillId="0" borderId="28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27" xfId="0" applyFont="1" applyBorder="1"/>
    <xf numFmtId="37" fontId="11" fillId="0" borderId="0" xfId="0" applyNumberFormat="1" applyFont="1" applyBorder="1"/>
    <xf numFmtId="37" fontId="11" fillId="0" borderId="27" xfId="0" applyNumberFormat="1" applyFont="1" applyBorder="1"/>
    <xf numFmtId="0" fontId="11" fillId="4" borderId="0" xfId="0" applyFont="1" applyFill="1" applyBorder="1"/>
    <xf numFmtId="37" fontId="25" fillId="0" borderId="0" xfId="0" applyNumberFormat="1" applyFont="1" applyBorder="1"/>
    <xf numFmtId="0" fontId="4" fillId="4" borderId="0" xfId="0" applyFont="1" applyFill="1" applyBorder="1"/>
    <xf numFmtId="37" fontId="25" fillId="4" borderId="0" xfId="0" applyNumberFormat="1" applyFont="1" applyFill="1" applyBorder="1"/>
    <xf numFmtId="0" fontId="4" fillId="4" borderId="0" xfId="0" applyFont="1" applyFill="1"/>
    <xf numFmtId="37" fontId="11" fillId="0" borderId="0" xfId="1" applyNumberFormat="1" applyFont="1" applyBorder="1"/>
    <xf numFmtId="37" fontId="11" fillId="0" borderId="0" xfId="2" applyNumberFormat="1" applyFont="1" applyBorder="1"/>
    <xf numFmtId="0" fontId="16" fillId="0" borderId="28" xfId="0" applyFont="1" applyBorder="1"/>
    <xf numFmtId="37" fontId="16" fillId="0" borderId="0" xfId="2" applyNumberFormat="1" applyFont="1" applyBorder="1"/>
    <xf numFmtId="0" fontId="16" fillId="0" borderId="0" xfId="0" applyFont="1"/>
    <xf numFmtId="179" fontId="11" fillId="0" borderId="0" xfId="2" applyNumberFormat="1" applyFont="1" applyBorder="1"/>
    <xf numFmtId="37" fontId="16" fillId="0" borderId="0" xfId="0" applyNumberFormat="1" applyFont="1" applyBorder="1"/>
    <xf numFmtId="37" fontId="16" fillId="0" borderId="27" xfId="0" applyNumberFormat="1" applyFont="1" applyBorder="1"/>
    <xf numFmtId="0" fontId="11" fillId="0" borderId="29" xfId="0" applyFont="1" applyBorder="1"/>
    <xf numFmtId="0" fontId="11" fillId="0" borderId="30" xfId="0" applyFont="1" applyBorder="1"/>
    <xf numFmtId="0" fontId="18" fillId="0" borderId="30" xfId="0" applyFont="1" applyBorder="1"/>
    <xf numFmtId="37" fontId="11" fillId="0" borderId="30" xfId="0" applyNumberFormat="1" applyFont="1" applyBorder="1"/>
    <xf numFmtId="37" fontId="11" fillId="0" borderId="31" xfId="0" applyNumberFormat="1" applyFont="1" applyBorder="1"/>
    <xf numFmtId="0" fontId="18" fillId="0" borderId="29" xfId="0" applyFont="1" applyBorder="1"/>
    <xf numFmtId="0" fontId="18" fillId="0" borderId="0" xfId="0" applyFont="1"/>
    <xf numFmtId="37" fontId="11" fillId="0" borderId="25" xfId="0" applyNumberFormat="1" applyFont="1" applyBorder="1"/>
    <xf numFmtId="37" fontId="18" fillId="0" borderId="30" xfId="0" applyNumberFormat="1" applyFont="1" applyBorder="1"/>
    <xf numFmtId="37" fontId="18" fillId="0" borderId="0" xfId="0" applyNumberFormat="1" applyFont="1" applyBorder="1"/>
    <xf numFmtId="37" fontId="5" fillId="0" borderId="0" xfId="0" applyNumberFormat="1" applyFont="1" applyBorder="1"/>
    <xf numFmtId="37" fontId="5" fillId="4" borderId="0" xfId="0" applyNumberFormat="1" applyFont="1" applyFill="1" applyBorder="1"/>
    <xf numFmtId="43" fontId="11" fillId="0" borderId="27" xfId="1" applyFont="1" applyBorder="1"/>
    <xf numFmtId="37" fontId="11" fillId="0" borderId="0" xfId="0" applyNumberFormat="1" applyFont="1"/>
    <xf numFmtId="37" fontId="27" fillId="0" borderId="0" xfId="0" applyNumberFormat="1" applyFont="1" applyBorder="1"/>
    <xf numFmtId="37" fontId="27" fillId="0" borderId="27" xfId="0" applyNumberFormat="1" applyFont="1" applyBorder="1"/>
    <xf numFmtId="0" fontId="11" fillId="0" borderId="0" xfId="0" quotePrefix="1" applyFont="1" applyAlignment="1">
      <alignment horizontal="left"/>
    </xf>
    <xf numFmtId="173" fontId="11" fillId="0" borderId="0" xfId="0" applyNumberFormat="1" applyFont="1"/>
    <xf numFmtId="0" fontId="11" fillId="0" borderId="0" xfId="0" applyFont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0" fontId="11" fillId="0" borderId="0" xfId="0" applyNumberFormat="1" applyFont="1"/>
    <xf numFmtId="0" fontId="11" fillId="0" borderId="32" xfId="0" applyFont="1" applyBorder="1"/>
    <xf numFmtId="173" fontId="11" fillId="0" borderId="0" xfId="0" applyNumberFormat="1" applyFont="1" applyBorder="1" applyAlignment="1">
      <alignment horizontal="center"/>
    </xf>
    <xf numFmtId="10" fontId="16" fillId="0" borderId="0" xfId="4" applyNumberFormat="1" applyFont="1" applyBorder="1"/>
    <xf numFmtId="10" fontId="16" fillId="0" borderId="0" xfId="4" applyNumberFormat="1" applyFont="1" applyBorder="1" applyAlignment="1">
      <alignment horizontal="right"/>
    </xf>
    <xf numFmtId="0" fontId="11" fillId="0" borderId="33" xfId="0" applyFont="1" applyBorder="1"/>
    <xf numFmtId="10" fontId="11" fillId="0" borderId="0" xfId="0" applyNumberFormat="1" applyFont="1" applyBorder="1"/>
    <xf numFmtId="173" fontId="11" fillId="0" borderId="33" xfId="0" applyNumberFormat="1" applyFont="1" applyBorder="1"/>
    <xf numFmtId="14" fontId="11" fillId="0" borderId="0" xfId="0" applyNumberFormat="1" applyFont="1" applyBorder="1"/>
    <xf numFmtId="173" fontId="11" fillId="0" borderId="0" xfId="0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right"/>
    </xf>
    <xf numFmtId="0" fontId="28" fillId="0" borderId="0" xfId="0" applyFont="1" applyBorder="1"/>
    <xf numFmtId="173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/>
    <xf numFmtId="10" fontId="14" fillId="0" borderId="33" xfId="4" applyNumberFormat="1" applyFont="1" applyBorder="1"/>
    <xf numFmtId="173" fontId="11" fillId="0" borderId="33" xfId="4" applyNumberFormat="1" applyFont="1" applyBorder="1"/>
    <xf numFmtId="173" fontId="16" fillId="0" borderId="33" xfId="1" applyNumberFormat="1" applyFont="1" applyBorder="1"/>
    <xf numFmtId="0" fontId="11" fillId="0" borderId="34" xfId="0" applyFont="1" applyBorder="1"/>
    <xf numFmtId="10" fontId="11" fillId="0" borderId="25" xfId="4" applyNumberFormat="1" applyFont="1" applyBorder="1"/>
    <xf numFmtId="0" fontId="11" fillId="0" borderId="29" xfId="0" quotePrefix="1" applyFont="1" applyBorder="1" applyAlignment="1">
      <alignment horizontal="left"/>
    </xf>
    <xf numFmtId="10" fontId="11" fillId="0" borderId="30" xfId="4" applyNumberFormat="1" applyFont="1" applyBorder="1"/>
    <xf numFmtId="173" fontId="18" fillId="0" borderId="0" xfId="0" applyNumberFormat="1" applyFont="1" applyBorder="1"/>
    <xf numFmtId="179" fontId="18" fillId="0" borderId="0" xfId="2" applyNumberFormat="1" applyFont="1" applyBorder="1"/>
    <xf numFmtId="10" fontId="28" fillId="0" borderId="0" xfId="4" applyNumberFormat="1" applyFont="1" applyBorder="1"/>
    <xf numFmtId="17" fontId="16" fillId="0" borderId="0" xfId="0" applyNumberFormat="1" applyFont="1" applyBorder="1"/>
    <xf numFmtId="179" fontId="18" fillId="0" borderId="30" xfId="2" applyNumberFormat="1" applyFont="1" applyBorder="1"/>
    <xf numFmtId="0" fontId="11" fillId="0" borderId="35" xfId="0" applyFont="1" applyBorder="1"/>
    <xf numFmtId="173" fontId="11" fillId="0" borderId="0" xfId="1" applyNumberFormat="1" applyFont="1" applyFill="1" applyBorder="1"/>
    <xf numFmtId="0" fontId="11" fillId="0" borderId="0" xfId="0" applyFont="1" applyFill="1"/>
    <xf numFmtId="173" fontId="27" fillId="0" borderId="0" xfId="1" applyNumberFormat="1" applyFont="1" applyBorder="1"/>
    <xf numFmtId="0" fontId="21" fillId="0" borderId="0" xfId="0" applyFont="1" applyFill="1" applyBorder="1"/>
    <xf numFmtId="0" fontId="16" fillId="0" borderId="0" xfId="0" applyFont="1" applyFill="1" applyBorder="1" applyAlignment="1">
      <alignment horizontal="right"/>
    </xf>
    <xf numFmtId="179" fontId="11" fillId="0" borderId="0" xfId="2" applyNumberFormat="1" applyFont="1" applyFill="1" applyBorder="1"/>
    <xf numFmtId="179" fontId="11" fillId="0" borderId="0" xfId="0" applyNumberFormat="1" applyFont="1" applyFill="1" applyBorder="1"/>
    <xf numFmtId="10" fontId="11" fillId="0" borderId="0" xfId="0" applyNumberFormat="1" applyFont="1" applyFill="1" applyBorder="1"/>
    <xf numFmtId="0" fontId="11" fillId="0" borderId="0" xfId="0" quotePrefix="1" applyFont="1" applyFill="1" applyBorder="1" applyAlignment="1">
      <alignment horizontal="left"/>
    </xf>
    <xf numFmtId="173" fontId="14" fillId="0" borderId="0" xfId="1" applyNumberFormat="1" applyFont="1" applyFill="1" applyBorder="1"/>
    <xf numFmtId="173" fontId="11" fillId="0" borderId="0" xfId="4" applyNumberFormat="1" applyFont="1" applyFill="1" applyBorder="1"/>
    <xf numFmtId="17" fontId="16" fillId="0" borderId="0" xfId="4" applyNumberFormat="1" applyFont="1" applyFill="1" applyBorder="1"/>
    <xf numFmtId="0" fontId="29" fillId="0" borderId="0" xfId="0" quotePrefix="1" applyFont="1" applyFill="1" applyBorder="1" applyAlignment="1">
      <alignment horizontal="left"/>
    </xf>
    <xf numFmtId="0" fontId="16" fillId="0" borderId="0" xfId="0" applyFont="1" applyFill="1" applyBorder="1"/>
    <xf numFmtId="43" fontId="14" fillId="0" borderId="0" xfId="1" applyFont="1" applyFill="1" applyBorder="1"/>
    <xf numFmtId="179" fontId="11" fillId="0" borderId="0" xfId="4" applyNumberFormat="1" applyFont="1" applyFill="1" applyBorder="1"/>
    <xf numFmtId="173" fontId="16" fillId="0" borderId="0" xfId="0" applyNumberFormat="1" applyFont="1" applyFill="1" applyBorder="1"/>
    <xf numFmtId="173" fontId="16" fillId="0" borderId="0" xfId="1" applyNumberFormat="1" applyFont="1" applyFill="1" applyBorder="1"/>
    <xf numFmtId="173" fontId="11" fillId="0" borderId="0" xfId="0" applyNumberFormat="1" applyFont="1" applyFill="1" applyBorder="1"/>
    <xf numFmtId="0" fontId="29" fillId="0" borderId="0" xfId="0" applyFont="1" applyFill="1" applyBorder="1"/>
    <xf numFmtId="43" fontId="11" fillId="0" borderId="0" xfId="1" applyFont="1" applyFill="1" applyBorder="1"/>
    <xf numFmtId="179" fontId="6" fillId="0" borderId="0" xfId="2" applyNumberFormat="1" applyFont="1" applyFill="1" applyBorder="1"/>
    <xf numFmtId="173" fontId="27" fillId="0" borderId="0" xfId="1" applyNumberFormat="1" applyFont="1" applyFill="1" applyBorder="1"/>
    <xf numFmtId="0" fontId="11" fillId="0" borderId="0" xfId="0" applyFont="1" applyFill="1" applyBorder="1" applyAlignment="1">
      <alignment horizontal="left"/>
    </xf>
    <xf numFmtId="10" fontId="11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7" fontId="16" fillId="0" borderId="0" xfId="1" applyNumberFormat="1" applyFont="1" applyFill="1" applyBorder="1"/>
    <xf numFmtId="179" fontId="14" fillId="0" borderId="0" xfId="2" applyNumberFormat="1" applyFont="1" applyFill="1" applyBorder="1"/>
    <xf numFmtId="179" fontId="27" fillId="0" borderId="0" xfId="2" applyNumberFormat="1" applyFont="1" applyFill="1" applyBorder="1"/>
    <xf numFmtId="0" fontId="18" fillId="0" borderId="0" xfId="0" applyFont="1" applyFill="1" applyBorder="1"/>
    <xf numFmtId="173" fontId="18" fillId="0" borderId="0" xfId="0" applyNumberFormat="1" applyFont="1" applyFill="1" applyBorder="1"/>
    <xf numFmtId="179" fontId="18" fillId="0" borderId="0" xfId="2" applyNumberFormat="1" applyFont="1" applyFill="1" applyBorder="1"/>
    <xf numFmtId="10" fontId="28" fillId="0" borderId="0" xfId="4" applyNumberFormat="1" applyFont="1" applyFill="1" applyBorder="1"/>
    <xf numFmtId="0" fontId="28" fillId="0" borderId="0" xfId="0" applyFont="1" applyFill="1" applyBorder="1"/>
    <xf numFmtId="0" fontId="21" fillId="0" borderId="0" xfId="0" applyFont="1"/>
    <xf numFmtId="0" fontId="18" fillId="0" borderId="0" xfId="0" applyFont="1" applyBorder="1" applyAlignment="1">
      <alignment horizontal="centerContinuous"/>
    </xf>
    <xf numFmtId="174" fontId="30" fillId="0" borderId="0" xfId="4" applyNumberFormat="1" applyFont="1" applyBorder="1" applyAlignment="1">
      <alignment horizontal="centerContinuous"/>
    </xf>
    <xf numFmtId="0" fontId="28" fillId="0" borderId="0" xfId="0" applyFont="1"/>
    <xf numFmtId="0" fontId="18" fillId="0" borderId="0" xfId="0" quotePrefix="1" applyFont="1" applyBorder="1" applyAlignment="1">
      <alignment horizontal="left"/>
    </xf>
    <xf numFmtId="0" fontId="31" fillId="0" borderId="0" xfId="0" applyFont="1"/>
    <xf numFmtId="10" fontId="28" fillId="0" borderId="0" xfId="0" applyNumberFormat="1" applyFont="1" applyBorder="1"/>
    <xf numFmtId="0" fontId="29" fillId="0" borderId="0" xfId="0" applyFont="1" applyBorder="1" applyAlignment="1">
      <alignment horizontal="centerContinuous"/>
    </xf>
    <xf numFmtId="1" fontId="32" fillId="0" borderId="0" xfId="4" applyNumberFormat="1" applyFont="1" applyBorder="1" applyAlignment="1">
      <alignment horizontal="centerContinuous"/>
    </xf>
    <xf numFmtId="0" fontId="11" fillId="0" borderId="2" xfId="0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174" fontId="33" fillId="0" borderId="0" xfId="4" applyNumberFormat="1" applyFont="1" applyAlignment="1">
      <alignment horizontal="center"/>
    </xf>
    <xf numFmtId="179" fontId="11" fillId="0" borderId="0" xfId="0" applyNumberFormat="1" applyFont="1" applyBorder="1"/>
    <xf numFmtId="0" fontId="19" fillId="0" borderId="0" xfId="0" applyFont="1" applyBorder="1"/>
    <xf numFmtId="173" fontId="19" fillId="0" borderId="0" xfId="1" applyNumberFormat="1" applyFont="1" applyBorder="1"/>
    <xf numFmtId="0" fontId="34" fillId="0" borderId="0" xfId="0" applyFont="1" applyBorder="1" applyAlignment="1">
      <alignment horizontal="center"/>
    </xf>
    <xf numFmtId="173" fontId="18" fillId="0" borderId="0" xfId="1" applyNumberFormat="1" applyFont="1" applyBorder="1"/>
    <xf numFmtId="0" fontId="18" fillId="0" borderId="34" xfId="0" applyFont="1" applyBorder="1"/>
    <xf numFmtId="1" fontId="32" fillId="0" borderId="25" xfId="4" applyNumberFormat="1" applyFont="1" applyBorder="1"/>
    <xf numFmtId="1" fontId="32" fillId="0" borderId="26" xfId="4" applyNumberFormat="1" applyFont="1" applyBorder="1"/>
    <xf numFmtId="173" fontId="18" fillId="0" borderId="25" xfId="1" applyNumberFormat="1" applyFont="1" applyBorder="1"/>
    <xf numFmtId="173" fontId="18" fillId="0" borderId="26" xfId="1" applyNumberFormat="1" applyFont="1" applyBorder="1"/>
    <xf numFmtId="181" fontId="11" fillId="0" borderId="0" xfId="0" applyNumberFormat="1" applyFont="1" applyBorder="1"/>
    <xf numFmtId="0" fontId="19" fillId="0" borderId="28" xfId="0" applyFont="1" applyBorder="1"/>
    <xf numFmtId="173" fontId="15" fillId="0" borderId="0" xfId="1" applyNumberFormat="1" applyFont="1" applyBorder="1"/>
    <xf numFmtId="173" fontId="15" fillId="0" borderId="27" xfId="1" applyNumberFormat="1" applyFont="1" applyBorder="1"/>
    <xf numFmtId="0" fontId="18" fillId="0" borderId="28" xfId="0" quotePrefix="1" applyFont="1" applyBorder="1" applyAlignment="1">
      <alignment horizontal="left"/>
    </xf>
    <xf numFmtId="173" fontId="18" fillId="0" borderId="27" xfId="1" applyNumberFormat="1" applyFont="1" applyBorder="1"/>
    <xf numFmtId="173" fontId="19" fillId="0" borderId="27" xfId="1" applyNumberFormat="1" applyFont="1" applyBorder="1"/>
    <xf numFmtId="0" fontId="18" fillId="0" borderId="29" xfId="0" quotePrefix="1" applyFont="1" applyBorder="1" applyAlignment="1">
      <alignment horizontal="left"/>
    </xf>
    <xf numFmtId="173" fontId="18" fillId="0" borderId="30" xfId="1" applyNumberFormat="1" applyFont="1" applyBorder="1"/>
    <xf numFmtId="0" fontId="19" fillId="0" borderId="34" xfId="0" quotePrefix="1" applyFont="1" applyBorder="1" applyAlignment="1">
      <alignment horizontal="left"/>
    </xf>
    <xf numFmtId="0" fontId="19" fillId="0" borderId="25" xfId="0" applyFont="1" applyBorder="1"/>
    <xf numFmtId="10" fontId="19" fillId="0" borderId="25" xfId="4" applyNumberFormat="1" applyFont="1" applyBorder="1"/>
    <xf numFmtId="10" fontId="19" fillId="0" borderId="32" xfId="0" applyNumberFormat="1" applyFont="1" applyBorder="1"/>
    <xf numFmtId="173" fontId="19" fillId="0" borderId="0" xfId="0" applyNumberFormat="1" applyFont="1" applyBorder="1"/>
    <xf numFmtId="0" fontId="34" fillId="0" borderId="0" xfId="0" applyFont="1" applyAlignment="1">
      <alignment horizontal="center"/>
    </xf>
    <xf numFmtId="174" fontId="34" fillId="0" borderId="0" xfId="4" applyNumberFormat="1" applyFont="1" applyAlignment="1">
      <alignment horizontal="center"/>
    </xf>
    <xf numFmtId="0" fontId="19" fillId="0" borderId="0" xfId="0" applyFont="1"/>
    <xf numFmtId="0" fontId="19" fillId="0" borderId="29" xfId="0" quotePrefix="1" applyFont="1" applyBorder="1" applyAlignment="1">
      <alignment horizontal="left"/>
    </xf>
    <xf numFmtId="0" fontId="19" fillId="0" borderId="30" xfId="0" applyFont="1" applyBorder="1"/>
    <xf numFmtId="10" fontId="19" fillId="0" borderId="30" xfId="4" applyNumberFormat="1" applyFont="1" applyBorder="1"/>
    <xf numFmtId="10" fontId="19" fillId="0" borderId="35" xfId="0" applyNumberFormat="1" applyFont="1" applyBorder="1"/>
    <xf numFmtId="10" fontId="19" fillId="0" borderId="0" xfId="4" applyNumberFormat="1" applyFont="1" applyBorder="1"/>
    <xf numFmtId="43" fontId="18" fillId="0" borderId="0" xfId="1" applyNumberFormat="1" applyFont="1" applyBorder="1"/>
    <xf numFmtId="179" fontId="27" fillId="0" borderId="0" xfId="0" applyNumberFormat="1" applyFont="1" applyBorder="1"/>
    <xf numFmtId="0" fontId="11" fillId="0" borderId="0" xfId="0" quotePrefix="1" applyFont="1" applyBorder="1" applyAlignment="1">
      <alignment horizontal="fill"/>
    </xf>
    <xf numFmtId="173" fontId="35" fillId="0" borderId="0" xfId="1" applyNumberFormat="1" applyFont="1" applyBorder="1"/>
    <xf numFmtId="173" fontId="18" fillId="0" borderId="0" xfId="1" applyNumberFormat="1" applyFont="1"/>
    <xf numFmtId="173" fontId="11" fillId="0" borderId="28" xfId="1" applyNumberFormat="1" applyFont="1" applyBorder="1"/>
    <xf numFmtId="173" fontId="18" fillId="0" borderId="28" xfId="1" applyNumberFormat="1" applyFont="1" applyBorder="1"/>
    <xf numFmtId="173" fontId="18" fillId="0" borderId="33" xfId="1" applyNumberFormat="1" applyFont="1" applyBorder="1"/>
    <xf numFmtId="173" fontId="11" fillId="0" borderId="28" xfId="1" quotePrefix="1" applyNumberFormat="1" applyFont="1" applyBorder="1" applyAlignment="1">
      <alignment horizontal="left"/>
    </xf>
    <xf numFmtId="173" fontId="18" fillId="0" borderId="29" xfId="1" applyNumberFormat="1" applyFont="1" applyBorder="1"/>
    <xf numFmtId="0" fontId="18" fillId="0" borderId="0" xfId="0" applyFont="1" applyBorder="1" applyAlignment="1">
      <alignment horizontal="left"/>
    </xf>
    <xf numFmtId="179" fontId="27" fillId="0" borderId="0" xfId="0" applyNumberFormat="1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174" fontId="33" fillId="0" borderId="0" xfId="4" applyNumberFormat="1" applyFont="1" applyFill="1" applyAlignment="1">
      <alignment horizontal="center"/>
    </xf>
    <xf numFmtId="0" fontId="11" fillId="0" borderId="0" xfId="0" applyFont="1" applyBorder="1" applyAlignment="1">
      <alignment horizontal="left"/>
    </xf>
    <xf numFmtId="173" fontId="11" fillId="0" borderId="0" xfId="1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173" fontId="27" fillId="0" borderId="0" xfId="1" applyNumberFormat="1" applyFont="1" applyBorder="1" applyAlignment="1">
      <alignment horizontal="left"/>
    </xf>
    <xf numFmtId="9" fontId="11" fillId="0" borderId="0" xfId="4" applyFont="1" applyBorder="1" applyAlignment="1">
      <alignment horizontal="left"/>
    </xf>
    <xf numFmtId="43" fontId="11" fillId="0" borderId="0" xfId="1" applyFont="1" applyBorder="1" applyAlignment="1">
      <alignment horizontal="left"/>
    </xf>
    <xf numFmtId="43" fontId="11" fillId="0" borderId="0" xfId="1" applyFont="1" applyBorder="1" applyAlignment="1">
      <alignment horizontal="right"/>
    </xf>
    <xf numFmtId="43" fontId="11" fillId="0" borderId="0" xfId="1" applyFont="1"/>
    <xf numFmtId="173" fontId="11" fillId="0" borderId="0" xfId="0" applyNumberFormat="1" applyFont="1" applyBorder="1" applyAlignment="1">
      <alignment horizontal="left"/>
    </xf>
    <xf numFmtId="179" fontId="11" fillId="0" borderId="0" xfId="2" applyNumberFormat="1" applyFont="1" applyBorder="1" applyAlignment="1">
      <alignment horizontal="left"/>
    </xf>
    <xf numFmtId="0" fontId="11" fillId="0" borderId="0" xfId="0" applyFont="1" applyAlignment="1">
      <alignment horizontal="right"/>
    </xf>
    <xf numFmtId="179" fontId="11" fillId="0" borderId="0" xfId="2" applyNumberFormat="1" applyFont="1" applyBorder="1" applyAlignment="1">
      <alignment horizontal="center"/>
    </xf>
    <xf numFmtId="179" fontId="11" fillId="0" borderId="0" xfId="0" applyNumberFormat="1" applyFont="1" applyBorder="1" applyAlignment="1">
      <alignment horizontal="left"/>
    </xf>
    <xf numFmtId="10" fontId="11" fillId="0" borderId="0" xfId="4" applyNumberFormat="1" applyFont="1" applyBorder="1" applyAlignment="1">
      <alignment horizontal="left"/>
    </xf>
    <xf numFmtId="1" fontId="11" fillId="0" borderId="0" xfId="2" applyNumberFormat="1" applyFont="1" applyBorder="1" applyAlignment="1">
      <alignment horizontal="left"/>
    </xf>
    <xf numFmtId="1" fontId="16" fillId="0" borderId="0" xfId="2" applyNumberFormat="1" applyFont="1" applyBorder="1" applyAlignment="1">
      <alignment horizontal="left"/>
    </xf>
    <xf numFmtId="174" fontId="36" fillId="0" borderId="0" xfId="4" applyNumberFormat="1" applyFont="1" applyAlignment="1">
      <alignment horizontal="center"/>
    </xf>
    <xf numFmtId="179" fontId="16" fillId="0" borderId="0" xfId="2" applyNumberFormat="1" applyFont="1" applyBorder="1" applyAlignment="1">
      <alignment horizontal="left"/>
    </xf>
    <xf numFmtId="173" fontId="16" fillId="0" borderId="0" xfId="0" applyNumberFormat="1" applyFont="1" applyBorder="1" applyAlignment="1">
      <alignment horizontal="left"/>
    </xf>
    <xf numFmtId="173" fontId="16" fillId="0" borderId="0" xfId="0" applyNumberFormat="1" applyFont="1" applyBorder="1"/>
    <xf numFmtId="0" fontId="36" fillId="0" borderId="0" xfId="0" applyFont="1" applyAlignment="1">
      <alignment horizontal="center"/>
    </xf>
    <xf numFmtId="179" fontId="6" fillId="0" borderId="0" xfId="2" applyNumberFormat="1" applyFont="1" applyBorder="1" applyAlignment="1">
      <alignment horizontal="left"/>
    </xf>
    <xf numFmtId="174" fontId="33" fillId="0" borderId="0" xfId="0" applyNumberFormat="1" applyFont="1" applyAlignment="1">
      <alignment horizontal="center"/>
    </xf>
    <xf numFmtId="174" fontId="11" fillId="0" borderId="0" xfId="4" applyNumberFormat="1" applyFont="1" applyBorder="1" applyAlignment="1">
      <alignment horizontal="left"/>
    </xf>
    <xf numFmtId="173" fontId="16" fillId="0" borderId="0" xfId="1" applyNumberFormat="1" applyFont="1" applyBorder="1" applyAlignment="1">
      <alignment horizontal="left"/>
    </xf>
    <xf numFmtId="43" fontId="16" fillId="0" borderId="0" xfId="1" applyFont="1" applyBorder="1" applyAlignment="1">
      <alignment horizontal="left"/>
    </xf>
    <xf numFmtId="43" fontId="16" fillId="0" borderId="0" xfId="1" applyFont="1" applyBorder="1"/>
    <xf numFmtId="179" fontId="18" fillId="0" borderId="0" xfId="2" applyNumberFormat="1" applyFont="1" applyBorder="1" applyAlignment="1">
      <alignment horizontal="left"/>
    </xf>
    <xf numFmtId="179" fontId="11" fillId="0" borderId="0" xfId="0" applyNumberFormat="1" applyFont="1" applyAlignment="1">
      <alignment horizontal="left"/>
    </xf>
    <xf numFmtId="17" fontId="11" fillId="0" borderId="0" xfId="2" applyNumberFormat="1" applyFont="1" applyBorder="1" applyAlignment="1">
      <alignment horizontal="left"/>
    </xf>
    <xf numFmtId="1" fontId="27" fillId="0" borderId="0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73" fontId="16" fillId="0" borderId="0" xfId="1" applyNumberFormat="1" applyFont="1" applyBorder="1" applyAlignment="1">
      <alignment horizontal="right"/>
    </xf>
    <xf numFmtId="173" fontId="37" fillId="0" borderId="0" xfId="1" applyNumberFormat="1" applyFont="1" applyBorder="1" applyAlignment="1">
      <alignment horizontal="right"/>
    </xf>
    <xf numFmtId="173" fontId="11" fillId="0" borderId="0" xfId="0" applyNumberFormat="1" applyFont="1" applyAlignment="1">
      <alignment horizontal="right"/>
    </xf>
    <xf numFmtId="173" fontId="11" fillId="0" borderId="25" xfId="1" applyNumberFormat="1" applyFont="1" applyBorder="1"/>
    <xf numFmtId="1" fontId="11" fillId="0" borderId="0" xfId="1" applyNumberFormat="1" applyFont="1" applyBorder="1"/>
    <xf numFmtId="173" fontId="11" fillId="0" borderId="27" xfId="0" applyNumberFormat="1" applyFont="1" applyBorder="1"/>
    <xf numFmtId="10" fontId="16" fillId="0" borderId="0" xfId="0" applyNumberFormat="1" applyFont="1" applyBorder="1"/>
    <xf numFmtId="173" fontId="16" fillId="0" borderId="27" xfId="1" applyNumberFormat="1" applyFont="1" applyBorder="1"/>
    <xf numFmtId="173" fontId="27" fillId="0" borderId="0" xfId="0" applyNumberFormat="1" applyFont="1" applyBorder="1"/>
    <xf numFmtId="10" fontId="16" fillId="0" borderId="27" xfId="4" applyNumberFormat="1" applyFont="1" applyBorder="1"/>
    <xf numFmtId="173" fontId="11" fillId="0" borderId="30" xfId="1" applyNumberFormat="1" applyFont="1" applyBorder="1"/>
    <xf numFmtId="173" fontId="11" fillId="0" borderId="31" xfId="1" applyNumberFormat="1" applyFont="1" applyBorder="1"/>
    <xf numFmtId="173" fontId="16" fillId="0" borderId="27" xfId="0" applyNumberFormat="1" applyFont="1" applyBorder="1"/>
    <xf numFmtId="0" fontId="11" fillId="0" borderId="36" xfId="0" applyFont="1" applyBorder="1"/>
    <xf numFmtId="0" fontId="11" fillId="0" borderId="31" xfId="0" applyFont="1" applyBorder="1"/>
    <xf numFmtId="174" fontId="11" fillId="0" borderId="0" xfId="4" applyNumberFormat="1" applyFont="1" applyBorder="1" applyAlignment="1">
      <alignment horizontal="center"/>
    </xf>
    <xf numFmtId="174" fontId="16" fillId="0" borderId="0" xfId="4" applyNumberFormat="1" applyFont="1" applyBorder="1"/>
    <xf numFmtId="9" fontId="16" fillId="0" borderId="0" xfId="4" applyFont="1" applyBorder="1"/>
    <xf numFmtId="0" fontId="38" fillId="0" borderId="0" xfId="0" applyFont="1" applyBorder="1"/>
    <xf numFmtId="17" fontId="11" fillId="0" borderId="0" xfId="0" applyNumberFormat="1" applyFont="1" applyBorder="1"/>
    <xf numFmtId="1" fontId="11" fillId="0" borderId="0" xfId="0" applyNumberFormat="1" applyFont="1" applyBorder="1"/>
    <xf numFmtId="172" fontId="11" fillId="0" borderId="0" xfId="1" applyNumberFormat="1" applyFont="1" applyBorder="1"/>
    <xf numFmtId="0" fontId="11" fillId="0" borderId="0" xfId="0" applyFont="1" applyFill="1" applyBorder="1" applyAlignment="1">
      <alignment horizontal="right"/>
    </xf>
    <xf numFmtId="173" fontId="11" fillId="0" borderId="0" xfId="0" applyNumberFormat="1" applyFont="1" applyFill="1" applyBorder="1" applyAlignment="1">
      <alignment horizontal="right"/>
    </xf>
    <xf numFmtId="0" fontId="11" fillId="0" borderId="33" xfId="0" applyFont="1" applyFill="1" applyBorder="1" applyAlignment="1">
      <alignment horizontal="right"/>
    </xf>
    <xf numFmtId="9" fontId="11" fillId="0" borderId="0" xfId="0" applyNumberFormat="1" applyFont="1" applyFill="1" applyBorder="1" applyAlignment="1">
      <alignment horizontal="right"/>
    </xf>
    <xf numFmtId="9" fontId="11" fillId="0" borderId="33" xfId="0" applyNumberFormat="1" applyFont="1" applyFill="1" applyBorder="1" applyAlignment="1">
      <alignment horizontal="right"/>
    </xf>
    <xf numFmtId="9" fontId="11" fillId="0" borderId="0" xfId="0" applyNumberFormat="1" applyFont="1" applyFill="1" applyBorder="1"/>
    <xf numFmtId="173" fontId="11" fillId="0" borderId="0" xfId="1" applyNumberFormat="1" applyFont="1" applyFill="1" applyBorder="1" applyAlignment="1">
      <alignment horizontal="right"/>
    </xf>
    <xf numFmtId="179" fontId="11" fillId="0" borderId="0" xfId="2" quotePrefix="1" applyNumberFormat="1" applyFont="1" applyFill="1" applyBorder="1" applyAlignment="1">
      <alignment horizontal="left"/>
    </xf>
    <xf numFmtId="173" fontId="27" fillId="0" borderId="0" xfId="1" quotePrefix="1" applyNumberFormat="1" applyFont="1" applyFill="1" applyBorder="1" applyAlignment="1">
      <alignment horizontal="left"/>
    </xf>
    <xf numFmtId="173" fontId="11" fillId="0" borderId="33" xfId="1" applyNumberFormat="1" applyFont="1" applyFill="1" applyBorder="1" applyAlignment="1">
      <alignment horizontal="right"/>
    </xf>
    <xf numFmtId="173" fontId="16" fillId="0" borderId="0" xfId="1" applyNumberFormat="1" applyFont="1" applyFill="1" applyBorder="1" applyAlignment="1">
      <alignment horizontal="right"/>
    </xf>
    <xf numFmtId="179" fontId="18" fillId="0" borderId="0" xfId="0" applyNumberFormat="1" applyFont="1"/>
    <xf numFmtId="176" fontId="18" fillId="0" borderId="0" xfId="2" applyNumberFormat="1" applyFont="1"/>
    <xf numFmtId="44" fontId="18" fillId="0" borderId="0" xfId="2" applyFont="1"/>
    <xf numFmtId="173" fontId="16" fillId="0" borderId="0" xfId="1" applyNumberFormat="1" applyFont="1"/>
    <xf numFmtId="198" fontId="6" fillId="0" borderId="0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2" fontId="11" fillId="0" borderId="37" xfId="0" applyNumberFormat="1" applyFont="1" applyBorder="1"/>
    <xf numFmtId="198" fontId="6" fillId="0" borderId="38" xfId="0" applyNumberFormat="1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198" fontId="6" fillId="0" borderId="35" xfId="0" applyNumberFormat="1" applyFont="1" applyBorder="1" applyAlignment="1">
      <alignment horizontal="center"/>
    </xf>
    <xf numFmtId="43" fontId="11" fillId="0" borderId="0" xfId="1" quotePrefix="1" applyFont="1" applyBorder="1" applyAlignment="1">
      <alignment horizontal="right"/>
    </xf>
    <xf numFmtId="10" fontId="18" fillId="0" borderId="0" xfId="4" applyNumberFormat="1" applyFont="1" applyFill="1" applyBorder="1"/>
    <xf numFmtId="37" fontId="11" fillId="3" borderId="0" xfId="0" applyNumberFormat="1" applyFont="1" applyFill="1" applyBorder="1"/>
    <xf numFmtId="182" fontId="11" fillId="0" borderId="0" xfId="1" applyNumberFormat="1" applyFont="1" applyBorder="1"/>
    <xf numFmtId="174" fontId="11" fillId="0" borderId="0" xfId="4" applyNumberFormat="1" applyFont="1" applyBorder="1"/>
    <xf numFmtId="0" fontId="11" fillId="0" borderId="0" xfId="0" applyFont="1" applyFill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10" fontId="19" fillId="0" borderId="0" xfId="4" applyNumberFormat="1" applyFont="1" applyFill="1" applyBorder="1" applyAlignment="1">
      <alignment horizontal="center"/>
    </xf>
    <xf numFmtId="182" fontId="11" fillId="0" borderId="0" xfId="1" applyNumberFormat="1" applyFont="1" applyFill="1" applyBorder="1" applyAlignment="1">
      <alignment horizontal="center"/>
    </xf>
    <xf numFmtId="173" fontId="39" fillId="0" borderId="0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73" fontId="11" fillId="0" borderId="0" xfId="1" applyNumberFormat="1" applyFont="1" applyFill="1" applyBorder="1" applyAlignment="1">
      <alignment horizontal="center"/>
    </xf>
    <xf numFmtId="173" fontId="27" fillId="0" borderId="0" xfId="1" applyNumberFormat="1" applyFont="1" applyFill="1" applyBorder="1" applyAlignment="1">
      <alignment horizontal="center"/>
    </xf>
    <xf numFmtId="174" fontId="16" fillId="0" borderId="0" xfId="4" applyNumberFormat="1" applyFont="1" applyFill="1" applyBorder="1" applyAlignment="1">
      <alignment horizontal="center"/>
    </xf>
    <xf numFmtId="10" fontId="27" fillId="0" borderId="0" xfId="4" applyNumberFormat="1" applyFont="1" applyFill="1" applyBorder="1" applyAlignment="1">
      <alignment horizontal="center"/>
    </xf>
    <xf numFmtId="173" fontId="27" fillId="0" borderId="0" xfId="0" applyNumberFormat="1" applyFont="1" applyFill="1" applyBorder="1" applyAlignment="1">
      <alignment horizontal="center"/>
    </xf>
    <xf numFmtId="173" fontId="11" fillId="0" borderId="0" xfId="0" applyNumberFormat="1" applyFont="1" applyFill="1" applyBorder="1" applyAlignment="1">
      <alignment horizontal="center"/>
    </xf>
    <xf numFmtId="8" fontId="11" fillId="0" borderId="0" xfId="4" applyNumberFormat="1" applyFont="1" applyFill="1" applyBorder="1"/>
    <xf numFmtId="17" fontId="14" fillId="0" borderId="0" xfId="0" applyNumberFormat="1" applyFont="1" applyFill="1" applyBorder="1"/>
    <xf numFmtId="17" fontId="11" fillId="0" borderId="0" xfId="0" applyNumberFormat="1" applyFont="1" applyFill="1" applyBorder="1"/>
    <xf numFmtId="17" fontId="11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3" fontId="6" fillId="0" borderId="0" xfId="1" applyNumberFormat="1" applyFont="1" applyFill="1" applyBorder="1"/>
    <xf numFmtId="179" fontId="18" fillId="0" borderId="0" xfId="0" applyNumberFormat="1" applyFont="1" applyFill="1" applyBorder="1"/>
    <xf numFmtId="1" fontId="11" fillId="0" borderId="0" xfId="0" applyNumberFormat="1" applyFont="1"/>
    <xf numFmtId="216" fontId="16" fillId="0" borderId="0" xfId="1" applyNumberFormat="1" applyFont="1"/>
    <xf numFmtId="216" fontId="16" fillId="0" borderId="0" xfId="1" applyNumberFormat="1" applyFont="1" applyBorder="1"/>
    <xf numFmtId="173" fontId="16" fillId="0" borderId="0" xfId="0" applyNumberFormat="1" applyFont="1"/>
    <xf numFmtId="6" fontId="11" fillId="0" borderId="0" xfId="0" applyNumberFormat="1" applyFont="1"/>
    <xf numFmtId="9" fontId="16" fillId="0" borderId="0" xfId="4" applyFont="1"/>
    <xf numFmtId="10" fontId="16" fillId="0" borderId="0" xfId="4" applyNumberFormat="1" applyFont="1"/>
    <xf numFmtId="10" fontId="16" fillId="0" borderId="0" xfId="0" applyNumberFormat="1" applyFont="1"/>
    <xf numFmtId="173" fontId="25" fillId="5" borderId="11" xfId="1" applyNumberFormat="1" applyFont="1" applyFill="1" applyBorder="1" applyAlignment="1">
      <alignment horizontal="center"/>
    </xf>
    <xf numFmtId="181" fontId="25" fillId="5" borderId="11" xfId="1" applyNumberFormat="1" applyFont="1" applyFill="1" applyBorder="1" applyAlignment="1">
      <alignment horizontal="center"/>
    </xf>
    <xf numFmtId="173" fontId="11" fillId="0" borderId="11" xfId="1" applyNumberFormat="1" applyFont="1" applyFill="1" applyBorder="1"/>
    <xf numFmtId="174" fontId="25" fillId="5" borderId="11" xfId="4" applyNumberFormat="1" applyFont="1" applyFill="1" applyBorder="1"/>
    <xf numFmtId="174" fontId="25" fillId="5" borderId="21" xfId="4" applyNumberFormat="1" applyFont="1" applyFill="1" applyBorder="1"/>
    <xf numFmtId="0" fontId="41" fillId="0" borderId="9" xfId="0" applyFont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1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74" fontId="25" fillId="0" borderId="11" xfId="4" applyNumberFormat="1" applyFont="1" applyFill="1" applyBorder="1"/>
    <xf numFmtId="0" fontId="18" fillId="0" borderId="0" xfId="0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182" fontId="25" fillId="5" borderId="0" xfId="1" applyNumberFormat="1" applyFont="1" applyFill="1" applyBorder="1"/>
    <xf numFmtId="15" fontId="25" fillId="5" borderId="11" xfId="0" applyNumberFormat="1" applyFont="1" applyFill="1" applyBorder="1"/>
    <xf numFmtId="15" fontId="11" fillId="0" borderId="11" xfId="0" applyNumberFormat="1" applyFont="1" applyFill="1" applyBorder="1"/>
    <xf numFmtId="0" fontId="13" fillId="0" borderId="7" xfId="0" applyFont="1" applyBorder="1" applyAlignment="1">
      <alignment horizontal="right"/>
    </xf>
    <xf numFmtId="0" fontId="4" fillId="0" borderId="10" xfId="0" applyFont="1" applyBorder="1" applyAlignment="1">
      <alignment horizontal="left" indent="2"/>
    </xf>
    <xf numFmtId="0" fontId="11" fillId="0" borderId="8" xfId="0" applyFont="1" applyBorder="1"/>
    <xf numFmtId="10" fontId="25" fillId="5" borderId="0" xfId="4" applyNumberFormat="1" applyFont="1" applyFill="1" applyBorder="1"/>
    <xf numFmtId="10" fontId="25" fillId="5" borderId="11" xfId="4" applyNumberFormat="1" applyFont="1" applyFill="1" applyBorder="1" applyAlignment="1">
      <alignment horizontal="center"/>
    </xf>
    <xf numFmtId="10" fontId="25" fillId="5" borderId="11" xfId="0" applyNumberFormat="1" applyFont="1" applyFill="1" applyBorder="1" applyAlignment="1">
      <alignment horizontal="center"/>
    </xf>
    <xf numFmtId="173" fontId="26" fillId="5" borderId="11" xfId="1" applyNumberFormat="1" applyFont="1" applyFill="1" applyBorder="1"/>
    <xf numFmtId="173" fontId="25" fillId="5" borderId="11" xfId="1" applyNumberFormat="1" applyFont="1" applyFill="1" applyBorder="1"/>
    <xf numFmtId="173" fontId="18" fillId="0" borderId="11" xfId="1" applyNumberFormat="1" applyFont="1" applyBorder="1"/>
    <xf numFmtId="179" fontId="13" fillId="0" borderId="11" xfId="2" applyNumberFormat="1" applyFont="1" applyBorder="1"/>
    <xf numFmtId="0" fontId="25" fillId="5" borderId="0" xfId="0" applyFont="1" applyFill="1" applyBorder="1"/>
    <xf numFmtId="173" fontId="16" fillId="0" borderId="11" xfId="1" applyNumberFormat="1" applyFont="1" applyBorder="1"/>
    <xf numFmtId="0" fontId="11" fillId="0" borderId="10" xfId="0" applyFont="1" applyBorder="1" applyAlignment="1">
      <alignment horizontal="left" indent="3"/>
    </xf>
    <xf numFmtId="0" fontId="11" fillId="0" borderId="10" xfId="0" applyFont="1" applyBorder="1" applyAlignment="1">
      <alignment horizontal="left" indent="4"/>
    </xf>
    <xf numFmtId="0" fontId="16" fillId="0" borderId="10" xfId="0" applyFont="1" applyBorder="1" applyAlignment="1">
      <alignment horizontal="left" indent="4"/>
    </xf>
    <xf numFmtId="0" fontId="9" fillId="0" borderId="10" xfId="0" applyFont="1" applyBorder="1" applyAlignment="1">
      <alignment horizontal="left" indent="2"/>
    </xf>
    <xf numFmtId="173" fontId="42" fillId="5" borderId="11" xfId="1" applyNumberFormat="1" applyFont="1" applyFill="1" applyBorder="1"/>
    <xf numFmtId="0" fontId="18" fillId="0" borderId="10" xfId="0" quotePrefix="1" applyFont="1" applyBorder="1" applyAlignment="1">
      <alignment horizontal="left" indent="2"/>
    </xf>
    <xf numFmtId="0" fontId="9" fillId="0" borderId="36" xfId="0" applyFont="1" applyBorder="1"/>
    <xf numFmtId="0" fontId="4" fillId="0" borderId="36" xfId="0" applyFont="1" applyBorder="1"/>
    <xf numFmtId="0" fontId="9" fillId="6" borderId="36" xfId="0" applyFont="1" applyFill="1" applyBorder="1"/>
    <xf numFmtId="0" fontId="4" fillId="6" borderId="36" xfId="0" applyFont="1" applyFill="1" applyBorder="1"/>
    <xf numFmtId="0" fontId="9" fillId="0" borderId="36" xfId="0" applyFont="1" applyBorder="1" applyAlignment="1">
      <alignment horizontal="left"/>
    </xf>
    <xf numFmtId="0" fontId="9" fillId="6" borderId="39" xfId="0" quotePrefix="1" applyFont="1" applyFill="1" applyBorder="1" applyAlignment="1">
      <alignment horizontal="left"/>
    </xf>
    <xf numFmtId="0" fontId="9" fillId="6" borderId="40" xfId="0" applyFont="1" applyFill="1" applyBorder="1"/>
    <xf numFmtId="179" fontId="9" fillId="6" borderId="41" xfId="2" applyNumberFormat="1" applyFont="1" applyFill="1" applyBorder="1"/>
    <xf numFmtId="0" fontId="9" fillId="6" borderId="42" xfId="0" quotePrefix="1" applyFont="1" applyFill="1" applyBorder="1" applyAlignment="1">
      <alignment horizontal="left"/>
    </xf>
    <xf numFmtId="179" fontId="9" fillId="6" borderId="43" xfId="0" applyNumberFormat="1" applyFont="1" applyFill="1" applyBorder="1"/>
    <xf numFmtId="0" fontId="4" fillId="0" borderId="42" xfId="0" applyFont="1" applyBorder="1"/>
    <xf numFmtId="179" fontId="9" fillId="0" borderId="43" xfId="2" applyNumberFormat="1" applyFont="1" applyBorder="1"/>
    <xf numFmtId="0" fontId="11" fillId="0" borderId="42" xfId="0" applyFont="1" applyBorder="1"/>
    <xf numFmtId="179" fontId="18" fillId="0" borderId="43" xfId="2" applyNumberFormat="1" applyFont="1" applyBorder="1"/>
    <xf numFmtId="175" fontId="16" fillId="0" borderId="0" xfId="2" applyNumberFormat="1" applyFont="1" applyFill="1" applyBorder="1" applyAlignment="1">
      <alignment horizontal="right"/>
    </xf>
    <xf numFmtId="183" fontId="16" fillId="0" borderId="33" xfId="1" applyNumberFormat="1" applyFont="1" applyFill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 applyAlignment="1">
      <alignment horizontal="right"/>
    </xf>
    <xf numFmtId="9" fontId="16" fillId="0" borderId="0" xfId="4" applyFont="1" applyFill="1" applyBorder="1" applyAlignment="1">
      <alignment horizontal="right"/>
    </xf>
    <xf numFmtId="173" fontId="16" fillId="0" borderId="33" xfId="1" applyNumberFormat="1" applyFont="1" applyBorder="1" applyAlignment="1">
      <alignment horizontal="right"/>
    </xf>
    <xf numFmtId="176" fontId="19" fillId="0" borderId="0" xfId="2" applyNumberFormat="1" applyFont="1"/>
    <xf numFmtId="44" fontId="19" fillId="0" borderId="0" xfId="0" applyNumberFormat="1" applyFont="1"/>
    <xf numFmtId="173" fontId="19" fillId="0" borderId="33" xfId="1" applyNumberFormat="1" applyFont="1" applyBorder="1"/>
    <xf numFmtId="173" fontId="19" fillId="0" borderId="0" xfId="1" applyNumberFormat="1" applyFont="1"/>
    <xf numFmtId="0" fontId="19" fillId="0" borderId="29" xfId="0" applyFont="1" applyBorder="1"/>
    <xf numFmtId="0" fontId="18" fillId="6" borderId="34" xfId="0" applyFont="1" applyFill="1" applyBorder="1"/>
    <xf numFmtId="0" fontId="18" fillId="6" borderId="25" xfId="0" applyFont="1" applyFill="1" applyBorder="1"/>
    <xf numFmtId="0" fontId="11" fillId="6" borderId="25" xfId="0" applyFont="1" applyFill="1" applyBorder="1"/>
    <xf numFmtId="179" fontId="18" fillId="6" borderId="25" xfId="0" applyNumberFormat="1" applyFont="1" applyFill="1" applyBorder="1"/>
    <xf numFmtId="173" fontId="11" fillId="6" borderId="32" xfId="1" applyNumberFormat="1" applyFont="1" applyFill="1" applyBorder="1" applyAlignment="1">
      <alignment horizontal="right"/>
    </xf>
    <xf numFmtId="0" fontId="19" fillId="6" borderId="29" xfId="0" applyFont="1" applyFill="1" applyBorder="1"/>
    <xf numFmtId="0" fontId="19" fillId="6" borderId="30" xfId="0" applyFont="1" applyFill="1" applyBorder="1"/>
    <xf numFmtId="176" fontId="19" fillId="6" borderId="30" xfId="2" applyNumberFormat="1" applyFont="1" applyFill="1" applyBorder="1"/>
    <xf numFmtId="44" fontId="19" fillId="6" borderId="30" xfId="0" applyNumberFormat="1" applyFont="1" applyFill="1" applyBorder="1"/>
    <xf numFmtId="173" fontId="19" fillId="6" borderId="35" xfId="1" applyNumberFormat="1" applyFont="1" applyFill="1" applyBorder="1"/>
    <xf numFmtId="0" fontId="18" fillId="6" borderId="44" xfId="0" applyFont="1" applyFill="1" applyBorder="1"/>
    <xf numFmtId="0" fontId="18" fillId="6" borderId="36" xfId="0" applyFont="1" applyFill="1" applyBorder="1"/>
    <xf numFmtId="0" fontId="18" fillId="6" borderId="36" xfId="0" applyFont="1" applyFill="1" applyBorder="1" applyAlignment="1">
      <alignment horizontal="right"/>
    </xf>
    <xf numFmtId="39" fontId="18" fillId="6" borderId="24" xfId="1" applyNumberFormat="1" applyFont="1" applyFill="1" applyBorder="1" applyAlignment="1">
      <alignment horizontal="center"/>
    </xf>
    <xf numFmtId="0" fontId="11" fillId="6" borderId="34" xfId="0" applyFont="1" applyFill="1" applyBorder="1"/>
    <xf numFmtId="2" fontId="11" fillId="6" borderId="25" xfId="0" applyNumberFormat="1" applyFont="1" applyFill="1" applyBorder="1" applyAlignment="1">
      <alignment horizontal="right"/>
    </xf>
    <xf numFmtId="0" fontId="11" fillId="6" borderId="29" xfId="0" applyFont="1" applyFill="1" applyBorder="1"/>
    <xf numFmtId="0" fontId="11" fillId="6" borderId="30" xfId="0" applyFont="1" applyFill="1" applyBorder="1"/>
    <xf numFmtId="172" fontId="11" fillId="6" borderId="30" xfId="1" applyNumberFormat="1" applyFont="1" applyFill="1" applyBorder="1" applyAlignment="1">
      <alignment horizontal="right"/>
    </xf>
    <xf numFmtId="39" fontId="11" fillId="6" borderId="32" xfId="1" applyNumberFormat="1" applyFont="1" applyFill="1" applyBorder="1" applyAlignment="1">
      <alignment horizontal="right"/>
    </xf>
    <xf numFmtId="195" fontId="11" fillId="6" borderId="35" xfId="1" applyNumberFormat="1" applyFont="1" applyFill="1" applyBorder="1" applyAlignment="1">
      <alignment horizontal="right"/>
    </xf>
    <xf numFmtId="0" fontId="18" fillId="6" borderId="34" xfId="0" applyFont="1" applyFill="1" applyBorder="1" applyAlignment="1">
      <alignment horizontal="left"/>
    </xf>
    <xf numFmtId="2" fontId="11" fillId="6" borderId="25" xfId="1" applyNumberFormat="1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right"/>
    </xf>
    <xf numFmtId="0" fontId="11" fillId="6" borderId="28" xfId="0" applyFont="1" applyFill="1" applyBorder="1" applyAlignment="1">
      <alignment horizontal="left"/>
    </xf>
    <xf numFmtId="0" fontId="11" fillId="6" borderId="0" xfId="0" applyFont="1" applyFill="1" applyBorder="1"/>
    <xf numFmtId="173" fontId="11" fillId="6" borderId="0" xfId="1" applyNumberFormat="1" applyFont="1" applyFill="1" applyBorder="1" applyAlignment="1">
      <alignment horizontal="right"/>
    </xf>
    <xf numFmtId="173" fontId="11" fillId="6" borderId="33" xfId="1" applyNumberFormat="1" applyFont="1" applyFill="1" applyBorder="1" applyAlignment="1">
      <alignment horizontal="right"/>
    </xf>
    <xf numFmtId="174" fontId="11" fillId="6" borderId="33" xfId="4" applyNumberFormat="1" applyFont="1" applyFill="1" applyBorder="1" applyAlignment="1">
      <alignment horizontal="right"/>
    </xf>
    <xf numFmtId="0" fontId="11" fillId="6" borderId="28" xfId="0" applyFont="1" applyFill="1" applyBorder="1"/>
    <xf numFmtId="174" fontId="16" fillId="6" borderId="0" xfId="4" applyNumberFormat="1" applyFont="1" applyFill="1" applyBorder="1" applyAlignment="1">
      <alignment horizontal="right"/>
    </xf>
    <xf numFmtId="174" fontId="16" fillId="6" borderId="33" xfId="4" applyNumberFormat="1" applyFont="1" applyFill="1" applyBorder="1" applyAlignment="1">
      <alignment horizontal="right"/>
    </xf>
    <xf numFmtId="173" fontId="18" fillId="0" borderId="0" xfId="0" applyNumberFormat="1" applyFont="1"/>
    <xf numFmtId="0" fontId="18" fillId="6" borderId="34" xfId="0" quotePrefix="1" applyFont="1" applyFill="1" applyBorder="1" applyAlignment="1">
      <alignment horizontal="left"/>
    </xf>
    <xf numFmtId="0" fontId="19" fillId="6" borderId="29" xfId="0" quotePrefix="1" applyFont="1" applyFill="1" applyBorder="1" applyAlignment="1">
      <alignment horizontal="left"/>
    </xf>
    <xf numFmtId="0" fontId="18" fillId="6" borderId="44" xfId="0" quotePrefix="1" applyFont="1" applyFill="1" applyBorder="1" applyAlignment="1">
      <alignment horizontal="left"/>
    </xf>
    <xf numFmtId="0" fontId="11" fillId="6" borderId="36" xfId="0" applyFont="1" applyFill="1" applyBorder="1"/>
    <xf numFmtId="179" fontId="18" fillId="6" borderId="36" xfId="0" applyNumberFormat="1" applyFont="1" applyFill="1" applyBorder="1"/>
    <xf numFmtId="173" fontId="11" fillId="6" borderId="24" xfId="1" applyNumberFormat="1" applyFont="1" applyFill="1" applyBorder="1" applyAlignment="1">
      <alignment horizontal="right"/>
    </xf>
    <xf numFmtId="0" fontId="11" fillId="0" borderId="28" xfId="0" applyFont="1" applyBorder="1" applyAlignment="1">
      <alignment horizontal="left" indent="2"/>
    </xf>
    <xf numFmtId="0" fontId="16" fillId="0" borderId="28" xfId="0" applyFont="1" applyBorder="1" applyAlignment="1">
      <alignment horizontal="left" indent="2"/>
    </xf>
    <xf numFmtId="198" fontId="11" fillId="0" borderId="0" xfId="0" applyNumberFormat="1" applyFont="1" applyBorder="1" applyAlignment="1">
      <alignment horizontal="right"/>
    </xf>
    <xf numFmtId="198" fontId="11" fillId="0" borderId="38" xfId="0" applyNumberFormat="1" applyFont="1" applyBorder="1"/>
    <xf numFmtId="198" fontId="11" fillId="0" borderId="35" xfId="0" applyNumberFormat="1" applyFont="1" applyBorder="1"/>
    <xf numFmtId="176" fontId="11" fillId="0" borderId="25" xfId="0" applyNumberFormat="1" applyFont="1" applyBorder="1"/>
    <xf numFmtId="0" fontId="18" fillId="6" borderId="29" xfId="0" applyFont="1" applyFill="1" applyBorder="1"/>
    <xf numFmtId="0" fontId="18" fillId="6" borderId="30" xfId="0" applyFont="1" applyFill="1" applyBorder="1"/>
    <xf numFmtId="198" fontId="18" fillId="6" borderId="30" xfId="0" applyNumberFormat="1" applyFont="1" applyFill="1" applyBorder="1" applyAlignment="1">
      <alignment horizontal="right"/>
    </xf>
    <xf numFmtId="198" fontId="18" fillId="6" borderId="31" xfId="0" applyNumberFormat="1" applyFont="1" applyFill="1" applyBorder="1" applyAlignment="1">
      <alignment horizontal="right"/>
    </xf>
    <xf numFmtId="0" fontId="18" fillId="6" borderId="35" xfId="0" applyFont="1" applyFill="1" applyBorder="1"/>
    <xf numFmtId="198" fontId="18" fillId="6" borderId="25" xfId="0" applyNumberFormat="1" applyFont="1" applyFill="1" applyBorder="1" applyAlignment="1">
      <alignment horizontal="right"/>
    </xf>
    <xf numFmtId="198" fontId="18" fillId="6" borderId="26" xfId="0" applyNumberFormat="1" applyFont="1" applyFill="1" applyBorder="1" applyAlignment="1">
      <alignment horizontal="right"/>
    </xf>
    <xf numFmtId="0" fontId="18" fillId="6" borderId="32" xfId="0" applyFont="1" applyFill="1" applyBorder="1"/>
    <xf numFmtId="0" fontId="40" fillId="0" borderId="29" xfId="0" applyFont="1" applyBorder="1"/>
    <xf numFmtId="0" fontId="40" fillId="0" borderId="12" xfId="0" applyFont="1" applyBorder="1"/>
    <xf numFmtId="0" fontId="21" fillId="6" borderId="45" xfId="0" applyFont="1" applyFill="1" applyBorder="1"/>
    <xf numFmtId="0" fontId="11" fillId="6" borderId="9" xfId="0" applyFont="1" applyFill="1" applyBorder="1"/>
    <xf numFmtId="0" fontId="11" fillId="6" borderId="8" xfId="0" applyFont="1" applyFill="1" applyBorder="1"/>
    <xf numFmtId="0" fontId="21" fillId="6" borderId="10" xfId="0" applyFont="1" applyFill="1" applyBorder="1"/>
    <xf numFmtId="0" fontId="11" fillId="6" borderId="11" xfId="0" applyFont="1" applyFill="1" applyBorder="1"/>
    <xf numFmtId="0" fontId="11" fillId="0" borderId="28" xfId="0" applyFont="1" applyFill="1" applyBorder="1"/>
    <xf numFmtId="0" fontId="18" fillId="0" borderId="28" xfId="0" quotePrefix="1" applyFont="1" applyFill="1" applyBorder="1" applyAlignment="1">
      <alignment horizontal="left"/>
    </xf>
    <xf numFmtId="0" fontId="11" fillId="0" borderId="28" xfId="0" applyFont="1" applyFill="1" applyBorder="1" applyAlignment="1">
      <alignment horizontal="left" indent="2"/>
    </xf>
    <xf numFmtId="0" fontId="16" fillId="0" borderId="28" xfId="0" applyFont="1" applyFill="1" applyBorder="1" applyAlignment="1">
      <alignment horizontal="left" indent="2"/>
    </xf>
    <xf numFmtId="0" fontId="11" fillId="0" borderId="28" xfId="0" quotePrefix="1" applyFont="1" applyFill="1" applyBorder="1" applyAlignment="1">
      <alignment horizontal="left" indent="2"/>
    </xf>
    <xf numFmtId="0" fontId="11" fillId="0" borderId="28" xfId="0" applyFont="1" applyFill="1" applyBorder="1" applyAlignment="1">
      <alignment horizontal="left"/>
    </xf>
    <xf numFmtId="0" fontId="11" fillId="0" borderId="28" xfId="0" quotePrefix="1" applyFont="1" applyBorder="1" applyAlignment="1">
      <alignment horizontal="left" indent="2"/>
    </xf>
    <xf numFmtId="0" fontId="11" fillId="0" borderId="28" xfId="0" quotePrefix="1" applyFont="1" applyBorder="1" applyAlignment="1">
      <alignment horizontal="left" indent="1"/>
    </xf>
    <xf numFmtId="2" fontId="11" fillId="0" borderId="19" xfId="0" applyNumberFormat="1" applyFont="1" applyBorder="1"/>
    <xf numFmtId="0" fontId="11" fillId="6" borderId="25" xfId="0" applyFont="1" applyFill="1" applyBorder="1" applyAlignment="1">
      <alignment horizontal="center"/>
    </xf>
    <xf numFmtId="0" fontId="11" fillId="6" borderId="26" xfId="0" applyFont="1" applyFill="1" applyBorder="1"/>
    <xf numFmtId="17" fontId="18" fillId="6" borderId="30" xfId="0" applyNumberFormat="1" applyFont="1" applyFill="1" applyBorder="1" applyAlignment="1">
      <alignment horizontal="center"/>
    </xf>
    <xf numFmtId="17" fontId="18" fillId="0" borderId="0" xfId="0" applyNumberFormat="1" applyFont="1" applyBorder="1" applyAlignment="1">
      <alignment horizontal="center"/>
    </xf>
    <xf numFmtId="0" fontId="11" fillId="6" borderId="32" xfId="0" applyFont="1" applyFill="1" applyBorder="1"/>
    <xf numFmtId="0" fontId="18" fillId="6" borderId="35" xfId="0" applyFont="1" applyFill="1" applyBorder="1" applyAlignment="1">
      <alignment horizontal="center"/>
    </xf>
    <xf numFmtId="173" fontId="16" fillId="0" borderId="33" xfId="0" applyNumberFormat="1" applyFont="1" applyBorder="1"/>
    <xf numFmtId="10" fontId="16" fillId="0" borderId="33" xfId="0" applyNumberFormat="1" applyFont="1" applyBorder="1"/>
    <xf numFmtId="0" fontId="25" fillId="0" borderId="0" xfId="0" applyFont="1"/>
    <xf numFmtId="0" fontId="11" fillId="6" borderId="0" xfId="0" applyFont="1" applyFill="1"/>
    <xf numFmtId="173" fontId="11" fillId="6" borderId="33" xfId="0" applyNumberFormat="1" applyFont="1" applyFill="1" applyBorder="1"/>
    <xf numFmtId="0" fontId="11" fillId="6" borderId="0" xfId="0" applyFont="1" applyFill="1" applyBorder="1" applyAlignment="1">
      <alignment horizontal="right"/>
    </xf>
    <xf numFmtId="173" fontId="11" fillId="6" borderId="0" xfId="0" applyNumberFormat="1" applyFont="1" applyFill="1" applyBorder="1"/>
    <xf numFmtId="173" fontId="19" fillId="0" borderId="33" xfId="0" applyNumberFormat="1" applyFont="1" applyBorder="1"/>
    <xf numFmtId="173" fontId="44" fillId="0" borderId="0" xfId="1" applyNumberFormat="1" applyFont="1" applyBorder="1"/>
    <xf numFmtId="10" fontId="19" fillId="0" borderId="33" xfId="0" applyNumberFormat="1" applyFont="1" applyBorder="1"/>
    <xf numFmtId="0" fontId="11" fillId="7" borderId="0" xfId="0" applyFont="1" applyFill="1"/>
    <xf numFmtId="173" fontId="11" fillId="7" borderId="33" xfId="0" applyNumberFormat="1" applyFont="1" applyFill="1" applyBorder="1"/>
    <xf numFmtId="0" fontId="11" fillId="7" borderId="0" xfId="0" applyFont="1" applyFill="1" applyBorder="1"/>
    <xf numFmtId="14" fontId="11" fillId="7" borderId="0" xfId="0" applyNumberFormat="1" applyFont="1" applyFill="1" applyBorder="1"/>
    <xf numFmtId="173" fontId="11" fillId="7" borderId="0" xfId="1" applyNumberFormat="1" applyFont="1" applyFill="1" applyBorder="1"/>
    <xf numFmtId="173" fontId="11" fillId="7" borderId="0" xfId="0" applyNumberFormat="1" applyFont="1" applyFill="1" applyBorder="1"/>
    <xf numFmtId="10" fontId="11" fillId="7" borderId="0" xfId="0" applyNumberFormat="1" applyFont="1" applyFill="1" applyBorder="1"/>
    <xf numFmtId="10" fontId="11" fillId="7" borderId="0" xfId="0" applyNumberFormat="1" applyFont="1" applyFill="1"/>
    <xf numFmtId="173" fontId="11" fillId="7" borderId="33" xfId="1" applyNumberFormat="1" applyFont="1" applyFill="1" applyBorder="1"/>
    <xf numFmtId="173" fontId="16" fillId="7" borderId="0" xfId="1" applyNumberFormat="1" applyFont="1" applyFill="1" applyBorder="1"/>
    <xf numFmtId="0" fontId="40" fillId="0" borderId="0" xfId="0" applyFont="1" applyBorder="1"/>
    <xf numFmtId="0" fontId="18" fillId="6" borderId="29" xfId="0" quotePrefix="1" applyFont="1" applyFill="1" applyBorder="1" applyAlignment="1">
      <alignment horizontal="left"/>
    </xf>
    <xf numFmtId="0" fontId="11" fillId="0" borderId="28" xfId="0" applyFont="1" applyBorder="1" applyAlignment="1">
      <alignment horizontal="left" indent="3"/>
    </xf>
    <xf numFmtId="180" fontId="11" fillId="0" borderId="0" xfId="4" applyNumberFormat="1" applyFont="1" applyFill="1" applyBorder="1" applyAlignment="1">
      <alignment horizontal="left"/>
    </xf>
    <xf numFmtId="173" fontId="25" fillId="0" borderId="0" xfId="1" applyNumberFormat="1" applyFont="1" applyBorder="1"/>
    <xf numFmtId="0" fontId="16" fillId="0" borderId="28" xfId="0" applyFont="1" applyBorder="1" applyAlignment="1">
      <alignment horizontal="left" indent="3"/>
    </xf>
    <xf numFmtId="180" fontId="16" fillId="0" borderId="0" xfId="4" applyNumberFormat="1" applyFont="1" applyFill="1" applyBorder="1" applyAlignment="1">
      <alignment horizontal="left"/>
    </xf>
    <xf numFmtId="180" fontId="11" fillId="0" borderId="0" xfId="0" applyNumberFormat="1" applyFont="1" applyBorder="1"/>
    <xf numFmtId="10" fontId="25" fillId="0" borderId="25" xfId="4" applyNumberFormat="1" applyFont="1" applyBorder="1"/>
    <xf numFmtId="10" fontId="11" fillId="0" borderId="32" xfId="0" applyNumberFormat="1" applyFont="1" applyBorder="1"/>
    <xf numFmtId="10" fontId="26" fillId="0" borderId="0" xfId="4" applyNumberFormat="1" applyFont="1" applyBorder="1"/>
    <xf numFmtId="0" fontId="19" fillId="0" borderId="28" xfId="0" applyFont="1" applyBorder="1" applyAlignment="1">
      <alignment horizontal="left" indent="3"/>
    </xf>
    <xf numFmtId="0" fontId="43" fillId="0" borderId="0" xfId="0" applyFont="1" applyBorder="1"/>
    <xf numFmtId="0" fontId="11" fillId="6" borderId="28" xfId="0" quotePrefix="1" applyFont="1" applyFill="1" applyBorder="1" applyAlignment="1">
      <alignment horizontal="left"/>
    </xf>
    <xf numFmtId="0" fontId="19" fillId="6" borderId="0" xfId="0" applyFont="1" applyFill="1" applyBorder="1" applyAlignment="1">
      <alignment horizontal="center"/>
    </xf>
    <xf numFmtId="173" fontId="11" fillId="6" borderId="0" xfId="1" applyNumberFormat="1" applyFont="1" applyFill="1" applyBorder="1"/>
    <xf numFmtId="0" fontId="11" fillId="7" borderId="28" xfId="0" applyFont="1" applyFill="1" applyBorder="1"/>
    <xf numFmtId="10" fontId="11" fillId="7" borderId="0" xfId="4" applyNumberFormat="1" applyFont="1" applyFill="1" applyBorder="1"/>
    <xf numFmtId="10" fontId="11" fillId="0" borderId="35" xfId="2" applyNumberFormat="1" applyFont="1" applyBorder="1"/>
    <xf numFmtId="43" fontId="4" fillId="0" borderId="0" xfId="0" applyNumberFormat="1" applyFont="1"/>
    <xf numFmtId="9" fontId="25" fillId="5" borderId="0" xfId="4" applyFont="1" applyFill="1" applyBorder="1"/>
    <xf numFmtId="9" fontId="11" fillId="0" borderId="13" xfId="4" applyFont="1" applyFill="1" applyBorder="1"/>
    <xf numFmtId="0" fontId="11" fillId="0" borderId="7" xfId="0" applyFont="1" applyBorder="1"/>
    <xf numFmtId="0" fontId="25" fillId="5" borderId="9" xfId="0" applyFont="1" applyFill="1" applyBorder="1" applyAlignment="1">
      <alignment horizontal="center"/>
    </xf>
    <xf numFmtId="179" fontId="4" fillId="0" borderId="0" xfId="0" applyNumberFormat="1" applyFont="1" applyBorder="1"/>
    <xf numFmtId="0" fontId="18" fillId="0" borderId="6" xfId="0" quotePrefix="1" applyFont="1" applyBorder="1" applyAlignment="1">
      <alignment horizontal="left"/>
    </xf>
    <xf numFmtId="174" fontId="33" fillId="0" borderId="0" xfId="4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179" fontId="16" fillId="0" borderId="0" xfId="0" applyNumberFormat="1" applyFont="1" applyBorder="1"/>
    <xf numFmtId="179" fontId="19" fillId="0" borderId="0" xfId="0" applyNumberFormat="1" applyFont="1" applyBorder="1"/>
    <xf numFmtId="195" fontId="11" fillId="6" borderId="32" xfId="1" applyNumberFormat="1" applyFont="1" applyFill="1" applyBorder="1" applyAlignment="1">
      <alignment horizontal="right"/>
    </xf>
    <xf numFmtId="173" fontId="11" fillId="6" borderId="25" xfId="1" applyNumberFormat="1" applyFont="1" applyFill="1" applyBorder="1" applyAlignment="1">
      <alignment horizontal="right"/>
    </xf>
    <xf numFmtId="173" fontId="11" fillId="6" borderId="30" xfId="1" applyNumberFormat="1" applyFont="1" applyFill="1" applyBorder="1" applyAlignment="1">
      <alignment horizontal="right"/>
    </xf>
    <xf numFmtId="0" fontId="11" fillId="6" borderId="34" xfId="0" quotePrefix="1" applyFont="1" applyFill="1" applyBorder="1" applyAlignment="1">
      <alignment horizontal="left"/>
    </xf>
    <xf numFmtId="0" fontId="25" fillId="5" borderId="11" xfId="0" applyFont="1" applyFill="1" applyBorder="1"/>
    <xf numFmtId="0" fontId="4" fillId="0" borderId="30" xfId="0" applyFont="1" applyBorder="1"/>
    <xf numFmtId="0" fontId="4" fillId="0" borderId="25" xfId="0" applyFont="1" applyBorder="1"/>
    <xf numFmtId="0" fontId="4" fillId="0" borderId="30" xfId="0" quotePrefix="1" applyFont="1" applyBorder="1" applyAlignment="1">
      <alignment horizontal="left"/>
    </xf>
    <xf numFmtId="10" fontId="25" fillId="5" borderId="30" xfId="4" applyNumberFormat="1" applyFont="1" applyFill="1" applyBorder="1"/>
    <xf numFmtId="0" fontId="18" fillId="0" borderId="6" xfId="0" applyFont="1" applyBorder="1"/>
    <xf numFmtId="0" fontId="11" fillId="0" borderId="23" xfId="0" applyFont="1" applyBorder="1"/>
    <xf numFmtId="0" fontId="19" fillId="0" borderId="46" xfId="0" applyFont="1" applyBorder="1"/>
    <xf numFmtId="10" fontId="19" fillId="0" borderId="47" xfId="4" applyNumberFormat="1" applyFont="1" applyBorder="1"/>
    <xf numFmtId="0" fontId="9" fillId="0" borderId="48" xfId="0" quotePrefix="1" applyFont="1" applyBorder="1" applyAlignment="1">
      <alignment horizontal="left"/>
    </xf>
    <xf numFmtId="0" fontId="4" fillId="0" borderId="49" xfId="0" applyFont="1" applyBorder="1"/>
    <xf numFmtId="0" fontId="44" fillId="0" borderId="50" xfId="0" quotePrefix="1" applyFont="1" applyBorder="1" applyAlignment="1">
      <alignment horizontal="center"/>
    </xf>
    <xf numFmtId="10" fontId="43" fillId="5" borderId="50" xfId="4" applyNumberFormat="1" applyFont="1" applyFill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43" fontId="15" fillId="0" borderId="11" xfId="0" applyNumberFormat="1" applyFont="1" applyBorder="1" applyAlignment="1">
      <alignment horizontal="right"/>
    </xf>
    <xf numFmtId="6" fontId="15" fillId="0" borderId="50" xfId="2" applyNumberFormat="1" applyFont="1" applyBorder="1" applyAlignment="1">
      <alignment horizontal="center"/>
    </xf>
    <xf numFmtId="10" fontId="14" fillId="0" borderId="11" xfId="4" applyNumberFormat="1" applyFont="1" applyBorder="1" applyAlignment="1">
      <alignment horizontal="right"/>
    </xf>
    <xf numFmtId="0" fontId="47" fillId="0" borderId="50" xfId="0" quotePrefix="1" applyFont="1" applyBorder="1" applyAlignment="1">
      <alignment horizontal="center"/>
    </xf>
    <xf numFmtId="10" fontId="25" fillId="5" borderId="11" xfId="4" applyNumberFormat="1" applyFont="1" applyFill="1" applyBorder="1"/>
    <xf numFmtId="0" fontId="43" fillId="5" borderId="51" xfId="0" quotePrefix="1" applyFont="1" applyFill="1" applyBorder="1" applyAlignment="1">
      <alignment horizontal="center"/>
    </xf>
    <xf numFmtId="10" fontId="4" fillId="0" borderId="47" xfId="0" applyNumberFormat="1" applyFont="1" applyBorder="1"/>
    <xf numFmtId="0" fontId="43" fillId="5" borderId="52" xfId="0" quotePrefix="1" applyFont="1" applyFill="1" applyBorder="1" applyAlignment="1">
      <alignment horizontal="center"/>
    </xf>
    <xf numFmtId="0" fontId="4" fillId="0" borderId="13" xfId="0" quotePrefix="1" applyFont="1" applyBorder="1" applyAlignment="1">
      <alignment horizontal="left"/>
    </xf>
    <xf numFmtId="10" fontId="25" fillId="5" borderId="13" xfId="4" applyNumberFormat="1" applyFont="1" applyFill="1" applyBorder="1"/>
    <xf numFmtId="10" fontId="11" fillId="6" borderId="25" xfId="0" applyNumberFormat="1" applyFont="1" applyFill="1" applyBorder="1"/>
    <xf numFmtId="0" fontId="11" fillId="6" borderId="28" xfId="0" applyFont="1" applyFill="1" applyBorder="1" applyAlignment="1">
      <alignment horizontal="left" indent="2"/>
    </xf>
    <xf numFmtId="179" fontId="11" fillId="6" borderId="0" xfId="0" applyNumberFormat="1" applyFont="1" applyFill="1" applyBorder="1"/>
    <xf numFmtId="179" fontId="11" fillId="6" borderId="33" xfId="0" applyNumberFormat="1" applyFont="1" applyFill="1" applyBorder="1"/>
    <xf numFmtId="0" fontId="16" fillId="6" borderId="28" xfId="0" applyFont="1" applyFill="1" applyBorder="1" applyAlignment="1">
      <alignment horizontal="left" indent="2"/>
    </xf>
    <xf numFmtId="0" fontId="16" fillId="6" borderId="0" xfId="0" applyFont="1" applyFill="1" applyBorder="1"/>
    <xf numFmtId="179" fontId="16" fillId="6" borderId="0" xfId="0" applyNumberFormat="1" applyFont="1" applyFill="1" applyBorder="1"/>
    <xf numFmtId="179" fontId="16" fillId="6" borderId="33" xfId="0" applyNumberFormat="1" applyFont="1" applyFill="1" applyBorder="1"/>
    <xf numFmtId="0" fontId="11" fillId="6" borderId="29" xfId="0" applyFont="1" applyFill="1" applyBorder="1" applyAlignment="1">
      <alignment horizontal="left" indent="2"/>
    </xf>
    <xf numFmtId="179" fontId="11" fillId="6" borderId="30" xfId="0" applyNumberFormat="1" applyFont="1" applyFill="1" applyBorder="1"/>
    <xf numFmtId="179" fontId="11" fillId="6" borderId="35" xfId="0" applyNumberFormat="1" applyFont="1" applyFill="1" applyBorder="1"/>
    <xf numFmtId="0" fontId="6" fillId="0" borderId="0" xfId="0" applyFont="1" applyFill="1" applyBorder="1"/>
    <xf numFmtId="173" fontId="18" fillId="0" borderId="33" xfId="0" applyNumberFormat="1" applyFont="1" applyBorder="1"/>
    <xf numFmtId="173" fontId="18" fillId="6" borderId="36" xfId="1" applyNumberFormat="1" applyFont="1" applyFill="1" applyBorder="1"/>
    <xf numFmtId="173" fontId="18" fillId="6" borderId="24" xfId="0" applyNumberFormat="1" applyFont="1" applyFill="1" applyBorder="1"/>
    <xf numFmtId="0" fontId="18" fillId="6" borderId="44" xfId="0" applyFont="1" applyFill="1" applyBorder="1" applyAlignment="1">
      <alignment horizontal="left"/>
    </xf>
    <xf numFmtId="10" fontId="18" fillId="6" borderId="36" xfId="4" applyNumberFormat="1" applyFont="1" applyFill="1" applyBorder="1"/>
    <xf numFmtId="173" fontId="11" fillId="6" borderId="36" xfId="0" applyNumberFormat="1" applyFont="1" applyFill="1" applyBorder="1"/>
    <xf numFmtId="173" fontId="11" fillId="6" borderId="24" xfId="0" applyNumberFormat="1" applyFont="1" applyFill="1" applyBorder="1"/>
    <xf numFmtId="0" fontId="11" fillId="0" borderId="28" xfId="0" quotePrefix="1" applyFont="1" applyBorder="1" applyAlignment="1">
      <alignment horizontal="left" indent="3"/>
    </xf>
    <xf numFmtId="172" fontId="11" fillId="0" borderId="0" xfId="1" applyNumberFormat="1" applyFont="1" applyFill="1" applyBorder="1" applyAlignment="1">
      <alignment horizontal="right"/>
    </xf>
    <xf numFmtId="195" fontId="11" fillId="0" borderId="0" xfId="1" applyNumberFormat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0" fontId="4" fillId="0" borderId="10" xfId="0" quotePrefix="1" applyFont="1" applyBorder="1" applyAlignment="1">
      <alignment horizontal="left" indent="2"/>
    </xf>
    <xf numFmtId="173" fontId="26" fillId="0" borderId="0" xfId="1" applyNumberFormat="1" applyFont="1" applyBorder="1"/>
    <xf numFmtId="173" fontId="16" fillId="0" borderId="28" xfId="1" applyNumberFormat="1" applyFont="1" applyBorder="1"/>
    <xf numFmtId="222" fontId="18" fillId="6" borderId="36" xfId="0" applyNumberFormat="1" applyFont="1" applyFill="1" applyBorder="1" applyAlignment="1">
      <alignment horizontal="center"/>
    </xf>
    <xf numFmtId="173" fontId="16" fillId="0" borderId="0" xfId="1" quotePrefix="1" applyNumberFormat="1" applyFont="1" applyBorder="1" applyAlignment="1">
      <alignment horizontal="left"/>
    </xf>
    <xf numFmtId="173" fontId="11" fillId="0" borderId="34" xfId="1" quotePrefix="1" applyNumberFormat="1" applyFont="1" applyBorder="1" applyAlignment="1">
      <alignment horizontal="left"/>
    </xf>
    <xf numFmtId="173" fontId="11" fillId="0" borderId="29" xfId="1" applyNumberFormat="1" applyFont="1" applyBorder="1"/>
    <xf numFmtId="173" fontId="11" fillId="0" borderId="25" xfId="1" quotePrefix="1" applyNumberFormat="1" applyFont="1" applyBorder="1" applyAlignment="1">
      <alignment horizontal="left"/>
    </xf>
    <xf numFmtId="173" fontId="11" fillId="0" borderId="32" xfId="1" applyNumberFormat="1" applyFont="1" applyBorder="1"/>
    <xf numFmtId="10" fontId="11" fillId="0" borderId="35" xfId="0" applyNumberFormat="1" applyFont="1" applyBorder="1"/>
    <xf numFmtId="173" fontId="18" fillId="6" borderId="34" xfId="1" quotePrefix="1" applyNumberFormat="1" applyFont="1" applyFill="1" applyBorder="1" applyAlignment="1">
      <alignment horizontal="left"/>
    </xf>
    <xf numFmtId="173" fontId="18" fillId="6" borderId="26" xfId="0" applyNumberFormat="1" applyFont="1" applyFill="1" applyBorder="1"/>
    <xf numFmtId="173" fontId="18" fillId="6" borderId="29" xfId="1" applyNumberFormat="1" applyFont="1" applyFill="1" applyBorder="1"/>
    <xf numFmtId="10" fontId="18" fillId="6" borderId="31" xfId="0" applyNumberFormat="1" applyFont="1" applyFill="1" applyBorder="1"/>
    <xf numFmtId="0" fontId="18" fillId="0" borderId="27" xfId="0" applyFont="1" applyBorder="1"/>
    <xf numFmtId="37" fontId="16" fillId="0" borderId="0" xfId="1" applyNumberFormat="1" applyFont="1" applyBorder="1"/>
    <xf numFmtId="0" fontId="18" fillId="0" borderId="30" xfId="0" applyFont="1" applyBorder="1" applyAlignment="1">
      <alignment horizontal="right"/>
    </xf>
    <xf numFmtId="0" fontId="21" fillId="6" borderId="34" xfId="0" applyFont="1" applyFill="1" applyBorder="1"/>
    <xf numFmtId="0" fontId="21" fillId="6" borderId="28" xfId="0" applyFont="1" applyFill="1" applyBorder="1"/>
    <xf numFmtId="0" fontId="11" fillId="6" borderId="27" xfId="0" applyFont="1" applyFill="1" applyBorder="1"/>
    <xf numFmtId="0" fontId="11" fillId="0" borderId="28" xfId="0" quotePrefix="1" applyFont="1" applyFill="1" applyBorder="1" applyAlignment="1">
      <alignment horizontal="left" indent="1"/>
    </xf>
    <xf numFmtId="0" fontId="18" fillId="0" borderId="29" xfId="0" applyFont="1" applyBorder="1" applyAlignment="1">
      <alignment horizontal="left" indent="2"/>
    </xf>
    <xf numFmtId="37" fontId="19" fillId="0" borderId="0" xfId="1" applyNumberFormat="1" applyFont="1" applyBorder="1"/>
    <xf numFmtId="173" fontId="25" fillId="4" borderId="0" xfId="1" applyNumberFormat="1" applyFont="1" applyFill="1" applyBorder="1"/>
    <xf numFmtId="173" fontId="25" fillId="4" borderId="27" xfId="1" applyNumberFormat="1" applyFont="1" applyFill="1" applyBorder="1"/>
    <xf numFmtId="173" fontId="18" fillId="0" borderId="31" xfId="1" applyNumberFormat="1" applyFont="1" applyBorder="1"/>
    <xf numFmtId="173" fontId="19" fillId="0" borderId="30" xfId="1" applyNumberFormat="1" applyFont="1" applyBorder="1"/>
    <xf numFmtId="173" fontId="19" fillId="0" borderId="31" xfId="1" applyNumberFormat="1" applyFont="1" applyBorder="1"/>
    <xf numFmtId="173" fontId="2" fillId="0" borderId="0" xfId="1" applyNumberFormat="1" applyFont="1" applyBorder="1"/>
    <xf numFmtId="0" fontId="18" fillId="0" borderId="0" xfId="0" applyFont="1" applyFill="1" applyBorder="1" applyAlignment="1">
      <alignment horizontal="right"/>
    </xf>
    <xf numFmtId="0" fontId="18" fillId="0" borderId="27" xfId="0" applyFont="1" applyFill="1" applyBorder="1" applyAlignment="1">
      <alignment horizontal="right"/>
    </xf>
    <xf numFmtId="172" fontId="11" fillId="0" borderId="27" xfId="1" applyNumberFormat="1" applyFont="1" applyFill="1" applyBorder="1" applyAlignment="1">
      <alignment horizontal="right"/>
    </xf>
    <xf numFmtId="0" fontId="18" fillId="0" borderId="28" xfId="0" applyFont="1" applyFill="1" applyBorder="1"/>
    <xf numFmtId="0" fontId="16" fillId="0" borderId="27" xfId="0" applyFont="1" applyFill="1" applyBorder="1"/>
    <xf numFmtId="0" fontId="4" fillId="4" borderId="28" xfId="0" applyFont="1" applyFill="1" applyBorder="1" applyAlignment="1">
      <alignment horizontal="left" indent="2"/>
    </xf>
    <xf numFmtId="0" fontId="11" fillId="0" borderId="28" xfId="0" applyFont="1" applyBorder="1" applyAlignment="1">
      <alignment horizontal="left" indent="4"/>
    </xf>
    <xf numFmtId="0" fontId="11" fillId="0" borderId="28" xfId="4" applyNumberFormat="1" applyFont="1" applyBorder="1" applyAlignment="1">
      <alignment horizontal="left" indent="4"/>
    </xf>
    <xf numFmtId="0" fontId="18" fillId="0" borderId="28" xfId="0" applyFont="1" applyBorder="1" applyAlignment="1">
      <alignment horizontal="left" indent="2"/>
    </xf>
    <xf numFmtId="0" fontId="18" fillId="0" borderId="28" xfId="0" applyFont="1" applyFill="1" applyBorder="1" applyAlignment="1">
      <alignment horizontal="right"/>
    </xf>
    <xf numFmtId="172" fontId="11" fillId="0" borderId="28" xfId="1" applyNumberFormat="1" applyFont="1" applyFill="1" applyBorder="1" applyAlignment="1">
      <alignment horizontal="right"/>
    </xf>
    <xf numFmtId="0" fontId="16" fillId="0" borderId="28" xfId="0" applyFont="1" applyFill="1" applyBorder="1"/>
    <xf numFmtId="173" fontId="25" fillId="4" borderId="28" xfId="1" applyNumberFormat="1" applyFont="1" applyFill="1" applyBorder="1"/>
    <xf numFmtId="173" fontId="19" fillId="0" borderId="29" xfId="1" applyNumberFormat="1" applyFont="1" applyBorder="1"/>
    <xf numFmtId="0" fontId="16" fillId="0" borderId="28" xfId="0" applyFont="1" applyBorder="1" applyAlignment="1">
      <alignment horizontal="left"/>
    </xf>
    <xf numFmtId="0" fontId="25" fillId="0" borderId="0" xfId="0" applyFont="1" applyAlignment="1">
      <alignment horizontal="center"/>
    </xf>
    <xf numFmtId="173" fontId="25" fillId="5" borderId="0" xfId="1" applyNumberFormat="1" applyFont="1" applyFill="1" applyBorder="1"/>
    <xf numFmtId="0" fontId="11" fillId="0" borderId="28" xfId="0" quotePrefix="1" applyFont="1" applyBorder="1" applyAlignment="1">
      <alignment horizontal="left"/>
    </xf>
    <xf numFmtId="173" fontId="11" fillId="0" borderId="0" xfId="4" applyNumberFormat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43" fontId="11" fillId="0" borderId="25" xfId="1" applyFont="1" applyBorder="1"/>
    <xf numFmtId="174" fontId="25" fillId="5" borderId="0" xfId="4" applyNumberFormat="1" applyFont="1" applyFill="1" applyBorder="1"/>
    <xf numFmtId="173" fontId="26" fillId="5" borderId="0" xfId="1" applyNumberFormat="1" applyFont="1" applyFill="1" applyBorder="1"/>
    <xf numFmtId="0" fontId="13" fillId="0" borderId="10" xfId="0" applyFont="1" applyBorder="1" applyAlignment="1">
      <alignment horizontal="left" indent="2"/>
    </xf>
    <xf numFmtId="10" fontId="26" fillId="5" borderId="11" xfId="0" applyNumberFormat="1" applyFont="1" applyFill="1" applyBorder="1" applyAlignment="1">
      <alignment horizontal="center"/>
    </xf>
    <xf numFmtId="173" fontId="18" fillId="6" borderId="24" xfId="1" applyNumberFormat="1" applyFont="1" applyFill="1" applyBorder="1"/>
    <xf numFmtId="0" fontId="11" fillId="0" borderId="28" xfId="0" applyFont="1" applyBorder="1" applyAlignment="1">
      <alignment horizontal="left" indent="1"/>
    </xf>
    <xf numFmtId="176" fontId="11" fillId="0" borderId="0" xfId="2" applyNumberFormat="1" applyFont="1"/>
    <xf numFmtId="0" fontId="16" fillId="0" borderId="28" xfId="0" applyFont="1" applyBorder="1" applyAlignment="1">
      <alignment horizontal="left" indent="1"/>
    </xf>
    <xf numFmtId="0" fontId="29" fillId="0" borderId="0" xfId="0" applyFont="1"/>
    <xf numFmtId="176" fontId="29" fillId="0" borderId="0" xfId="2" applyNumberFormat="1" applyFont="1"/>
    <xf numFmtId="173" fontId="42" fillId="0" borderId="0" xfId="1" applyNumberFormat="1" applyFont="1"/>
    <xf numFmtId="173" fontId="29" fillId="0" borderId="0" xfId="1" applyNumberFormat="1" applyFont="1"/>
    <xf numFmtId="173" fontId="29" fillId="0" borderId="0" xfId="1" applyNumberFormat="1" applyFont="1" applyBorder="1"/>
    <xf numFmtId="0" fontId="29" fillId="0" borderId="0" xfId="0" applyFont="1" applyBorder="1"/>
    <xf numFmtId="0" fontId="19" fillId="0" borderId="28" xfId="0" quotePrefix="1" applyFont="1" applyBorder="1" applyAlignment="1">
      <alignment horizontal="left" indent="2"/>
    </xf>
    <xf numFmtId="173" fontId="19" fillId="0" borderId="33" xfId="1" applyNumberFormat="1" applyFont="1" applyBorder="1" applyAlignment="1">
      <alignment horizontal="right"/>
    </xf>
    <xf numFmtId="8" fontId="19" fillId="0" borderId="0" xfId="1" applyNumberFormat="1" applyFont="1"/>
    <xf numFmtId="10" fontId="18" fillId="0" borderId="30" xfId="0" applyNumberFormat="1" applyFont="1" applyBorder="1"/>
    <xf numFmtId="173" fontId="18" fillId="0" borderId="35" xfId="1" applyNumberFormat="1" applyFont="1" applyBorder="1"/>
    <xf numFmtId="10" fontId="16" fillId="0" borderId="33" xfId="4" applyNumberFormat="1" applyFont="1" applyBorder="1"/>
    <xf numFmtId="173" fontId="11" fillId="0" borderId="35" xfId="1" applyNumberFormat="1" applyFont="1" applyBorder="1"/>
    <xf numFmtId="43" fontId="11" fillId="0" borderId="32" xfId="1" applyFont="1" applyBorder="1"/>
    <xf numFmtId="173" fontId="35" fillId="0" borderId="27" xfId="1" applyNumberFormat="1" applyFont="1" applyBorder="1"/>
    <xf numFmtId="173" fontId="11" fillId="0" borderId="28" xfId="1" applyNumberFormat="1" applyFont="1" applyBorder="1" applyAlignment="1">
      <alignment horizontal="left" indent="2"/>
    </xf>
    <xf numFmtId="173" fontId="11" fillId="0" borderId="28" xfId="1" quotePrefix="1" applyNumberFormat="1" applyFont="1" applyBorder="1" applyAlignment="1">
      <alignment horizontal="left" indent="2"/>
    </xf>
    <xf numFmtId="173" fontId="16" fillId="0" borderId="28" xfId="1" applyNumberFormat="1" applyFont="1" applyBorder="1" applyAlignment="1">
      <alignment horizontal="left" indent="2"/>
    </xf>
    <xf numFmtId="173" fontId="11" fillId="0" borderId="28" xfId="1" applyNumberFormat="1" applyFont="1" applyBorder="1" applyAlignment="1">
      <alignment horizontal="left" indent="4"/>
    </xf>
    <xf numFmtId="0" fontId="25" fillId="0" borderId="28" xfId="0" applyFont="1" applyBorder="1"/>
    <xf numFmtId="0" fontId="25" fillId="0" borderId="0" xfId="0" applyFont="1" applyBorder="1"/>
    <xf numFmtId="37" fontId="25" fillId="0" borderId="27" xfId="0" applyNumberFormat="1" applyFont="1" applyBorder="1"/>
    <xf numFmtId="173" fontId="26" fillId="0" borderId="27" xfId="1" applyNumberFormat="1" applyFont="1" applyBorder="1"/>
    <xf numFmtId="0" fontId="16" fillId="0" borderId="28" xfId="0" applyFont="1" applyBorder="1" applyAlignment="1">
      <alignment horizontal="left" indent="4"/>
    </xf>
    <xf numFmtId="0" fontId="18" fillId="0" borderId="34" xfId="0" quotePrefix="1" applyFont="1" applyBorder="1" applyAlignment="1">
      <alignment horizontal="left"/>
    </xf>
    <xf numFmtId="173" fontId="16" fillId="0" borderId="28" xfId="1" quotePrefix="1" applyNumberFormat="1" applyFont="1" applyBorder="1" applyAlignment="1">
      <alignment horizontal="left" indent="2"/>
    </xf>
    <xf numFmtId="174" fontId="25" fillId="6" borderId="0" xfId="4" applyNumberFormat="1" applyFont="1" applyFill="1" applyBorder="1" applyAlignment="1">
      <alignment horizontal="right"/>
    </xf>
    <xf numFmtId="172" fontId="11" fillId="0" borderId="11" xfId="1" applyNumberFormat="1" applyFont="1" applyFill="1" applyBorder="1"/>
    <xf numFmtId="173" fontId="11" fillId="6" borderId="0" xfId="1" quotePrefix="1" applyNumberFormat="1" applyFont="1" applyFill="1" applyBorder="1" applyAlignment="1">
      <alignment horizontal="left"/>
    </xf>
    <xf numFmtId="173" fontId="19" fillId="6" borderId="35" xfId="1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2" fontId="19" fillId="6" borderId="30" xfId="1" quotePrefix="1" applyNumberFormat="1" applyFont="1" applyFill="1" applyBorder="1" applyAlignment="1">
      <alignment horizontal="left"/>
    </xf>
    <xf numFmtId="10" fontId="25" fillId="5" borderId="21" xfId="1" applyNumberFormat="1" applyFont="1" applyFill="1" applyBorder="1" applyAlignment="1">
      <alignment horizontal="right"/>
    </xf>
    <xf numFmtId="174" fontId="19" fillId="0" borderId="0" xfId="1" applyNumberFormat="1" applyFont="1" applyBorder="1" applyAlignment="1">
      <alignment horizontal="center"/>
    </xf>
    <xf numFmtId="173" fontId="11" fillId="0" borderId="28" xfId="1" applyNumberFormat="1" applyFont="1" applyBorder="1" applyAlignment="1">
      <alignment horizontal="left"/>
    </xf>
    <xf numFmtId="173" fontId="11" fillId="0" borderId="28" xfId="1" quotePrefix="1" applyNumberFormat="1" applyFont="1" applyBorder="1" applyAlignment="1">
      <alignment horizontal="left" indent="1"/>
    </xf>
    <xf numFmtId="173" fontId="11" fillId="0" borderId="28" xfId="1" applyNumberFormat="1" applyFont="1" applyBorder="1" applyAlignment="1">
      <alignment horizontal="left" indent="1"/>
    </xf>
    <xf numFmtId="173" fontId="16" fillId="0" borderId="28" xfId="1" applyNumberFormat="1" applyFont="1" applyBorder="1" applyAlignment="1">
      <alignment horizontal="left" indent="1"/>
    </xf>
    <xf numFmtId="9" fontId="11" fillId="0" borderId="28" xfId="4" applyFont="1" applyBorder="1" applyAlignment="1">
      <alignment horizontal="left"/>
    </xf>
    <xf numFmtId="9" fontId="43" fillId="5" borderId="0" xfId="0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0" fillId="0" borderId="12" xfId="0" quotePrefix="1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49" fillId="0" borderId="0" xfId="3" applyFont="1"/>
    <xf numFmtId="0" fontId="48" fillId="0" borderId="0" xfId="3"/>
    <xf numFmtId="0" fontId="48" fillId="0" borderId="0" xfId="3" applyAlignment="1">
      <alignment horizontal="center"/>
    </xf>
    <xf numFmtId="0" fontId="48" fillId="0" borderId="0" xfId="3" quotePrefix="1" applyAlignment="1">
      <alignment horizontal="left"/>
    </xf>
    <xf numFmtId="0" fontId="18" fillId="0" borderId="0" xfId="3" applyFont="1" applyAlignment="1">
      <alignment horizontal="center"/>
    </xf>
    <xf numFmtId="0" fontId="18" fillId="5" borderId="45" xfId="3" applyFont="1" applyFill="1" applyBorder="1"/>
    <xf numFmtId="0" fontId="48" fillId="5" borderId="9" xfId="3" applyFill="1" applyBorder="1"/>
    <xf numFmtId="9" fontId="48" fillId="5" borderId="9" xfId="3" applyNumberFormat="1" applyFill="1" applyBorder="1" applyAlignment="1">
      <alignment horizontal="center"/>
    </xf>
    <xf numFmtId="0" fontId="48" fillId="5" borderId="9" xfId="3" applyFill="1" applyBorder="1" applyAlignment="1">
      <alignment horizontal="center"/>
    </xf>
    <xf numFmtId="9" fontId="48" fillId="5" borderId="8" xfId="3" applyNumberFormat="1" applyFill="1" applyBorder="1" applyAlignment="1">
      <alignment horizontal="center"/>
    </xf>
    <xf numFmtId="0" fontId="18" fillId="5" borderId="10" xfId="3" applyFont="1" applyFill="1" applyBorder="1"/>
    <xf numFmtId="0" fontId="48" fillId="5" borderId="0" xfId="3" applyFill="1" applyBorder="1"/>
    <xf numFmtId="8" fontId="48" fillId="5" borderId="0" xfId="3" applyNumberFormat="1" applyFill="1" applyBorder="1" applyAlignment="1">
      <alignment horizontal="center"/>
    </xf>
    <xf numFmtId="8" fontId="48" fillId="5" borderId="11" xfId="3" applyNumberFormat="1" applyFill="1" applyBorder="1" applyAlignment="1">
      <alignment horizontal="center"/>
    </xf>
    <xf numFmtId="0" fontId="18" fillId="5" borderId="10" xfId="3" quotePrefix="1" applyFont="1" applyFill="1" applyBorder="1" applyAlignment="1">
      <alignment horizontal="left" indent="2"/>
    </xf>
    <xf numFmtId="0" fontId="48" fillId="5" borderId="0" xfId="3" applyFill="1" applyBorder="1" applyAlignment="1">
      <alignment horizontal="center"/>
    </xf>
    <xf numFmtId="0" fontId="48" fillId="5" borderId="11" xfId="3" applyFill="1" applyBorder="1" applyAlignment="1">
      <alignment horizontal="center"/>
    </xf>
    <xf numFmtId="0" fontId="48" fillId="0" borderId="0" xfId="3" applyFill="1"/>
    <xf numFmtId="0" fontId="18" fillId="0" borderId="10" xfId="3" applyFont="1" applyFill="1" applyBorder="1" applyAlignment="1">
      <alignment horizontal="left" indent="2"/>
    </xf>
    <xf numFmtId="0" fontId="48" fillId="0" borderId="0" xfId="3" applyFill="1" applyBorder="1"/>
    <xf numFmtId="0" fontId="48" fillId="0" borderId="0" xfId="3" applyFill="1" applyBorder="1" applyAlignment="1">
      <alignment horizontal="center"/>
    </xf>
    <xf numFmtId="0" fontId="48" fillId="0" borderId="11" xfId="3" applyFill="1" applyBorder="1" applyAlignment="1">
      <alignment horizontal="center"/>
    </xf>
    <xf numFmtId="0" fontId="18" fillId="0" borderId="10" xfId="3" applyFont="1" applyFill="1" applyBorder="1" applyAlignment="1">
      <alignment horizontal="left"/>
    </xf>
    <xf numFmtId="0" fontId="11" fillId="0" borderId="10" xfId="3" quotePrefix="1" applyFont="1" applyBorder="1" applyAlignment="1">
      <alignment horizontal="left" indent="1"/>
    </xf>
    <xf numFmtId="0" fontId="48" fillId="0" borderId="0" xfId="3" applyBorder="1"/>
    <xf numFmtId="0" fontId="48" fillId="0" borderId="0" xfId="3" applyBorder="1" applyAlignment="1">
      <alignment horizontal="center"/>
    </xf>
    <xf numFmtId="0" fontId="48" fillId="0" borderId="11" xfId="3" applyBorder="1" applyAlignment="1">
      <alignment horizontal="center"/>
    </xf>
    <xf numFmtId="0" fontId="11" fillId="0" borderId="0" xfId="3" applyFont="1"/>
    <xf numFmtId="0" fontId="11" fillId="0" borderId="10" xfId="3" applyFont="1" applyBorder="1" applyAlignment="1">
      <alignment horizontal="left" indent="1"/>
    </xf>
    <xf numFmtId="0" fontId="11" fillId="0" borderId="0" xfId="3" applyFont="1" applyBorder="1"/>
    <xf numFmtId="0" fontId="11" fillId="0" borderId="0" xfId="3" applyFont="1" applyBorder="1" applyAlignment="1">
      <alignment horizontal="center"/>
    </xf>
    <xf numFmtId="0" fontId="11" fillId="0" borderId="0" xfId="3" quotePrefix="1" applyFont="1" applyBorder="1" applyAlignment="1">
      <alignment horizontal="center"/>
    </xf>
    <xf numFmtId="0" fontId="11" fillId="0" borderId="11" xfId="3" quotePrefix="1" applyFont="1" applyBorder="1" applyAlignment="1">
      <alignment horizontal="center"/>
    </xf>
    <xf numFmtId="0" fontId="11" fillId="0" borderId="12" xfId="3" quotePrefix="1" applyFont="1" applyBorder="1" applyAlignment="1">
      <alignment horizontal="left" indent="1"/>
    </xf>
    <xf numFmtId="0" fontId="11" fillId="0" borderId="13" xfId="3" applyFont="1" applyBorder="1"/>
    <xf numFmtId="0" fontId="11" fillId="0" borderId="13" xfId="3" applyFont="1" applyBorder="1" applyAlignment="1">
      <alignment horizontal="center"/>
    </xf>
    <xf numFmtId="0" fontId="11" fillId="0" borderId="13" xfId="3" quotePrefix="1" applyFont="1" applyBorder="1" applyAlignment="1">
      <alignment horizontal="center"/>
    </xf>
    <xf numFmtId="0" fontId="11" fillId="0" borderId="21" xfId="3" quotePrefix="1" applyFont="1" applyBorder="1" applyAlignment="1">
      <alignment horizontal="center"/>
    </xf>
    <xf numFmtId="0" fontId="18" fillId="0" borderId="0" xfId="3" applyFont="1" applyBorder="1"/>
    <xf numFmtId="0" fontId="18" fillId="0" borderId="0" xfId="3" applyFont="1"/>
    <xf numFmtId="0" fontId="48" fillId="0" borderId="0" xfId="3" applyAlignment="1">
      <alignment horizontal="left" indent="1"/>
    </xf>
    <xf numFmtId="222" fontId="48" fillId="0" borderId="0" xfId="3" applyNumberFormat="1" applyAlignment="1">
      <alignment horizontal="right"/>
    </xf>
    <xf numFmtId="10" fontId="48" fillId="0" borderId="0" xfId="4" applyNumberFormat="1" applyFont="1" applyAlignment="1">
      <alignment horizontal="right"/>
    </xf>
    <xf numFmtId="0" fontId="48" fillId="0" borderId="0" xfId="3" quotePrefix="1" applyAlignment="1">
      <alignment horizontal="left" indent="1"/>
    </xf>
    <xf numFmtId="3" fontId="48" fillId="0" borderId="0" xfId="1" applyNumberFormat="1" applyFont="1" applyAlignment="1">
      <alignment horizontal="right"/>
    </xf>
    <xf numFmtId="0" fontId="48" fillId="0" borderId="0" xfId="3" applyAlignment="1">
      <alignment horizontal="right"/>
    </xf>
    <xf numFmtId="174" fontId="48" fillId="0" borderId="0" xfId="3" applyNumberFormat="1" applyAlignment="1">
      <alignment horizontal="right"/>
    </xf>
    <xf numFmtId="0" fontId="19" fillId="0" borderId="0" xfId="3" applyFont="1" applyAlignment="1">
      <alignment horizontal="right"/>
    </xf>
    <xf numFmtId="10" fontId="48" fillId="0" borderId="0" xfId="3" applyNumberFormat="1" applyAlignment="1">
      <alignment horizontal="right"/>
    </xf>
    <xf numFmtId="0" fontId="18" fillId="0" borderId="0" xfId="3" applyFont="1" applyAlignment="1">
      <alignment wrapText="1"/>
    </xf>
    <xf numFmtId="0" fontId="18" fillId="0" borderId="44" xfId="3" quotePrefix="1" applyFont="1" applyBorder="1" applyAlignment="1">
      <alignment horizontal="left" vertical="top" indent="1"/>
    </xf>
    <xf numFmtId="0" fontId="48" fillId="0" borderId="24" xfId="3" quotePrefix="1" applyBorder="1" applyAlignment="1">
      <alignment horizontal="center" wrapText="1"/>
    </xf>
    <xf numFmtId="0" fontId="11" fillId="0" borderId="33" xfId="3" applyFont="1" applyBorder="1" applyAlignment="1">
      <alignment horizontal="center"/>
    </xf>
    <xf numFmtId="173" fontId="48" fillId="0" borderId="33" xfId="1" applyNumberFormat="1" applyFont="1" applyBorder="1" applyAlignment="1">
      <alignment horizontal="center"/>
    </xf>
    <xf numFmtId="173" fontId="48" fillId="0" borderId="27" xfId="1" applyNumberFormat="1" applyFont="1" applyBorder="1" applyAlignment="1">
      <alignment horizontal="center"/>
    </xf>
    <xf numFmtId="173" fontId="48" fillId="0" borderId="0" xfId="1" applyNumberFormat="1" applyFont="1" applyAlignment="1">
      <alignment horizontal="center"/>
    </xf>
    <xf numFmtId="173" fontId="48" fillId="0" borderId="0" xfId="1" applyNumberFormat="1" applyFont="1"/>
    <xf numFmtId="0" fontId="11" fillId="0" borderId="35" xfId="3" applyFont="1" applyBorder="1" applyAlignment="1">
      <alignment horizontal="center"/>
    </xf>
    <xf numFmtId="173" fontId="48" fillId="0" borderId="35" xfId="1" applyNumberFormat="1" applyFont="1" applyBorder="1" applyAlignment="1">
      <alignment horizontal="center"/>
    </xf>
    <xf numFmtId="173" fontId="48" fillId="0" borderId="31" xfId="1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0" fillId="0" borderId="0" xfId="0" quotePrefix="1" applyFont="1" applyAlignment="1">
      <alignment horizontal="left"/>
    </xf>
    <xf numFmtId="0" fontId="10" fillId="0" borderId="0" xfId="0" applyFont="1" applyBorder="1" applyAlignment="1">
      <alignment horizontal="right"/>
    </xf>
    <xf numFmtId="10" fontId="14" fillId="5" borderId="0" xfId="4" applyNumberFormat="1" applyFont="1" applyFill="1" applyBorder="1" applyAlignment="1">
      <alignment horizontal="center"/>
    </xf>
    <xf numFmtId="10" fontId="4" fillId="5" borderId="0" xfId="4" applyNumberFormat="1" applyFont="1" applyFill="1" applyBorder="1" applyAlignment="1">
      <alignment horizontal="center"/>
    </xf>
    <xf numFmtId="0" fontId="51" fillId="5" borderId="0" xfId="0" quotePrefix="1" applyFont="1" applyFill="1" applyBorder="1" applyAlignment="1">
      <alignment horizontal="left"/>
    </xf>
    <xf numFmtId="10" fontId="43" fillId="5" borderId="11" xfId="4" applyNumberFormat="1" applyFont="1" applyFill="1" applyBorder="1" applyAlignment="1">
      <alignment horizontal="right"/>
    </xf>
    <xf numFmtId="10" fontId="18" fillId="0" borderId="0" xfId="0" applyNumberFormat="1" applyFont="1" applyBorder="1"/>
    <xf numFmtId="173" fontId="11" fillId="0" borderId="28" xfId="1" quotePrefix="1" applyNumberFormat="1" applyFont="1" applyBorder="1" applyAlignment="1">
      <alignment horizontal="left" indent="3"/>
    </xf>
    <xf numFmtId="173" fontId="11" fillId="0" borderId="29" xfId="1" quotePrefix="1" applyNumberFormat="1" applyFont="1" applyBorder="1" applyAlignment="1">
      <alignment horizontal="left" indent="2"/>
    </xf>
    <xf numFmtId="10" fontId="11" fillId="0" borderId="30" xfId="0" applyNumberFormat="1" applyFont="1" applyBorder="1"/>
    <xf numFmtId="173" fontId="16" fillId="0" borderId="28" xfId="1" applyNumberFormat="1" applyFont="1" applyBorder="1" applyAlignment="1">
      <alignment horizontal="left" indent="4"/>
    </xf>
    <xf numFmtId="10" fontId="6" fillId="5" borderId="11" xfId="4" applyNumberFormat="1" applyFont="1" applyFill="1" applyBorder="1"/>
    <xf numFmtId="0" fontId="16" fillId="0" borderId="28" xfId="0" quotePrefix="1" applyFont="1" applyBorder="1" applyAlignment="1">
      <alignment horizontal="left" indent="2"/>
    </xf>
    <xf numFmtId="173" fontId="11" fillId="0" borderId="0" xfId="1" quotePrefix="1" applyNumberFormat="1" applyFont="1" applyBorder="1" applyAlignment="1">
      <alignment horizontal="left"/>
    </xf>
    <xf numFmtId="0" fontId="25" fillId="0" borderId="0" xfId="0" quotePrefix="1" applyFont="1" applyAlignment="1">
      <alignment horizontal="left"/>
    </xf>
    <xf numFmtId="0" fontId="11" fillId="0" borderId="0" xfId="0" applyFont="1" applyBorder="1" applyAlignment="1">
      <alignment horizontal="left" indent="2"/>
    </xf>
    <xf numFmtId="173" fontId="16" fillId="0" borderId="28" xfId="1" quotePrefix="1" applyNumberFormat="1" applyFont="1" applyBorder="1" applyAlignment="1">
      <alignment horizontal="left" indent="1"/>
    </xf>
    <xf numFmtId="174" fontId="44" fillId="0" borderId="0" xfId="1" applyNumberFormat="1" applyFont="1" applyBorder="1" applyAlignment="1">
      <alignment horizontal="center"/>
    </xf>
    <xf numFmtId="0" fontId="11" fillId="0" borderId="10" xfId="0" applyFont="1" applyBorder="1" applyAlignment="1">
      <alignment horizontal="left" indent="2"/>
    </xf>
    <xf numFmtId="0" fontId="11" fillId="0" borderId="10" xfId="0" quotePrefix="1" applyFont="1" applyBorder="1" applyAlignment="1">
      <alignment horizontal="left" indent="2"/>
    </xf>
    <xf numFmtId="0" fontId="18" fillId="0" borderId="34" xfId="0" applyFont="1" applyBorder="1" applyAlignment="1">
      <alignment horizontal="left"/>
    </xf>
    <xf numFmtId="0" fontId="18" fillId="0" borderId="29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173" fontId="4" fillId="0" borderId="0" xfId="1" applyNumberFormat="1" applyFont="1" applyBorder="1" applyAlignment="1">
      <alignment horizontal="right"/>
    </xf>
    <xf numFmtId="0" fontId="41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PnmaEcon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79238861580327E-2"/>
          <c:y val="0.12820978771688049"/>
          <c:w val="0.95483213438987158"/>
          <c:h val="0.606859661859900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CF!$E$5:$AE$5</c:f>
              <c:numCache>
                <c:formatCode>General</c:formatCode>
                <c:ptCount val="2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</c:numCache>
            </c:numRef>
          </c:cat>
          <c:val>
            <c:numRef>
              <c:f>CF!$E$75:$AE$75</c:f>
              <c:numCache>
                <c:formatCode>0.00\x</c:formatCode>
                <c:ptCount val="27"/>
                <c:pt idx="0">
                  <c:v>0.57413302523547316</c:v>
                </c:pt>
                <c:pt idx="1">
                  <c:v>0.39067082258019797</c:v>
                </c:pt>
                <c:pt idx="2">
                  <c:v>1.2641234786568811</c:v>
                </c:pt>
                <c:pt idx="3">
                  <c:v>1.3126810899964327</c:v>
                </c:pt>
                <c:pt idx="4">
                  <c:v>1.3249897453103188</c:v>
                </c:pt>
                <c:pt idx="5">
                  <c:v>1.3765095158637686</c:v>
                </c:pt>
                <c:pt idx="6">
                  <c:v>1.4090027359738027</c:v>
                </c:pt>
                <c:pt idx="7">
                  <c:v>2.5402696839210264</c:v>
                </c:pt>
                <c:pt idx="8">
                  <c:v>2.7503552347672291</c:v>
                </c:pt>
                <c:pt idx="9">
                  <c:v>2.8145784836792758</c:v>
                </c:pt>
                <c:pt idx="10">
                  <c:v>2.8865816750297628</c:v>
                </c:pt>
                <c:pt idx="11">
                  <c:v>2.9899836179621939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7440608"/>
        <c:axId val="137441728"/>
      </c:barChart>
      <c:catAx>
        <c:axId val="137440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137441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744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\x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1374406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G Times (W1)"/>
          <a:ea typeface="CG Times (W1)"/>
          <a:cs typeface="CG Times (W1)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1</xdr:row>
          <xdr:rowOff>28575</xdr:rowOff>
        </xdr:from>
        <xdr:to>
          <xdr:col>16</xdr:col>
          <xdr:colOff>152400</xdr:colOff>
          <xdr:row>3</xdr:row>
          <xdr:rowOff>95250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MODEL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390525</xdr:colOff>
          <xdr:row>2</xdr:row>
          <xdr:rowOff>114300</xdr:rowOff>
        </xdr:from>
        <xdr:to>
          <xdr:col>26</xdr:col>
          <xdr:colOff>47625</xdr:colOff>
          <xdr:row>4</xdr:row>
          <xdr:rowOff>19050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Calculation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20</xdr:row>
          <xdr:rowOff>38100</xdr:rowOff>
        </xdr:from>
        <xdr:to>
          <xdr:col>4</xdr:col>
          <xdr:colOff>914400</xdr:colOff>
          <xdr:row>21</xdr:row>
          <xdr:rowOff>133350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18% IRR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76</xdr:row>
      <xdr:rowOff>9525</xdr:rowOff>
    </xdr:from>
    <xdr:to>
      <xdr:col>16</xdr:col>
      <xdr:colOff>676275</xdr:colOff>
      <xdr:row>82</xdr:row>
      <xdr:rowOff>9525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66675</xdr:colOff>
          <xdr:row>0</xdr:row>
          <xdr:rowOff>0</xdr:rowOff>
        </xdr:from>
        <xdr:to>
          <xdr:col>38</xdr:col>
          <xdr:colOff>66675</xdr:colOff>
          <xdr:row>0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Page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3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P23"/>
  <sheetViews>
    <sheetView showGridLines="0" tabSelected="1" zoomScale="80" zoomScaleNormal="80" workbookViewId="0"/>
  </sheetViews>
  <sheetFormatPr defaultRowHeight="12.75" x14ac:dyDescent="0.2"/>
  <cols>
    <col min="1" max="1" width="21.1640625" style="19" customWidth="1"/>
    <col min="2" max="2" width="4.83203125" style="19" customWidth="1"/>
    <col min="3" max="3" width="2" style="19" customWidth="1"/>
    <col min="4" max="16384" width="9.33203125" style="19"/>
  </cols>
  <sheetData>
    <row r="1" spans="1:16" ht="15.75" x14ac:dyDescent="0.25">
      <c r="A1" s="588" t="str">
        <f>+Assumpt!$A$1</f>
        <v>Panama Regas Terminal</v>
      </c>
      <c r="B1" s="589"/>
      <c r="C1" s="589"/>
      <c r="D1" s="590"/>
      <c r="M1" s="811" t="s">
        <v>316</v>
      </c>
    </row>
    <row r="2" spans="1:16" ht="15.75" x14ac:dyDescent="0.25">
      <c r="A2" s="591" t="str">
        <f>+Assumpt!A2</f>
        <v>Enron International</v>
      </c>
      <c r="B2" s="558"/>
      <c r="C2" s="558"/>
      <c r="D2" s="592"/>
      <c r="M2" s="813" t="s">
        <v>395</v>
      </c>
    </row>
    <row r="3" spans="1:16" ht="16.5" thickBot="1" x14ac:dyDescent="0.3">
      <c r="A3" s="587" t="s">
        <v>266</v>
      </c>
      <c r="B3" s="64"/>
      <c r="C3" s="64"/>
      <c r="D3" s="146"/>
      <c r="M3" s="813" t="s">
        <v>356</v>
      </c>
    </row>
    <row r="4" spans="1:16" ht="15.75" x14ac:dyDescent="0.25">
      <c r="A4" s="628"/>
      <c r="B4" s="44"/>
      <c r="C4" s="44"/>
      <c r="D4" s="44"/>
      <c r="M4" s="876" t="s">
        <v>358</v>
      </c>
    </row>
    <row r="5" spans="1:16" x14ac:dyDescent="0.2">
      <c r="B5" s="44"/>
      <c r="C5" s="44"/>
      <c r="D5" s="44"/>
    </row>
    <row r="6" spans="1:16" ht="15.75" x14ac:dyDescent="0.25">
      <c r="A6" s="628"/>
      <c r="B6" s="44"/>
      <c r="C6" s="44"/>
      <c r="D6" s="44"/>
    </row>
    <row r="7" spans="1:16" ht="15.75" x14ac:dyDescent="0.25">
      <c r="A7" s="628"/>
      <c r="B7" s="44"/>
      <c r="C7" s="44"/>
      <c r="D7" s="44"/>
    </row>
    <row r="8" spans="1:16" ht="15.75" x14ac:dyDescent="0.25">
      <c r="A8" s="628"/>
      <c r="B8" s="44"/>
      <c r="C8" s="44"/>
      <c r="D8" s="44"/>
    </row>
    <row r="9" spans="1:16" ht="15.75" x14ac:dyDescent="0.25">
      <c r="A9" s="628"/>
      <c r="B9" s="44"/>
      <c r="C9" s="44"/>
      <c r="D9" s="44"/>
    </row>
    <row r="10" spans="1:16" x14ac:dyDescent="0.2">
      <c r="N10" s="19" t="s">
        <v>267</v>
      </c>
      <c r="P10" s="241" t="s">
        <v>268</v>
      </c>
    </row>
    <row r="11" spans="1:16" ht="18.75" customHeight="1" x14ac:dyDescent="0.2">
      <c r="F11" s="19" t="str">
        <f>UPPER(Assumpt!A3)</f>
        <v>ASSUMPTIONS</v>
      </c>
      <c r="K11" s="610">
        <v>2</v>
      </c>
      <c r="N11" s="610">
        <v>1</v>
      </c>
      <c r="P11" s="754">
        <v>1</v>
      </c>
    </row>
    <row r="12" spans="1:16" ht="4.5" customHeight="1" x14ac:dyDescent="0.2">
      <c r="N12" s="610"/>
      <c r="P12" s="754"/>
    </row>
    <row r="13" spans="1:16" ht="18.75" customHeight="1" x14ac:dyDescent="0.2">
      <c r="F13" s="241" t="str">
        <f>UPPER(CF!A3)</f>
        <v>NET INCOME AND CASH FLOW</v>
      </c>
      <c r="K13" s="19">
        <f>+K11+N11</f>
        <v>3</v>
      </c>
      <c r="N13" s="610">
        <v>1</v>
      </c>
      <c r="P13" s="754">
        <v>1</v>
      </c>
    </row>
    <row r="14" spans="1:16" ht="4.5" customHeight="1" x14ac:dyDescent="0.2">
      <c r="N14" s="610"/>
      <c r="P14" s="754"/>
    </row>
    <row r="15" spans="1:16" ht="18.75" customHeight="1" x14ac:dyDescent="0.2">
      <c r="F15" s="255" t="str">
        <f>UPPER(Ret!A3)</f>
        <v>PROJECT &amp; ENRON RETURNS</v>
      </c>
      <c r="K15" s="19">
        <f>+K13+N13</f>
        <v>4</v>
      </c>
      <c r="N15" s="610">
        <v>1</v>
      </c>
      <c r="P15" s="754">
        <v>1</v>
      </c>
    </row>
    <row r="16" spans="1:16" ht="4.5" customHeight="1" x14ac:dyDescent="0.2">
      <c r="N16" s="610"/>
      <c r="P16" s="754"/>
    </row>
    <row r="17" spans="6:16" ht="18.75" customHeight="1" x14ac:dyDescent="0.2">
      <c r="F17" s="241" t="str">
        <f>UPPER(Debt!A3)</f>
        <v>DEBT SERVICE</v>
      </c>
      <c r="K17" s="19">
        <f>+K15+N15</f>
        <v>5</v>
      </c>
      <c r="N17" s="610">
        <v>1</v>
      </c>
      <c r="P17" s="754">
        <v>1</v>
      </c>
    </row>
    <row r="18" spans="6:16" ht="4.5" customHeight="1" x14ac:dyDescent="0.2">
      <c r="N18" s="610"/>
      <c r="P18" s="754"/>
    </row>
    <row r="19" spans="6:16" ht="18.75" customHeight="1" x14ac:dyDescent="0.2">
      <c r="F19" s="241" t="str">
        <f>UPPER(IDC!A3)</f>
        <v>INTEREST DURING CONSTRUCTION</v>
      </c>
      <c r="K19" s="19">
        <f>+K17+N17</f>
        <v>6</v>
      </c>
      <c r="N19" s="610">
        <v>2</v>
      </c>
      <c r="P19" s="754">
        <v>1</v>
      </c>
    </row>
    <row r="20" spans="6:16" ht="4.5" customHeight="1" x14ac:dyDescent="0.2">
      <c r="N20" s="610"/>
      <c r="P20" s="754"/>
    </row>
    <row r="21" spans="6:16" ht="18.75" customHeight="1" x14ac:dyDescent="0.2">
      <c r="F21" s="241" t="str">
        <f>UPPER('Depn&amp;Tax'!A3)</f>
        <v>DEPRECIATION AND TAXES</v>
      </c>
      <c r="K21" s="19">
        <f>+K19+N19</f>
        <v>8</v>
      </c>
      <c r="N21" s="610">
        <v>1</v>
      </c>
      <c r="P21" s="754">
        <v>1</v>
      </c>
    </row>
    <row r="22" spans="6:16" ht="4.5" customHeight="1" x14ac:dyDescent="0.2">
      <c r="N22" s="610"/>
      <c r="P22" s="754"/>
    </row>
    <row r="23" spans="6:16" ht="18.75" customHeight="1" x14ac:dyDescent="0.2">
      <c r="F23" s="889" t="s">
        <v>269</v>
      </c>
      <c r="K23" s="19">
        <f>+K21+N21</f>
        <v>9</v>
      </c>
      <c r="N23" s="610">
        <v>1</v>
      </c>
      <c r="P23" s="754">
        <v>1</v>
      </c>
    </row>
  </sheetData>
  <pageMargins left="0.75" right="0.75" top="0.75" bottom="0.75" header="0.5" footer="0.5"/>
  <pageSetup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PrintAll">
                <anchor moveWithCells="1" sizeWithCells="1">
                  <from>
                    <xdr:col>14</xdr:col>
                    <xdr:colOff>28575</xdr:colOff>
                    <xdr:row>1</xdr:row>
                    <xdr:rowOff>28575</xdr:rowOff>
                  </from>
                  <to>
                    <xdr:col>16</xdr:col>
                    <xdr:colOff>152400</xdr:colOff>
                    <xdr:row>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N137"/>
  <sheetViews>
    <sheetView showGridLines="0" zoomScale="80" zoomScaleNormal="80" workbookViewId="0"/>
  </sheetViews>
  <sheetFormatPr defaultRowHeight="12.75" x14ac:dyDescent="0.2"/>
  <cols>
    <col min="1" max="1" width="13.5" style="3" customWidth="1"/>
    <col min="2" max="2" width="14" style="3" customWidth="1"/>
    <col min="3" max="3" width="11.1640625" style="3" customWidth="1"/>
    <col min="4" max="4" width="14.5" style="3" customWidth="1"/>
    <col min="5" max="5" width="17.33203125" style="3" customWidth="1"/>
    <col min="6" max="6" width="3" style="3" customWidth="1"/>
    <col min="7" max="7" width="23" style="3" customWidth="1"/>
    <col min="8" max="8" width="12" style="3" customWidth="1"/>
    <col min="9" max="9" width="11.83203125" style="3" customWidth="1"/>
    <col min="10" max="10" width="12.5" style="3" customWidth="1"/>
    <col min="11" max="11" width="13.1640625" style="3" customWidth="1"/>
    <col min="12" max="12" width="13.6640625" style="3" customWidth="1"/>
    <col min="13" max="13" width="3.6640625" style="3" customWidth="1"/>
    <col min="14" max="14" width="18.5" style="3" customWidth="1"/>
    <col min="15" max="15" width="9.33203125" style="3"/>
    <col min="16" max="16" width="15.1640625" style="3" customWidth="1"/>
    <col min="17" max="17" width="9.33203125" style="3"/>
    <col min="18" max="18" width="11.6640625" style="3" customWidth="1"/>
    <col min="19" max="19" width="17.6640625" style="3" customWidth="1"/>
    <col min="20" max="20" width="15" style="3" customWidth="1"/>
    <col min="21" max="21" width="12.5" style="3" customWidth="1"/>
    <col min="22" max="22" width="9.33203125" style="3"/>
    <col min="23" max="23" width="16.83203125" style="3" customWidth="1"/>
    <col min="24" max="24" width="13.83203125" style="3" customWidth="1"/>
    <col min="25" max="26" width="12" style="3" customWidth="1"/>
    <col min="27" max="27" width="11.5" style="3" customWidth="1"/>
    <col min="28" max="28" width="13.83203125" style="3" customWidth="1"/>
    <col min="29" max="16384" width="9.33203125" style="3"/>
  </cols>
  <sheetData>
    <row r="1" spans="1:40" ht="15.75" x14ac:dyDescent="0.25">
      <c r="A1" s="588" t="s">
        <v>210</v>
      </c>
      <c r="B1" s="589"/>
      <c r="C1" s="589"/>
      <c r="D1" s="590"/>
      <c r="F1" s="1"/>
      <c r="G1" s="4" t="str">
        <f>IF(BS!AF28=0," ","BALANCE SHEET DOESN'T BALANCE")</f>
        <v xml:space="preserve"> </v>
      </c>
      <c r="H1" s="5"/>
      <c r="I1" s="6"/>
      <c r="J1" s="6"/>
      <c r="K1" s="7" t="str">
        <f>IF(BS!AF46&gt;1,"CHECK INCOME STATEMENT"," ")</f>
        <v xml:space="preserve"> </v>
      </c>
      <c r="L1" s="8"/>
      <c r="M1" s="4"/>
      <c r="N1" s="4" t="str">
        <f>IF(AC14=0," ","RUN CALCULATION MACRO")</f>
        <v xml:space="preserve"> </v>
      </c>
      <c r="O1" s="4"/>
      <c r="P1" s="4"/>
      <c r="Q1" s="4"/>
      <c r="R1" s="4"/>
      <c r="S1" s="4"/>
      <c r="AD1" s="9"/>
      <c r="AF1" s="10"/>
      <c r="AG1" s="10"/>
      <c r="AH1" s="10"/>
      <c r="AI1" s="10"/>
      <c r="AJ1" s="10"/>
      <c r="AK1" s="10"/>
      <c r="AL1" s="10"/>
      <c r="AM1" s="10"/>
    </row>
    <row r="2" spans="1:40" ht="16.5" thickBot="1" x14ac:dyDescent="0.3">
      <c r="A2" s="591" t="s">
        <v>211</v>
      </c>
      <c r="B2" s="558"/>
      <c r="C2" s="558"/>
      <c r="D2" s="592"/>
      <c r="E2" s="2"/>
      <c r="F2" s="2"/>
      <c r="G2" s="12" t="str">
        <f>+IF(OR(ABS(IDC!$AM$16-1)&gt;0.5,ABS(IDC!$AM$14+IDC!$AM$43-Assumpt!$S$58)&gt;0.6,ABS(IDC!$AM$22+estidc*eqamt-$S$7)&gt;0.5,ABS(IDC!$AM$25+estidc*debtamt-Assumpt!$S$6)&gt;0.5),"ERROR: Drawdown"," ")</f>
        <v xml:space="preserve"> </v>
      </c>
      <c r="H2" s="4" t="str">
        <f>IF(OR(ABS(IDC!$AM$47-1)&gt;0.01,ABS(IDC!$AM$48-1)&gt;0.01),"ERROR: Drawdown"," ")</f>
        <v xml:space="preserve"> </v>
      </c>
      <c r="I2" s="14"/>
      <c r="J2" s="4"/>
      <c r="K2" s="15"/>
      <c r="L2" s="4"/>
      <c r="M2" s="4"/>
      <c r="N2" s="4"/>
      <c r="O2" s="4"/>
      <c r="P2" s="4"/>
      <c r="Q2" s="4"/>
      <c r="R2" s="4"/>
      <c r="S2" s="4"/>
      <c r="AD2" s="9"/>
      <c r="AF2" s="10"/>
      <c r="AG2" s="10"/>
      <c r="AH2" s="10"/>
      <c r="AI2" s="10"/>
      <c r="AJ2" s="10"/>
      <c r="AK2" s="10"/>
      <c r="AL2" s="10"/>
      <c r="AM2" s="10"/>
    </row>
    <row r="3" spans="1:40" ht="17.25" thickTop="1" thickBot="1" x14ac:dyDescent="0.3">
      <c r="A3" s="587" t="s">
        <v>0</v>
      </c>
      <c r="B3" s="64"/>
      <c r="C3" s="64"/>
      <c r="D3" s="146"/>
      <c r="E3" s="44"/>
      <c r="F3" s="2"/>
      <c r="G3" s="4"/>
      <c r="H3" s="2"/>
      <c r="I3" s="14"/>
      <c r="J3" s="4"/>
      <c r="K3" s="15"/>
      <c r="L3" s="4"/>
      <c r="M3" s="4"/>
      <c r="N3" s="4"/>
      <c r="O3" s="4"/>
      <c r="P3" s="4"/>
      <c r="Q3" s="4"/>
      <c r="R3" s="4"/>
      <c r="S3" s="4"/>
      <c r="W3" s="16" t="s">
        <v>1</v>
      </c>
      <c r="X3" s="17"/>
      <c r="Y3" s="17"/>
      <c r="Z3" s="17"/>
      <c r="AA3" s="18"/>
    </row>
    <row r="4" spans="1:40" ht="15" customHeight="1" thickBot="1" x14ac:dyDescent="0.25">
      <c r="A4" s="19"/>
      <c r="D4" s="4"/>
      <c r="E4" s="4"/>
      <c r="F4" s="4"/>
      <c r="G4" s="4" t="str">
        <f>IF(ABS(Debt!AF52-Assumpt!Y10)&gt;1,"CHECK DEBT SERVICE"," ")</f>
        <v xml:space="preserve"> </v>
      </c>
      <c r="H4" s="698" t="str">
        <f>IF(CF!E79&lt;1.295,"CHECK COVERAGES"," ")</f>
        <v>CHECK COVERAGES</v>
      </c>
      <c r="I4" s="20"/>
      <c r="J4" s="21"/>
      <c r="K4" s="22"/>
      <c r="L4" s="22"/>
      <c r="M4" s="6"/>
      <c r="N4" s="23"/>
      <c r="O4" s="15"/>
      <c r="P4" s="4"/>
      <c r="Q4" s="4"/>
      <c r="R4" s="4"/>
      <c r="S4" s="4"/>
      <c r="W4" s="24" t="s">
        <v>2</v>
      </c>
      <c r="X4" s="25"/>
      <c r="Y4" s="25"/>
      <c r="Z4" s="25"/>
      <c r="AA4" s="26"/>
      <c r="AK4" s="27"/>
      <c r="AL4" s="28"/>
      <c r="AM4" s="29"/>
      <c r="AN4" s="29"/>
    </row>
    <row r="5" spans="1:40" ht="15" customHeight="1" x14ac:dyDescent="0.25">
      <c r="A5" s="30" t="s">
        <v>3</v>
      </c>
      <c r="B5" s="31"/>
      <c r="C5" s="34"/>
      <c r="D5" s="34"/>
      <c r="E5" s="35"/>
      <c r="G5" s="30" t="s">
        <v>4</v>
      </c>
      <c r="H5" s="33"/>
      <c r="I5" s="34"/>
      <c r="J5" s="34"/>
      <c r="K5" s="34"/>
      <c r="L5" s="35"/>
      <c r="N5" s="30" t="s">
        <v>35</v>
      </c>
      <c r="O5" s="123"/>
      <c r="P5" s="33"/>
      <c r="Q5" s="124"/>
      <c r="R5" s="34"/>
      <c r="S5" s="32"/>
      <c r="W5" s="37"/>
      <c r="X5" s="38"/>
      <c r="Y5" s="39" t="s">
        <v>6</v>
      </c>
      <c r="Z5" s="40" t="s">
        <v>7</v>
      </c>
      <c r="AA5" s="41" t="s">
        <v>8</v>
      </c>
      <c r="AK5" s="42"/>
      <c r="AL5" s="42"/>
      <c r="AM5" s="42"/>
      <c r="AN5" s="42"/>
    </row>
    <row r="6" spans="1:40" ht="15" customHeight="1" x14ac:dyDescent="0.2">
      <c r="A6" s="43" t="s">
        <v>9</v>
      </c>
      <c r="B6" s="25"/>
      <c r="C6" s="44"/>
      <c r="D6" s="486"/>
      <c r="E6" s="475">
        <v>1048414.9855907779</v>
      </c>
      <c r="F6" s="45"/>
      <c r="G6" s="76" t="s">
        <v>383</v>
      </c>
      <c r="H6" s="25"/>
      <c r="I6" s="25"/>
      <c r="J6" s="46"/>
      <c r="K6" s="46"/>
      <c r="L6" s="681">
        <v>0.05</v>
      </c>
      <c r="N6" s="43" t="s">
        <v>38</v>
      </c>
      <c r="O6" s="25"/>
      <c r="P6" s="652"/>
      <c r="Q6" s="648">
        <v>0.75</v>
      </c>
      <c r="R6" s="191"/>
      <c r="S6" s="56">
        <f>+estcost*$Q$6</f>
        <v>127536.68015927149</v>
      </c>
      <c r="T6" s="19"/>
      <c r="W6" s="37" t="s">
        <v>11</v>
      </c>
      <c r="X6" s="25"/>
      <c r="Y6" s="49">
        <v>18315.649198311712</v>
      </c>
      <c r="Z6" s="50">
        <f>+IDC!C45</f>
        <v>18315.564577412577</v>
      </c>
      <c r="AA6" s="51">
        <f>ABS(+Y6-Z6)</f>
        <v>8.4620899135188665E-2</v>
      </c>
      <c r="AK6" s="42"/>
      <c r="AL6" s="42"/>
      <c r="AM6" s="42"/>
      <c r="AN6" s="42"/>
    </row>
    <row r="7" spans="1:40" ht="15" customHeight="1" x14ac:dyDescent="0.2">
      <c r="A7" s="710" t="s">
        <v>212</v>
      </c>
      <c r="B7" s="25"/>
      <c r="C7" s="44"/>
      <c r="D7" s="39"/>
      <c r="E7" s="476">
        <v>52.05</v>
      </c>
      <c r="G7" s="52" t="s">
        <v>385</v>
      </c>
      <c r="H7" s="25"/>
      <c r="I7" s="25"/>
      <c r="J7" s="46"/>
      <c r="K7" s="46"/>
      <c r="L7" s="681">
        <v>0.03</v>
      </c>
      <c r="N7" s="43" t="s">
        <v>41</v>
      </c>
      <c r="O7" s="25"/>
      <c r="P7" s="652"/>
      <c r="Q7" s="130">
        <f>+Q8-Q6</f>
        <v>0.25</v>
      </c>
      <c r="R7" s="191"/>
      <c r="S7" s="499">
        <f>+Q7*estcost</f>
        <v>42512.226719757164</v>
      </c>
      <c r="U7" s="57"/>
      <c r="W7" s="58" t="s">
        <v>14</v>
      </c>
      <c r="X7" s="25"/>
      <c r="Y7" s="49">
        <v>170048.90687902865</v>
      </c>
      <c r="Z7" s="50">
        <f>+$S$58</f>
        <v>170049.23955426895</v>
      </c>
      <c r="AA7" s="51">
        <f t="shared" ref="AA7:AA14" si="0">ABS(+Y7-Z7)</f>
        <v>0.33267524029361084</v>
      </c>
      <c r="AD7" s="59"/>
      <c r="AE7" s="59"/>
      <c r="AK7" s="42"/>
      <c r="AL7" s="42"/>
      <c r="AM7" s="42"/>
      <c r="AN7" s="42"/>
    </row>
    <row r="8" spans="1:40" ht="15" customHeight="1" thickBot="1" x14ac:dyDescent="0.25">
      <c r="A8" s="710" t="s">
        <v>301</v>
      </c>
      <c r="E8" s="475">
        <v>1070</v>
      </c>
      <c r="G8" s="76" t="s">
        <v>281</v>
      </c>
      <c r="H8" s="44"/>
      <c r="I8" s="44"/>
      <c r="J8" s="44"/>
      <c r="K8" s="44"/>
      <c r="L8" s="497">
        <v>25</v>
      </c>
      <c r="N8" s="101" t="s">
        <v>43</v>
      </c>
      <c r="O8" s="80"/>
      <c r="P8" s="80"/>
      <c r="Q8" s="649">
        <v>1</v>
      </c>
      <c r="R8" s="80"/>
      <c r="S8" s="132">
        <f>+SUM(S6:S7)</f>
        <v>170048.90687902865</v>
      </c>
      <c r="W8" s="37"/>
      <c r="X8" s="25"/>
      <c r="Y8" s="49">
        <v>0</v>
      </c>
      <c r="Z8" s="50">
        <v>0</v>
      </c>
      <c r="AA8" s="51">
        <f t="shared" si="0"/>
        <v>0</v>
      </c>
      <c r="AK8" s="42"/>
      <c r="AL8" s="42"/>
      <c r="AM8" s="42"/>
      <c r="AN8" s="42"/>
    </row>
    <row r="9" spans="1:40" ht="15" customHeight="1" thickBot="1" x14ac:dyDescent="0.25">
      <c r="A9" s="52" t="s">
        <v>12</v>
      </c>
      <c r="B9" s="25"/>
      <c r="C9" s="44"/>
      <c r="D9" s="486"/>
      <c r="E9" s="477">
        <f>+E6*E7</f>
        <v>54569999.999999993</v>
      </c>
      <c r="F9" s="66"/>
      <c r="G9" s="52" t="s">
        <v>304</v>
      </c>
      <c r="H9" s="19"/>
      <c r="I9" s="19"/>
      <c r="J9" s="19"/>
      <c r="K9" s="19"/>
      <c r="L9" s="497">
        <v>12</v>
      </c>
      <c r="N9" s="19"/>
      <c r="O9" s="19"/>
      <c r="P9" s="19"/>
      <c r="Q9" s="19"/>
      <c r="R9" s="19"/>
      <c r="S9" s="19"/>
      <c r="U9" s="68"/>
      <c r="W9" s="73" t="s">
        <v>217</v>
      </c>
      <c r="X9" s="25"/>
      <c r="Y9" s="49">
        <v>965.04184616640748</v>
      </c>
      <c r="Z9" s="50">
        <f>IDC!B70</f>
        <v>965.04178897866814</v>
      </c>
      <c r="AA9" s="51">
        <f t="shared" si="0"/>
        <v>5.718773934404453E-5</v>
      </c>
      <c r="AK9" s="42"/>
      <c r="AL9" s="42"/>
      <c r="AM9" s="42"/>
      <c r="AN9" s="42"/>
    </row>
    <row r="10" spans="1:40" ht="15" customHeight="1" x14ac:dyDescent="0.2">
      <c r="A10" s="710" t="s">
        <v>299</v>
      </c>
      <c r="B10" s="25"/>
      <c r="C10" s="321" t="s">
        <v>300</v>
      </c>
      <c r="D10" s="486"/>
      <c r="E10" s="477">
        <f>+annvol/340</f>
        <v>160499.99999999997</v>
      </c>
      <c r="F10" s="19"/>
      <c r="G10" s="43" t="s">
        <v>372</v>
      </c>
      <c r="H10" s="25"/>
      <c r="I10" s="25"/>
      <c r="J10" s="54"/>
      <c r="K10" s="46"/>
      <c r="L10" s="886" t="s">
        <v>373</v>
      </c>
      <c r="N10" s="36" t="s">
        <v>5</v>
      </c>
      <c r="O10" s="33"/>
      <c r="P10" s="34"/>
      <c r="Q10" s="34"/>
      <c r="R10" s="34"/>
      <c r="S10" s="32"/>
      <c r="W10" s="37" t="s">
        <v>251</v>
      </c>
      <c r="X10" s="25"/>
      <c r="Y10" s="49">
        <v>127536.97183586989</v>
      </c>
      <c r="Z10" s="50">
        <f>+S6</f>
        <v>127536.68015927149</v>
      </c>
      <c r="AA10" s="51">
        <f t="shared" si="0"/>
        <v>0.29167659839731641</v>
      </c>
      <c r="AK10" s="42"/>
      <c r="AL10" s="42"/>
      <c r="AM10" s="42"/>
      <c r="AN10" s="42"/>
    </row>
    <row r="11" spans="1:40" ht="15" customHeight="1" thickBot="1" x14ac:dyDescent="0.25">
      <c r="A11" s="710" t="s">
        <v>302</v>
      </c>
      <c r="B11" s="25"/>
      <c r="C11" s="321" t="s">
        <v>300</v>
      </c>
      <c r="D11" s="486"/>
      <c r="E11" s="797">
        <f>+E10/E8</f>
        <v>149.99999999999997</v>
      </c>
      <c r="G11" s="43" t="s">
        <v>270</v>
      </c>
      <c r="H11" s="25"/>
      <c r="I11" s="25"/>
      <c r="J11" s="54"/>
      <c r="K11" s="46"/>
      <c r="L11" s="681">
        <v>0.3</v>
      </c>
      <c r="N11" s="43"/>
      <c r="O11" s="25"/>
      <c r="P11" s="25"/>
      <c r="Q11" s="25"/>
      <c r="R11" s="47"/>
      <c r="S11" s="48" t="s">
        <v>10</v>
      </c>
      <c r="W11" s="37" t="s">
        <v>15</v>
      </c>
      <c r="Y11" s="74">
        <v>0</v>
      </c>
      <c r="Z11" s="50">
        <v>0</v>
      </c>
      <c r="AA11" s="51">
        <f>ABS(+Y11-Z11)</f>
        <v>0</v>
      </c>
      <c r="AK11" s="42"/>
      <c r="AL11" s="42"/>
      <c r="AM11" s="42"/>
      <c r="AN11" s="42"/>
    </row>
    <row r="12" spans="1:40" ht="15" customHeight="1" x14ac:dyDescent="0.2">
      <c r="A12" s="874" t="s">
        <v>298</v>
      </c>
      <c r="B12" s="25"/>
      <c r="C12" s="44"/>
      <c r="D12" s="60"/>
      <c r="E12" s="484"/>
      <c r="G12" s="76" t="s">
        <v>359</v>
      </c>
      <c r="H12" s="25"/>
      <c r="I12" s="25"/>
      <c r="J12" s="54"/>
      <c r="K12" s="46"/>
      <c r="L12" s="497">
        <v>5</v>
      </c>
      <c r="N12" s="505" t="s">
        <v>13</v>
      </c>
      <c r="O12" s="25"/>
      <c r="P12" s="25"/>
      <c r="Q12" s="25"/>
      <c r="R12" s="25"/>
      <c r="S12" s="56"/>
      <c r="W12" s="37" t="s">
        <v>15</v>
      </c>
      <c r="Y12" s="74">
        <v>0</v>
      </c>
      <c r="Z12" s="50">
        <v>0</v>
      </c>
      <c r="AA12" s="51">
        <f>ABS(+Y12-Z12)</f>
        <v>0</v>
      </c>
      <c r="AC12" s="78" t="s">
        <v>19</v>
      </c>
      <c r="AK12" s="42"/>
      <c r="AL12" s="42"/>
      <c r="AM12" s="42"/>
      <c r="AN12" s="42"/>
    </row>
    <row r="13" spans="1:40" ht="15" customHeight="1" thickBot="1" x14ac:dyDescent="0.25">
      <c r="A13" s="63" t="s">
        <v>16</v>
      </c>
      <c r="B13" s="64"/>
      <c r="C13" s="64"/>
      <c r="D13" s="65"/>
      <c r="E13" s="479">
        <v>1</v>
      </c>
      <c r="G13" s="76" t="s">
        <v>360</v>
      </c>
      <c r="H13" s="25"/>
      <c r="I13" s="879"/>
      <c r="J13" s="877"/>
      <c r="K13" s="878"/>
      <c r="L13" s="880" t="s">
        <v>361</v>
      </c>
      <c r="N13" s="502" t="s">
        <v>220</v>
      </c>
      <c r="O13" s="44"/>
      <c r="P13" s="44"/>
      <c r="Q13" s="44"/>
      <c r="R13" s="44"/>
      <c r="S13" s="62"/>
      <c r="W13" s="37" t="s">
        <v>15</v>
      </c>
      <c r="X13" s="19"/>
      <c r="Y13" s="83">
        <v>0</v>
      </c>
      <c r="Z13" s="50">
        <v>0</v>
      </c>
      <c r="AA13" s="51">
        <f>ABS(+Y13-Z13)</f>
        <v>0</v>
      </c>
      <c r="AC13" s="82" t="s">
        <v>20</v>
      </c>
      <c r="AK13" s="42"/>
      <c r="AL13" s="42"/>
      <c r="AM13" s="42"/>
      <c r="AN13" s="42"/>
    </row>
    <row r="14" spans="1:40" ht="15" customHeight="1" thickBot="1" x14ac:dyDescent="0.25">
      <c r="A14" s="19"/>
      <c r="B14" s="19"/>
      <c r="C14" s="19"/>
      <c r="D14" s="19"/>
      <c r="E14" s="19"/>
      <c r="G14" s="120" t="s">
        <v>272</v>
      </c>
      <c r="H14" s="19"/>
      <c r="I14" s="19"/>
      <c r="J14" s="19"/>
      <c r="K14" s="19"/>
      <c r="L14" s="681">
        <f>0.06/(1-0.06)</f>
        <v>6.3829787234042548E-2</v>
      </c>
      <c r="N14" s="503" t="s">
        <v>221</v>
      </c>
      <c r="O14" s="44"/>
      <c r="P14" s="44"/>
      <c r="Q14" s="44"/>
      <c r="R14" s="67"/>
      <c r="S14" s="497">
        <f>131790-9900</f>
        <v>121890</v>
      </c>
      <c r="U14" s="68"/>
      <c r="W14" s="37" t="s">
        <v>15</v>
      </c>
      <c r="Y14" s="74">
        <v>0</v>
      </c>
      <c r="Z14" s="50">
        <v>0</v>
      </c>
      <c r="AA14" s="51">
        <f t="shared" si="0"/>
        <v>0</v>
      </c>
      <c r="AC14" s="84">
        <f>IF(ABS(SUM(AA6:AA15))&lt;1,0,1)</f>
        <v>0</v>
      </c>
      <c r="AK14" s="42"/>
      <c r="AL14" s="42"/>
      <c r="AM14" s="42"/>
      <c r="AN14" s="42"/>
    </row>
    <row r="15" spans="1:40" ht="15" customHeight="1" thickBot="1" x14ac:dyDescent="0.25">
      <c r="A15" s="71" t="s">
        <v>17</v>
      </c>
      <c r="B15" s="33"/>
      <c r="C15" s="34"/>
      <c r="D15" s="34"/>
      <c r="E15" s="32"/>
      <c r="G15" s="116" t="s">
        <v>374</v>
      </c>
      <c r="H15" s="19"/>
      <c r="I15" s="19"/>
      <c r="J15" s="19"/>
      <c r="K15" s="19"/>
      <c r="L15" s="681">
        <v>0</v>
      </c>
      <c r="N15" s="504" t="s">
        <v>15</v>
      </c>
      <c r="O15" s="44"/>
      <c r="P15" s="44"/>
      <c r="Q15" s="44"/>
      <c r="R15" s="77"/>
      <c r="S15" s="496">
        <v>0</v>
      </c>
      <c r="W15" s="86" t="s">
        <v>15</v>
      </c>
      <c r="X15" s="87"/>
      <c r="Y15" s="88">
        <v>0</v>
      </c>
      <c r="Z15" s="89">
        <v>0</v>
      </c>
      <c r="AA15" s="90">
        <f>ABS(+Y15-Z15)</f>
        <v>0</v>
      </c>
      <c r="AK15" s="42"/>
      <c r="AL15" s="42"/>
      <c r="AM15" s="42"/>
      <c r="AN15" s="42"/>
    </row>
    <row r="16" spans="1:40" ht="15" customHeight="1" thickTop="1" x14ac:dyDescent="0.2">
      <c r="A16" s="76" t="s">
        <v>18</v>
      </c>
      <c r="B16" s="25"/>
      <c r="C16" s="25"/>
      <c r="D16" s="25"/>
      <c r="E16" s="488">
        <v>36526</v>
      </c>
      <c r="G16" s="120" t="s">
        <v>315</v>
      </c>
      <c r="H16" s="25"/>
      <c r="I16" s="25"/>
      <c r="J16" s="46"/>
      <c r="K16" s="46"/>
      <c r="L16" s="681">
        <v>0.1</v>
      </c>
      <c r="N16" s="503" t="s">
        <v>222</v>
      </c>
      <c r="O16" s="44"/>
      <c r="P16" s="44"/>
      <c r="Q16" s="44"/>
      <c r="R16" s="77"/>
      <c r="S16" s="70">
        <f>SUM(S14:S15)</f>
        <v>121890</v>
      </c>
      <c r="T16" s="68"/>
      <c r="U16" s="68"/>
      <c r="W16" s="19"/>
      <c r="X16" s="19"/>
      <c r="Y16" s="91"/>
      <c r="Z16" s="92"/>
      <c r="AA16" s="91"/>
      <c r="AK16" s="42"/>
      <c r="AL16" s="42"/>
      <c r="AM16" s="42"/>
      <c r="AN16" s="42"/>
    </row>
    <row r="17" spans="1:40" ht="15" customHeight="1" x14ac:dyDescent="0.2">
      <c r="A17" s="52" t="s">
        <v>213</v>
      </c>
      <c r="B17" s="25"/>
      <c r="C17" s="25"/>
      <c r="D17" s="481">
        <v>36</v>
      </c>
      <c r="E17" s="489">
        <f>+EDATE(startconst,D17)</f>
        <v>37622</v>
      </c>
      <c r="G17" s="120" t="s">
        <v>306</v>
      </c>
      <c r="H17" s="25"/>
      <c r="I17" s="25"/>
      <c r="J17" s="46"/>
      <c r="K17" s="46"/>
      <c r="L17" s="681">
        <v>0.4</v>
      </c>
      <c r="N17" s="502" t="s">
        <v>223</v>
      </c>
      <c r="O17" s="44"/>
      <c r="P17" s="44"/>
      <c r="Q17" s="44"/>
      <c r="R17" s="77"/>
      <c r="S17" s="62"/>
      <c r="W17" s="25"/>
      <c r="X17" s="25"/>
      <c r="Y17" s="94"/>
      <c r="Z17" s="46"/>
      <c r="AA17" s="91"/>
      <c r="AK17" s="42"/>
      <c r="AL17" s="42"/>
      <c r="AM17" s="42"/>
      <c r="AN17" s="42"/>
    </row>
    <row r="18" spans="1:40" ht="15" customHeight="1" x14ac:dyDescent="0.2">
      <c r="A18" s="52" t="s">
        <v>214</v>
      </c>
      <c r="B18" s="25"/>
      <c r="C18" s="25"/>
      <c r="D18" s="481">
        <v>15</v>
      </c>
      <c r="E18" s="489">
        <f>+EDATE(E17,D18*12)</f>
        <v>43101</v>
      </c>
      <c r="G18" s="120" t="s">
        <v>382</v>
      </c>
      <c r="H18" s="25"/>
      <c r="I18" s="25"/>
      <c r="J18" s="46"/>
      <c r="K18" s="46"/>
      <c r="L18" s="681">
        <v>0.1</v>
      </c>
      <c r="N18" s="503" t="s">
        <v>224</v>
      </c>
      <c r="O18" s="44"/>
      <c r="P18" s="44"/>
      <c r="Q18" s="44"/>
      <c r="R18" s="77"/>
      <c r="S18" s="497">
        <v>0</v>
      </c>
      <c r="T18" s="66"/>
      <c r="U18" s="68"/>
      <c r="Y18" s="9"/>
      <c r="Z18" s="96"/>
      <c r="AA18" s="91"/>
      <c r="AK18" s="42"/>
      <c r="AL18" s="42"/>
      <c r="AM18" s="42"/>
      <c r="AN18" s="42"/>
    </row>
    <row r="19" spans="1:40" ht="15" customHeight="1" thickBot="1" x14ac:dyDescent="0.25">
      <c r="A19" s="85" t="s">
        <v>21</v>
      </c>
      <c r="B19" s="80"/>
      <c r="C19" s="80"/>
      <c r="D19" s="80"/>
      <c r="E19" s="482" t="s">
        <v>22</v>
      </c>
      <c r="G19" s="120" t="s">
        <v>388</v>
      </c>
      <c r="H19" s="25"/>
      <c r="I19" s="25"/>
      <c r="J19" s="46"/>
      <c r="K19" s="46"/>
      <c r="L19" s="497">
        <f>(45791*0.5/1000+0.05)*0+25</f>
        <v>25</v>
      </c>
      <c r="N19" s="503" t="s">
        <v>225</v>
      </c>
      <c r="O19" s="44"/>
      <c r="P19" s="44"/>
      <c r="Q19" s="44"/>
      <c r="R19" s="77"/>
      <c r="S19" s="497">
        <v>0</v>
      </c>
      <c r="U19" s="99"/>
      <c r="W19" s="19"/>
      <c r="X19" s="19"/>
      <c r="Y19" s="19"/>
      <c r="Z19" s="19"/>
      <c r="AA19" s="19"/>
      <c r="AI19" s="100"/>
      <c r="AK19" s="42"/>
      <c r="AL19" s="42"/>
      <c r="AM19" s="42"/>
      <c r="AN19" s="42"/>
    </row>
    <row r="20" spans="1:40" ht="15" customHeight="1" thickBot="1" x14ac:dyDescent="0.25">
      <c r="A20" s="19"/>
      <c r="B20" s="19"/>
      <c r="C20" s="19"/>
      <c r="D20" s="19"/>
      <c r="E20" s="19"/>
      <c r="G20" s="120" t="s">
        <v>387</v>
      </c>
      <c r="H20" s="25"/>
      <c r="I20" s="25"/>
      <c r="J20" s="46"/>
      <c r="K20" s="46"/>
      <c r="L20" s="681">
        <v>0.01</v>
      </c>
      <c r="N20" s="504" t="s">
        <v>226</v>
      </c>
      <c r="O20" s="44"/>
      <c r="P20" s="44"/>
      <c r="Q20" s="44"/>
      <c r="R20" s="72"/>
      <c r="S20" s="496">
        <v>0</v>
      </c>
      <c r="W20" s="875" t="s">
        <v>352</v>
      </c>
      <c r="X20" s="19"/>
      <c r="Y20" s="19"/>
      <c r="Z20" s="19"/>
      <c r="AA20" s="19"/>
      <c r="AB20" s="19"/>
      <c r="AK20" s="42"/>
      <c r="AL20" s="42"/>
      <c r="AM20" s="42"/>
      <c r="AN20" s="42"/>
    </row>
    <row r="21" spans="1:40" ht="15" customHeight="1" thickBot="1" x14ac:dyDescent="0.25">
      <c r="A21" s="30" t="s">
        <v>23</v>
      </c>
      <c r="B21" s="33"/>
      <c r="C21" s="480"/>
      <c r="D21" s="480"/>
      <c r="E21" s="93"/>
      <c r="G21" s="85"/>
      <c r="H21" s="80"/>
      <c r="I21" s="80"/>
      <c r="J21" s="81"/>
      <c r="K21" s="81"/>
      <c r="L21" s="803"/>
      <c r="N21" s="503" t="s">
        <v>227</v>
      </c>
      <c r="O21" s="44"/>
      <c r="P21" s="44"/>
      <c r="Q21" s="44"/>
      <c r="R21" s="77"/>
      <c r="S21" s="70">
        <f>SUM(S18:S20)</f>
        <v>0</v>
      </c>
      <c r="W21" s="19" t="s">
        <v>353</v>
      </c>
      <c r="X21" s="19"/>
      <c r="Y21" s="19"/>
      <c r="Z21" s="19"/>
      <c r="AA21" s="19"/>
      <c r="AB21" s="19"/>
      <c r="AK21" s="42"/>
      <c r="AL21" s="42"/>
      <c r="AM21" s="42"/>
      <c r="AN21" s="42"/>
    </row>
    <row r="22" spans="1:40" ht="15" customHeight="1" thickBot="1" x14ac:dyDescent="0.25">
      <c r="A22" s="43"/>
      <c r="B22" s="25"/>
      <c r="C22" s="483">
        <f>+YEAR(startconst)</f>
        <v>2000</v>
      </c>
      <c r="D22" s="483">
        <f>+YEAR(E17)</f>
        <v>2003</v>
      </c>
      <c r="E22" s="484"/>
      <c r="G22" s="19"/>
      <c r="H22" s="19"/>
      <c r="I22" s="19"/>
      <c r="J22" s="19"/>
      <c r="K22" s="19"/>
      <c r="L22" s="19"/>
      <c r="N22" s="507" t="s">
        <v>228</v>
      </c>
      <c r="O22" s="44"/>
      <c r="P22" s="44"/>
      <c r="Q22" s="44"/>
      <c r="R22" s="77"/>
      <c r="S22" s="498">
        <f>+S21+S16</f>
        <v>121890</v>
      </c>
      <c r="T22" s="9"/>
      <c r="W22" s="241" t="s">
        <v>354</v>
      </c>
      <c r="X22" s="19"/>
      <c r="Y22" s="19"/>
      <c r="Z22" s="19"/>
      <c r="AA22" s="19"/>
      <c r="AB22" s="19"/>
      <c r="AK22" s="42"/>
      <c r="AL22" s="42"/>
      <c r="AM22" s="42"/>
      <c r="AN22" s="42"/>
    </row>
    <row r="23" spans="1:40" ht="15" customHeight="1" x14ac:dyDescent="0.2">
      <c r="A23" s="43" t="s">
        <v>24</v>
      </c>
      <c r="B23" s="25"/>
      <c r="C23" s="95">
        <f>+D23/(1+E23)^(D22-C22)</f>
        <v>1.7894997212939205</v>
      </c>
      <c r="D23" s="487">
        <v>1.8990314202348786</v>
      </c>
      <c r="E23" s="478">
        <v>0.02</v>
      </c>
      <c r="G23" s="653" t="s">
        <v>253</v>
      </c>
      <c r="H23" s="650"/>
      <c r="I23" s="105"/>
      <c r="J23" s="651">
        <v>0</v>
      </c>
      <c r="K23" s="105"/>
      <c r="L23" s="492"/>
      <c r="N23" s="507" t="s">
        <v>351</v>
      </c>
      <c r="O23" s="208"/>
      <c r="P23" s="208"/>
      <c r="Q23" s="208"/>
      <c r="R23" s="72"/>
      <c r="S23" s="506">
        <v>0</v>
      </c>
      <c r="W23" s="19" t="s">
        <v>355</v>
      </c>
      <c r="X23" s="19"/>
      <c r="Y23" s="19"/>
      <c r="Z23" s="19"/>
      <c r="AA23" s="19"/>
      <c r="AB23" s="19"/>
      <c r="AK23" s="42"/>
      <c r="AL23" s="42"/>
      <c r="AM23" s="42"/>
      <c r="AN23" s="42"/>
    </row>
    <row r="24" spans="1:40" ht="15" customHeight="1" thickBot="1" x14ac:dyDescent="0.25">
      <c r="A24" s="101"/>
      <c r="B24" s="80"/>
      <c r="C24" s="102"/>
      <c r="D24" s="103"/>
      <c r="E24" s="104"/>
      <c r="G24" s="43"/>
      <c r="H24" s="25"/>
      <c r="I24" s="44"/>
      <c r="J24" s="44" t="s">
        <v>244</v>
      </c>
      <c r="K24" s="44"/>
      <c r="L24" s="62"/>
      <c r="N24" s="55" t="s">
        <v>219</v>
      </c>
      <c r="O24" s="25"/>
      <c r="P24" s="25"/>
      <c r="Q24" s="25"/>
      <c r="R24" s="97"/>
      <c r="S24" s="98">
        <f>+S22+S23</f>
        <v>121890</v>
      </c>
      <c r="T24" s="68"/>
      <c r="W24" s="19"/>
      <c r="X24" s="19"/>
      <c r="Y24" s="19"/>
      <c r="Z24" s="19"/>
      <c r="AA24" s="19"/>
      <c r="AB24" s="19"/>
      <c r="AK24" s="42"/>
      <c r="AL24" s="42"/>
      <c r="AM24" s="42"/>
      <c r="AN24" s="42"/>
    </row>
    <row r="25" spans="1:40" ht="15" customHeight="1" thickBot="1" x14ac:dyDescent="0.25">
      <c r="G25" s="43"/>
      <c r="H25" s="25"/>
      <c r="I25" s="44"/>
      <c r="J25" s="44" t="s">
        <v>245</v>
      </c>
      <c r="K25" s="44"/>
      <c r="L25" s="62"/>
      <c r="N25" s="710" t="s">
        <v>278</v>
      </c>
      <c r="O25" s="25"/>
      <c r="P25" s="25"/>
      <c r="Q25" s="25"/>
      <c r="R25" s="762">
        <v>1</v>
      </c>
      <c r="S25" s="112">
        <f>$S$24*R25*L6</f>
        <v>6094.5</v>
      </c>
      <c r="W25" s="875" t="s">
        <v>398</v>
      </c>
      <c r="X25" s="19"/>
      <c r="Y25" s="19"/>
      <c r="Z25" s="19"/>
      <c r="AA25" s="19"/>
      <c r="AB25" s="19"/>
      <c r="AK25" s="42"/>
      <c r="AL25" s="42"/>
      <c r="AM25" s="42"/>
      <c r="AN25" s="42"/>
    </row>
    <row r="26" spans="1:40" ht="15" customHeight="1" thickBot="1" x14ac:dyDescent="0.25">
      <c r="A26" s="110" t="s">
        <v>29</v>
      </c>
      <c r="B26" s="490"/>
      <c r="C26" s="111"/>
      <c r="D26" s="480" t="s">
        <v>30</v>
      </c>
      <c r="E26" s="899" t="s">
        <v>397</v>
      </c>
      <c r="G26" s="101"/>
      <c r="H26" s="80"/>
      <c r="I26" s="64"/>
      <c r="J26" s="64" t="s">
        <v>246</v>
      </c>
      <c r="K26" s="64"/>
      <c r="L26" s="146"/>
      <c r="N26" s="491" t="s">
        <v>385</v>
      </c>
      <c r="O26" s="25"/>
      <c r="P26" s="25"/>
      <c r="Q26" s="25"/>
      <c r="R26" s="762">
        <v>1</v>
      </c>
      <c r="S26" s="112">
        <f>$S$24*R26*L7</f>
        <v>3656.7</v>
      </c>
      <c r="W26" s="19" t="s">
        <v>399</v>
      </c>
      <c r="X26" s="19"/>
      <c r="Y26" s="19"/>
      <c r="Z26" s="19"/>
      <c r="AA26" s="19"/>
      <c r="AK26" s="42"/>
      <c r="AL26" s="42"/>
      <c r="AM26" s="42"/>
      <c r="AN26" s="42"/>
    </row>
    <row r="27" spans="1:40" ht="15" customHeight="1" thickBot="1" x14ac:dyDescent="0.25">
      <c r="A27" s="61" t="s">
        <v>261</v>
      </c>
      <c r="B27" s="897" t="s">
        <v>396</v>
      </c>
      <c r="C27" s="810">
        <v>0.14000000000000001</v>
      </c>
      <c r="D27" s="898">
        <f>+Ret!B17</f>
        <v>23059.02539109152</v>
      </c>
      <c r="E27" s="108">
        <f>+Ret!B29</f>
        <v>16868.012721851392</v>
      </c>
      <c r="G27" s="19"/>
      <c r="H27" s="19"/>
      <c r="I27" s="19"/>
      <c r="J27" s="19"/>
      <c r="K27" s="19"/>
      <c r="L27" s="19"/>
      <c r="N27" s="491" t="s">
        <v>54</v>
      </c>
      <c r="O27" s="44"/>
      <c r="P27" s="44"/>
      <c r="Q27" s="44"/>
      <c r="R27" s="493">
        <v>0.05</v>
      </c>
      <c r="S27" s="501">
        <f>+R27*SUM(S24:S25)</f>
        <v>6399.2250000000004</v>
      </c>
      <c r="W27" s="19" t="s">
        <v>400</v>
      </c>
      <c r="X27" s="19"/>
      <c r="Y27" s="19"/>
      <c r="Z27" s="19"/>
      <c r="AA27" s="19"/>
      <c r="AK27" s="42"/>
      <c r="AL27" s="42"/>
      <c r="AM27" s="42"/>
      <c r="AN27" s="42"/>
    </row>
    <row r="28" spans="1:40" ht="15" customHeight="1" x14ac:dyDescent="0.2">
      <c r="A28" s="116" t="s">
        <v>32</v>
      </c>
      <c r="B28" s="44"/>
      <c r="C28" s="117"/>
      <c r="D28" s="117">
        <f>+Ret!B18</f>
        <v>0.19219851081705674</v>
      </c>
      <c r="E28" s="119">
        <f>+Ret!B30</f>
        <v>0.1800002431869725</v>
      </c>
      <c r="G28" s="759" t="s">
        <v>26</v>
      </c>
      <c r="H28" s="33"/>
      <c r="I28" s="34"/>
      <c r="J28" s="34"/>
      <c r="K28" s="105"/>
      <c r="L28" s="106"/>
      <c r="N28" s="516" t="s">
        <v>25</v>
      </c>
      <c r="O28" s="510"/>
      <c r="P28" s="511"/>
      <c r="Q28" s="511"/>
      <c r="R28" s="511"/>
      <c r="S28" s="517">
        <f>+SUM(S24:S27)</f>
        <v>138040.42500000002</v>
      </c>
      <c r="W28" s="19"/>
      <c r="X28" s="19"/>
      <c r="Y28" s="19"/>
      <c r="Z28" s="19"/>
      <c r="AA28" s="19"/>
      <c r="AK28" s="42"/>
      <c r="AL28" s="42"/>
      <c r="AM28" s="42"/>
      <c r="AN28" s="42"/>
    </row>
    <row r="29" spans="1:40" ht="15" customHeight="1" x14ac:dyDescent="0.2">
      <c r="A29" s="120" t="s">
        <v>34</v>
      </c>
      <c r="B29" s="44"/>
      <c r="C29" s="121"/>
      <c r="D29" s="121"/>
      <c r="E29" s="122">
        <f>-Ret!AL10</f>
        <v>0</v>
      </c>
      <c r="G29" s="43"/>
      <c r="H29" s="25"/>
      <c r="I29" s="25"/>
      <c r="J29" s="207" t="s">
        <v>27</v>
      </c>
      <c r="K29" s="758" t="s">
        <v>277</v>
      </c>
      <c r="L29" s="760" t="s">
        <v>28</v>
      </c>
      <c r="N29" s="43"/>
      <c r="O29" s="25"/>
      <c r="P29" s="25"/>
      <c r="Q29" s="25"/>
      <c r="R29" s="25"/>
      <c r="S29" s="112"/>
      <c r="W29" s="19"/>
      <c r="X29" s="19"/>
      <c r="Y29" s="19"/>
      <c r="Z29" s="19"/>
      <c r="AA29" s="19"/>
      <c r="AK29" s="42"/>
      <c r="AL29" s="42"/>
      <c r="AM29" s="42"/>
      <c r="AN29" s="42"/>
    </row>
    <row r="30" spans="1:40" ht="15" customHeight="1" x14ac:dyDescent="0.2">
      <c r="A30" s="61" t="s">
        <v>37</v>
      </c>
      <c r="B30" s="44"/>
      <c r="C30" s="125"/>
      <c r="D30" s="125"/>
      <c r="E30" s="126">
        <f>+CF!E78</f>
        <v>1.8028232590813633</v>
      </c>
      <c r="G30" s="43"/>
      <c r="H30" s="139" t="s">
        <v>274</v>
      </c>
      <c r="I30" s="25"/>
      <c r="J30" s="757">
        <f>+S58-S52</f>
        <v>168782.79392706894</v>
      </c>
      <c r="K30" s="481">
        <v>40</v>
      </c>
      <c r="L30" s="494" t="s">
        <v>276</v>
      </c>
      <c r="N30" s="43" t="s">
        <v>31</v>
      </c>
      <c r="O30" s="25"/>
      <c r="P30" s="25"/>
      <c r="Q30" s="25"/>
      <c r="R30" s="25"/>
      <c r="S30" s="115">
        <f>+Y6</f>
        <v>18315.649198311712</v>
      </c>
      <c r="W30" s="109"/>
      <c r="X30" s="25"/>
      <c r="Y30" s="25"/>
      <c r="Z30" s="25"/>
      <c r="AA30" s="25"/>
      <c r="AK30" s="42"/>
      <c r="AL30" s="42"/>
      <c r="AM30" s="42"/>
      <c r="AN30" s="42"/>
    </row>
    <row r="31" spans="1:40" ht="15" customHeight="1" thickBot="1" x14ac:dyDescent="0.25">
      <c r="A31" s="63" t="s">
        <v>40</v>
      </c>
      <c r="B31" s="127"/>
      <c r="C31" s="128"/>
      <c r="D31" s="128"/>
      <c r="E31" s="129">
        <f>+CF!E79</f>
        <v>0.39067082258019797</v>
      </c>
      <c r="G31" s="43"/>
      <c r="H31" s="199" t="s">
        <v>275</v>
      </c>
      <c r="I31" s="25"/>
      <c r="J31" s="757">
        <f>+S58-S52</f>
        <v>168782.79392706894</v>
      </c>
      <c r="K31" s="481">
        <v>20</v>
      </c>
      <c r="L31" s="494" t="s">
        <v>276</v>
      </c>
      <c r="N31" s="61" t="s">
        <v>33</v>
      </c>
      <c r="O31" s="44"/>
      <c r="P31" s="44"/>
      <c r="Q31" s="44"/>
      <c r="R31" s="25"/>
      <c r="S31" s="70">
        <f>+S30*G47*(L16/(1-L16))</f>
        <v>0</v>
      </c>
      <c r="W31" s="25"/>
      <c r="X31" s="25"/>
      <c r="Y31" s="25"/>
      <c r="Z31" s="25"/>
      <c r="AA31" s="25"/>
      <c r="AK31" s="42"/>
      <c r="AL31" s="42"/>
      <c r="AM31" s="42"/>
      <c r="AN31" s="42"/>
    </row>
    <row r="32" spans="1:40" ht="15" customHeight="1" thickBot="1" x14ac:dyDescent="0.25">
      <c r="A32" s="19"/>
      <c r="B32" s="19"/>
      <c r="C32" s="19"/>
      <c r="D32" s="19"/>
      <c r="E32" s="19"/>
      <c r="G32" s="101"/>
      <c r="H32" s="80"/>
      <c r="I32" s="80"/>
      <c r="J32" s="80"/>
      <c r="K32" s="80"/>
      <c r="L32" s="104"/>
      <c r="N32" s="43" t="s">
        <v>36</v>
      </c>
      <c r="O32" s="25"/>
      <c r="P32" s="25"/>
      <c r="Q32" s="25"/>
      <c r="R32" s="25"/>
      <c r="S32" s="112"/>
      <c r="AF32" s="100"/>
      <c r="AK32" s="42"/>
      <c r="AL32" s="42"/>
      <c r="AM32" s="42"/>
      <c r="AN32" s="42"/>
    </row>
    <row r="33" spans="1:40" ht="15" customHeight="1" thickBot="1" x14ac:dyDescent="0.25">
      <c r="A33" s="36" t="s">
        <v>45</v>
      </c>
      <c r="B33" s="123"/>
      <c r="C33" s="33"/>
      <c r="D33" s="105"/>
      <c r="E33" s="492"/>
      <c r="G33" s="19"/>
      <c r="H33" s="19"/>
      <c r="I33" s="19"/>
      <c r="J33" s="19"/>
      <c r="K33" s="19"/>
      <c r="L33" s="19"/>
      <c r="N33" s="43" t="s">
        <v>39</v>
      </c>
      <c r="O33" s="25"/>
      <c r="P33" s="25"/>
      <c r="Q33" s="25"/>
      <c r="R33" s="25"/>
      <c r="S33" s="497">
        <v>0</v>
      </c>
      <c r="AK33" s="42"/>
      <c r="AL33" s="42"/>
      <c r="AM33" s="42"/>
      <c r="AN33" s="42"/>
    </row>
    <row r="34" spans="1:40" ht="15" customHeight="1" x14ac:dyDescent="0.2">
      <c r="A34" s="491" t="s">
        <v>47</v>
      </c>
      <c r="B34" s="25"/>
      <c r="C34" s="493">
        <v>0.02</v>
      </c>
      <c r="D34" s="25"/>
      <c r="E34" s="134"/>
      <c r="G34" s="667" t="s">
        <v>62</v>
      </c>
      <c r="H34" s="668"/>
      <c r="I34" s="650"/>
      <c r="J34" s="105"/>
      <c r="K34" s="105"/>
      <c r="L34" s="492"/>
      <c r="N34" s="76" t="s">
        <v>42</v>
      </c>
      <c r="O34" s="25"/>
      <c r="P34" s="44"/>
      <c r="Q34" s="131">
        <f>+L42</f>
        <v>1.4999999999999999E-2</v>
      </c>
      <c r="R34" s="25"/>
      <c r="S34" s="112">
        <f>+Q34*tranche1amt</f>
        <v>1913.0502023890722</v>
      </c>
      <c r="T34" s="142"/>
      <c r="AK34" s="42"/>
      <c r="AL34" s="42"/>
      <c r="AM34" s="42"/>
      <c r="AN34" s="42"/>
    </row>
    <row r="35" spans="1:40" ht="15" customHeight="1" x14ac:dyDescent="0.2">
      <c r="A35" s="491"/>
      <c r="B35" s="25"/>
      <c r="C35" s="135">
        <v>1999</v>
      </c>
      <c r="D35" s="25"/>
      <c r="E35" s="136" t="s">
        <v>49</v>
      </c>
      <c r="G35" s="669" t="s">
        <v>48</v>
      </c>
      <c r="H35" s="663"/>
      <c r="I35" s="226"/>
      <c r="J35" s="226"/>
      <c r="K35" s="226"/>
      <c r="L35" s="670">
        <f>(tranche1cost*tranche1amt+tranche2cost*tranche2amt+tranche3cost*tranche3amt)/estdebt</f>
        <v>9.4999782735339808E-2</v>
      </c>
      <c r="N35" s="76" t="s">
        <v>44</v>
      </c>
      <c r="O35" s="44"/>
      <c r="P35" s="44"/>
      <c r="Q35" s="131">
        <f>+L51</f>
        <v>1.7500000000000002E-2</v>
      </c>
      <c r="R35" s="25"/>
      <c r="S35" s="112">
        <f>+Q35*tranche2amt</f>
        <v>0</v>
      </c>
      <c r="AK35" s="42"/>
      <c r="AL35" s="42"/>
      <c r="AM35" s="42"/>
      <c r="AN35" s="42"/>
    </row>
    <row r="36" spans="1:40" ht="15" customHeight="1" x14ac:dyDescent="0.2">
      <c r="A36" s="491" t="s">
        <v>51</v>
      </c>
      <c r="B36" s="25"/>
      <c r="C36" s="755">
        <v>6500</v>
      </c>
      <c r="D36" s="25"/>
      <c r="E36" s="494">
        <f>+cpi</f>
        <v>0.02</v>
      </c>
      <c r="G36" s="671" t="s">
        <v>50</v>
      </c>
      <c r="H36" s="664"/>
      <c r="I36" s="664"/>
      <c r="J36" s="664"/>
      <c r="K36" s="664"/>
      <c r="L36" s="672"/>
      <c r="N36" s="76" t="s">
        <v>46</v>
      </c>
      <c r="O36" s="44"/>
      <c r="P36" s="44"/>
      <c r="Q36" s="131">
        <f>+L60</f>
        <v>0</v>
      </c>
      <c r="R36" s="25"/>
      <c r="S36" s="112">
        <f>+Q36*tranche3amt</f>
        <v>0</v>
      </c>
      <c r="T36" s="149"/>
      <c r="AK36" s="42"/>
      <c r="AL36" s="42"/>
      <c r="AM36" s="42"/>
      <c r="AN36" s="42"/>
    </row>
    <row r="37" spans="1:40" ht="15" customHeight="1" x14ac:dyDescent="0.2">
      <c r="A37" s="491" t="s">
        <v>209</v>
      </c>
      <c r="B37" s="25"/>
      <c r="C37" s="755">
        <f>2000*0.68</f>
        <v>1360</v>
      </c>
      <c r="D37" s="25"/>
      <c r="E37" s="494">
        <f>+cpi</f>
        <v>0.02</v>
      </c>
      <c r="G37" s="673" t="s">
        <v>57</v>
      </c>
      <c r="H37" s="44" t="s">
        <v>58</v>
      </c>
      <c r="I37" s="25"/>
      <c r="J37" s="25"/>
      <c r="K37" s="25"/>
      <c r="L37" s="662">
        <v>2</v>
      </c>
      <c r="N37" s="76" t="s">
        <v>216</v>
      </c>
      <c r="O37" s="25"/>
      <c r="P37" s="25"/>
      <c r="Q37" s="25"/>
      <c r="R37" s="25"/>
      <c r="S37" s="115">
        <f>+Y9</f>
        <v>965.04184616640748</v>
      </c>
      <c r="AK37" s="42"/>
      <c r="AL37" s="42"/>
      <c r="AM37" s="42"/>
      <c r="AN37" s="42"/>
    </row>
    <row r="38" spans="1:40" ht="15" customHeight="1" x14ac:dyDescent="0.2">
      <c r="A38" s="491" t="s">
        <v>357</v>
      </c>
      <c r="B38" s="25"/>
      <c r="C38" s="755">
        <v>1500</v>
      </c>
      <c r="D38" s="25"/>
      <c r="E38" s="495">
        <f t="shared" ref="E38:E44" si="1">+cpi</f>
        <v>0.02</v>
      </c>
      <c r="G38" s="674">
        <v>1</v>
      </c>
      <c r="H38" s="199" t="s">
        <v>59</v>
      </c>
      <c r="I38" s="25"/>
      <c r="J38" s="25"/>
      <c r="K38" s="44"/>
      <c r="L38" s="62">
        <f>+G44*2-L37</f>
        <v>22</v>
      </c>
      <c r="N38" s="76" t="s">
        <v>371</v>
      </c>
      <c r="O38" s="25"/>
      <c r="P38" s="25"/>
      <c r="Q38" s="25"/>
      <c r="R38" s="25"/>
      <c r="S38" s="115">
        <f>+S37*$L$14</f>
        <v>61.598415712749407</v>
      </c>
      <c r="AK38" s="42"/>
      <c r="AL38" s="42"/>
      <c r="AM38" s="42"/>
      <c r="AN38" s="42"/>
    </row>
    <row r="39" spans="1:40" ht="15" customHeight="1" x14ac:dyDescent="0.2">
      <c r="A39" s="491" t="s">
        <v>15</v>
      </c>
      <c r="B39" s="25"/>
      <c r="C39" s="755">
        <v>0</v>
      </c>
      <c r="D39" s="25"/>
      <c r="E39" s="495">
        <f t="shared" si="1"/>
        <v>0.02</v>
      </c>
      <c r="G39" s="675"/>
      <c r="H39" s="199" t="s">
        <v>256</v>
      </c>
      <c r="I39" s="25"/>
      <c r="J39" s="25"/>
      <c r="K39" s="25"/>
      <c r="L39" s="662">
        <v>0</v>
      </c>
      <c r="N39" s="43" t="s">
        <v>53</v>
      </c>
      <c r="O39" s="25"/>
      <c r="P39" s="25"/>
      <c r="Q39" s="25"/>
      <c r="R39" s="25"/>
      <c r="S39" s="496">
        <f>0.02*S16</f>
        <v>2437.8000000000002</v>
      </c>
      <c r="W39" s="25"/>
      <c r="X39" s="25"/>
      <c r="Y39" s="25"/>
      <c r="Z39" s="25"/>
      <c r="AA39" s="25"/>
      <c r="AK39" s="42"/>
      <c r="AL39" s="42"/>
      <c r="AM39" s="42"/>
      <c r="AN39" s="42"/>
    </row>
    <row r="40" spans="1:40" ht="15" customHeight="1" x14ac:dyDescent="0.2">
      <c r="A40" s="491" t="s">
        <v>15</v>
      </c>
      <c r="B40" s="25"/>
      <c r="C40" s="755">
        <v>0</v>
      </c>
      <c r="D40" s="25"/>
      <c r="E40" s="495">
        <f t="shared" si="1"/>
        <v>0.02</v>
      </c>
      <c r="G40" s="676" t="s">
        <v>27</v>
      </c>
      <c r="H40" s="183"/>
      <c r="I40" s="25"/>
      <c r="J40" s="25"/>
      <c r="K40" s="25"/>
      <c r="L40" s="677"/>
      <c r="N40" s="518"/>
      <c r="O40" s="512" t="s">
        <v>56</v>
      </c>
      <c r="P40" s="509"/>
      <c r="Q40" s="509"/>
      <c r="R40" s="509"/>
      <c r="S40" s="519">
        <f>SUM(S30:S39)</f>
        <v>23693.139662579943</v>
      </c>
      <c r="T40" s="145"/>
      <c r="W40" s="25"/>
      <c r="X40" s="25"/>
      <c r="Y40" s="25"/>
      <c r="Z40" s="25"/>
      <c r="AA40" s="25"/>
      <c r="AK40" s="42"/>
      <c r="AL40" s="42"/>
      <c r="AM40" s="42"/>
      <c r="AN40" s="42"/>
    </row>
    <row r="41" spans="1:40" ht="15" customHeight="1" x14ac:dyDescent="0.2">
      <c r="A41" s="491" t="s">
        <v>15</v>
      </c>
      <c r="B41" s="25"/>
      <c r="C41" s="755">
        <v>0</v>
      </c>
      <c r="D41" s="25"/>
      <c r="E41" s="495">
        <f t="shared" si="1"/>
        <v>0.02</v>
      </c>
      <c r="G41" s="678">
        <f>+S6*G38</f>
        <v>127536.68015927149</v>
      </c>
      <c r="H41" s="25"/>
      <c r="I41" s="25"/>
      <c r="J41" s="25"/>
      <c r="K41" s="25"/>
      <c r="L41" s="134"/>
      <c r="N41" s="43"/>
      <c r="O41" s="25"/>
      <c r="P41" s="25"/>
      <c r="Q41" s="25"/>
      <c r="R41" s="25"/>
      <c r="S41" s="112"/>
      <c r="W41" s="25"/>
      <c r="X41" s="25"/>
      <c r="Y41" s="25"/>
      <c r="Z41" s="25"/>
      <c r="AA41" s="25"/>
      <c r="AL41" s="42"/>
      <c r="AM41" s="42"/>
      <c r="AN41" s="42"/>
    </row>
    <row r="42" spans="1:40" ht="15" customHeight="1" x14ac:dyDescent="0.2">
      <c r="A42" s="491" t="s">
        <v>15</v>
      </c>
      <c r="B42" s="25"/>
      <c r="C42" s="755">
        <v>0</v>
      </c>
      <c r="D42" s="25"/>
      <c r="E42" s="495">
        <f t="shared" si="1"/>
        <v>0.02</v>
      </c>
      <c r="G42" s="675"/>
      <c r="H42" s="25" t="s">
        <v>55</v>
      </c>
      <c r="I42" s="25"/>
      <c r="J42" s="25"/>
      <c r="K42" s="25"/>
      <c r="L42" s="679">
        <v>1.4999999999999999E-2</v>
      </c>
      <c r="N42" s="43" t="s">
        <v>60</v>
      </c>
      <c r="O42" s="44"/>
      <c r="P42" s="44"/>
      <c r="Q42" s="44"/>
      <c r="R42" s="44"/>
      <c r="S42" s="497">
        <v>2500</v>
      </c>
      <c r="W42" s="25"/>
      <c r="X42" s="25"/>
      <c r="Y42" s="25"/>
      <c r="Z42" s="25"/>
      <c r="AA42" s="25"/>
      <c r="AK42" s="148"/>
      <c r="AL42" s="148"/>
      <c r="AM42" s="148"/>
    </row>
    <row r="43" spans="1:40" ht="15" customHeight="1" x14ac:dyDescent="0.2">
      <c r="A43" s="491" t="s">
        <v>15</v>
      </c>
      <c r="B43" s="25"/>
      <c r="C43" s="755">
        <v>0</v>
      </c>
      <c r="D43" s="25"/>
      <c r="E43" s="495">
        <f t="shared" si="1"/>
        <v>0.02</v>
      </c>
      <c r="G43" s="680" t="s">
        <v>52</v>
      </c>
      <c r="H43" s="44" t="s">
        <v>250</v>
      </c>
      <c r="I43" s="25"/>
      <c r="J43" s="25"/>
      <c r="K43" s="25"/>
      <c r="L43" s="681">
        <v>5.0000000000000001E-3</v>
      </c>
      <c r="N43" s="43" t="s">
        <v>61</v>
      </c>
      <c r="O43" s="44"/>
      <c r="P43" s="44"/>
      <c r="Q43" s="25"/>
      <c r="R43" s="493">
        <v>0</v>
      </c>
      <c r="S43" s="107">
        <f>+S42*R43*IDC!AL5/12</f>
        <v>0</v>
      </c>
      <c r="U43" s="149"/>
      <c r="AK43" s="148"/>
      <c r="AL43" s="148"/>
      <c r="AM43" s="148"/>
    </row>
    <row r="44" spans="1:40" ht="15" customHeight="1" x14ac:dyDescent="0.2">
      <c r="A44" s="764" t="s">
        <v>15</v>
      </c>
      <c r="B44" s="38"/>
      <c r="C44" s="763">
        <v>0</v>
      </c>
      <c r="D44" s="38"/>
      <c r="E44" s="765">
        <f t="shared" si="1"/>
        <v>0.02</v>
      </c>
      <c r="G44" s="682">
        <v>12</v>
      </c>
      <c r="H44" s="665" t="s">
        <v>255</v>
      </c>
      <c r="I44" s="663"/>
      <c r="J44" s="666">
        <v>0.06</v>
      </c>
      <c r="K44" s="666">
        <v>3.5000000000000003E-2</v>
      </c>
      <c r="L44" s="683">
        <f>+K44+J44</f>
        <v>9.5000000000000001E-2</v>
      </c>
      <c r="N44" s="520"/>
      <c r="O44" s="512" t="s">
        <v>64</v>
      </c>
      <c r="P44" s="413"/>
      <c r="Q44" s="413"/>
      <c r="R44" s="413"/>
      <c r="S44" s="521">
        <f>+S43+S42</f>
        <v>2500</v>
      </c>
      <c r="U44" s="149"/>
    </row>
    <row r="45" spans="1:40" ht="15" customHeight="1" x14ac:dyDescent="0.2">
      <c r="A45" s="491" t="s">
        <v>279</v>
      </c>
      <c r="B45" s="25"/>
      <c r="C45" s="194">
        <f>+SUM(C36:C44)</f>
        <v>9360</v>
      </c>
      <c r="D45" s="25"/>
      <c r="E45" s="134"/>
      <c r="G45" s="671" t="s">
        <v>63</v>
      </c>
      <c r="H45" s="664"/>
      <c r="I45" s="664"/>
      <c r="J45" s="664"/>
      <c r="K45" s="664"/>
      <c r="L45" s="672"/>
      <c r="N45" s="61"/>
      <c r="O45" s="44"/>
      <c r="P45" s="44"/>
      <c r="Q45" s="44"/>
      <c r="R45" s="44"/>
      <c r="S45" s="62"/>
      <c r="U45" s="66"/>
    </row>
    <row r="46" spans="1:40" ht="15" customHeight="1" thickBot="1" x14ac:dyDescent="0.25">
      <c r="A46" s="101"/>
      <c r="B46" s="80"/>
      <c r="C46" s="80"/>
      <c r="D46" s="80"/>
      <c r="E46" s="104"/>
      <c r="G46" s="673" t="s">
        <v>57</v>
      </c>
      <c r="H46" s="44" t="s">
        <v>58</v>
      </c>
      <c r="I46" s="25"/>
      <c r="J46" s="25"/>
      <c r="K46" s="25"/>
      <c r="L46" s="662">
        <v>1</v>
      </c>
      <c r="M46" s="25"/>
      <c r="N46" s="61" t="s">
        <v>65</v>
      </c>
      <c r="O46" s="44"/>
      <c r="P46" s="44"/>
      <c r="Q46" s="44"/>
      <c r="R46" s="44"/>
      <c r="S46" s="497">
        <v>0</v>
      </c>
      <c r="T46" s="149"/>
    </row>
    <row r="47" spans="1:40" ht="15" customHeight="1" thickBot="1" x14ac:dyDescent="0.25">
      <c r="A47" s="19"/>
      <c r="B47" s="19"/>
      <c r="C47" s="147"/>
      <c r="D47" s="19"/>
      <c r="E47" s="19"/>
      <c r="G47" s="674">
        <v>0</v>
      </c>
      <c r="H47" s="199" t="s">
        <v>59</v>
      </c>
      <c r="I47" s="25"/>
      <c r="J47" s="25"/>
      <c r="K47" s="44"/>
      <c r="L47" s="62">
        <f>+G53*2-L46</f>
        <v>14</v>
      </c>
      <c r="N47" s="893" t="s">
        <v>384</v>
      </c>
      <c r="O47" s="44"/>
      <c r="P47" s="44"/>
      <c r="Q47" s="44"/>
      <c r="R47" s="44"/>
      <c r="S47" s="497">
        <f>+S46*$L$6</f>
        <v>0</v>
      </c>
      <c r="T47" s="19"/>
      <c r="U47" s="149"/>
    </row>
    <row r="48" spans="1:40" ht="15" customHeight="1" x14ac:dyDescent="0.2">
      <c r="A48" s="30" t="s">
        <v>70</v>
      </c>
      <c r="B48" s="33"/>
      <c r="C48" s="33"/>
      <c r="D48" s="34"/>
      <c r="E48" s="32"/>
      <c r="F48" s="19"/>
      <c r="G48" s="675"/>
      <c r="H48" s="199" t="s">
        <v>256</v>
      </c>
      <c r="I48" s="25"/>
      <c r="J48" s="25"/>
      <c r="K48" s="25"/>
      <c r="L48" s="662">
        <v>1</v>
      </c>
      <c r="N48" s="894" t="s">
        <v>386</v>
      </c>
      <c r="O48" s="44"/>
      <c r="P48" s="44"/>
      <c r="Q48" s="44"/>
      <c r="R48" s="44"/>
      <c r="S48" s="497">
        <f>+S46*$L$7</f>
        <v>0</v>
      </c>
      <c r="T48" s="647"/>
    </row>
    <row r="49" spans="1:28" ht="15" customHeight="1" x14ac:dyDescent="0.2">
      <c r="A49" s="76" t="s">
        <v>314</v>
      </c>
      <c r="B49" s="25"/>
      <c r="C49" s="25"/>
      <c r="D49" s="150"/>
      <c r="E49" s="662">
        <v>1</v>
      </c>
      <c r="G49" s="676" t="s">
        <v>27</v>
      </c>
      <c r="H49" s="183"/>
      <c r="I49" s="25"/>
      <c r="J49" s="25"/>
      <c r="K49" s="25"/>
      <c r="L49" s="677"/>
      <c r="N49" s="61" t="s">
        <v>66</v>
      </c>
      <c r="O49" s="44"/>
      <c r="P49" s="44"/>
      <c r="Q49" s="44"/>
      <c r="R49" s="44"/>
      <c r="S49" s="497">
        <v>0</v>
      </c>
    </row>
    <row r="50" spans="1:28" ht="15" customHeight="1" x14ac:dyDescent="0.2">
      <c r="A50" s="52" t="s">
        <v>73</v>
      </c>
      <c r="B50" s="25"/>
      <c r="C50" s="25"/>
      <c r="D50" s="25"/>
      <c r="E50" s="152">
        <f>+codate</f>
        <v>37622</v>
      </c>
      <c r="G50" s="678">
        <f>+S6*G47</f>
        <v>0</v>
      </c>
      <c r="H50" s="25"/>
      <c r="I50" s="25"/>
      <c r="J50" s="25"/>
      <c r="K50" s="25"/>
      <c r="L50" s="134"/>
      <c r="M50" s="19"/>
      <c r="N50" s="61" t="s">
        <v>388</v>
      </c>
      <c r="O50" s="44"/>
      <c r="P50" s="44"/>
      <c r="Q50" s="44"/>
      <c r="R50" s="44"/>
      <c r="S50" s="497">
        <f>+L19</f>
        <v>25</v>
      </c>
    </row>
    <row r="51" spans="1:28" ht="15" customHeight="1" thickBot="1" x14ac:dyDescent="0.25">
      <c r="A51" s="114"/>
      <c r="B51" s="64"/>
      <c r="C51" s="64"/>
      <c r="D51" s="64"/>
      <c r="E51" s="146"/>
      <c r="G51" s="675"/>
      <c r="H51" s="25" t="s">
        <v>55</v>
      </c>
      <c r="I51" s="25"/>
      <c r="J51" s="25"/>
      <c r="K51" s="25"/>
      <c r="L51" s="679">
        <v>1.7500000000000002E-2</v>
      </c>
      <c r="M51" s="19"/>
      <c r="N51" s="43" t="s">
        <v>67</v>
      </c>
      <c r="O51" s="44"/>
      <c r="P51" s="44"/>
      <c r="Q51" s="44"/>
      <c r="R51" s="44"/>
      <c r="S51" s="497">
        <v>3000</v>
      </c>
    </row>
    <row r="52" spans="1:28" ht="15" customHeight="1" x14ac:dyDescent="0.2">
      <c r="G52" s="680" t="s">
        <v>52</v>
      </c>
      <c r="H52" s="44" t="s">
        <v>250</v>
      </c>
      <c r="I52" s="25"/>
      <c r="J52" s="25"/>
      <c r="K52" s="25"/>
      <c r="L52" s="681">
        <v>5.0000000000000001E-3</v>
      </c>
      <c r="M52" s="19"/>
      <c r="N52" s="43" t="s">
        <v>68</v>
      </c>
      <c r="O52" s="25"/>
      <c r="P52" s="44"/>
      <c r="Q52" s="500">
        <v>1.5</v>
      </c>
      <c r="R52" s="25" t="s">
        <v>69</v>
      </c>
      <c r="S52" s="107">
        <f>+CF!E36/CF!E6*Q52</f>
        <v>1266.4456272</v>
      </c>
    </row>
    <row r="53" spans="1:28" s="164" customFormat="1" ht="15" customHeight="1" x14ac:dyDescent="0.25">
      <c r="A53" s="3"/>
      <c r="B53" s="3"/>
      <c r="C53" s="3"/>
      <c r="D53" s="3"/>
      <c r="E53" s="3"/>
      <c r="F53" s="3"/>
      <c r="G53" s="682">
        <v>7.5</v>
      </c>
      <c r="H53" s="665" t="s">
        <v>255</v>
      </c>
      <c r="I53" s="663"/>
      <c r="J53" s="666">
        <v>0</v>
      </c>
      <c r="K53" s="666">
        <v>0</v>
      </c>
      <c r="L53" s="683">
        <f>+K53+J53</f>
        <v>0</v>
      </c>
      <c r="M53" s="19"/>
      <c r="N53" s="518"/>
      <c r="O53" s="508" t="s">
        <v>72</v>
      </c>
      <c r="P53" s="508"/>
      <c r="Q53" s="508"/>
      <c r="R53" s="508"/>
      <c r="S53" s="519">
        <f>SUM(S46:S52)</f>
        <v>4291.4456271999998</v>
      </c>
      <c r="X53" s="165"/>
    </row>
    <row r="54" spans="1:28" ht="15" customHeight="1" x14ac:dyDescent="0.25">
      <c r="G54" s="671" t="s">
        <v>71</v>
      </c>
      <c r="H54" s="664"/>
      <c r="I54" s="664"/>
      <c r="J54" s="664"/>
      <c r="K54" s="664"/>
      <c r="L54" s="672"/>
      <c r="M54" s="19"/>
      <c r="N54" s="43"/>
      <c r="O54" s="25"/>
      <c r="P54" s="25"/>
      <c r="Q54" s="25"/>
      <c r="R54" s="25"/>
      <c r="S54" s="134"/>
      <c r="X54" s="166"/>
    </row>
    <row r="55" spans="1:28" ht="15" customHeight="1" x14ac:dyDescent="0.2">
      <c r="G55" s="673" t="s">
        <v>57</v>
      </c>
      <c r="H55" s="44" t="s">
        <v>58</v>
      </c>
      <c r="I55" s="25"/>
      <c r="J55" s="25"/>
      <c r="K55" s="25"/>
      <c r="L55" s="662">
        <v>0</v>
      </c>
      <c r="M55" s="19"/>
      <c r="N55" s="76" t="s">
        <v>218</v>
      </c>
      <c r="O55" s="44"/>
      <c r="P55" s="25"/>
      <c r="Q55" s="25"/>
      <c r="R55" s="493">
        <v>0.05</v>
      </c>
      <c r="S55" s="154">
        <f>+(S53+S40+S44)*R55</f>
        <v>1524.2292644889972</v>
      </c>
    </row>
    <row r="56" spans="1:28" ht="15" customHeight="1" x14ac:dyDescent="0.2">
      <c r="G56" s="674">
        <v>0</v>
      </c>
      <c r="H56" s="199" t="s">
        <v>59</v>
      </c>
      <c r="I56" s="25"/>
      <c r="J56" s="25"/>
      <c r="K56" s="44"/>
      <c r="L56" s="62">
        <f>+tranche3term*2-tranche3grace</f>
        <v>0</v>
      </c>
      <c r="M56" s="19"/>
      <c r="N56" s="516" t="s">
        <v>229</v>
      </c>
      <c r="O56" s="510"/>
      <c r="P56" s="511"/>
      <c r="Q56" s="511"/>
      <c r="R56" s="511"/>
      <c r="S56" s="517">
        <f>+S55+S53+S44+S40</f>
        <v>32008.814554268938</v>
      </c>
    </row>
    <row r="57" spans="1:28" ht="15" customHeight="1" x14ac:dyDescent="0.25">
      <c r="B57" s="29"/>
      <c r="C57" s="29"/>
      <c r="D57" s="29"/>
      <c r="E57" s="29"/>
      <c r="F57" s="29"/>
      <c r="G57" s="675"/>
      <c r="H57" s="199" t="s">
        <v>256</v>
      </c>
      <c r="I57" s="25"/>
      <c r="J57" s="25"/>
      <c r="K57" s="25"/>
      <c r="L57" s="662">
        <v>0</v>
      </c>
      <c r="M57" s="19"/>
      <c r="N57" s="43"/>
      <c r="O57" s="25"/>
      <c r="P57" s="25"/>
      <c r="Q57" s="25"/>
      <c r="R57" s="25"/>
      <c r="S57" s="134"/>
      <c r="V57" s="11"/>
      <c r="W57" s="11"/>
      <c r="X57" s="11"/>
      <c r="Y57" s="11"/>
      <c r="Z57" s="11"/>
      <c r="AA57" s="11"/>
    </row>
    <row r="58" spans="1:28" ht="15" customHeight="1" thickBot="1" x14ac:dyDescent="0.3">
      <c r="B58" s="148"/>
      <c r="C58" s="148"/>
      <c r="D58" s="148"/>
      <c r="E58" s="148"/>
      <c r="F58" s="148"/>
      <c r="G58" s="676" t="s">
        <v>27</v>
      </c>
      <c r="H58" s="183"/>
      <c r="I58" s="25"/>
      <c r="J58" s="25"/>
      <c r="K58" s="25"/>
      <c r="L58" s="677"/>
      <c r="N58" s="513" t="s">
        <v>74</v>
      </c>
      <c r="O58" s="514"/>
      <c r="P58" s="514"/>
      <c r="Q58" s="514"/>
      <c r="R58" s="514"/>
      <c r="S58" s="515">
        <f>(+S55+S53+S40+S28+S44)</f>
        <v>170049.23955426895</v>
      </c>
      <c r="V58" s="11"/>
      <c r="W58" s="11"/>
      <c r="X58" s="11"/>
      <c r="Y58" s="11"/>
      <c r="Z58" s="11"/>
      <c r="AA58" s="11"/>
    </row>
    <row r="59" spans="1:28" ht="15" customHeight="1" x14ac:dyDescent="0.25">
      <c r="B59" s="148"/>
      <c r="C59" s="148"/>
      <c r="D59" s="148"/>
      <c r="E59" s="148"/>
      <c r="F59" s="148"/>
      <c r="G59" s="678">
        <f>+G56*S6</f>
        <v>0</v>
      </c>
      <c r="H59" s="25"/>
      <c r="I59" s="25"/>
      <c r="J59" s="25"/>
      <c r="K59" s="25"/>
      <c r="L59" s="134"/>
      <c r="N59" s="19"/>
      <c r="O59" s="19"/>
      <c r="P59" s="19"/>
      <c r="Q59" s="19"/>
      <c r="R59" s="19"/>
      <c r="S59" s="19"/>
      <c r="T59" s="25"/>
      <c r="U59" s="25"/>
      <c r="V59" s="170"/>
      <c r="W59" s="11"/>
      <c r="X59" s="11"/>
      <c r="Y59" s="11"/>
      <c r="Z59" s="11"/>
      <c r="AA59" s="171"/>
    </row>
    <row r="60" spans="1:28" ht="15" customHeight="1" x14ac:dyDescent="0.25">
      <c r="B60" s="29"/>
      <c r="C60" s="29"/>
      <c r="D60" s="29"/>
      <c r="E60" s="29"/>
      <c r="F60" s="148"/>
      <c r="G60" s="675"/>
      <c r="H60" s="25" t="s">
        <v>55</v>
      </c>
      <c r="I60" s="25"/>
      <c r="J60" s="25"/>
      <c r="K60" s="25"/>
      <c r="L60" s="679">
        <v>0</v>
      </c>
      <c r="N60" s="19"/>
      <c r="O60" s="19"/>
      <c r="P60" s="19"/>
      <c r="Q60" s="19"/>
      <c r="R60" s="19"/>
      <c r="S60" s="19"/>
      <c r="T60" s="25"/>
      <c r="U60" s="25"/>
      <c r="V60" s="176"/>
      <c r="W60" s="11"/>
      <c r="X60" s="11"/>
      <c r="Y60" s="11"/>
      <c r="Z60" s="11"/>
      <c r="AA60" s="177"/>
    </row>
    <row r="61" spans="1:28" ht="15" customHeight="1" x14ac:dyDescent="0.25">
      <c r="B61" s="148"/>
      <c r="C61" s="148"/>
      <c r="D61" s="148"/>
      <c r="E61" s="148"/>
      <c r="F61" s="148"/>
      <c r="G61" s="680" t="s">
        <v>52</v>
      </c>
      <c r="H61" s="44" t="s">
        <v>250</v>
      </c>
      <c r="I61" s="25"/>
      <c r="J61" s="25"/>
      <c r="K61" s="25"/>
      <c r="L61" s="681">
        <v>5.0000000000000001E-3</v>
      </c>
      <c r="N61" s="19"/>
      <c r="O61" s="19"/>
      <c r="P61" s="19"/>
      <c r="Q61" s="19"/>
      <c r="R61" s="19"/>
      <c r="S61" s="19"/>
      <c r="T61" s="25"/>
      <c r="U61" s="25"/>
      <c r="V61" s="176"/>
      <c r="W61" s="11"/>
      <c r="X61" s="11"/>
      <c r="Y61" s="11"/>
      <c r="Z61" s="11"/>
      <c r="AA61" s="177"/>
    </row>
    <row r="62" spans="1:28" ht="15" customHeight="1" thickBot="1" x14ac:dyDescent="0.6">
      <c r="B62" s="148"/>
      <c r="C62" s="148"/>
      <c r="D62" s="148"/>
      <c r="E62" s="148"/>
      <c r="G62" s="684">
        <v>0</v>
      </c>
      <c r="H62" s="685" t="s">
        <v>255</v>
      </c>
      <c r="I62" s="80"/>
      <c r="J62" s="686">
        <v>0</v>
      </c>
      <c r="K62" s="686">
        <v>0</v>
      </c>
      <c r="L62" s="143">
        <f>+K62+J62</f>
        <v>0</v>
      </c>
      <c r="N62" s="19"/>
      <c r="O62" s="19"/>
      <c r="P62" s="19"/>
      <c r="Q62" s="19"/>
      <c r="R62" s="19"/>
      <c r="S62" s="19"/>
      <c r="T62" s="25"/>
      <c r="U62" s="25"/>
      <c r="V62" s="176"/>
      <c r="W62" s="11"/>
      <c r="X62" s="11"/>
      <c r="Y62" s="11"/>
      <c r="Z62" s="11"/>
      <c r="AA62" s="178"/>
      <c r="AB62" s="149"/>
    </row>
    <row r="63" spans="1:28" ht="15" customHeight="1" x14ac:dyDescent="0.25">
      <c r="B63" s="148"/>
      <c r="C63" s="148"/>
      <c r="D63" s="148"/>
      <c r="E63" s="148"/>
      <c r="N63" s="19"/>
      <c r="O63" s="19"/>
      <c r="P63" s="19"/>
      <c r="Q63" s="19"/>
      <c r="R63" s="19"/>
      <c r="S63" s="19"/>
      <c r="T63" s="25"/>
      <c r="U63" s="25"/>
      <c r="V63" s="176"/>
      <c r="W63" s="11"/>
      <c r="X63" s="11"/>
      <c r="Y63" s="11"/>
      <c r="Z63" s="11"/>
      <c r="AA63" s="181"/>
    </row>
    <row r="64" spans="1:28" ht="15.75" x14ac:dyDescent="0.25">
      <c r="B64" s="148"/>
      <c r="C64" s="148"/>
      <c r="D64" s="148"/>
      <c r="E64" s="148"/>
      <c r="N64" s="19"/>
      <c r="O64" s="19"/>
      <c r="P64" s="19"/>
      <c r="Q64" s="19"/>
      <c r="R64" s="19"/>
      <c r="S64" s="19"/>
      <c r="T64" s="25"/>
      <c r="U64" s="25"/>
      <c r="V64" s="176"/>
      <c r="W64" s="11"/>
      <c r="X64" s="11"/>
      <c r="Y64" s="11"/>
      <c r="Z64" s="11"/>
      <c r="AA64" s="11"/>
    </row>
    <row r="65" spans="1:27" ht="15.75" x14ac:dyDescent="0.25">
      <c r="A65" s="186"/>
      <c r="N65" s="19"/>
      <c r="O65" s="19"/>
      <c r="P65" s="19"/>
      <c r="Q65" s="19"/>
      <c r="R65" s="19"/>
      <c r="S65" s="19"/>
      <c r="T65" s="25"/>
      <c r="U65" s="25"/>
      <c r="V65" s="176"/>
      <c r="W65" s="11"/>
      <c r="X65" s="11"/>
      <c r="Y65" s="11"/>
      <c r="Z65" s="11"/>
      <c r="AA65" s="11"/>
    </row>
    <row r="66" spans="1:27" ht="15.75" x14ac:dyDescent="0.25">
      <c r="M66" s="19"/>
      <c r="N66" s="19"/>
      <c r="O66" s="19"/>
      <c r="P66" s="19"/>
      <c r="Q66" s="19"/>
      <c r="R66" s="19"/>
      <c r="S66" s="19"/>
      <c r="T66" s="25"/>
      <c r="U66" s="25"/>
      <c r="V66" s="176"/>
      <c r="W66" s="11"/>
      <c r="X66" s="11"/>
      <c r="Y66" s="11"/>
      <c r="Z66" s="11"/>
      <c r="AA66" s="11"/>
    </row>
    <row r="67" spans="1:27" ht="15.75" x14ac:dyDescent="0.25">
      <c r="F67" s="189"/>
      <c r="M67" s="19"/>
      <c r="N67" s="19"/>
      <c r="O67" s="19"/>
      <c r="P67" s="19"/>
      <c r="Q67" s="19"/>
      <c r="R67" s="19"/>
      <c r="S67" s="19"/>
      <c r="T67" s="25"/>
      <c r="U67" s="25"/>
      <c r="V67" s="176"/>
      <c r="W67" s="11"/>
      <c r="X67" s="11"/>
      <c r="Y67" s="11"/>
      <c r="Z67" s="11"/>
      <c r="AA67" s="177"/>
    </row>
    <row r="68" spans="1:27" ht="15.75" x14ac:dyDescent="0.25">
      <c r="M68" s="19"/>
      <c r="N68" s="19"/>
      <c r="O68" s="19"/>
      <c r="P68" s="19"/>
      <c r="Q68" s="19"/>
      <c r="R68" s="19"/>
      <c r="S68" s="19"/>
      <c r="T68" s="25"/>
      <c r="U68" s="25"/>
      <c r="V68" s="176"/>
      <c r="W68" s="11"/>
      <c r="X68" s="11"/>
      <c r="Y68" s="11"/>
      <c r="Z68" s="11"/>
      <c r="AA68" s="177"/>
    </row>
    <row r="69" spans="1:27" ht="15.75" x14ac:dyDescent="0.25">
      <c r="M69" s="19"/>
      <c r="N69" s="44"/>
      <c r="O69" s="44"/>
      <c r="P69" s="44"/>
      <c r="Q69" s="44"/>
      <c r="R69" s="44"/>
      <c r="S69" s="44"/>
      <c r="T69" s="25"/>
      <c r="U69" s="25"/>
      <c r="V69" s="176"/>
      <c r="W69" s="11"/>
      <c r="X69" s="11"/>
      <c r="Y69" s="11"/>
      <c r="Z69" s="11"/>
      <c r="AA69" s="177"/>
    </row>
    <row r="70" spans="1:27" ht="15.75" x14ac:dyDescent="0.25">
      <c r="B70" s="99"/>
      <c r="C70" s="99"/>
      <c r="D70" s="99"/>
      <c r="E70" s="99"/>
      <c r="M70" s="19"/>
      <c r="N70" s="174"/>
      <c r="O70" s="25"/>
      <c r="P70" s="133"/>
      <c r="Q70" s="133"/>
      <c r="R70" s="25"/>
      <c r="S70" s="175"/>
      <c r="T70" s="25"/>
      <c r="U70" s="25"/>
      <c r="V70" s="176"/>
      <c r="AA70" s="177"/>
    </row>
    <row r="71" spans="1:27" ht="15.75" x14ac:dyDescent="0.25">
      <c r="M71" s="19"/>
      <c r="N71" s="19"/>
      <c r="O71" s="19"/>
      <c r="P71" s="19"/>
      <c r="Q71" s="19"/>
      <c r="R71" s="19"/>
      <c r="S71" s="19"/>
      <c r="T71" s="25"/>
      <c r="U71" s="25"/>
      <c r="V71" s="25"/>
      <c r="AA71" s="188"/>
    </row>
    <row r="72" spans="1:27" ht="15.75" x14ac:dyDescent="0.25">
      <c r="A72" s="190"/>
      <c r="M72" s="19"/>
      <c r="N72" s="19"/>
      <c r="O72" s="19"/>
      <c r="P72" s="19"/>
      <c r="Q72" s="19"/>
      <c r="R72" s="19"/>
      <c r="S72" s="19"/>
      <c r="T72" s="25"/>
      <c r="U72" s="25"/>
      <c r="V72" s="25"/>
      <c r="X72" s="11"/>
      <c r="AA72" s="181"/>
    </row>
    <row r="73" spans="1:27" x14ac:dyDescent="0.2">
      <c r="M73" s="44"/>
      <c r="N73" s="19"/>
      <c r="O73" s="19"/>
      <c r="P73" s="19"/>
      <c r="Q73" s="19"/>
      <c r="R73" s="19"/>
      <c r="S73" s="19"/>
      <c r="T73" s="25"/>
      <c r="U73" s="25"/>
      <c r="V73" s="25"/>
    </row>
    <row r="74" spans="1:27" x14ac:dyDescent="0.2">
      <c r="M74" s="19"/>
      <c r="N74" s="19"/>
      <c r="O74" s="19"/>
      <c r="P74" s="19"/>
      <c r="Q74" s="19"/>
      <c r="R74" s="19"/>
      <c r="S74" s="19"/>
      <c r="T74" s="25"/>
      <c r="U74" s="25"/>
      <c r="V74" s="25"/>
    </row>
    <row r="75" spans="1:27" x14ac:dyDescent="0.2">
      <c r="G75" s="155"/>
      <c r="H75" s="155"/>
      <c r="I75" s="156"/>
      <c r="J75" s="157"/>
      <c r="K75" s="155"/>
      <c r="L75" s="158"/>
      <c r="M75" s="19"/>
      <c r="N75" s="19"/>
      <c r="O75" s="19"/>
      <c r="P75" s="19"/>
      <c r="Q75" s="19"/>
      <c r="R75" s="19"/>
      <c r="S75" s="19"/>
      <c r="T75" s="25"/>
      <c r="U75" s="25"/>
      <c r="V75" s="25"/>
    </row>
    <row r="76" spans="1:27" x14ac:dyDescent="0.2">
      <c r="G76" s="155"/>
      <c r="H76" s="155"/>
      <c r="I76" s="155"/>
      <c r="J76" s="159"/>
      <c r="K76" s="156"/>
      <c r="L76" s="156"/>
      <c r="M76" s="19"/>
      <c r="N76" s="19"/>
      <c r="O76" s="19"/>
      <c r="P76" s="19"/>
      <c r="Q76" s="19"/>
      <c r="R76" s="19"/>
      <c r="S76" s="19"/>
      <c r="T76" s="25"/>
      <c r="U76" s="25"/>
      <c r="V76" s="25"/>
    </row>
    <row r="77" spans="1:27" x14ac:dyDescent="0.2">
      <c r="G77" s="155"/>
      <c r="H77" s="160"/>
      <c r="I77" s="161"/>
      <c r="J77" s="160"/>
      <c r="K77" s="162"/>
      <c r="L77" s="163"/>
      <c r="M77" s="19"/>
      <c r="N77" s="19"/>
      <c r="O77" s="19"/>
      <c r="P77" s="19"/>
      <c r="Q77" s="19"/>
      <c r="R77" s="19"/>
      <c r="S77" s="19"/>
      <c r="T77" s="25"/>
      <c r="U77" s="25"/>
      <c r="V77" s="25"/>
    </row>
    <row r="78" spans="1:27" x14ac:dyDescent="0.2">
      <c r="G78" s="19"/>
      <c r="H78" s="19"/>
      <c r="I78" s="19"/>
      <c r="J78" s="19"/>
      <c r="K78" s="19"/>
      <c r="L78" s="19"/>
      <c r="M78" s="19"/>
      <c r="P78" s="25"/>
      <c r="Q78" s="25"/>
      <c r="R78" s="25"/>
      <c r="S78" s="25"/>
      <c r="T78" s="109"/>
      <c r="U78" s="25"/>
      <c r="V78" s="25"/>
    </row>
    <row r="79" spans="1:27" x14ac:dyDescent="0.2">
      <c r="G79" s="19"/>
      <c r="H79" s="19"/>
      <c r="I79" s="19"/>
      <c r="J79" s="19"/>
      <c r="K79" s="19"/>
      <c r="L79" s="19"/>
      <c r="N79" s="75"/>
      <c r="O79" s="75"/>
      <c r="P79" s="38"/>
      <c r="Q79" s="38"/>
      <c r="R79" s="38"/>
      <c r="S79" s="25"/>
      <c r="T79" s="109"/>
      <c r="U79" s="25"/>
      <c r="V79" s="25"/>
    </row>
    <row r="80" spans="1:27" x14ac:dyDescent="0.2">
      <c r="G80" s="19"/>
      <c r="H80" s="19"/>
      <c r="I80" s="19"/>
      <c r="J80" s="19"/>
      <c r="K80" s="19"/>
      <c r="L80" s="19"/>
      <c r="P80" s="25"/>
      <c r="Q80" s="25"/>
      <c r="R80" s="25"/>
      <c r="S80" s="25"/>
      <c r="T80" s="25"/>
      <c r="U80" s="25"/>
      <c r="V80" s="25"/>
    </row>
    <row r="81" spans="7:22" x14ac:dyDescent="0.2">
      <c r="P81" s="25"/>
      <c r="Q81" s="25"/>
      <c r="R81" s="25"/>
      <c r="S81" s="25"/>
      <c r="T81" s="25"/>
      <c r="U81" s="25"/>
      <c r="V81" s="25"/>
    </row>
    <row r="82" spans="7:22" x14ac:dyDescent="0.2">
      <c r="G82" s="19"/>
      <c r="H82" s="19"/>
      <c r="I82" s="167"/>
      <c r="J82" s="19"/>
      <c r="K82" s="19"/>
      <c r="L82" s="19"/>
      <c r="P82" s="25"/>
      <c r="Q82" s="25"/>
      <c r="R82" s="25"/>
      <c r="S82" s="25"/>
      <c r="T82" s="25"/>
      <c r="U82" s="135"/>
      <c r="V82" s="25"/>
    </row>
    <row r="83" spans="7:22" x14ac:dyDescent="0.2">
      <c r="G83" s="19"/>
      <c r="H83" s="19"/>
      <c r="I83" s="147"/>
      <c r="J83" s="19"/>
      <c r="K83" s="19"/>
      <c r="L83" s="19"/>
      <c r="N83" s="25"/>
      <c r="O83" s="25"/>
      <c r="P83" s="25"/>
      <c r="Q83" s="25"/>
      <c r="R83" s="25"/>
      <c r="S83" s="79"/>
      <c r="T83" s="25"/>
      <c r="U83" s="137"/>
      <c r="V83" s="25"/>
    </row>
    <row r="84" spans="7:22" x14ac:dyDescent="0.2">
      <c r="G84" s="19"/>
      <c r="H84" s="19"/>
      <c r="I84" s="19"/>
      <c r="J84" s="19"/>
      <c r="K84" s="19"/>
      <c r="L84" s="19"/>
      <c r="P84" s="25"/>
      <c r="Q84" s="25"/>
      <c r="R84" s="25"/>
      <c r="S84" s="25"/>
      <c r="T84" s="25"/>
      <c r="U84" s="191"/>
      <c r="V84" s="25"/>
    </row>
    <row r="85" spans="7:22" x14ac:dyDescent="0.2">
      <c r="G85" s="19"/>
      <c r="H85" s="19"/>
      <c r="I85" s="19"/>
      <c r="J85" s="19"/>
      <c r="K85" s="19"/>
      <c r="L85" s="19"/>
      <c r="P85" s="25"/>
      <c r="Q85" s="25"/>
      <c r="R85" s="25"/>
      <c r="S85" s="25"/>
      <c r="T85" s="25"/>
      <c r="U85" s="191"/>
      <c r="V85" s="25"/>
    </row>
    <row r="86" spans="7:22" ht="15.75" x14ac:dyDescent="0.25">
      <c r="G86" s="168"/>
      <c r="H86" s="168"/>
      <c r="I86" s="168"/>
      <c r="J86" s="169"/>
      <c r="K86" s="169"/>
      <c r="L86" s="169"/>
      <c r="P86" s="25"/>
      <c r="Q86" s="25"/>
      <c r="R86" s="25"/>
      <c r="S86" s="25"/>
      <c r="T86" s="25"/>
      <c r="U86" s="191"/>
      <c r="V86" s="25"/>
    </row>
    <row r="87" spans="7:22" ht="15.75" x14ac:dyDescent="0.25">
      <c r="G87" s="172"/>
      <c r="H87" s="172"/>
      <c r="I87" s="172"/>
      <c r="J87" s="173"/>
      <c r="K87" s="173"/>
      <c r="L87" s="173"/>
      <c r="P87" s="25"/>
      <c r="Q87" s="25"/>
      <c r="R87" s="25"/>
      <c r="S87" s="25"/>
      <c r="T87" s="25"/>
      <c r="U87" s="191"/>
      <c r="V87" s="25"/>
    </row>
    <row r="88" spans="7:22" ht="15.75" x14ac:dyDescent="0.25">
      <c r="G88" s="25"/>
      <c r="H88" s="25"/>
      <c r="I88" s="25"/>
      <c r="J88" s="25"/>
      <c r="K88" s="25"/>
      <c r="L88" s="25"/>
      <c r="P88" s="25"/>
      <c r="Q88" s="25"/>
      <c r="R88" s="176"/>
      <c r="S88" s="109"/>
      <c r="T88" s="25"/>
      <c r="U88" s="191"/>
      <c r="V88" s="25"/>
    </row>
    <row r="89" spans="7:22" x14ac:dyDescent="0.2">
      <c r="G89" s="25"/>
      <c r="H89" s="25"/>
      <c r="I89" s="25"/>
      <c r="J89" s="25"/>
      <c r="K89" s="25"/>
      <c r="L89" s="25"/>
      <c r="P89" s="25"/>
      <c r="Q89" s="25"/>
      <c r="R89" s="180"/>
      <c r="S89" s="109"/>
      <c r="T89" s="25"/>
      <c r="U89" s="192"/>
      <c r="V89" s="25"/>
    </row>
    <row r="90" spans="7:22" x14ac:dyDescent="0.2">
      <c r="G90" s="109"/>
      <c r="H90" s="25"/>
      <c r="I90" s="179"/>
      <c r="J90" s="180"/>
      <c r="K90" s="25"/>
      <c r="L90" s="25"/>
      <c r="P90" s="25"/>
      <c r="Q90" s="25"/>
      <c r="R90" s="25"/>
      <c r="S90" s="25"/>
      <c r="T90" s="25"/>
      <c r="U90" s="193"/>
      <c r="V90" s="25"/>
    </row>
    <row r="91" spans="7:22" x14ac:dyDescent="0.2">
      <c r="G91" s="182"/>
      <c r="H91" s="25"/>
      <c r="I91" s="138"/>
      <c r="J91" s="59"/>
      <c r="K91" s="139"/>
      <c r="L91" s="79"/>
      <c r="P91" s="180"/>
      <c r="Q91" s="180"/>
      <c r="R91" s="25"/>
      <c r="S91" s="25"/>
      <c r="T91" s="25"/>
      <c r="U91" s="25"/>
      <c r="V91" s="25"/>
    </row>
    <row r="92" spans="7:22" x14ac:dyDescent="0.2">
      <c r="G92" s="25"/>
      <c r="H92" s="25"/>
      <c r="I92" s="140"/>
      <c r="J92" s="25"/>
      <c r="K92" s="25"/>
      <c r="L92" s="137"/>
      <c r="P92" s="25"/>
      <c r="Q92" s="25"/>
      <c r="R92" s="25"/>
      <c r="S92" s="25"/>
      <c r="T92" s="25"/>
      <c r="U92" s="194"/>
      <c r="V92" s="25"/>
    </row>
    <row r="93" spans="7:22" x14ac:dyDescent="0.2">
      <c r="G93" s="25"/>
      <c r="H93" s="25"/>
      <c r="I93" s="25"/>
      <c r="J93" s="25"/>
      <c r="K93" s="79"/>
      <c r="L93" s="25"/>
      <c r="P93" s="139"/>
      <c r="Q93" s="139"/>
      <c r="R93" s="25"/>
      <c r="S93" s="25"/>
      <c r="T93" s="25"/>
      <c r="U93" s="191"/>
      <c r="V93" s="25"/>
    </row>
    <row r="94" spans="7:22" x14ac:dyDescent="0.2">
      <c r="G94" s="25"/>
      <c r="H94" s="153"/>
      <c r="I94" s="183"/>
      <c r="J94" s="153"/>
      <c r="K94" s="59"/>
      <c r="L94" s="184"/>
      <c r="P94" s="139"/>
      <c r="Q94" s="139"/>
      <c r="R94" s="25"/>
      <c r="S94" s="25"/>
      <c r="T94" s="25"/>
      <c r="U94" s="191"/>
      <c r="V94" s="25"/>
    </row>
    <row r="95" spans="7:22" x14ac:dyDescent="0.2">
      <c r="G95" s="25"/>
      <c r="H95" s="25"/>
      <c r="I95" s="25"/>
      <c r="J95" s="25"/>
      <c r="K95" s="25"/>
      <c r="L95" s="25"/>
      <c r="P95" s="25"/>
      <c r="Q95" s="25"/>
      <c r="R95" s="25"/>
      <c r="S95" s="25"/>
      <c r="T95" s="25"/>
      <c r="U95" s="191"/>
      <c r="V95" s="25"/>
    </row>
    <row r="96" spans="7:22" ht="15" x14ac:dyDescent="0.35">
      <c r="G96" s="109"/>
      <c r="H96" s="25"/>
      <c r="I96" s="25"/>
      <c r="J96" s="180"/>
      <c r="K96" s="25"/>
      <c r="L96" s="25"/>
      <c r="P96" s="25"/>
      <c r="Q96" s="25"/>
      <c r="R96" s="25"/>
      <c r="S96" s="25"/>
      <c r="T96" s="25"/>
      <c r="U96" s="196"/>
      <c r="V96" s="25"/>
    </row>
    <row r="97" spans="7:22" x14ac:dyDescent="0.2">
      <c r="G97" s="59"/>
      <c r="H97" s="59"/>
      <c r="I97" s="185"/>
      <c r="J97" s="59"/>
      <c r="K97" s="25"/>
      <c r="L97" s="79"/>
      <c r="P97" s="139"/>
      <c r="Q97" s="139"/>
      <c r="R97" s="25"/>
      <c r="S97" s="25"/>
      <c r="T97" s="25"/>
      <c r="U97" s="197"/>
      <c r="V97" s="25"/>
    </row>
    <row r="98" spans="7:22" x14ac:dyDescent="0.2">
      <c r="G98" s="25"/>
      <c r="H98" s="25"/>
      <c r="I98" s="153"/>
      <c r="J98" s="25"/>
      <c r="K98" s="25"/>
      <c r="L98" s="187"/>
      <c r="P98" s="25"/>
      <c r="Q98" s="25"/>
      <c r="R98" s="25"/>
      <c r="S98" s="25"/>
      <c r="T98" s="25"/>
      <c r="U98" s="25"/>
      <c r="V98" s="25"/>
    </row>
    <row r="99" spans="7:22" x14ac:dyDescent="0.2">
      <c r="G99" s="25"/>
      <c r="H99" s="153"/>
      <c r="I99" s="59"/>
      <c r="J99" s="153"/>
      <c r="K99" s="59"/>
      <c r="L99" s="133"/>
      <c r="P99" s="25"/>
      <c r="Q99" s="25"/>
      <c r="R99" s="25"/>
      <c r="S99" s="25"/>
      <c r="T99" s="25"/>
      <c r="U99" s="191"/>
      <c r="V99" s="25"/>
    </row>
    <row r="100" spans="7:22" x14ac:dyDescent="0.2">
      <c r="G100" s="44"/>
      <c r="H100" s="44"/>
      <c r="I100" s="44"/>
      <c r="J100" s="44"/>
      <c r="K100" s="44"/>
      <c r="L100" s="44"/>
      <c r="P100" s="25"/>
      <c r="Q100" s="25"/>
      <c r="R100" s="109"/>
      <c r="S100" s="25"/>
      <c r="T100" s="25"/>
      <c r="U100" s="191"/>
      <c r="V100" s="25"/>
    </row>
    <row r="101" spans="7:22" x14ac:dyDescent="0.2">
      <c r="G101" s="109"/>
      <c r="H101" s="25"/>
      <c r="I101" s="179"/>
      <c r="J101" s="180"/>
      <c r="K101" s="25"/>
      <c r="L101" s="25"/>
      <c r="P101" s="25"/>
      <c r="Q101" s="25"/>
      <c r="R101" s="25"/>
      <c r="S101" s="25"/>
      <c r="T101" s="25"/>
      <c r="U101" s="191"/>
      <c r="V101" s="25"/>
    </row>
    <row r="102" spans="7:22" x14ac:dyDescent="0.2">
      <c r="G102" s="182"/>
      <c r="H102" s="25"/>
      <c r="I102" s="138"/>
      <c r="J102" s="59"/>
      <c r="K102" s="139"/>
      <c r="L102" s="79"/>
      <c r="P102" s="25"/>
      <c r="Q102" s="25"/>
      <c r="R102" s="25"/>
      <c r="S102" s="25"/>
      <c r="T102" s="25"/>
      <c r="U102" s="25"/>
      <c r="V102" s="25"/>
    </row>
    <row r="103" spans="7:22" x14ac:dyDescent="0.2">
      <c r="G103" s="25"/>
      <c r="H103" s="25"/>
      <c r="I103" s="140"/>
      <c r="J103" s="25"/>
      <c r="K103" s="25"/>
      <c r="L103" s="137"/>
      <c r="P103" s="25"/>
      <c r="Q103" s="25"/>
      <c r="R103" s="25"/>
      <c r="S103" s="25"/>
      <c r="T103" s="25"/>
      <c r="U103" s="191"/>
      <c r="V103" s="25"/>
    </row>
    <row r="104" spans="7:22" x14ac:dyDescent="0.2">
      <c r="G104" s="25"/>
      <c r="H104" s="25"/>
      <c r="I104" s="25"/>
      <c r="J104" s="25"/>
      <c r="K104" s="79"/>
      <c r="L104" s="137"/>
      <c r="P104" s="25"/>
      <c r="Q104" s="25"/>
      <c r="R104" s="25"/>
      <c r="S104" s="25"/>
      <c r="T104" s="25"/>
      <c r="U104" s="194"/>
      <c r="V104" s="25"/>
    </row>
    <row r="105" spans="7:22" x14ac:dyDescent="0.2">
      <c r="G105" s="25"/>
      <c r="H105" s="153"/>
      <c r="I105" s="182"/>
      <c r="J105" s="153"/>
      <c r="K105" s="59"/>
      <c r="L105" s="184"/>
      <c r="P105" s="139"/>
      <c r="Q105" s="139"/>
      <c r="R105" s="25"/>
      <c r="S105" s="195"/>
      <c r="T105" s="25"/>
      <c r="U105" s="194"/>
      <c r="V105" s="25"/>
    </row>
    <row r="106" spans="7:22" x14ac:dyDescent="0.2">
      <c r="P106" s="25"/>
      <c r="Q106" s="25"/>
      <c r="R106" s="25"/>
      <c r="S106" s="25"/>
      <c r="T106" s="25"/>
      <c r="U106" s="25"/>
      <c r="V106" s="25"/>
    </row>
    <row r="107" spans="7:22" x14ac:dyDescent="0.2">
      <c r="P107" s="25"/>
      <c r="Q107" s="25"/>
      <c r="R107" s="180"/>
      <c r="S107" s="25"/>
      <c r="T107" s="25"/>
      <c r="U107" s="192"/>
      <c r="V107" s="25"/>
    </row>
    <row r="108" spans="7:22" x14ac:dyDescent="0.2">
      <c r="P108" s="25"/>
      <c r="Q108" s="25"/>
      <c r="R108" s="25"/>
      <c r="S108" s="25"/>
      <c r="T108" s="109"/>
      <c r="U108" s="197"/>
      <c r="V108" s="25"/>
    </row>
    <row r="109" spans="7:22" x14ac:dyDescent="0.2">
      <c r="P109" s="139"/>
      <c r="Q109" s="139"/>
      <c r="R109" s="25"/>
      <c r="S109" s="25"/>
      <c r="T109" s="25"/>
      <c r="U109" s="25"/>
      <c r="V109" s="25"/>
    </row>
    <row r="110" spans="7:22" x14ac:dyDescent="0.2">
      <c r="P110" s="25"/>
      <c r="Q110" s="25"/>
      <c r="R110" s="25"/>
      <c r="S110" s="25"/>
      <c r="T110" s="25"/>
      <c r="U110" s="25"/>
      <c r="V110" s="25"/>
    </row>
    <row r="111" spans="7:22" x14ac:dyDescent="0.2">
      <c r="P111" s="25"/>
      <c r="Q111" s="25"/>
      <c r="R111" s="25"/>
      <c r="S111" s="25"/>
      <c r="T111" s="25"/>
      <c r="U111" s="25"/>
      <c r="V111" s="25"/>
    </row>
    <row r="112" spans="7:22" x14ac:dyDescent="0.2">
      <c r="P112" s="25"/>
      <c r="Q112" s="25"/>
      <c r="R112" s="25"/>
      <c r="S112" s="25"/>
      <c r="T112" s="25"/>
      <c r="U112" s="25"/>
      <c r="V112" s="25"/>
    </row>
    <row r="113" spans="16:22" x14ac:dyDescent="0.2">
      <c r="P113" s="25"/>
      <c r="Q113" s="25"/>
      <c r="R113" s="25"/>
      <c r="S113" s="25"/>
      <c r="T113" s="25"/>
      <c r="U113" s="25"/>
      <c r="V113" s="25"/>
    </row>
    <row r="114" spans="16:22" x14ac:dyDescent="0.2">
      <c r="P114" s="25"/>
      <c r="Q114" s="25"/>
      <c r="R114" s="25"/>
      <c r="S114" s="25"/>
      <c r="T114" s="25"/>
      <c r="U114" s="25"/>
      <c r="V114" s="25"/>
    </row>
    <row r="115" spans="16:22" x14ac:dyDescent="0.2">
      <c r="P115" s="25"/>
      <c r="Q115" s="25"/>
      <c r="R115" s="25"/>
      <c r="S115" s="25"/>
      <c r="T115" s="25"/>
      <c r="U115" s="25"/>
      <c r="V115" s="25"/>
    </row>
    <row r="116" spans="16:22" x14ac:dyDescent="0.2">
      <c r="P116" s="25"/>
      <c r="Q116" s="25"/>
      <c r="R116" s="25"/>
      <c r="S116" s="25"/>
      <c r="T116" s="25"/>
      <c r="U116" s="197"/>
      <c r="V116" s="25"/>
    </row>
    <row r="117" spans="16:22" x14ac:dyDescent="0.2">
      <c r="P117" s="25"/>
      <c r="Q117" s="25"/>
      <c r="R117" s="25"/>
      <c r="S117" s="25"/>
      <c r="T117" s="25"/>
      <c r="U117" s="25"/>
      <c r="V117" s="25"/>
    </row>
    <row r="118" spans="16:22" x14ac:dyDescent="0.2">
      <c r="P118" s="25"/>
      <c r="Q118" s="25"/>
      <c r="R118" s="109"/>
      <c r="S118" s="109"/>
      <c r="T118" s="109"/>
      <c r="U118" s="197"/>
      <c r="V118" s="25"/>
    </row>
    <row r="119" spans="16:22" x14ac:dyDescent="0.2">
      <c r="P119" s="25"/>
      <c r="Q119" s="25"/>
      <c r="R119" s="25"/>
      <c r="S119" s="25"/>
      <c r="T119" s="25"/>
      <c r="U119" s="197"/>
      <c r="V119" s="25"/>
    </row>
    <row r="120" spans="16:22" x14ac:dyDescent="0.2">
      <c r="P120" s="25"/>
      <c r="Q120" s="25"/>
      <c r="R120" s="25"/>
      <c r="S120" s="25"/>
      <c r="T120" s="25"/>
      <c r="U120" s="197"/>
      <c r="V120" s="25"/>
    </row>
    <row r="121" spans="16:22" x14ac:dyDescent="0.2">
      <c r="P121" s="25"/>
      <c r="Q121" s="25"/>
      <c r="R121" s="25"/>
      <c r="S121" s="25"/>
      <c r="T121" s="25"/>
      <c r="U121" s="25"/>
      <c r="V121" s="25"/>
    </row>
    <row r="122" spans="16:22" x14ac:dyDescent="0.2">
      <c r="P122" s="25"/>
      <c r="Q122" s="25"/>
      <c r="R122" s="25"/>
      <c r="S122" s="25"/>
      <c r="T122" s="25"/>
      <c r="U122" s="25"/>
      <c r="V122" s="25"/>
    </row>
    <row r="123" spans="16:22" x14ac:dyDescent="0.2">
      <c r="P123" s="25"/>
      <c r="Q123" s="25"/>
      <c r="R123" s="25"/>
      <c r="S123" s="25"/>
      <c r="T123" s="25"/>
      <c r="U123" s="25"/>
      <c r="V123" s="25"/>
    </row>
    <row r="124" spans="16:22" x14ac:dyDescent="0.2">
      <c r="P124" s="25"/>
      <c r="Q124" s="25"/>
      <c r="R124" s="25"/>
      <c r="S124" s="25"/>
      <c r="T124" s="25"/>
      <c r="U124" s="25"/>
      <c r="V124" s="25"/>
    </row>
    <row r="125" spans="16:22" x14ac:dyDescent="0.2">
      <c r="P125" s="25"/>
      <c r="Q125" s="25"/>
      <c r="R125" s="25"/>
      <c r="S125" s="25"/>
      <c r="T125" s="25"/>
      <c r="U125" s="25"/>
      <c r="V125" s="25"/>
    </row>
    <row r="126" spans="16:22" x14ac:dyDescent="0.2">
      <c r="P126" s="25"/>
      <c r="Q126" s="25"/>
      <c r="R126" s="25"/>
      <c r="S126" s="25"/>
      <c r="T126" s="150"/>
      <c r="U126" s="150"/>
      <c r="V126" s="25"/>
    </row>
    <row r="127" spans="16:22" x14ac:dyDescent="0.2">
      <c r="P127" s="25"/>
      <c r="Q127" s="25"/>
      <c r="R127" s="25"/>
      <c r="S127" s="25"/>
      <c r="T127" s="25"/>
      <c r="U127" s="150"/>
      <c r="V127" s="25"/>
    </row>
    <row r="128" spans="16:22" x14ac:dyDescent="0.2">
      <c r="P128" s="180"/>
      <c r="Q128" s="180"/>
      <c r="R128" s="109"/>
      <c r="S128" s="109"/>
    </row>
    <row r="129" spans="16:19" x14ac:dyDescent="0.2">
      <c r="P129" s="180"/>
      <c r="Q129" s="180"/>
      <c r="R129" s="25"/>
      <c r="S129" s="25"/>
    </row>
    <row r="130" spans="16:19" x14ac:dyDescent="0.2">
      <c r="P130" s="109"/>
      <c r="Q130" s="109"/>
      <c r="R130" s="25"/>
      <c r="S130" s="25"/>
    </row>
    <row r="131" spans="16:19" x14ac:dyDescent="0.2">
      <c r="P131" s="25"/>
      <c r="Q131" s="25"/>
      <c r="R131" s="25"/>
      <c r="S131" s="25"/>
    </row>
    <row r="132" spans="16:19" x14ac:dyDescent="0.2">
      <c r="P132" s="109"/>
      <c r="Q132" s="109"/>
      <c r="R132" s="25"/>
      <c r="S132" s="25"/>
    </row>
    <row r="133" spans="16:19" x14ac:dyDescent="0.2">
      <c r="P133" s="25"/>
      <c r="Q133" s="25"/>
      <c r="R133" s="25"/>
      <c r="S133" s="25"/>
    </row>
    <row r="134" spans="16:19" x14ac:dyDescent="0.2">
      <c r="P134" s="25"/>
      <c r="Q134" s="25"/>
      <c r="R134" s="25"/>
      <c r="S134" s="25"/>
    </row>
    <row r="135" spans="16:19" x14ac:dyDescent="0.2">
      <c r="P135" s="25"/>
      <c r="Q135" s="25"/>
      <c r="R135" s="25"/>
      <c r="S135" s="25"/>
    </row>
    <row r="136" spans="16:19" x14ac:dyDescent="0.2">
      <c r="P136" s="25"/>
      <c r="Q136" s="25"/>
      <c r="R136" s="25"/>
      <c r="S136" s="25"/>
    </row>
    <row r="137" spans="16:19" x14ac:dyDescent="0.2">
      <c r="P137" s="139"/>
      <c r="Q137" s="139"/>
      <c r="R137" s="25"/>
      <c r="S137" s="25"/>
    </row>
  </sheetData>
  <printOptions horizontalCentered="1" gridLinesSet="0"/>
  <pageMargins left="0.5" right="0.5" top="0.75" bottom="0.75" header="0.5" footer="0.5"/>
  <pageSetup scale="58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Calc">
                <anchor moveWithCells="1" sizeWithCells="1">
                  <from>
                    <xdr:col>23</xdr:col>
                    <xdr:colOff>390525</xdr:colOff>
                    <xdr:row>2</xdr:row>
                    <xdr:rowOff>114300</xdr:rowOff>
                  </from>
                  <to>
                    <xdr:col>26</xdr:col>
                    <xdr:colOff>47625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" name="Button 71">
              <controlPr defaultSize="0" print="0" autoFill="0" autoPict="0" macro="[0]!Target18IRR">
                <anchor moveWithCells="1" sizeWithCells="1">
                  <from>
                    <xdr:col>4</xdr:col>
                    <xdr:colOff>76200</xdr:colOff>
                    <xdr:row>20</xdr:row>
                    <xdr:rowOff>38100</xdr:rowOff>
                  </from>
                  <to>
                    <xdr:col>4</xdr:col>
                    <xdr:colOff>914400</xdr:colOff>
                    <xdr:row>21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B257"/>
  <sheetViews>
    <sheetView showGridLines="0" zoomScale="80" zoomScaleNormal="80" workbookViewId="0"/>
  </sheetViews>
  <sheetFormatPr defaultRowHeight="12.75" outlineLevelCol="1" x14ac:dyDescent="0.2"/>
  <cols>
    <col min="1" max="1" width="9.33203125" style="19"/>
    <col min="2" max="4" width="13.5" style="19" customWidth="1"/>
    <col min="5" max="5" width="14" style="19" bestFit="1" customWidth="1"/>
    <col min="6" max="18" width="12.5" style="19" customWidth="1"/>
    <col min="19" max="25" width="12.5" style="44" customWidth="1"/>
    <col min="26" max="31" width="12.5" style="44" customWidth="1" outlineLevel="1"/>
    <col min="32" max="32" width="15.5" style="19" bestFit="1" customWidth="1"/>
    <col min="33" max="33" width="7" style="19" customWidth="1"/>
    <col min="34" max="34" width="16.5" style="19" customWidth="1"/>
    <col min="35" max="16384" width="9.33203125" style="19"/>
  </cols>
  <sheetData>
    <row r="1" spans="1:54" ht="15.75" x14ac:dyDescent="0.25">
      <c r="A1" s="588" t="str">
        <f>+Assumpt!A1</f>
        <v>Panama Regas Terminal</v>
      </c>
      <c r="B1" s="589"/>
      <c r="C1" s="589"/>
      <c r="D1" s="590"/>
    </row>
    <row r="2" spans="1:54" ht="15.75" x14ac:dyDescent="0.25">
      <c r="A2" s="591" t="str">
        <f>+Assumpt!A2</f>
        <v>Enron International</v>
      </c>
      <c r="B2" s="558"/>
      <c r="C2" s="558"/>
      <c r="D2" s="592"/>
    </row>
    <row r="3" spans="1:54" ht="16.5" thickBot="1" x14ac:dyDescent="0.3">
      <c r="A3" s="587" t="s">
        <v>75</v>
      </c>
      <c r="B3" s="64"/>
      <c r="C3" s="64"/>
      <c r="D3" s="146"/>
    </row>
    <row r="5" spans="1:54" s="231" customFormat="1" x14ac:dyDescent="0.2">
      <c r="A5" s="543" t="s">
        <v>78</v>
      </c>
      <c r="B5" s="544"/>
      <c r="C5" s="544"/>
      <c r="D5" s="544"/>
      <c r="E5" s="545">
        <f>YEAR(Assumpt!E17)</f>
        <v>2003</v>
      </c>
      <c r="F5" s="545">
        <f>+E5+1</f>
        <v>2004</v>
      </c>
      <c r="G5" s="545">
        <f t="shared" ref="G5:W5" si="0">+F5+1</f>
        <v>2005</v>
      </c>
      <c r="H5" s="545">
        <f t="shared" si="0"/>
        <v>2006</v>
      </c>
      <c r="I5" s="545">
        <f t="shared" si="0"/>
        <v>2007</v>
      </c>
      <c r="J5" s="545">
        <f t="shared" si="0"/>
        <v>2008</v>
      </c>
      <c r="K5" s="545">
        <f t="shared" si="0"/>
        <v>2009</v>
      </c>
      <c r="L5" s="545">
        <f t="shared" si="0"/>
        <v>2010</v>
      </c>
      <c r="M5" s="545">
        <f t="shared" si="0"/>
        <v>2011</v>
      </c>
      <c r="N5" s="545">
        <f t="shared" si="0"/>
        <v>2012</v>
      </c>
      <c r="O5" s="545">
        <f t="shared" si="0"/>
        <v>2013</v>
      </c>
      <c r="P5" s="545">
        <f t="shared" si="0"/>
        <v>2014</v>
      </c>
      <c r="Q5" s="545">
        <f t="shared" si="0"/>
        <v>2015</v>
      </c>
      <c r="R5" s="545">
        <f t="shared" si="0"/>
        <v>2016</v>
      </c>
      <c r="S5" s="545">
        <f t="shared" si="0"/>
        <v>2017</v>
      </c>
      <c r="T5" s="545">
        <f t="shared" si="0"/>
        <v>2018</v>
      </c>
      <c r="U5" s="545">
        <f t="shared" si="0"/>
        <v>2019</v>
      </c>
      <c r="V5" s="545">
        <f t="shared" si="0"/>
        <v>2020</v>
      </c>
      <c r="W5" s="545">
        <f t="shared" si="0"/>
        <v>2021</v>
      </c>
      <c r="X5" s="545">
        <f t="shared" ref="X5:AE5" si="1">+W5+1</f>
        <v>2022</v>
      </c>
      <c r="Y5" s="545">
        <f t="shared" si="1"/>
        <v>2023</v>
      </c>
      <c r="Z5" s="545">
        <f t="shared" si="1"/>
        <v>2024</v>
      </c>
      <c r="AA5" s="545">
        <f t="shared" si="1"/>
        <v>2025</v>
      </c>
      <c r="AB5" s="545">
        <f t="shared" si="1"/>
        <v>2026</v>
      </c>
      <c r="AC5" s="545">
        <f t="shared" si="1"/>
        <v>2027</v>
      </c>
      <c r="AD5" s="545">
        <f t="shared" si="1"/>
        <v>2028</v>
      </c>
      <c r="AE5" s="545">
        <f t="shared" si="1"/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54" x14ac:dyDescent="0.2">
      <c r="A6" s="547" t="s">
        <v>76</v>
      </c>
      <c r="B6" s="535"/>
      <c r="C6" s="535"/>
      <c r="D6" s="535"/>
      <c r="E6" s="548">
        <f>+YEARFRAC(DATE(E5,12,31),codate,0)*12</f>
        <v>12</v>
      </c>
      <c r="F6" s="548">
        <f>+MIN(termyrs*12-SUM($E6:E6),12)</f>
        <v>12</v>
      </c>
      <c r="G6" s="548">
        <f>+MIN(termyrs*12-SUM($E6:F6),12)</f>
        <v>12</v>
      </c>
      <c r="H6" s="548">
        <f>+MIN(termyrs*12-SUM($E6:G6),12)</f>
        <v>12</v>
      </c>
      <c r="I6" s="548">
        <f>+MIN(termyrs*12-SUM($E6:H6),12)</f>
        <v>12</v>
      </c>
      <c r="J6" s="548">
        <f>+MIN(termyrs*12-SUM($E6:I6),12)</f>
        <v>12</v>
      </c>
      <c r="K6" s="548">
        <f>+MIN(termyrs*12-SUM($E6:J6),12)</f>
        <v>12</v>
      </c>
      <c r="L6" s="548">
        <f>+MIN(termyrs*12-SUM($E6:K6),12)</f>
        <v>12</v>
      </c>
      <c r="M6" s="548">
        <f>+MIN(termyrs*12-SUM($E6:L6),12)</f>
        <v>12</v>
      </c>
      <c r="N6" s="548">
        <f>+MIN(termyrs*12-SUM($E6:M6),12)</f>
        <v>12</v>
      </c>
      <c r="O6" s="548">
        <f>+MIN(termyrs*12-SUM($E6:N6),12)</f>
        <v>12</v>
      </c>
      <c r="P6" s="548">
        <f>+MIN(termyrs*12-SUM($E6:O6),12)</f>
        <v>12</v>
      </c>
      <c r="Q6" s="548">
        <f>+MIN(termyrs*12-SUM($E6:P6),12)</f>
        <v>12</v>
      </c>
      <c r="R6" s="548">
        <f>+MIN(termyrs*12-SUM($E6:Q6),12)</f>
        <v>12</v>
      </c>
      <c r="S6" s="548">
        <f>+MIN(termyrs*12-SUM($E6:R6),12)</f>
        <v>12</v>
      </c>
      <c r="T6" s="548">
        <f>+MIN(termyrs*12-SUM($E6:S6),12)</f>
        <v>0</v>
      </c>
      <c r="U6" s="548">
        <f>+MIN(termyrs*12-SUM($E6:T6),12)</f>
        <v>0</v>
      </c>
      <c r="V6" s="548">
        <f>+MIN(termyrs*12-SUM($E6:U6),12)</f>
        <v>0</v>
      </c>
      <c r="W6" s="548">
        <f>+MIN(termyrs*12-SUM($E6:V6),12)</f>
        <v>0</v>
      </c>
      <c r="X6" s="548">
        <f>+MIN(termyrs*12-SUM($E6:W6),12)</f>
        <v>0</v>
      </c>
      <c r="Y6" s="548">
        <f>+MIN(termyrs*12-SUM($E6:X6),12)</f>
        <v>0</v>
      </c>
      <c r="Z6" s="548">
        <f>+MIN(termyrs*12-SUM($E6:Y6),12)</f>
        <v>0</v>
      </c>
      <c r="AA6" s="548">
        <f>+MIN(termyrs*12-SUM($E6:Z6),12)</f>
        <v>0</v>
      </c>
      <c r="AB6" s="548">
        <f>+MIN(termyrs*12-SUM($E6:AA6),12)</f>
        <v>0</v>
      </c>
      <c r="AC6" s="548">
        <f>+MIN(termyrs*12-SUM($E6:AB6),12)</f>
        <v>0</v>
      </c>
      <c r="AD6" s="548">
        <f>+MIN(termyrs*12-SUM($E6:AC6),12)</f>
        <v>0</v>
      </c>
      <c r="AE6" s="548">
        <f>+MIN(termyrs*12-SUM($E6:AD6),12)</f>
        <v>0</v>
      </c>
      <c r="AF6" s="552">
        <f>+SUM(E6:AE6)</f>
        <v>180</v>
      </c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54" x14ac:dyDescent="0.2">
      <c r="A7" s="549" t="s">
        <v>77</v>
      </c>
      <c r="B7" s="550"/>
      <c r="C7" s="550"/>
      <c r="D7" s="550"/>
      <c r="E7" s="551">
        <f>+E6/12</f>
        <v>1</v>
      </c>
      <c r="F7" s="551">
        <f>+E7+F6/12</f>
        <v>2</v>
      </c>
      <c r="G7" s="551">
        <f t="shared" ref="G7:W7" si="2">+F7+G6/12</f>
        <v>3</v>
      </c>
      <c r="H7" s="551">
        <f t="shared" si="2"/>
        <v>4</v>
      </c>
      <c r="I7" s="551">
        <f t="shared" si="2"/>
        <v>5</v>
      </c>
      <c r="J7" s="551">
        <f t="shared" si="2"/>
        <v>6</v>
      </c>
      <c r="K7" s="551">
        <f t="shared" si="2"/>
        <v>7</v>
      </c>
      <c r="L7" s="551">
        <f t="shared" si="2"/>
        <v>8</v>
      </c>
      <c r="M7" s="551">
        <f t="shared" si="2"/>
        <v>9</v>
      </c>
      <c r="N7" s="551">
        <f t="shared" si="2"/>
        <v>10</v>
      </c>
      <c r="O7" s="551">
        <f t="shared" si="2"/>
        <v>11</v>
      </c>
      <c r="P7" s="551">
        <f t="shared" si="2"/>
        <v>12</v>
      </c>
      <c r="Q7" s="551">
        <f t="shared" si="2"/>
        <v>13</v>
      </c>
      <c r="R7" s="551">
        <f t="shared" si="2"/>
        <v>14</v>
      </c>
      <c r="S7" s="551">
        <f t="shared" si="2"/>
        <v>15</v>
      </c>
      <c r="T7" s="551">
        <f t="shared" si="2"/>
        <v>15</v>
      </c>
      <c r="U7" s="551">
        <f t="shared" si="2"/>
        <v>15</v>
      </c>
      <c r="V7" s="551">
        <f t="shared" si="2"/>
        <v>15</v>
      </c>
      <c r="W7" s="551">
        <f t="shared" si="2"/>
        <v>15</v>
      </c>
      <c r="X7" s="551">
        <f t="shared" ref="X7:AE7" si="3">+W7+X6/12</f>
        <v>15</v>
      </c>
      <c r="Y7" s="551">
        <f t="shared" si="3"/>
        <v>15</v>
      </c>
      <c r="Z7" s="551">
        <f t="shared" si="3"/>
        <v>15</v>
      </c>
      <c r="AA7" s="551">
        <f t="shared" si="3"/>
        <v>15</v>
      </c>
      <c r="AB7" s="551">
        <f t="shared" si="3"/>
        <v>15</v>
      </c>
      <c r="AC7" s="551">
        <f t="shared" si="3"/>
        <v>15</v>
      </c>
      <c r="AD7" s="551">
        <f t="shared" si="3"/>
        <v>15</v>
      </c>
      <c r="AE7" s="551">
        <f t="shared" si="3"/>
        <v>15</v>
      </c>
      <c r="AF7" s="553">
        <f>+AE7</f>
        <v>15</v>
      </c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54" s="44" customFormat="1" x14ac:dyDescent="0.2"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</row>
    <row r="9" spans="1:54" x14ac:dyDescent="0.2">
      <c r="A9" s="554" t="s">
        <v>79</v>
      </c>
      <c r="B9" s="535"/>
      <c r="C9" s="535"/>
      <c r="D9" s="535"/>
      <c r="E9" s="555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556"/>
      <c r="AG9" s="524"/>
      <c r="AH9" s="524"/>
      <c r="AI9" s="52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54" x14ac:dyDescent="0.2">
      <c r="A10" s="557" t="s">
        <v>80</v>
      </c>
      <c r="B10" s="558"/>
      <c r="C10" s="558"/>
      <c r="D10" s="558"/>
      <c r="E10" s="559">
        <f>+Assumpt!$E$9*CF!E6/12/1000</f>
        <v>54569.999999999993</v>
      </c>
      <c r="F10" s="559">
        <f>+Assumpt!$E$9*CF!F6/12/1000</f>
        <v>54569.999999999993</v>
      </c>
      <c r="G10" s="559">
        <f>+Assumpt!$E$9*CF!G6/12/1000</f>
        <v>54569.999999999993</v>
      </c>
      <c r="H10" s="559">
        <f>+Assumpt!$E$9*CF!H6/12/1000</f>
        <v>54569.999999999993</v>
      </c>
      <c r="I10" s="559">
        <f>+Assumpt!$E$9*CF!I6/12/1000</f>
        <v>54569.999999999993</v>
      </c>
      <c r="J10" s="559">
        <f>+Assumpt!$E$9*CF!J6/12/1000</f>
        <v>54569.999999999993</v>
      </c>
      <c r="K10" s="559">
        <f>+Assumpt!$E$9*CF!K6/12/1000</f>
        <v>54569.999999999993</v>
      </c>
      <c r="L10" s="559">
        <f>+Assumpt!$E$9*CF!L6/12/1000</f>
        <v>54569.999999999993</v>
      </c>
      <c r="M10" s="559">
        <f>+Assumpt!$E$9*CF!M6/12/1000</f>
        <v>54569.999999999993</v>
      </c>
      <c r="N10" s="559">
        <f>+Assumpt!$E$9*CF!N6/12/1000</f>
        <v>54569.999999999993</v>
      </c>
      <c r="O10" s="559">
        <f>+Assumpt!$E$9*CF!O6/12/1000</f>
        <v>54569.999999999993</v>
      </c>
      <c r="P10" s="559">
        <f>+Assumpt!$E$9*CF!P6/12/1000</f>
        <v>54569.999999999993</v>
      </c>
      <c r="Q10" s="559">
        <f>+Assumpt!$E$9*CF!Q6/12/1000</f>
        <v>54569.999999999993</v>
      </c>
      <c r="R10" s="559">
        <f>+Assumpt!$E$9*CF!R6/12/1000</f>
        <v>54569.999999999993</v>
      </c>
      <c r="S10" s="559">
        <f>+Assumpt!$E$9*CF!S6/12/1000</f>
        <v>54569.999999999993</v>
      </c>
      <c r="T10" s="559">
        <f>+Assumpt!$E$9*CF!T6/12/1000</f>
        <v>0</v>
      </c>
      <c r="U10" s="559">
        <f>+Assumpt!$E$9*CF!U6/12/1000</f>
        <v>0</v>
      </c>
      <c r="V10" s="559">
        <f>+Assumpt!$E$9*CF!V6/12/1000</f>
        <v>0</v>
      </c>
      <c r="W10" s="559">
        <f>+Assumpt!$E$9*CF!W6/12/1000</f>
        <v>0</v>
      </c>
      <c r="X10" s="559">
        <f>+Assumpt!$E$9*CF!X6/12/1000</f>
        <v>0</v>
      </c>
      <c r="Y10" s="559">
        <f>+Assumpt!$E$9*CF!Y6/12/1000</f>
        <v>0</v>
      </c>
      <c r="Z10" s="559">
        <f>+Assumpt!$E$9*CF!Z6/12/1000</f>
        <v>0</v>
      </c>
      <c r="AA10" s="559">
        <f>+Assumpt!$E$9*CF!AA6/12/1000</f>
        <v>0</v>
      </c>
      <c r="AB10" s="559">
        <f>+Assumpt!$E$9*CF!AB6/12/1000</f>
        <v>0</v>
      </c>
      <c r="AC10" s="559">
        <f>+Assumpt!$E$9*CF!AC6/12/1000</f>
        <v>0</v>
      </c>
      <c r="AD10" s="559">
        <f>+Assumpt!$E$9*CF!AD6/12/1000</f>
        <v>0</v>
      </c>
      <c r="AE10" s="559">
        <f>+Assumpt!$E$9*CF!AE6/12/1000</f>
        <v>0</v>
      </c>
      <c r="AF10" s="560">
        <f>SUM(E10:AE10)</f>
        <v>818549.99999999988</v>
      </c>
      <c r="AG10" s="524"/>
      <c r="AH10" s="524"/>
      <c r="AI10" s="52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</row>
    <row r="11" spans="1:54" x14ac:dyDescent="0.2">
      <c r="A11" s="557" t="s">
        <v>297</v>
      </c>
      <c r="B11" s="558"/>
      <c r="C11" s="558"/>
      <c r="D11" s="558"/>
      <c r="E11" s="796">
        <v>0.16953333333333337</v>
      </c>
      <c r="F11" s="796">
        <v>0.17093333333333338</v>
      </c>
      <c r="G11" s="796">
        <v>0.32860000000000006</v>
      </c>
      <c r="H11" s="796">
        <v>0.33880000000000005</v>
      </c>
      <c r="I11" s="796">
        <v>0.34033333333333338</v>
      </c>
      <c r="J11" s="796">
        <v>0.34659999999999996</v>
      </c>
      <c r="K11" s="796">
        <v>0.34880000000000017</v>
      </c>
      <c r="L11" s="796">
        <v>0.63226666666666675</v>
      </c>
      <c r="M11" s="796">
        <v>0.67166666666666652</v>
      </c>
      <c r="N11" s="796">
        <v>0.67679999999999985</v>
      </c>
      <c r="O11" s="796">
        <v>0.68326666666666691</v>
      </c>
      <c r="P11" s="796">
        <v>0.6959333333333334</v>
      </c>
      <c r="Q11" s="796">
        <v>0.6959333333333334</v>
      </c>
      <c r="R11" s="796">
        <v>0.6959333333333334</v>
      </c>
      <c r="S11" s="796">
        <v>0.6959333333333334</v>
      </c>
      <c r="T11" s="796">
        <v>0.6959333333333334</v>
      </c>
      <c r="U11" s="796">
        <v>0.6959333333333334</v>
      </c>
      <c r="V11" s="796">
        <v>0.6959333333333334</v>
      </c>
      <c r="W11" s="796">
        <v>0.6959333333333334</v>
      </c>
      <c r="X11" s="796">
        <v>0.6959333333333334</v>
      </c>
      <c r="Y11" s="796">
        <v>0.6959333333333334</v>
      </c>
      <c r="Z11" s="796">
        <v>0.6959333333333334</v>
      </c>
      <c r="AA11" s="796">
        <v>0.6959333333333334</v>
      </c>
      <c r="AB11" s="796">
        <v>0.6959333333333334</v>
      </c>
      <c r="AC11" s="796">
        <v>0.6959333333333334</v>
      </c>
      <c r="AD11" s="796">
        <v>0.6959333333333334</v>
      </c>
      <c r="AE11" s="796">
        <v>0.6959333333333334</v>
      </c>
      <c r="AF11" s="561"/>
      <c r="AG11" s="524"/>
      <c r="AH11" s="524"/>
      <c r="AI11" s="52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</row>
    <row r="12" spans="1:54" x14ac:dyDescent="0.2">
      <c r="A12" s="562" t="s">
        <v>16</v>
      </c>
      <c r="B12" s="558"/>
      <c r="C12" s="558"/>
      <c r="D12" s="558"/>
      <c r="E12" s="563">
        <f>+Assumpt!$E$13</f>
        <v>1</v>
      </c>
      <c r="F12" s="563">
        <f>+Assumpt!$E$13</f>
        <v>1</v>
      </c>
      <c r="G12" s="563">
        <f>+Assumpt!$E$13</f>
        <v>1</v>
      </c>
      <c r="H12" s="563">
        <f>+Assumpt!$E$13</f>
        <v>1</v>
      </c>
      <c r="I12" s="563">
        <f>+Assumpt!$E$13</f>
        <v>1</v>
      </c>
      <c r="J12" s="563">
        <f>+Assumpt!$E$13</f>
        <v>1</v>
      </c>
      <c r="K12" s="563">
        <f>+Assumpt!$E$13</f>
        <v>1</v>
      </c>
      <c r="L12" s="563">
        <f>+Assumpt!$E$13</f>
        <v>1</v>
      </c>
      <c r="M12" s="563">
        <f>+Assumpt!$E$13</f>
        <v>1</v>
      </c>
      <c r="N12" s="563">
        <f>+Assumpt!$E$13</f>
        <v>1</v>
      </c>
      <c r="O12" s="563">
        <f>+Assumpt!$E$13</f>
        <v>1</v>
      </c>
      <c r="P12" s="563">
        <f>+Assumpt!$E$13</f>
        <v>1</v>
      </c>
      <c r="Q12" s="563">
        <f>+Assumpt!$E$13</f>
        <v>1</v>
      </c>
      <c r="R12" s="563">
        <f>+Assumpt!$E$13</f>
        <v>1</v>
      </c>
      <c r="S12" s="563">
        <f>+Assumpt!$E$13</f>
        <v>1</v>
      </c>
      <c r="T12" s="563">
        <f>+Assumpt!$E$13</f>
        <v>1</v>
      </c>
      <c r="U12" s="563">
        <f>+Assumpt!$E$13</f>
        <v>1</v>
      </c>
      <c r="V12" s="563">
        <f>+Assumpt!$E$13</f>
        <v>1</v>
      </c>
      <c r="W12" s="563">
        <f>+Assumpt!$E$13</f>
        <v>1</v>
      </c>
      <c r="X12" s="563">
        <f>+Assumpt!$E$13</f>
        <v>1</v>
      </c>
      <c r="Y12" s="563">
        <f>+Assumpt!$E$13</f>
        <v>1</v>
      </c>
      <c r="Z12" s="563">
        <f>+Assumpt!$E$13</f>
        <v>1</v>
      </c>
      <c r="AA12" s="563">
        <f>+Assumpt!$E$13</f>
        <v>1</v>
      </c>
      <c r="AB12" s="563">
        <f>+Assumpt!$E$13</f>
        <v>1</v>
      </c>
      <c r="AC12" s="563">
        <f>+Assumpt!$E$13</f>
        <v>1</v>
      </c>
      <c r="AD12" s="563">
        <f>+Assumpt!$E$13</f>
        <v>1</v>
      </c>
      <c r="AE12" s="563">
        <f>+Assumpt!$E$13</f>
        <v>1</v>
      </c>
      <c r="AF12" s="564"/>
      <c r="AG12" s="256"/>
      <c r="AH12" s="256"/>
      <c r="AI12" s="256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x14ac:dyDescent="0.2">
      <c r="A13" s="641" t="s">
        <v>81</v>
      </c>
      <c r="B13" s="558"/>
      <c r="C13" s="558"/>
      <c r="D13" s="558"/>
      <c r="E13" s="798">
        <f t="shared" ref="E13:AE13" si="4">+E12*E11*E10</f>
        <v>9251.4340000000011</v>
      </c>
      <c r="F13" s="798">
        <f t="shared" si="4"/>
        <v>9327.8320000000022</v>
      </c>
      <c r="G13" s="798">
        <f t="shared" si="4"/>
        <v>17931.702000000001</v>
      </c>
      <c r="H13" s="798">
        <f t="shared" si="4"/>
        <v>18488.315999999999</v>
      </c>
      <c r="I13" s="798">
        <f t="shared" si="4"/>
        <v>18571.990000000002</v>
      </c>
      <c r="J13" s="798">
        <f t="shared" si="4"/>
        <v>18913.961999999996</v>
      </c>
      <c r="K13" s="798">
        <f t="shared" si="4"/>
        <v>19034.016000000007</v>
      </c>
      <c r="L13" s="798">
        <f t="shared" si="4"/>
        <v>34502.792000000001</v>
      </c>
      <c r="M13" s="798">
        <f t="shared" si="4"/>
        <v>36652.849999999984</v>
      </c>
      <c r="N13" s="798">
        <f t="shared" si="4"/>
        <v>36932.975999999988</v>
      </c>
      <c r="O13" s="798">
        <f t="shared" si="4"/>
        <v>37285.862000000008</v>
      </c>
      <c r="P13" s="798">
        <f t="shared" si="4"/>
        <v>37977.082000000002</v>
      </c>
      <c r="Q13" s="798">
        <f t="shared" si="4"/>
        <v>37977.082000000002</v>
      </c>
      <c r="R13" s="798">
        <f t="shared" si="4"/>
        <v>37977.082000000002</v>
      </c>
      <c r="S13" s="798">
        <f t="shared" si="4"/>
        <v>37977.082000000002</v>
      </c>
      <c r="T13" s="798">
        <f t="shared" si="4"/>
        <v>0</v>
      </c>
      <c r="U13" s="798">
        <f t="shared" si="4"/>
        <v>0</v>
      </c>
      <c r="V13" s="798">
        <f t="shared" si="4"/>
        <v>0</v>
      </c>
      <c r="W13" s="798">
        <f t="shared" si="4"/>
        <v>0</v>
      </c>
      <c r="X13" s="798">
        <f t="shared" si="4"/>
        <v>0</v>
      </c>
      <c r="Y13" s="798">
        <f t="shared" si="4"/>
        <v>0</v>
      </c>
      <c r="Z13" s="798">
        <f t="shared" si="4"/>
        <v>0</v>
      </c>
      <c r="AA13" s="798">
        <f t="shared" si="4"/>
        <v>0</v>
      </c>
      <c r="AB13" s="798">
        <f t="shared" si="4"/>
        <v>0</v>
      </c>
      <c r="AC13" s="798">
        <f t="shared" si="4"/>
        <v>0</v>
      </c>
      <c r="AD13" s="798">
        <f t="shared" si="4"/>
        <v>0</v>
      </c>
      <c r="AE13" s="798">
        <f t="shared" si="4"/>
        <v>0</v>
      </c>
      <c r="AF13" s="560">
        <f>SUM(E13:AE13)</f>
        <v>408802.05999999994</v>
      </c>
      <c r="AG13" s="422"/>
      <c r="AH13" s="423"/>
      <c r="AI13" s="422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s="346" customFormat="1" x14ac:dyDescent="0.2">
      <c r="A14" s="567" t="s">
        <v>303</v>
      </c>
      <c r="B14" s="539"/>
      <c r="C14" s="539"/>
      <c r="D14" s="539"/>
      <c r="E14" s="802">
        <f>+E13/340/Assumpt!$E$8*1000</f>
        <v>25.430000000000003</v>
      </c>
      <c r="F14" s="802">
        <f>+F13/340/Assumpt!$E$8*1000</f>
        <v>25.640000000000008</v>
      </c>
      <c r="G14" s="802">
        <f>+G13/340/Assumpt!$E$8*1000</f>
        <v>49.290000000000006</v>
      </c>
      <c r="H14" s="802">
        <f>+H13/340/Assumpt!$E$8*1000</f>
        <v>50.82</v>
      </c>
      <c r="I14" s="802">
        <f>+I13/340/Assumpt!$E$8*1000</f>
        <v>51.050000000000004</v>
      </c>
      <c r="J14" s="802">
        <f>+J13/340/Assumpt!$E$8*1000</f>
        <v>51.989999999999988</v>
      </c>
      <c r="K14" s="802">
        <f>+K13/340/Assumpt!$E$8*1000</f>
        <v>52.320000000000022</v>
      </c>
      <c r="L14" s="802">
        <f>+L13/340/Assumpt!$E$8*1000</f>
        <v>94.84</v>
      </c>
      <c r="M14" s="802">
        <f>+M13/340/Assumpt!$E$8*1000</f>
        <v>100.74999999999996</v>
      </c>
      <c r="N14" s="802">
        <f>+N13/340/Assumpt!$E$8*1000</f>
        <v>101.51999999999995</v>
      </c>
      <c r="O14" s="802">
        <f>+O13/340/Assumpt!$E$8*1000</f>
        <v>102.49000000000002</v>
      </c>
      <c r="P14" s="802">
        <f>+P13/340/Assumpt!$E$8*1000</f>
        <v>104.39000000000001</v>
      </c>
      <c r="Q14" s="802">
        <f>+Q13/340/Assumpt!$E$8*1000</f>
        <v>104.39000000000001</v>
      </c>
      <c r="R14" s="802">
        <f>+R13/340/Assumpt!$E$8*1000</f>
        <v>104.39000000000001</v>
      </c>
      <c r="S14" s="802">
        <f>+S13/340/Assumpt!$E$8*1000</f>
        <v>104.39000000000001</v>
      </c>
      <c r="T14" s="802">
        <f>+T13/340/Assumpt!$E$8*1000</f>
        <v>0</v>
      </c>
      <c r="U14" s="802">
        <f>+U13/340/Assumpt!$E$8*1000</f>
        <v>0</v>
      </c>
      <c r="V14" s="802">
        <f>+V13/340/Assumpt!$E$8*1000</f>
        <v>0</v>
      </c>
      <c r="W14" s="802">
        <f>+W13/340/Assumpt!$E$8*1000</f>
        <v>0</v>
      </c>
      <c r="X14" s="802">
        <f>+X13/340/Assumpt!$E$8*1000</f>
        <v>0</v>
      </c>
      <c r="Y14" s="802">
        <f>+Y13/340/Assumpt!$E$8*1000</f>
        <v>0</v>
      </c>
      <c r="Z14" s="802">
        <f>+Z13/340/Assumpt!$E$8*1000</f>
        <v>0</v>
      </c>
      <c r="AA14" s="802">
        <f>+AA13/340/Assumpt!$E$8*1000</f>
        <v>0</v>
      </c>
      <c r="AB14" s="802">
        <f>+AB13/340/Assumpt!$E$8*1000</f>
        <v>0</v>
      </c>
      <c r="AC14" s="802">
        <f>+AC13/340/Assumpt!$E$8*1000</f>
        <v>0</v>
      </c>
      <c r="AD14" s="802">
        <f>+AD13/340/Assumpt!$E$8*1000</f>
        <v>0</v>
      </c>
      <c r="AE14" s="802">
        <f>+AE13/340/Assumpt!$E$8*1000</f>
        <v>0</v>
      </c>
      <c r="AF14" s="799"/>
      <c r="AG14" s="800"/>
      <c r="AH14" s="801"/>
      <c r="AI14" s="800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1"/>
      <c r="AZ14" s="321"/>
      <c r="BA14" s="321"/>
      <c r="BB14" s="321"/>
    </row>
    <row r="15" spans="1:54" x14ac:dyDescent="0.2">
      <c r="A15" s="593"/>
      <c r="B15" s="156"/>
      <c r="C15" s="156"/>
      <c r="D15" s="156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4"/>
      <c r="AG15" s="422"/>
      <c r="AH15" s="422"/>
      <c r="AI15" s="422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</row>
    <row r="16" spans="1:54" x14ac:dyDescent="0.2">
      <c r="A16" s="594" t="s">
        <v>82</v>
      </c>
      <c r="B16" s="156"/>
      <c r="C16" s="156"/>
      <c r="D16" s="156"/>
      <c r="E16" s="425"/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6"/>
      <c r="AG16" s="425"/>
      <c r="AH16" s="425"/>
      <c r="AI16" s="425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</row>
    <row r="17" spans="1:54" x14ac:dyDescent="0.2">
      <c r="A17" s="595" t="str">
        <f>+A13</f>
        <v>Total Annual Production (MMBTU)</v>
      </c>
      <c r="B17" s="156"/>
      <c r="C17" s="156"/>
      <c r="D17" s="427"/>
      <c r="E17" s="273">
        <f>+E13</f>
        <v>9251.4340000000011</v>
      </c>
      <c r="F17" s="273">
        <f t="shared" ref="F17:U17" si="5">+F13</f>
        <v>9327.8320000000022</v>
      </c>
      <c r="G17" s="273">
        <f t="shared" si="5"/>
        <v>17931.702000000001</v>
      </c>
      <c r="H17" s="273">
        <f t="shared" si="5"/>
        <v>18488.315999999999</v>
      </c>
      <c r="I17" s="273">
        <f t="shared" si="5"/>
        <v>18571.990000000002</v>
      </c>
      <c r="J17" s="273">
        <f t="shared" si="5"/>
        <v>18913.961999999996</v>
      </c>
      <c r="K17" s="273">
        <f t="shared" si="5"/>
        <v>19034.016000000007</v>
      </c>
      <c r="L17" s="273">
        <f t="shared" si="5"/>
        <v>34502.792000000001</v>
      </c>
      <c r="M17" s="273">
        <f t="shared" si="5"/>
        <v>36652.849999999984</v>
      </c>
      <c r="N17" s="273">
        <f t="shared" si="5"/>
        <v>36932.975999999988</v>
      </c>
      <c r="O17" s="273">
        <f t="shared" si="5"/>
        <v>37285.862000000008</v>
      </c>
      <c r="P17" s="273">
        <f t="shared" si="5"/>
        <v>37977.082000000002</v>
      </c>
      <c r="Q17" s="273">
        <f t="shared" si="5"/>
        <v>37977.082000000002</v>
      </c>
      <c r="R17" s="273">
        <f t="shared" si="5"/>
        <v>37977.082000000002</v>
      </c>
      <c r="S17" s="273">
        <f t="shared" si="5"/>
        <v>37977.082000000002</v>
      </c>
      <c r="T17" s="273">
        <f t="shared" si="5"/>
        <v>0</v>
      </c>
      <c r="U17" s="273">
        <f t="shared" si="5"/>
        <v>0</v>
      </c>
      <c r="V17" s="273">
        <f t="shared" ref="V17:AE17" si="6">+V13</f>
        <v>0</v>
      </c>
      <c r="W17" s="273">
        <f t="shared" si="6"/>
        <v>0</v>
      </c>
      <c r="X17" s="273">
        <f t="shared" si="6"/>
        <v>0</v>
      </c>
      <c r="Y17" s="273">
        <f t="shared" si="6"/>
        <v>0</v>
      </c>
      <c r="Z17" s="273">
        <f t="shared" si="6"/>
        <v>0</v>
      </c>
      <c r="AA17" s="273">
        <f t="shared" si="6"/>
        <v>0</v>
      </c>
      <c r="AB17" s="273">
        <f t="shared" si="6"/>
        <v>0</v>
      </c>
      <c r="AC17" s="273">
        <f t="shared" si="6"/>
        <v>0</v>
      </c>
      <c r="AD17" s="273">
        <f t="shared" si="6"/>
        <v>0</v>
      </c>
      <c r="AE17" s="273">
        <f t="shared" si="6"/>
        <v>0</v>
      </c>
      <c r="AF17" s="525">
        <f>SUM(E17:AE17)</f>
        <v>408802.05999999994</v>
      </c>
      <c r="AG17" s="526"/>
      <c r="AH17" s="526"/>
      <c r="AI17" s="526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</row>
    <row r="18" spans="1:54" s="221" customFormat="1" x14ac:dyDescent="0.2">
      <c r="A18" s="596" t="s">
        <v>83</v>
      </c>
      <c r="B18" s="286"/>
      <c r="C18" s="286"/>
      <c r="D18" s="286"/>
      <c r="E18" s="522">
        <f>+fixtariff2003*(1+Assumpt!$E$23)^(E5-Assumpt!$D$22)</f>
        <v>1.8990314202348786</v>
      </c>
      <c r="F18" s="522">
        <f>+fixtariff2003*(1+Assumpt!$E$23)^(F5-Assumpt!$D$22)</f>
        <v>1.9370120486395761</v>
      </c>
      <c r="G18" s="522">
        <f>+fixtariff2003*(1+Assumpt!$E$23)^(G5-Assumpt!$D$22)</f>
        <v>1.9757522896123676</v>
      </c>
      <c r="H18" s="522">
        <f>+fixtariff2003*(1+Assumpt!$E$23)^(H5-Assumpt!$D$22)</f>
        <v>2.0152673354046149</v>
      </c>
      <c r="I18" s="522">
        <f>+fixtariff2003*(1+Assumpt!$E$23)^(I5-Assumpt!$D$22)</f>
        <v>2.0555726821127074</v>
      </c>
      <c r="J18" s="522">
        <f>+fixtariff2003*(1+Assumpt!$E$23)^(J5-Assumpt!$D$22)</f>
        <v>2.0966841357549617</v>
      </c>
      <c r="K18" s="522">
        <f>+fixtariff2003*(1+Assumpt!$E$23)^(K5-Assumpt!$D$22)</f>
        <v>2.138617818470061</v>
      </c>
      <c r="L18" s="522">
        <f>+fixtariff2003*(1+Assumpt!$E$23)^(L5-Assumpt!$D$22)</f>
        <v>2.1813901748394615</v>
      </c>
      <c r="M18" s="522">
        <f>+fixtariff2003*(1+Assumpt!$E$23)^(M5-Assumpt!$D$22)</f>
        <v>2.2250179783362509</v>
      </c>
      <c r="N18" s="522">
        <f>+fixtariff2003*(1+Assumpt!$E$23)^(N5-Assumpt!$D$22)</f>
        <v>2.269518337902976</v>
      </c>
      <c r="O18" s="522">
        <f>+fixtariff2003*(1+Assumpt!$E$23)^(O5-Assumpt!$D$22)</f>
        <v>2.3149087046610357</v>
      </c>
      <c r="P18" s="522">
        <f>+fixtariff2003*(1+Assumpt!$E$23)^(P5-Assumpt!$D$22)</f>
        <v>2.3612068787542557</v>
      </c>
      <c r="Q18" s="522">
        <f>+fixtariff2003*(1+Assumpt!$E$23)^(Q5-Assumpt!$D$22)</f>
        <v>2.4084310163293416</v>
      </c>
      <c r="R18" s="522">
        <f>+fixtariff2003*(1+Assumpt!$E$23)^(R5-Assumpt!$D$22)</f>
        <v>2.4565996366559282</v>
      </c>
      <c r="S18" s="522">
        <f>+fixtariff2003*(1+Assumpt!$E$23)^(S5-Assumpt!$D$22)</f>
        <v>2.505731629389047</v>
      </c>
      <c r="T18" s="522">
        <f>+fixtariff2003*(1+Assumpt!$E$23)^(T5-Assumpt!$D$22)</f>
        <v>2.5558462619768272</v>
      </c>
      <c r="U18" s="522">
        <f>+fixtariff2003*(1+Assumpt!$E$23)^(U5-Assumpt!$D$22)</f>
        <v>2.6069631872163641</v>
      </c>
      <c r="V18" s="522">
        <f>+fixtariff2003*(1+Assumpt!$E$23)^(V5-Assumpt!$D$22)</f>
        <v>2.6591024509606918</v>
      </c>
      <c r="W18" s="522">
        <f>+fixtariff2003*(1+Assumpt!$E$23)^(W5-Assumpt!$D$22)</f>
        <v>2.7122844999799054</v>
      </c>
      <c r="X18" s="522">
        <f>+fixtariff2003*(1+Assumpt!$E$23)^(X5-Assumpt!$D$22)</f>
        <v>2.7665301899795032</v>
      </c>
      <c r="Y18" s="522">
        <f>+fixtariff2003*(1+Assumpt!$E$23)^(Y5-Assumpt!$D$22)</f>
        <v>2.8218607937790936</v>
      </c>
      <c r="Z18" s="522">
        <f>+fixtariff2003*(1+Assumpt!$E$23)^(Z5-Assumpt!$D$22)</f>
        <v>2.8782980096546753</v>
      </c>
      <c r="AA18" s="522">
        <f>+fixtariff2003*(1+Assumpt!$E$23)^(AA5-Assumpt!$D$22)</f>
        <v>2.9358639698477691</v>
      </c>
      <c r="AB18" s="522">
        <f>+fixtariff2003*(1+Assumpt!$E$23)^(AB5-Assumpt!$D$22)</f>
        <v>2.9945812492447237</v>
      </c>
      <c r="AC18" s="522">
        <f>+fixtariff2003*(1+Assumpt!$E$23)^(AC5-Assumpt!$D$22)</f>
        <v>3.0544728742296186</v>
      </c>
      <c r="AD18" s="522">
        <f>+fixtariff2003*(1+Assumpt!$E$23)^(AD5-Assumpt!$D$22)</f>
        <v>3.1155623317142105</v>
      </c>
      <c r="AE18" s="522">
        <f>+fixtariff2003*(1+Assumpt!$E$23)^(AE5-Assumpt!$D$22)</f>
        <v>3.1778735783484953</v>
      </c>
      <c r="AF18" s="523"/>
      <c r="AG18" s="432"/>
      <c r="AH18" s="432"/>
      <c r="AI18" s="432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</row>
    <row r="19" spans="1:54" ht="15" x14ac:dyDescent="0.35">
      <c r="A19" s="597" t="s">
        <v>84</v>
      </c>
      <c r="B19" s="156"/>
      <c r="C19" s="156"/>
      <c r="D19" s="156"/>
      <c r="E19" s="429">
        <f>+E18*E17</f>
        <v>17568.763848229246</v>
      </c>
      <c r="F19" s="429">
        <f t="shared" ref="F19:AE19" si="7">+F18*F17</f>
        <v>18068.1229716858</v>
      </c>
      <c r="G19" s="429">
        <f t="shared" si="7"/>
        <v>35428.601283146672</v>
      </c>
      <c r="H19" s="429">
        <f t="shared" si="7"/>
        <v>37258.899321438505</v>
      </c>
      <c r="I19" s="429">
        <f t="shared" si="7"/>
        <v>38176.075296470386</v>
      </c>
      <c r="J19" s="429">
        <f t="shared" si="7"/>
        <v>39656.604069672176</v>
      </c>
      <c r="K19" s="429">
        <f t="shared" si="7"/>
        <v>40706.48577464425</v>
      </c>
      <c r="L19" s="429">
        <f t="shared" si="7"/>
        <v>75264.051473329571</v>
      </c>
      <c r="M19" s="429">
        <f t="shared" si="7"/>
        <v>81553.250207261823</v>
      </c>
      <c r="N19" s="429">
        <f t="shared" si="7"/>
        <v>83820.066305330474</v>
      </c>
      <c r="O19" s="429">
        <f t="shared" si="7"/>
        <v>86313.366504590158</v>
      </c>
      <c r="P19" s="429">
        <f t="shared" si="7"/>
        <v>89671.747253414433</v>
      </c>
      <c r="Q19" s="429">
        <f t="shared" si="7"/>
        <v>91465.182198482755</v>
      </c>
      <c r="R19" s="429">
        <f t="shared" si="7"/>
        <v>93294.485842452399</v>
      </c>
      <c r="S19" s="429">
        <f t="shared" si="7"/>
        <v>95160.37555930145</v>
      </c>
      <c r="T19" s="429">
        <f t="shared" si="7"/>
        <v>0</v>
      </c>
      <c r="U19" s="429">
        <f t="shared" si="7"/>
        <v>0</v>
      </c>
      <c r="V19" s="429">
        <f t="shared" si="7"/>
        <v>0</v>
      </c>
      <c r="W19" s="429">
        <f t="shared" si="7"/>
        <v>0</v>
      </c>
      <c r="X19" s="429">
        <f t="shared" si="7"/>
        <v>0</v>
      </c>
      <c r="Y19" s="429">
        <f t="shared" si="7"/>
        <v>0</v>
      </c>
      <c r="Z19" s="429">
        <f t="shared" si="7"/>
        <v>0</v>
      </c>
      <c r="AA19" s="429">
        <f t="shared" si="7"/>
        <v>0</v>
      </c>
      <c r="AB19" s="429">
        <f t="shared" si="7"/>
        <v>0</v>
      </c>
      <c r="AC19" s="429">
        <f t="shared" si="7"/>
        <v>0</v>
      </c>
      <c r="AD19" s="429">
        <f t="shared" si="7"/>
        <v>0</v>
      </c>
      <c r="AE19" s="429">
        <f t="shared" si="7"/>
        <v>0</v>
      </c>
      <c r="AF19" s="525">
        <f>SUM(E19:AE19)</f>
        <v>923406.07790945028</v>
      </c>
      <c r="AG19" s="430"/>
      <c r="AH19" s="430"/>
      <c r="AI19" s="430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</row>
    <row r="20" spans="1:54" x14ac:dyDescent="0.2">
      <c r="A20" s="598"/>
      <c r="B20" s="156"/>
      <c r="C20" s="156"/>
      <c r="D20" s="156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31"/>
      <c r="AG20" s="428"/>
      <c r="AH20" s="428"/>
      <c r="AI20" s="428"/>
      <c r="AW20" s="44"/>
      <c r="AX20" s="44"/>
      <c r="AY20" s="44"/>
      <c r="AZ20" s="44"/>
      <c r="BA20" s="44"/>
      <c r="BB20" s="44"/>
    </row>
    <row r="21" spans="1:54" x14ac:dyDescent="0.2">
      <c r="A21" s="730" t="s">
        <v>105</v>
      </c>
      <c r="B21" s="156"/>
      <c r="C21" s="156"/>
      <c r="D21" s="156"/>
      <c r="E21" s="428">
        <f>E19</f>
        <v>17568.763848229246</v>
      </c>
      <c r="F21" s="428">
        <f t="shared" ref="F21:AE21" si="8">F19</f>
        <v>18068.1229716858</v>
      </c>
      <c r="G21" s="428">
        <f t="shared" si="8"/>
        <v>35428.601283146672</v>
      </c>
      <c r="H21" s="428">
        <f t="shared" si="8"/>
        <v>37258.899321438505</v>
      </c>
      <c r="I21" s="428">
        <f t="shared" si="8"/>
        <v>38176.075296470386</v>
      </c>
      <c r="J21" s="428">
        <f t="shared" si="8"/>
        <v>39656.604069672176</v>
      </c>
      <c r="K21" s="428">
        <f t="shared" si="8"/>
        <v>40706.48577464425</v>
      </c>
      <c r="L21" s="428">
        <f t="shared" si="8"/>
        <v>75264.051473329571</v>
      </c>
      <c r="M21" s="428">
        <f t="shared" si="8"/>
        <v>81553.250207261823</v>
      </c>
      <c r="N21" s="428">
        <f t="shared" si="8"/>
        <v>83820.066305330474</v>
      </c>
      <c r="O21" s="428">
        <f t="shared" si="8"/>
        <v>86313.366504590158</v>
      </c>
      <c r="P21" s="428">
        <f t="shared" si="8"/>
        <v>89671.747253414433</v>
      </c>
      <c r="Q21" s="428">
        <f t="shared" si="8"/>
        <v>91465.182198482755</v>
      </c>
      <c r="R21" s="428">
        <f t="shared" si="8"/>
        <v>93294.485842452399</v>
      </c>
      <c r="S21" s="428">
        <f t="shared" si="8"/>
        <v>95160.37555930145</v>
      </c>
      <c r="T21" s="428">
        <f t="shared" si="8"/>
        <v>0</v>
      </c>
      <c r="U21" s="428">
        <f t="shared" si="8"/>
        <v>0</v>
      </c>
      <c r="V21" s="428">
        <f t="shared" si="8"/>
        <v>0</v>
      </c>
      <c r="W21" s="428">
        <f t="shared" si="8"/>
        <v>0</v>
      </c>
      <c r="X21" s="428">
        <f t="shared" si="8"/>
        <v>0</v>
      </c>
      <c r="Y21" s="428">
        <f t="shared" si="8"/>
        <v>0</v>
      </c>
      <c r="Z21" s="428">
        <f t="shared" si="8"/>
        <v>0</v>
      </c>
      <c r="AA21" s="428">
        <f t="shared" si="8"/>
        <v>0</v>
      </c>
      <c r="AB21" s="428">
        <f t="shared" si="8"/>
        <v>0</v>
      </c>
      <c r="AC21" s="428">
        <f t="shared" si="8"/>
        <v>0</v>
      </c>
      <c r="AD21" s="428">
        <f t="shared" si="8"/>
        <v>0</v>
      </c>
      <c r="AE21" s="428">
        <f t="shared" si="8"/>
        <v>0</v>
      </c>
      <c r="AF21" s="525">
        <f>SUM(E21:AE21)</f>
        <v>923406.07790945028</v>
      </c>
      <c r="AG21" s="428"/>
      <c r="AH21" s="428"/>
      <c r="AI21" s="428"/>
      <c r="AW21" s="44"/>
      <c r="AX21" s="44"/>
      <c r="AY21" s="44"/>
      <c r="AZ21" s="44"/>
      <c r="BA21" s="44"/>
      <c r="BB21" s="44"/>
    </row>
    <row r="22" spans="1:54" x14ac:dyDescent="0.2">
      <c r="A22" s="598"/>
      <c r="B22" s="156"/>
      <c r="C22" s="156"/>
      <c r="D22" s="156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  <c r="X22" s="428"/>
      <c r="Y22" s="428"/>
      <c r="Z22" s="428"/>
      <c r="AA22" s="428"/>
      <c r="AB22" s="428"/>
      <c r="AC22" s="428"/>
      <c r="AD22" s="428"/>
      <c r="AE22" s="428"/>
      <c r="AF22" s="525"/>
      <c r="AG22" s="428"/>
      <c r="AH22" s="428"/>
      <c r="AI22" s="428"/>
      <c r="AW22" s="44"/>
      <c r="AX22" s="44"/>
      <c r="AY22" s="44"/>
      <c r="AZ22" s="44"/>
      <c r="BA22" s="44"/>
      <c r="BB22" s="44"/>
    </row>
    <row r="23" spans="1:54" x14ac:dyDescent="0.2">
      <c r="A23" s="533" t="s">
        <v>85</v>
      </c>
      <c r="B23" s="534"/>
      <c r="C23" s="534"/>
      <c r="D23" s="535"/>
      <c r="E23" s="536">
        <f>+E21</f>
        <v>17568.763848229246</v>
      </c>
      <c r="F23" s="536">
        <f t="shared" ref="F23:AE23" si="9">+F21</f>
        <v>18068.1229716858</v>
      </c>
      <c r="G23" s="536">
        <f t="shared" si="9"/>
        <v>35428.601283146672</v>
      </c>
      <c r="H23" s="536">
        <f t="shared" si="9"/>
        <v>37258.899321438505</v>
      </c>
      <c r="I23" s="536">
        <f t="shared" si="9"/>
        <v>38176.075296470386</v>
      </c>
      <c r="J23" s="536">
        <f t="shared" si="9"/>
        <v>39656.604069672176</v>
      </c>
      <c r="K23" s="536">
        <f t="shared" si="9"/>
        <v>40706.48577464425</v>
      </c>
      <c r="L23" s="536">
        <f t="shared" si="9"/>
        <v>75264.051473329571</v>
      </c>
      <c r="M23" s="536">
        <f t="shared" si="9"/>
        <v>81553.250207261823</v>
      </c>
      <c r="N23" s="536">
        <f t="shared" si="9"/>
        <v>83820.066305330474</v>
      </c>
      <c r="O23" s="536">
        <f t="shared" si="9"/>
        <v>86313.366504590158</v>
      </c>
      <c r="P23" s="536">
        <f t="shared" si="9"/>
        <v>89671.747253414433</v>
      </c>
      <c r="Q23" s="536">
        <f t="shared" si="9"/>
        <v>91465.182198482755</v>
      </c>
      <c r="R23" s="536">
        <f t="shared" si="9"/>
        <v>93294.485842452399</v>
      </c>
      <c r="S23" s="536">
        <f t="shared" si="9"/>
        <v>95160.37555930145</v>
      </c>
      <c r="T23" s="536">
        <f t="shared" si="9"/>
        <v>0</v>
      </c>
      <c r="U23" s="536">
        <f t="shared" si="9"/>
        <v>0</v>
      </c>
      <c r="V23" s="536">
        <f t="shared" si="9"/>
        <v>0</v>
      </c>
      <c r="W23" s="536">
        <f t="shared" si="9"/>
        <v>0</v>
      </c>
      <c r="X23" s="536">
        <f t="shared" si="9"/>
        <v>0</v>
      </c>
      <c r="Y23" s="536">
        <f t="shared" si="9"/>
        <v>0</v>
      </c>
      <c r="Z23" s="536">
        <f t="shared" si="9"/>
        <v>0</v>
      </c>
      <c r="AA23" s="536">
        <f t="shared" si="9"/>
        <v>0</v>
      </c>
      <c r="AB23" s="536">
        <f t="shared" si="9"/>
        <v>0</v>
      </c>
      <c r="AC23" s="536">
        <f t="shared" si="9"/>
        <v>0</v>
      </c>
      <c r="AD23" s="536">
        <f t="shared" si="9"/>
        <v>0</v>
      </c>
      <c r="AE23" s="536">
        <f t="shared" si="9"/>
        <v>0</v>
      </c>
      <c r="AF23" s="537">
        <f>SUM(E23:AE23)</f>
        <v>923406.07790945028</v>
      </c>
      <c r="AG23" s="356"/>
      <c r="AH23" s="324"/>
      <c r="AI23" s="324"/>
      <c r="AJ23" s="324"/>
      <c r="AK23" s="324"/>
      <c r="AL23" s="324"/>
      <c r="AM23" s="324"/>
      <c r="AN23" s="324"/>
      <c r="AO23" s="324"/>
      <c r="AP23" s="324"/>
      <c r="AQ23" s="324"/>
      <c r="AR23" s="324"/>
      <c r="AS23" s="324"/>
      <c r="AT23" s="324"/>
      <c r="AU23" s="198"/>
      <c r="AV23" s="198"/>
      <c r="AW23" s="198"/>
      <c r="AX23" s="198"/>
      <c r="AY23" s="198"/>
      <c r="AZ23" s="198"/>
      <c r="BA23" s="198"/>
      <c r="BB23" s="44"/>
    </row>
    <row r="24" spans="1:54" s="346" customFormat="1" x14ac:dyDescent="0.2">
      <c r="A24" s="538" t="s">
        <v>230</v>
      </c>
      <c r="B24" s="539"/>
      <c r="C24" s="539"/>
      <c r="D24" s="540"/>
      <c r="E24" s="541">
        <f t="shared" ref="E24:AE24" si="10">IF(ISERROR(E23/E13),0,E23/E13)</f>
        <v>1.8990314202348786</v>
      </c>
      <c r="F24" s="541">
        <f t="shared" si="10"/>
        <v>1.9370120486395763</v>
      </c>
      <c r="G24" s="541">
        <f t="shared" si="10"/>
        <v>1.9757522896123676</v>
      </c>
      <c r="H24" s="541">
        <f t="shared" si="10"/>
        <v>2.0152673354046149</v>
      </c>
      <c r="I24" s="541">
        <f t="shared" si="10"/>
        <v>2.0555726821127074</v>
      </c>
      <c r="J24" s="541">
        <f t="shared" si="10"/>
        <v>2.0966841357549617</v>
      </c>
      <c r="K24" s="541">
        <f t="shared" si="10"/>
        <v>2.138617818470061</v>
      </c>
      <c r="L24" s="541">
        <f t="shared" si="10"/>
        <v>2.1813901748394615</v>
      </c>
      <c r="M24" s="541">
        <f t="shared" si="10"/>
        <v>2.2250179783362509</v>
      </c>
      <c r="N24" s="541">
        <f t="shared" si="10"/>
        <v>2.269518337902976</v>
      </c>
      <c r="O24" s="541">
        <f t="shared" si="10"/>
        <v>2.3149087046610357</v>
      </c>
      <c r="P24" s="541">
        <f t="shared" si="10"/>
        <v>2.3612068787542557</v>
      </c>
      <c r="Q24" s="541">
        <f t="shared" si="10"/>
        <v>2.4084310163293416</v>
      </c>
      <c r="R24" s="541">
        <f t="shared" si="10"/>
        <v>2.4565996366559282</v>
      </c>
      <c r="S24" s="541">
        <f t="shared" si="10"/>
        <v>2.505731629389047</v>
      </c>
      <c r="T24" s="541">
        <f t="shared" si="10"/>
        <v>0</v>
      </c>
      <c r="U24" s="541">
        <f t="shared" si="10"/>
        <v>0</v>
      </c>
      <c r="V24" s="541">
        <f t="shared" si="10"/>
        <v>0</v>
      </c>
      <c r="W24" s="541">
        <f t="shared" si="10"/>
        <v>0</v>
      </c>
      <c r="X24" s="541">
        <f t="shared" si="10"/>
        <v>0</v>
      </c>
      <c r="Y24" s="541">
        <f t="shared" si="10"/>
        <v>0</v>
      </c>
      <c r="Z24" s="541">
        <f t="shared" si="10"/>
        <v>0</v>
      </c>
      <c r="AA24" s="541">
        <f t="shared" si="10"/>
        <v>0</v>
      </c>
      <c r="AB24" s="541">
        <f t="shared" si="10"/>
        <v>0</v>
      </c>
      <c r="AC24" s="541">
        <f t="shared" si="10"/>
        <v>0</v>
      </c>
      <c r="AD24" s="541">
        <f t="shared" si="10"/>
        <v>0</v>
      </c>
      <c r="AE24" s="541">
        <f t="shared" si="10"/>
        <v>0</v>
      </c>
      <c r="AF24" s="542"/>
      <c r="AG24" s="531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1"/>
      <c r="AV24" s="321"/>
      <c r="AW24" s="321"/>
      <c r="AX24" s="321"/>
      <c r="AY24" s="321"/>
      <c r="AZ24" s="321"/>
      <c r="BA24" s="321"/>
      <c r="BB24" s="321"/>
    </row>
    <row r="25" spans="1:54" s="346" customFormat="1" x14ac:dyDescent="0.2">
      <c r="A25" s="331"/>
      <c r="D25" s="528"/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30"/>
      <c r="AG25" s="531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1"/>
      <c r="AV25" s="321"/>
      <c r="AW25" s="321"/>
      <c r="AX25" s="321"/>
      <c r="AY25" s="321"/>
      <c r="AZ25" s="321"/>
      <c r="BA25" s="321"/>
      <c r="BB25" s="321"/>
    </row>
    <row r="26" spans="1:54" x14ac:dyDescent="0.2">
      <c r="A26" s="206" t="s">
        <v>86</v>
      </c>
      <c r="B26" s="231"/>
      <c r="C26" s="231"/>
      <c r="D26" s="231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359"/>
      <c r="AG26" s="356"/>
      <c r="AH26" s="324"/>
      <c r="AI26" s="324"/>
      <c r="AJ26" s="324"/>
      <c r="AK26" s="324"/>
      <c r="AL26" s="324"/>
      <c r="AM26" s="324"/>
      <c r="AN26" s="324"/>
      <c r="AO26" s="324"/>
      <c r="AP26" s="324"/>
      <c r="AQ26" s="324"/>
      <c r="AR26" s="324"/>
      <c r="AS26" s="324"/>
      <c r="AT26" s="324"/>
      <c r="AU26" s="198"/>
      <c r="AV26" s="198"/>
      <c r="AW26" s="198"/>
      <c r="AX26" s="198"/>
      <c r="AY26" s="198"/>
      <c r="AZ26" s="198"/>
      <c r="BA26" s="198"/>
      <c r="BB26" s="44"/>
    </row>
    <row r="27" spans="1:54" x14ac:dyDescent="0.2">
      <c r="A27" s="572" t="str">
        <f>+Assumpt!A36</f>
        <v>O&amp;M</v>
      </c>
      <c r="B27" s="231"/>
      <c r="C27" s="231"/>
      <c r="D27" s="231"/>
      <c r="E27" s="83">
        <f>+Assumpt!$C36*(1+Assumpt!$E36)^(E$5-Assumpt!$C$35)*E$6/12</f>
        <v>7035.8090400000001</v>
      </c>
      <c r="F27" s="83">
        <f>+Assumpt!$C36*(1+Assumpt!$E36)^(F$5-Assumpt!$C$35)*F$6/12</f>
        <v>7176.5252207999993</v>
      </c>
      <c r="G27" s="83">
        <f>+Assumpt!$C36*(1+Assumpt!$E36)^(G$5-Assumpt!$C$35)*G$6/12</f>
        <v>7320.0557252160006</v>
      </c>
      <c r="H27" s="83">
        <f>+Assumpt!$C36*(1+Assumpt!$E36)^(H$5-Assumpt!$C$35)*H$6/12</f>
        <v>7466.4568397203184</v>
      </c>
      <c r="I27" s="83">
        <f>+Assumpt!$C36*(1+Assumpt!$E36)^(I$5-Assumpt!$C$35)*I$6/12</f>
        <v>7615.7859765147259</v>
      </c>
      <c r="J27" s="83">
        <f>+Assumpt!$C36*(1+Assumpt!$E36)^(J$5-Assumpt!$C$35)*J$6/12</f>
        <v>7768.1016960450206</v>
      </c>
      <c r="K27" s="83">
        <f>+Assumpt!$C36*(1+Assumpt!$E36)^(K$5-Assumpt!$C$35)*K$6/12</f>
        <v>7923.4637299659216</v>
      </c>
      <c r="L27" s="83">
        <f>+Assumpt!$C36*(1+Assumpt!$E36)^(L$5-Assumpt!$C$35)*L$6/12</f>
        <v>8081.9330045652378</v>
      </c>
      <c r="M27" s="83">
        <f>+Assumpt!$C36*(1+Assumpt!$E36)^(M$5-Assumpt!$C$35)*M$6/12</f>
        <v>8243.5716646565434</v>
      </c>
      <c r="N27" s="83">
        <f>+Assumpt!$C36*(1+Assumpt!$E36)^(N$5-Assumpt!$C$35)*N$6/12</f>
        <v>8408.4430979496738</v>
      </c>
      <c r="O27" s="83">
        <f>+Assumpt!$C36*(1+Assumpt!$E36)^(O$5-Assumpt!$C$35)*O$6/12</f>
        <v>8576.6119599086687</v>
      </c>
      <c r="P27" s="83">
        <f>+Assumpt!$C36*(1+Assumpt!$E36)^(P$5-Assumpt!$C$35)*P$6/12</f>
        <v>8748.1441991068405</v>
      </c>
      <c r="Q27" s="83">
        <f>+Assumpt!$C36*(1+Assumpt!$E36)^(Q$5-Assumpt!$C$35)*Q$6/12</f>
        <v>8923.1070830889785</v>
      </c>
      <c r="R27" s="83">
        <f>+Assumpt!$C36*(1+Assumpt!$E36)^(R$5-Assumpt!$C$35)*R$6/12</f>
        <v>9101.5692247507577</v>
      </c>
      <c r="S27" s="83">
        <f>+Assumpt!$C36*(1+Assumpt!$E36)^(S$5-Assumpt!$C$35)*S$6/12</f>
        <v>9283.6006092457719</v>
      </c>
      <c r="T27" s="83">
        <f>+Assumpt!$C36*(1+Assumpt!$E36)^(T$5-Assumpt!$C$35)*T$6/12</f>
        <v>0</v>
      </c>
      <c r="U27" s="83">
        <f>+Assumpt!$C36*(1+Assumpt!$E36)^(U$5-Assumpt!$C$35)*U$6/12</f>
        <v>0</v>
      </c>
      <c r="V27" s="83">
        <f>+Assumpt!$C36*(1+Assumpt!$E36)^(V$5-Assumpt!$C$35)*V$6/12</f>
        <v>0</v>
      </c>
      <c r="W27" s="83">
        <f>+Assumpt!$C36*(1+Assumpt!$E36)^(W$5-Assumpt!$C$35)*W$6/12</f>
        <v>0</v>
      </c>
      <c r="X27" s="83">
        <f>+Assumpt!$C36*(1+Assumpt!$E36)^(X$5-Assumpt!$C$35)*X$6/12</f>
        <v>0</v>
      </c>
      <c r="Y27" s="83">
        <f>+Assumpt!$C36*(1+Assumpt!$E36)^(Y$5-Assumpt!$C$35)*Y$6/12</f>
        <v>0</v>
      </c>
      <c r="Z27" s="83">
        <f>+Assumpt!$C36*(1+Assumpt!$E36)^(Z$5-Assumpt!$C$35)*Z$6/12</f>
        <v>0</v>
      </c>
      <c r="AA27" s="83">
        <f>+Assumpt!$C36*(1+Assumpt!$E36)^(AA$5-Assumpt!$C$35)*AA$6/12</f>
        <v>0</v>
      </c>
      <c r="AB27" s="83">
        <f>+Assumpt!$C36*(1+Assumpt!$E36)^(AB$5-Assumpt!$C$35)*AB$6/12</f>
        <v>0</v>
      </c>
      <c r="AC27" s="83">
        <f>+Assumpt!$C36*(1+Assumpt!$E36)^(AC$5-Assumpt!$C$35)*AC$6/12</f>
        <v>0</v>
      </c>
      <c r="AD27" s="83">
        <f>+Assumpt!$C36*(1+Assumpt!$E36)^(AD$5-Assumpt!$C$35)*AD$6/12</f>
        <v>0</v>
      </c>
      <c r="AE27" s="83">
        <f>+Assumpt!$C36*(1+Assumpt!$E36)^(AE$5-Assumpt!$C$35)*AE$6/12</f>
        <v>0</v>
      </c>
      <c r="AF27" s="525">
        <f t="shared" ref="AF27:AF39" si="11">SUM(E27:AE27)</f>
        <v>121673.17907153445</v>
      </c>
      <c r="AG27" s="356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198"/>
      <c r="AV27" s="198"/>
      <c r="AW27" s="198"/>
      <c r="AX27" s="198"/>
      <c r="AY27" s="198"/>
      <c r="AZ27" s="198"/>
      <c r="BA27" s="198"/>
      <c r="BB27" s="44"/>
    </row>
    <row r="28" spans="1:54" x14ac:dyDescent="0.2">
      <c r="A28" s="572" t="str">
        <f>+Assumpt!A37</f>
        <v>Purch. Power</v>
      </c>
      <c r="B28" s="231"/>
      <c r="C28" s="231"/>
      <c r="D28" s="231"/>
      <c r="E28" s="83">
        <f>+Assumpt!$C37*(1+Assumpt!$E37)^(E$5-Assumpt!$C$35)*E$6/12</f>
        <v>1472.1077376000001</v>
      </c>
      <c r="F28" s="83">
        <f>+Assumpt!$C37*(1+Assumpt!$E37)^(F$5-Assumpt!$C$35)*F$6/12</f>
        <v>1501.5498923519999</v>
      </c>
      <c r="G28" s="83">
        <f>+Assumpt!$C37*(1+Assumpt!$E37)^(G$5-Assumpt!$C$35)*G$6/12</f>
        <v>1531.5808901990401</v>
      </c>
      <c r="H28" s="83">
        <f>+Assumpt!$C37*(1+Assumpt!$E37)^(H$5-Assumpt!$C$35)*H$6/12</f>
        <v>1562.2125080030207</v>
      </c>
      <c r="I28" s="83">
        <f>+Assumpt!$C37*(1+Assumpt!$E37)^(I$5-Assumpt!$C$35)*I$6/12</f>
        <v>1593.4567581630811</v>
      </c>
      <c r="J28" s="83">
        <f>+Assumpt!$C37*(1+Assumpt!$E37)^(J$5-Assumpt!$C$35)*J$6/12</f>
        <v>1625.325893326343</v>
      </c>
      <c r="K28" s="83">
        <f>+Assumpt!$C37*(1+Assumpt!$E37)^(K$5-Assumpt!$C$35)*K$6/12</f>
        <v>1657.8324111928696</v>
      </c>
      <c r="L28" s="83">
        <f>+Assumpt!$C37*(1+Assumpt!$E37)^(L$5-Assumpt!$C$35)*L$6/12</f>
        <v>1690.9890594167271</v>
      </c>
      <c r="M28" s="83">
        <f>+Assumpt!$C37*(1+Assumpt!$E37)^(M$5-Assumpt!$C$35)*M$6/12</f>
        <v>1724.8088406050617</v>
      </c>
      <c r="N28" s="83">
        <f>+Assumpt!$C37*(1+Assumpt!$E37)^(N$5-Assumpt!$C$35)*N$6/12</f>
        <v>1759.3050174171628</v>
      </c>
      <c r="O28" s="83">
        <f>+Assumpt!$C37*(1+Assumpt!$E37)^(O$5-Assumpt!$C$35)*O$6/12</f>
        <v>1794.491117765506</v>
      </c>
      <c r="P28" s="83">
        <f>+Assumpt!$C37*(1+Assumpt!$E37)^(P$5-Assumpt!$C$35)*P$6/12</f>
        <v>1830.3809401208157</v>
      </c>
      <c r="Q28" s="83">
        <f>+Assumpt!$C37*(1+Assumpt!$E37)^(Q$5-Assumpt!$C$35)*Q$6/12</f>
        <v>1866.9885589232324</v>
      </c>
      <c r="R28" s="83">
        <f>+Assumpt!$C37*(1+Assumpt!$E37)^(R$5-Assumpt!$C$35)*R$6/12</f>
        <v>1904.3283301016972</v>
      </c>
      <c r="S28" s="83">
        <f>+Assumpt!$C37*(1+Assumpt!$E37)^(S$5-Assumpt!$C$35)*S$6/12</f>
        <v>1942.4148967037308</v>
      </c>
      <c r="T28" s="83">
        <f>+Assumpt!$C37*(1+Assumpt!$E37)^(T$5-Assumpt!$C$35)*T$6/12</f>
        <v>0</v>
      </c>
      <c r="U28" s="83">
        <f>+Assumpt!$C37*(1+Assumpt!$E37)^(U$5-Assumpt!$C$35)*U$6/12</f>
        <v>0</v>
      </c>
      <c r="V28" s="83">
        <f>+Assumpt!$C37*(1+Assumpt!$E37)^(V$5-Assumpt!$C$35)*V$6/12</f>
        <v>0</v>
      </c>
      <c r="W28" s="83">
        <f>+Assumpt!$C37*(1+Assumpt!$E37)^(W$5-Assumpt!$C$35)*W$6/12</f>
        <v>0</v>
      </c>
      <c r="X28" s="83">
        <f>+Assumpt!$C37*(1+Assumpt!$E37)^(X$5-Assumpt!$C$35)*X$6/12</f>
        <v>0</v>
      </c>
      <c r="Y28" s="83">
        <f>+Assumpt!$C37*(1+Assumpt!$E37)^(Y$5-Assumpt!$C$35)*Y$6/12</f>
        <v>0</v>
      </c>
      <c r="Z28" s="83">
        <f>+Assumpt!$C37*(1+Assumpt!$E37)^(Z$5-Assumpt!$C$35)*Z$6/12</f>
        <v>0</v>
      </c>
      <c r="AA28" s="83">
        <f>+Assumpt!$C37*(1+Assumpt!$E37)^(AA$5-Assumpt!$C$35)*AA$6/12</f>
        <v>0</v>
      </c>
      <c r="AB28" s="83">
        <f>+Assumpt!$C37*(1+Assumpt!$E37)^(AB$5-Assumpt!$C$35)*AB$6/12</f>
        <v>0</v>
      </c>
      <c r="AC28" s="83">
        <f>+Assumpt!$C37*(1+Assumpt!$E37)^(AC$5-Assumpt!$C$35)*AC$6/12</f>
        <v>0</v>
      </c>
      <c r="AD28" s="83">
        <f>+Assumpt!$C37*(1+Assumpt!$E37)^(AD$5-Assumpt!$C$35)*AD$6/12</f>
        <v>0</v>
      </c>
      <c r="AE28" s="83">
        <f>+Assumpt!$C37*(1+Assumpt!$E37)^(AE$5-Assumpt!$C$35)*AE$6/12</f>
        <v>0</v>
      </c>
      <c r="AF28" s="525">
        <f t="shared" si="11"/>
        <v>25457.772851890288</v>
      </c>
      <c r="AG28" s="356"/>
      <c r="AH28" s="324"/>
      <c r="AI28" s="324"/>
      <c r="AJ28" s="324"/>
      <c r="AK28" s="324"/>
      <c r="AL28" s="324"/>
      <c r="AM28" s="324"/>
      <c r="AN28" s="324"/>
      <c r="AO28" s="324"/>
      <c r="AP28" s="324"/>
      <c r="AQ28" s="324"/>
      <c r="AR28" s="324"/>
      <c r="AS28" s="324"/>
      <c r="AT28" s="324"/>
      <c r="AU28" s="198"/>
      <c r="AV28" s="198"/>
      <c r="AW28" s="198"/>
      <c r="AX28" s="198"/>
      <c r="AY28" s="198"/>
      <c r="AZ28" s="198"/>
      <c r="BA28" s="198"/>
      <c r="BB28" s="44"/>
    </row>
    <row r="29" spans="1:54" x14ac:dyDescent="0.2">
      <c r="A29" s="572" t="str">
        <f>+Assumpt!A38</f>
        <v>Insurance</v>
      </c>
      <c r="B29" s="231"/>
      <c r="C29" s="231"/>
      <c r="D29" s="231"/>
      <c r="E29" s="83">
        <f>+Assumpt!$C38*(1+Assumpt!$E38)^(E$5-Assumpt!$C$35)*E$6/12</f>
        <v>1623.6482399999998</v>
      </c>
      <c r="F29" s="83">
        <f>+Assumpt!$C38*(1+Assumpt!$E38)^(F$5-Assumpt!$C$35)*F$6/12</f>
        <v>1656.1212048</v>
      </c>
      <c r="G29" s="83">
        <f>+Assumpt!$C38*(1+Assumpt!$E38)^(G$5-Assumpt!$C$35)*G$6/12</f>
        <v>1689.243628896</v>
      </c>
      <c r="H29" s="83">
        <f>+Assumpt!$C38*(1+Assumpt!$E38)^(H$5-Assumpt!$C$35)*H$6/12</f>
        <v>1723.0285014739195</v>
      </c>
      <c r="I29" s="83">
        <f>+Assumpt!$C38*(1+Assumpt!$E38)^(I$5-Assumpt!$C$35)*I$6/12</f>
        <v>1757.4890715033982</v>
      </c>
      <c r="J29" s="83">
        <f>+Assumpt!$C38*(1+Assumpt!$E38)^(J$5-Assumpt!$C$35)*J$6/12</f>
        <v>1792.6388529334663</v>
      </c>
      <c r="K29" s="83">
        <f>+Assumpt!$C38*(1+Assumpt!$E38)^(K$5-Assumpt!$C$35)*K$6/12</f>
        <v>1828.4916299921358</v>
      </c>
      <c r="L29" s="83">
        <f>+Assumpt!$C38*(1+Assumpt!$E38)^(L$5-Assumpt!$C$35)*L$6/12</f>
        <v>1865.0614625919779</v>
      </c>
      <c r="M29" s="83">
        <f>+Assumpt!$C38*(1+Assumpt!$E38)^(M$5-Assumpt!$C$35)*M$6/12</f>
        <v>1902.3626918438179</v>
      </c>
      <c r="N29" s="83">
        <f>+Assumpt!$C38*(1+Assumpt!$E38)^(N$5-Assumpt!$C$35)*N$6/12</f>
        <v>1940.4099456806941</v>
      </c>
      <c r="O29" s="83">
        <f>+Assumpt!$C38*(1+Assumpt!$E38)^(O$5-Assumpt!$C$35)*O$6/12</f>
        <v>1979.2181445943081</v>
      </c>
      <c r="P29" s="83">
        <f>+Assumpt!$C38*(1+Assumpt!$E38)^(P$5-Assumpt!$C$35)*P$6/12</f>
        <v>2018.8025074861937</v>
      </c>
      <c r="Q29" s="83">
        <f>+Assumpt!$C38*(1+Assumpt!$E38)^(Q$5-Assumpt!$C$35)*Q$6/12</f>
        <v>2059.178557635918</v>
      </c>
      <c r="R29" s="83">
        <f>+Assumpt!$C38*(1+Assumpt!$E38)^(R$5-Assumpt!$C$35)*R$6/12</f>
        <v>2100.3621287886367</v>
      </c>
      <c r="S29" s="83">
        <f>+Assumpt!$C38*(1+Assumpt!$E38)^(S$5-Assumpt!$C$35)*S$6/12</f>
        <v>2142.3693713644093</v>
      </c>
      <c r="T29" s="83">
        <f>+Assumpt!$C38*(1+Assumpt!$E38)^(T$5-Assumpt!$C$35)*T$6/12</f>
        <v>0</v>
      </c>
      <c r="U29" s="83">
        <f>+Assumpt!$C38*(1+Assumpt!$E38)^(U$5-Assumpt!$C$35)*U$6/12</f>
        <v>0</v>
      </c>
      <c r="V29" s="83">
        <f>+Assumpt!$C38*(1+Assumpt!$E38)^(V$5-Assumpt!$C$35)*V$6/12</f>
        <v>0</v>
      </c>
      <c r="W29" s="83">
        <f>+Assumpt!$C38*(1+Assumpt!$E38)^(W$5-Assumpt!$C$35)*W$6/12</f>
        <v>0</v>
      </c>
      <c r="X29" s="83">
        <f>+Assumpt!$C38*(1+Assumpt!$E38)^(X$5-Assumpt!$C$35)*X$6/12</f>
        <v>0</v>
      </c>
      <c r="Y29" s="83">
        <f>+Assumpt!$C38*(1+Assumpt!$E38)^(Y$5-Assumpt!$C$35)*Y$6/12</f>
        <v>0</v>
      </c>
      <c r="Z29" s="83">
        <f>+Assumpt!$C38*(1+Assumpt!$E38)^(Z$5-Assumpt!$C$35)*Z$6/12</f>
        <v>0</v>
      </c>
      <c r="AA29" s="83">
        <f>+Assumpt!$C38*(1+Assumpt!$E38)^(AA$5-Assumpt!$C$35)*AA$6/12</f>
        <v>0</v>
      </c>
      <c r="AB29" s="83">
        <f>+Assumpt!$C38*(1+Assumpt!$E38)^(AB$5-Assumpt!$C$35)*AB$6/12</f>
        <v>0</v>
      </c>
      <c r="AC29" s="83">
        <f>+Assumpt!$C38*(1+Assumpt!$E38)^(AC$5-Assumpt!$C$35)*AC$6/12</f>
        <v>0</v>
      </c>
      <c r="AD29" s="83">
        <f>+Assumpt!$C38*(1+Assumpt!$E38)^(AD$5-Assumpt!$C$35)*AD$6/12</f>
        <v>0</v>
      </c>
      <c r="AE29" s="83">
        <f>+Assumpt!$C38*(1+Assumpt!$E38)^(AE$5-Assumpt!$C$35)*AE$6/12</f>
        <v>0</v>
      </c>
      <c r="AF29" s="525">
        <f t="shared" si="11"/>
        <v>28078.425939584879</v>
      </c>
      <c r="AG29" s="8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44"/>
      <c r="AV29" s="44"/>
      <c r="AW29" s="44"/>
      <c r="AX29" s="44"/>
      <c r="AY29" s="44"/>
      <c r="AZ29" s="44"/>
      <c r="BA29" s="44"/>
      <c r="BB29" s="44"/>
    </row>
    <row r="30" spans="1:54" x14ac:dyDescent="0.2">
      <c r="A30" s="572" t="str">
        <f>+Assumpt!A39</f>
        <v>Other</v>
      </c>
      <c r="B30" s="231"/>
      <c r="C30" s="231"/>
      <c r="D30" s="231"/>
      <c r="E30" s="83">
        <f>+Assumpt!$C39*(1+Assumpt!$E39)^(E$5-Assumpt!$C$35)*E$6/12</f>
        <v>0</v>
      </c>
      <c r="F30" s="83">
        <f>+Assumpt!$C39*(1+Assumpt!$E39)^(F$5-Assumpt!$C$35)*F$6/12</f>
        <v>0</v>
      </c>
      <c r="G30" s="83">
        <f>+Assumpt!$C39*(1+Assumpt!$E39)^(G$5-Assumpt!$C$35)*G$6/12</f>
        <v>0</v>
      </c>
      <c r="H30" s="83">
        <f>+Assumpt!$C39*(1+Assumpt!$E39)^(H$5-Assumpt!$C$35)*H$6/12</f>
        <v>0</v>
      </c>
      <c r="I30" s="83">
        <f>+Assumpt!$C39*(1+Assumpt!$E39)^(I$5-Assumpt!$C$35)*I$6/12</f>
        <v>0</v>
      </c>
      <c r="J30" s="83">
        <f>+Assumpt!$C39*(1+Assumpt!$E39)^(J$5-Assumpt!$C$35)*J$6/12</f>
        <v>0</v>
      </c>
      <c r="K30" s="83">
        <f>+Assumpt!$C39*(1+Assumpt!$E39)^(K$5-Assumpt!$C$35)*K$6/12</f>
        <v>0</v>
      </c>
      <c r="L30" s="83">
        <f>+Assumpt!$C39*(1+Assumpt!$E39)^(L$5-Assumpt!$C$35)*L$6/12</f>
        <v>0</v>
      </c>
      <c r="M30" s="83">
        <f>+Assumpt!$C39*(1+Assumpt!$E39)^(M$5-Assumpt!$C$35)*M$6/12</f>
        <v>0</v>
      </c>
      <c r="N30" s="83">
        <f>+Assumpt!$C39*(1+Assumpt!$E39)^(N$5-Assumpt!$C$35)*N$6/12</f>
        <v>0</v>
      </c>
      <c r="O30" s="83">
        <f>+Assumpt!$C39*(1+Assumpt!$E39)^(O$5-Assumpt!$C$35)*O$6/12</f>
        <v>0</v>
      </c>
      <c r="P30" s="83">
        <f>+Assumpt!$C39*(1+Assumpt!$E39)^(P$5-Assumpt!$C$35)*P$6/12</f>
        <v>0</v>
      </c>
      <c r="Q30" s="83">
        <f>+Assumpt!$C39*(1+Assumpt!$E39)^(Q$5-Assumpt!$C$35)*Q$6/12</f>
        <v>0</v>
      </c>
      <c r="R30" s="83">
        <f>+Assumpt!$C39*(1+Assumpt!$E39)^(R$5-Assumpt!$C$35)*R$6/12</f>
        <v>0</v>
      </c>
      <c r="S30" s="83">
        <f>+Assumpt!$C39*(1+Assumpt!$E39)^(S$5-Assumpt!$C$35)*S$6/12</f>
        <v>0</v>
      </c>
      <c r="T30" s="83">
        <f>+Assumpt!$C39*(1+Assumpt!$E39)^(T$5-Assumpt!$C$35)*T$6/12</f>
        <v>0</v>
      </c>
      <c r="U30" s="83">
        <f>+Assumpt!$C39*(1+Assumpt!$E39)^(U$5-Assumpt!$C$35)*U$6/12</f>
        <v>0</v>
      </c>
      <c r="V30" s="83">
        <f>+Assumpt!$C39*(1+Assumpt!$E39)^(V$5-Assumpt!$C$35)*V$6/12</f>
        <v>0</v>
      </c>
      <c r="W30" s="83">
        <f>+Assumpt!$C39*(1+Assumpt!$E39)^(W$5-Assumpt!$C$35)*W$6/12</f>
        <v>0</v>
      </c>
      <c r="X30" s="83">
        <f>+Assumpt!$C39*(1+Assumpt!$E39)^(X$5-Assumpt!$C$35)*X$6/12</f>
        <v>0</v>
      </c>
      <c r="Y30" s="83">
        <f>+Assumpt!$C39*(1+Assumpt!$E39)^(Y$5-Assumpt!$C$35)*Y$6/12</f>
        <v>0</v>
      </c>
      <c r="Z30" s="83">
        <f>+Assumpt!$C39*(1+Assumpt!$E39)^(Z$5-Assumpt!$C$35)*Z$6/12</f>
        <v>0</v>
      </c>
      <c r="AA30" s="83">
        <f>+Assumpt!$C39*(1+Assumpt!$E39)^(AA$5-Assumpt!$C$35)*AA$6/12</f>
        <v>0</v>
      </c>
      <c r="AB30" s="83">
        <f>+Assumpt!$C39*(1+Assumpt!$E39)^(AB$5-Assumpt!$C$35)*AB$6/12</f>
        <v>0</v>
      </c>
      <c r="AC30" s="83">
        <f>+Assumpt!$C39*(1+Assumpt!$E39)^(AC$5-Assumpt!$C$35)*AC$6/12</f>
        <v>0</v>
      </c>
      <c r="AD30" s="83">
        <f>+Assumpt!$C39*(1+Assumpt!$E39)^(AD$5-Assumpt!$C$35)*AD$6/12</f>
        <v>0</v>
      </c>
      <c r="AE30" s="83">
        <f>+Assumpt!$C39*(1+Assumpt!$E39)^(AE$5-Assumpt!$C$35)*AE$6/12</f>
        <v>0</v>
      </c>
      <c r="AF30" s="525">
        <f t="shared" si="11"/>
        <v>0</v>
      </c>
      <c r="AG30" s="8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44"/>
      <c r="AV30" s="44"/>
      <c r="AW30" s="44"/>
      <c r="AX30" s="44"/>
      <c r="AY30" s="44"/>
      <c r="AZ30" s="44"/>
      <c r="BA30" s="44"/>
      <c r="BB30" s="44"/>
    </row>
    <row r="31" spans="1:54" x14ac:dyDescent="0.2">
      <c r="A31" s="572" t="str">
        <f>+Assumpt!A40</f>
        <v>Other</v>
      </c>
      <c r="B31" s="231"/>
      <c r="C31" s="231"/>
      <c r="D31" s="231"/>
      <c r="E31" s="83">
        <f>+Assumpt!$C40*(1+Assumpt!$E40)^(E$5-Assumpt!$C$35)*E$6/12</f>
        <v>0</v>
      </c>
      <c r="F31" s="83">
        <f>+Assumpt!$C40*(1+Assumpt!$E40)^(F$5-Assumpt!$C$35)*F$6/12</f>
        <v>0</v>
      </c>
      <c r="G31" s="83">
        <f>+Assumpt!$C40*(1+Assumpt!$E40)^(G$5-Assumpt!$C$35)*G$6/12</f>
        <v>0</v>
      </c>
      <c r="H31" s="83">
        <f>+Assumpt!$C40*(1+Assumpt!$E40)^(H$5-Assumpt!$C$35)*H$6/12</f>
        <v>0</v>
      </c>
      <c r="I31" s="83">
        <f>+Assumpt!$C40*(1+Assumpt!$E40)^(I$5-Assumpt!$C$35)*I$6/12</f>
        <v>0</v>
      </c>
      <c r="J31" s="83">
        <f>+Assumpt!$C40*(1+Assumpt!$E40)^(J$5-Assumpt!$C$35)*J$6/12</f>
        <v>0</v>
      </c>
      <c r="K31" s="83">
        <f>+Assumpt!$C40*(1+Assumpt!$E40)^(K$5-Assumpt!$C$35)*K$6/12</f>
        <v>0</v>
      </c>
      <c r="L31" s="83">
        <f>+Assumpt!$C40*(1+Assumpt!$E40)^(L$5-Assumpt!$C$35)*L$6/12</f>
        <v>0</v>
      </c>
      <c r="M31" s="83">
        <f>+Assumpt!$C40*(1+Assumpt!$E40)^(M$5-Assumpt!$C$35)*M$6/12</f>
        <v>0</v>
      </c>
      <c r="N31" s="83">
        <f>+Assumpt!$C40*(1+Assumpt!$E40)^(N$5-Assumpt!$C$35)*N$6/12</f>
        <v>0</v>
      </c>
      <c r="O31" s="83">
        <f>+Assumpt!$C40*(1+Assumpt!$E40)^(O$5-Assumpt!$C$35)*O$6/12</f>
        <v>0</v>
      </c>
      <c r="P31" s="83">
        <f>+Assumpt!$C40*(1+Assumpt!$E40)^(P$5-Assumpt!$C$35)*P$6/12</f>
        <v>0</v>
      </c>
      <c r="Q31" s="83">
        <f>+Assumpt!$C40*(1+Assumpt!$E40)^(Q$5-Assumpt!$C$35)*Q$6/12</f>
        <v>0</v>
      </c>
      <c r="R31" s="83">
        <f>+Assumpt!$C40*(1+Assumpt!$E40)^(R$5-Assumpt!$C$35)*R$6/12</f>
        <v>0</v>
      </c>
      <c r="S31" s="83">
        <f>+Assumpt!$C40*(1+Assumpt!$E40)^(S$5-Assumpt!$C$35)*S$6/12</f>
        <v>0</v>
      </c>
      <c r="T31" s="83">
        <f>+Assumpt!$C40*(1+Assumpt!$E40)^(T$5-Assumpt!$C$35)*T$6/12</f>
        <v>0</v>
      </c>
      <c r="U31" s="83">
        <f>+Assumpt!$C40*(1+Assumpt!$E40)^(U$5-Assumpt!$C$35)*U$6/12</f>
        <v>0</v>
      </c>
      <c r="V31" s="83">
        <f>+Assumpt!$C40*(1+Assumpt!$E40)^(V$5-Assumpt!$C$35)*V$6/12</f>
        <v>0</v>
      </c>
      <c r="W31" s="83">
        <f>+Assumpt!$C40*(1+Assumpt!$E40)^(W$5-Assumpt!$C$35)*W$6/12</f>
        <v>0</v>
      </c>
      <c r="X31" s="83">
        <f>+Assumpt!$C40*(1+Assumpt!$E40)^(X$5-Assumpt!$C$35)*X$6/12</f>
        <v>0</v>
      </c>
      <c r="Y31" s="83">
        <f>+Assumpt!$C40*(1+Assumpt!$E40)^(Y$5-Assumpt!$C$35)*Y$6/12</f>
        <v>0</v>
      </c>
      <c r="Z31" s="83">
        <f>+Assumpt!$C40*(1+Assumpt!$E40)^(Z$5-Assumpt!$C$35)*Z$6/12</f>
        <v>0</v>
      </c>
      <c r="AA31" s="83">
        <f>+Assumpt!$C40*(1+Assumpt!$E40)^(AA$5-Assumpt!$C$35)*AA$6/12</f>
        <v>0</v>
      </c>
      <c r="AB31" s="83">
        <f>+Assumpt!$C40*(1+Assumpt!$E40)^(AB$5-Assumpt!$C$35)*AB$6/12</f>
        <v>0</v>
      </c>
      <c r="AC31" s="83">
        <f>+Assumpt!$C40*(1+Assumpt!$E40)^(AC$5-Assumpt!$C$35)*AC$6/12</f>
        <v>0</v>
      </c>
      <c r="AD31" s="83">
        <f>+Assumpt!$C40*(1+Assumpt!$E40)^(AD$5-Assumpt!$C$35)*AD$6/12</f>
        <v>0</v>
      </c>
      <c r="AE31" s="83">
        <f>+Assumpt!$C40*(1+Assumpt!$E40)^(AE$5-Assumpt!$C$35)*AE$6/12</f>
        <v>0</v>
      </c>
      <c r="AF31" s="525">
        <f t="shared" si="11"/>
        <v>0</v>
      </c>
      <c r="AG31" s="83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44"/>
      <c r="AV31" s="44"/>
      <c r="AW31" s="44"/>
      <c r="AX31" s="44"/>
      <c r="AY31" s="44"/>
      <c r="AZ31" s="44"/>
      <c r="BA31" s="44"/>
      <c r="BB31" s="44"/>
    </row>
    <row r="32" spans="1:54" x14ac:dyDescent="0.2">
      <c r="A32" s="572" t="str">
        <f>+Assumpt!A41</f>
        <v>Other</v>
      </c>
      <c r="B32" s="231"/>
      <c r="C32" s="231"/>
      <c r="D32" s="231"/>
      <c r="E32" s="83">
        <f>+Assumpt!$C41*(1+Assumpt!$E41)^(E$5-Assumpt!$C$35)*E$6/12</f>
        <v>0</v>
      </c>
      <c r="F32" s="83">
        <f>+Assumpt!$C41*(1+Assumpt!$E41)^(F$5-Assumpt!$C$35)*F$6/12</f>
        <v>0</v>
      </c>
      <c r="G32" s="83">
        <f>+Assumpt!$C41*(1+Assumpt!$E41)^(G$5-Assumpt!$C$35)*G$6/12</f>
        <v>0</v>
      </c>
      <c r="H32" s="83">
        <f>+Assumpt!$C41*(1+Assumpt!$E41)^(H$5-Assumpt!$C$35)*H$6/12</f>
        <v>0</v>
      </c>
      <c r="I32" s="83">
        <f>+Assumpt!$C41*(1+Assumpt!$E41)^(I$5-Assumpt!$C$35)*I$6/12</f>
        <v>0</v>
      </c>
      <c r="J32" s="83">
        <f>+Assumpt!$C41*(1+Assumpt!$E41)^(J$5-Assumpt!$C$35)*J$6/12</f>
        <v>0</v>
      </c>
      <c r="K32" s="83">
        <f>+Assumpt!$C41*(1+Assumpt!$E41)^(K$5-Assumpt!$C$35)*K$6/12</f>
        <v>0</v>
      </c>
      <c r="L32" s="83">
        <f>+Assumpt!$C41*(1+Assumpt!$E41)^(L$5-Assumpt!$C$35)*L$6/12</f>
        <v>0</v>
      </c>
      <c r="M32" s="83">
        <f>+Assumpt!$C41*(1+Assumpt!$E41)^(M$5-Assumpt!$C$35)*M$6/12</f>
        <v>0</v>
      </c>
      <c r="N32" s="83">
        <f>+Assumpt!$C41*(1+Assumpt!$E41)^(N$5-Assumpt!$C$35)*N$6/12</f>
        <v>0</v>
      </c>
      <c r="O32" s="83">
        <f>+Assumpt!$C41*(1+Assumpt!$E41)^(O$5-Assumpt!$C$35)*O$6/12</f>
        <v>0</v>
      </c>
      <c r="P32" s="83">
        <f>+Assumpt!$C41*(1+Assumpt!$E41)^(P$5-Assumpt!$C$35)*P$6/12</f>
        <v>0</v>
      </c>
      <c r="Q32" s="83">
        <f>+Assumpt!$C41*(1+Assumpt!$E41)^(Q$5-Assumpt!$C$35)*Q$6/12</f>
        <v>0</v>
      </c>
      <c r="R32" s="83">
        <f>+Assumpt!$C41*(1+Assumpt!$E41)^(R$5-Assumpt!$C$35)*R$6/12</f>
        <v>0</v>
      </c>
      <c r="S32" s="83">
        <f>+Assumpt!$C41*(1+Assumpt!$E41)^(S$5-Assumpt!$C$35)*S$6/12</f>
        <v>0</v>
      </c>
      <c r="T32" s="83">
        <f>+Assumpt!$C41*(1+Assumpt!$E41)^(T$5-Assumpt!$C$35)*T$6/12</f>
        <v>0</v>
      </c>
      <c r="U32" s="83">
        <f>+Assumpt!$C41*(1+Assumpt!$E41)^(U$5-Assumpt!$C$35)*U$6/12</f>
        <v>0</v>
      </c>
      <c r="V32" s="83">
        <f>+Assumpt!$C41*(1+Assumpt!$E41)^(V$5-Assumpt!$C$35)*V$6/12</f>
        <v>0</v>
      </c>
      <c r="W32" s="83">
        <f>+Assumpt!$C41*(1+Assumpt!$E41)^(W$5-Assumpt!$C$35)*W$6/12</f>
        <v>0</v>
      </c>
      <c r="X32" s="83">
        <f>+Assumpt!$C41*(1+Assumpt!$E41)^(X$5-Assumpt!$C$35)*X$6/12</f>
        <v>0</v>
      </c>
      <c r="Y32" s="83">
        <f>+Assumpt!$C41*(1+Assumpt!$E41)^(Y$5-Assumpt!$C$35)*Y$6/12</f>
        <v>0</v>
      </c>
      <c r="Z32" s="83">
        <f>+Assumpt!$C41*(1+Assumpt!$E41)^(Z$5-Assumpt!$C$35)*Z$6/12</f>
        <v>0</v>
      </c>
      <c r="AA32" s="83">
        <f>+Assumpt!$C41*(1+Assumpt!$E41)^(AA$5-Assumpt!$C$35)*AA$6/12</f>
        <v>0</v>
      </c>
      <c r="AB32" s="83">
        <f>+Assumpt!$C41*(1+Assumpt!$E41)^(AB$5-Assumpt!$C$35)*AB$6/12</f>
        <v>0</v>
      </c>
      <c r="AC32" s="83">
        <f>+Assumpt!$C41*(1+Assumpt!$E41)^(AC$5-Assumpt!$C$35)*AC$6/12</f>
        <v>0</v>
      </c>
      <c r="AD32" s="83">
        <f>+Assumpt!$C41*(1+Assumpt!$E41)^(AD$5-Assumpt!$C$35)*AD$6/12</f>
        <v>0</v>
      </c>
      <c r="AE32" s="83">
        <f>+Assumpt!$C41*(1+Assumpt!$E41)^(AE$5-Assumpt!$C$35)*AE$6/12</f>
        <v>0</v>
      </c>
      <c r="AF32" s="525">
        <f t="shared" si="11"/>
        <v>0</v>
      </c>
      <c r="AG32" s="356"/>
      <c r="AH32" s="324"/>
      <c r="AI32" s="324"/>
      <c r="AJ32" s="324"/>
      <c r="AK32" s="324"/>
      <c r="AL32" s="324"/>
      <c r="AM32" s="324"/>
      <c r="AN32" s="324"/>
      <c r="AO32" s="324"/>
      <c r="AP32" s="324"/>
      <c r="AQ32" s="324"/>
      <c r="AR32" s="324"/>
      <c r="AS32" s="324"/>
      <c r="AT32" s="324"/>
      <c r="AU32" s="198"/>
      <c r="AV32" s="198"/>
      <c r="AW32" s="198"/>
      <c r="AX32" s="198"/>
      <c r="AY32" s="198"/>
      <c r="AZ32" s="198"/>
      <c r="BA32" s="198"/>
      <c r="BB32" s="44"/>
    </row>
    <row r="33" spans="1:54" x14ac:dyDescent="0.2">
      <c r="A33" s="572" t="str">
        <f>+Assumpt!A42</f>
        <v>Other</v>
      </c>
      <c r="B33" s="231"/>
      <c r="C33" s="231"/>
      <c r="D33" s="231"/>
      <c r="E33" s="83">
        <f>+Assumpt!$C42*(1+Assumpt!$E42)^(E$5-Assumpt!$C$35)*E$6/12</f>
        <v>0</v>
      </c>
      <c r="F33" s="83">
        <f>+Assumpt!$C42*(1+Assumpt!$E42)^(F$5-Assumpt!$C$35)*F$6/12</f>
        <v>0</v>
      </c>
      <c r="G33" s="83">
        <f>+Assumpt!$C42*(1+Assumpt!$E42)^(G$5-Assumpt!$C$35)*G$6/12</f>
        <v>0</v>
      </c>
      <c r="H33" s="83">
        <f>+Assumpt!$C42*(1+Assumpt!$E42)^(H$5-Assumpt!$C$35)*H$6/12</f>
        <v>0</v>
      </c>
      <c r="I33" s="83">
        <f>+Assumpt!$C42*(1+Assumpt!$E42)^(I$5-Assumpt!$C$35)*I$6/12</f>
        <v>0</v>
      </c>
      <c r="J33" s="83">
        <f>+Assumpt!$C42*(1+Assumpt!$E42)^(J$5-Assumpt!$C$35)*J$6/12</f>
        <v>0</v>
      </c>
      <c r="K33" s="83">
        <f>+Assumpt!$C42*(1+Assumpt!$E42)^(K$5-Assumpt!$C$35)*K$6/12</f>
        <v>0</v>
      </c>
      <c r="L33" s="83">
        <f>+Assumpt!$C42*(1+Assumpt!$E42)^(L$5-Assumpt!$C$35)*L$6/12</f>
        <v>0</v>
      </c>
      <c r="M33" s="83">
        <f>+Assumpt!$C42*(1+Assumpt!$E42)^(M$5-Assumpt!$C$35)*M$6/12</f>
        <v>0</v>
      </c>
      <c r="N33" s="83">
        <f>+Assumpt!$C42*(1+Assumpt!$E42)^(N$5-Assumpt!$C$35)*N$6/12</f>
        <v>0</v>
      </c>
      <c r="O33" s="83">
        <f>+Assumpt!$C42*(1+Assumpt!$E42)^(O$5-Assumpt!$C$35)*O$6/12</f>
        <v>0</v>
      </c>
      <c r="P33" s="83">
        <f>+Assumpt!$C42*(1+Assumpt!$E42)^(P$5-Assumpt!$C$35)*P$6/12</f>
        <v>0</v>
      </c>
      <c r="Q33" s="83">
        <f>+Assumpt!$C42*(1+Assumpt!$E42)^(Q$5-Assumpt!$C$35)*Q$6/12</f>
        <v>0</v>
      </c>
      <c r="R33" s="83">
        <f>+Assumpt!$C42*(1+Assumpt!$E42)^(R$5-Assumpt!$C$35)*R$6/12</f>
        <v>0</v>
      </c>
      <c r="S33" s="83">
        <f>+Assumpt!$C42*(1+Assumpt!$E42)^(S$5-Assumpt!$C$35)*S$6/12</f>
        <v>0</v>
      </c>
      <c r="T33" s="83">
        <f>+Assumpt!$C42*(1+Assumpt!$E42)^(T$5-Assumpt!$C$35)*T$6/12</f>
        <v>0</v>
      </c>
      <c r="U33" s="83">
        <f>+Assumpt!$C42*(1+Assumpt!$E42)^(U$5-Assumpt!$C$35)*U$6/12</f>
        <v>0</v>
      </c>
      <c r="V33" s="83">
        <f>+Assumpt!$C42*(1+Assumpt!$E42)^(V$5-Assumpt!$C$35)*V$6/12</f>
        <v>0</v>
      </c>
      <c r="W33" s="83">
        <f>+Assumpt!$C42*(1+Assumpt!$E42)^(W$5-Assumpt!$C$35)*W$6/12</f>
        <v>0</v>
      </c>
      <c r="X33" s="83">
        <f>+Assumpt!$C42*(1+Assumpt!$E42)^(X$5-Assumpt!$C$35)*X$6/12</f>
        <v>0</v>
      </c>
      <c r="Y33" s="83">
        <f>+Assumpt!$C42*(1+Assumpt!$E42)^(Y$5-Assumpt!$C$35)*Y$6/12</f>
        <v>0</v>
      </c>
      <c r="Z33" s="83">
        <f>+Assumpt!$C42*(1+Assumpt!$E42)^(Z$5-Assumpt!$C$35)*Z$6/12</f>
        <v>0</v>
      </c>
      <c r="AA33" s="83">
        <f>+Assumpt!$C42*(1+Assumpt!$E42)^(AA$5-Assumpt!$C$35)*AA$6/12</f>
        <v>0</v>
      </c>
      <c r="AB33" s="83">
        <f>+Assumpt!$C42*(1+Assumpt!$E42)^(AB$5-Assumpt!$C$35)*AB$6/12</f>
        <v>0</v>
      </c>
      <c r="AC33" s="83">
        <f>+Assumpt!$C42*(1+Assumpt!$E42)^(AC$5-Assumpt!$C$35)*AC$6/12</f>
        <v>0</v>
      </c>
      <c r="AD33" s="83">
        <f>+Assumpt!$C42*(1+Assumpt!$E42)^(AD$5-Assumpt!$C$35)*AD$6/12</f>
        <v>0</v>
      </c>
      <c r="AE33" s="83">
        <f>+Assumpt!$C42*(1+Assumpt!$E42)^(AE$5-Assumpt!$C$35)*AE$6/12</f>
        <v>0</v>
      </c>
      <c r="AF33" s="525">
        <f t="shared" si="11"/>
        <v>0</v>
      </c>
      <c r="AG33" s="356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198"/>
      <c r="AV33" s="198"/>
      <c r="AW33" s="198"/>
      <c r="AX33" s="198"/>
      <c r="AY33" s="198"/>
      <c r="AZ33" s="198"/>
      <c r="BA33" s="198"/>
      <c r="BB33" s="44"/>
    </row>
    <row r="34" spans="1:54" x14ac:dyDescent="0.2">
      <c r="A34" s="572" t="str">
        <f>+Assumpt!A43</f>
        <v>Other</v>
      </c>
      <c r="E34" s="83">
        <f>+Assumpt!$C43*(1+Assumpt!$E43)^(E$5-Assumpt!$C$35)*E$6/12</f>
        <v>0</v>
      </c>
      <c r="F34" s="83">
        <f>+Assumpt!$C43*(1+Assumpt!$E43)^(F$5-Assumpt!$C$35)*F$6/12</f>
        <v>0</v>
      </c>
      <c r="G34" s="83">
        <f>+Assumpt!$C43*(1+Assumpt!$E43)^(G$5-Assumpt!$C$35)*G$6/12</f>
        <v>0</v>
      </c>
      <c r="H34" s="83">
        <f>+Assumpt!$C43*(1+Assumpt!$E43)^(H$5-Assumpt!$C$35)*H$6/12</f>
        <v>0</v>
      </c>
      <c r="I34" s="83">
        <f>+Assumpt!$C43*(1+Assumpt!$E43)^(I$5-Assumpt!$C$35)*I$6/12</f>
        <v>0</v>
      </c>
      <c r="J34" s="83">
        <f>+Assumpt!$C43*(1+Assumpt!$E43)^(J$5-Assumpt!$C$35)*J$6/12</f>
        <v>0</v>
      </c>
      <c r="K34" s="83">
        <f>+Assumpt!$C43*(1+Assumpt!$E43)^(K$5-Assumpt!$C$35)*K$6/12</f>
        <v>0</v>
      </c>
      <c r="L34" s="83">
        <f>+Assumpt!$C43*(1+Assumpt!$E43)^(L$5-Assumpt!$C$35)*L$6/12</f>
        <v>0</v>
      </c>
      <c r="M34" s="83">
        <f>+Assumpt!$C43*(1+Assumpt!$E43)^(M$5-Assumpt!$C$35)*M$6/12</f>
        <v>0</v>
      </c>
      <c r="N34" s="83">
        <f>+Assumpt!$C43*(1+Assumpt!$E43)^(N$5-Assumpt!$C$35)*N$6/12</f>
        <v>0</v>
      </c>
      <c r="O34" s="83">
        <f>+Assumpt!$C43*(1+Assumpt!$E43)^(O$5-Assumpt!$C$35)*O$6/12</f>
        <v>0</v>
      </c>
      <c r="P34" s="83">
        <f>+Assumpt!$C43*(1+Assumpt!$E43)^(P$5-Assumpt!$C$35)*P$6/12</f>
        <v>0</v>
      </c>
      <c r="Q34" s="83">
        <f>+Assumpt!$C43*(1+Assumpt!$E43)^(Q$5-Assumpt!$C$35)*Q$6/12</f>
        <v>0</v>
      </c>
      <c r="R34" s="83">
        <f>+Assumpt!$C43*(1+Assumpt!$E43)^(R$5-Assumpt!$C$35)*R$6/12</f>
        <v>0</v>
      </c>
      <c r="S34" s="83">
        <f>+Assumpt!$C43*(1+Assumpt!$E43)^(S$5-Assumpt!$C$35)*S$6/12</f>
        <v>0</v>
      </c>
      <c r="T34" s="83">
        <f>+Assumpt!$C43*(1+Assumpt!$E43)^(T$5-Assumpt!$C$35)*T$6/12</f>
        <v>0</v>
      </c>
      <c r="U34" s="83">
        <f>+Assumpt!$C43*(1+Assumpt!$E43)^(U$5-Assumpt!$C$35)*U$6/12</f>
        <v>0</v>
      </c>
      <c r="V34" s="83">
        <f>+Assumpt!$C43*(1+Assumpt!$E43)^(V$5-Assumpt!$C$35)*V$6/12</f>
        <v>0</v>
      </c>
      <c r="W34" s="83">
        <f>+Assumpt!$C43*(1+Assumpt!$E43)^(W$5-Assumpt!$C$35)*W$6/12</f>
        <v>0</v>
      </c>
      <c r="X34" s="83">
        <f>+Assumpt!$C43*(1+Assumpt!$E43)^(X$5-Assumpt!$C$35)*X$6/12</f>
        <v>0</v>
      </c>
      <c r="Y34" s="83">
        <f>+Assumpt!$C43*(1+Assumpt!$E43)^(Y$5-Assumpt!$C$35)*Y$6/12</f>
        <v>0</v>
      </c>
      <c r="Z34" s="83">
        <f>+Assumpt!$C43*(1+Assumpt!$E43)^(Z$5-Assumpt!$C$35)*Z$6/12</f>
        <v>0</v>
      </c>
      <c r="AA34" s="83">
        <f>+Assumpt!$C43*(1+Assumpt!$E43)^(AA$5-Assumpt!$C$35)*AA$6/12</f>
        <v>0</v>
      </c>
      <c r="AB34" s="83">
        <f>+Assumpt!$C43*(1+Assumpt!$E43)^(AB$5-Assumpt!$C$35)*AB$6/12</f>
        <v>0</v>
      </c>
      <c r="AC34" s="83">
        <f>+Assumpt!$C43*(1+Assumpt!$E43)^(AC$5-Assumpt!$C$35)*AC$6/12</f>
        <v>0</v>
      </c>
      <c r="AD34" s="83">
        <f>+Assumpt!$C43*(1+Assumpt!$E43)^(AD$5-Assumpt!$C$35)*AD$6/12</f>
        <v>0</v>
      </c>
      <c r="AE34" s="83">
        <f>+Assumpt!$C43*(1+Assumpt!$E43)^(AE$5-Assumpt!$C$35)*AE$6/12</f>
        <v>0</v>
      </c>
      <c r="AF34" s="525">
        <f t="shared" si="11"/>
        <v>0</v>
      </c>
      <c r="AG34" s="83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44"/>
      <c r="AV34" s="44"/>
      <c r="AW34" s="44"/>
      <c r="AX34" s="44"/>
      <c r="AY34" s="44"/>
      <c r="AZ34" s="44"/>
      <c r="BA34" s="44"/>
      <c r="BB34" s="44"/>
    </row>
    <row r="35" spans="1:54" s="221" customFormat="1" x14ac:dyDescent="0.2">
      <c r="A35" s="573" t="str">
        <f>+Assumpt!A44</f>
        <v>Other</v>
      </c>
      <c r="E35" s="436">
        <f>+Assumpt!$C44*(1+Assumpt!$E44)^(E$5-Assumpt!$C$35)*E$6/12</f>
        <v>0</v>
      </c>
      <c r="F35" s="436">
        <f>+Assumpt!$C44*(1+Assumpt!$E44)^(F$5-Assumpt!$C$35)*F$6/12</f>
        <v>0</v>
      </c>
      <c r="G35" s="436">
        <f>+Assumpt!$C44*(1+Assumpt!$E44)^(G$5-Assumpt!$C$35)*G$6/12</f>
        <v>0</v>
      </c>
      <c r="H35" s="436">
        <f>+Assumpt!$C44*(1+Assumpt!$E44)^(H$5-Assumpt!$C$35)*H$6/12</f>
        <v>0</v>
      </c>
      <c r="I35" s="436">
        <f>+Assumpt!$C44*(1+Assumpt!$E44)^(I$5-Assumpt!$C$35)*I$6/12</f>
        <v>0</v>
      </c>
      <c r="J35" s="436">
        <f>+Assumpt!$C44*(1+Assumpt!$E44)^(J$5-Assumpt!$C$35)*J$6/12</f>
        <v>0</v>
      </c>
      <c r="K35" s="436">
        <f>+Assumpt!$C44*(1+Assumpt!$E44)^(K$5-Assumpt!$C$35)*K$6/12</f>
        <v>0</v>
      </c>
      <c r="L35" s="436">
        <f>+Assumpt!$C44*(1+Assumpt!$E44)^(L$5-Assumpt!$C$35)*L$6/12</f>
        <v>0</v>
      </c>
      <c r="M35" s="436">
        <f>+Assumpt!$C44*(1+Assumpt!$E44)^(M$5-Assumpt!$C$35)*M$6/12</f>
        <v>0</v>
      </c>
      <c r="N35" s="436">
        <f>+Assumpt!$C44*(1+Assumpt!$E44)^(N$5-Assumpt!$C$35)*N$6/12</f>
        <v>0</v>
      </c>
      <c r="O35" s="436">
        <f>+Assumpt!$C44*(1+Assumpt!$E44)^(O$5-Assumpt!$C$35)*O$6/12</f>
        <v>0</v>
      </c>
      <c r="P35" s="436">
        <f>+Assumpt!$C44*(1+Assumpt!$E44)^(P$5-Assumpt!$C$35)*P$6/12</f>
        <v>0</v>
      </c>
      <c r="Q35" s="436">
        <f>+Assumpt!$C44*(1+Assumpt!$E44)^(Q$5-Assumpt!$C$35)*Q$6/12</f>
        <v>0</v>
      </c>
      <c r="R35" s="436">
        <f>+Assumpt!$C44*(1+Assumpt!$E44)^(R$5-Assumpt!$C$35)*R$6/12</f>
        <v>0</v>
      </c>
      <c r="S35" s="436">
        <f>+Assumpt!$C44*(1+Assumpt!$E44)^(S$5-Assumpt!$C$35)*S$6/12</f>
        <v>0</v>
      </c>
      <c r="T35" s="436">
        <f>+Assumpt!$C44*(1+Assumpt!$E44)^(T$5-Assumpt!$C$35)*T$6/12</f>
        <v>0</v>
      </c>
      <c r="U35" s="436">
        <f>+Assumpt!$C44*(1+Assumpt!$E44)^(U$5-Assumpt!$C$35)*U$6/12</f>
        <v>0</v>
      </c>
      <c r="V35" s="436">
        <f>+Assumpt!$C44*(1+Assumpt!$E44)^(V$5-Assumpt!$C$35)*V$6/12</f>
        <v>0</v>
      </c>
      <c r="W35" s="436">
        <f>+Assumpt!$C44*(1+Assumpt!$E44)^(W$5-Assumpt!$C$35)*W$6/12</f>
        <v>0</v>
      </c>
      <c r="X35" s="436">
        <f>+Assumpt!$C44*(1+Assumpt!$E44)^(X$5-Assumpt!$C$35)*X$6/12</f>
        <v>0</v>
      </c>
      <c r="Y35" s="436">
        <f>+Assumpt!$C44*(1+Assumpt!$E44)^(Y$5-Assumpt!$C$35)*Y$6/12</f>
        <v>0</v>
      </c>
      <c r="Z35" s="436">
        <f>+Assumpt!$C44*(1+Assumpt!$E44)^(Z$5-Assumpt!$C$35)*Z$6/12</f>
        <v>0</v>
      </c>
      <c r="AA35" s="436">
        <f>+Assumpt!$C44*(1+Assumpt!$E44)^(AA$5-Assumpt!$C$35)*AA$6/12</f>
        <v>0</v>
      </c>
      <c r="AB35" s="436">
        <f>+Assumpt!$C44*(1+Assumpt!$E44)^(AB$5-Assumpt!$C$35)*AB$6/12</f>
        <v>0</v>
      </c>
      <c r="AC35" s="436">
        <f>+Assumpt!$C44*(1+Assumpt!$E44)^(AC$5-Assumpt!$C$35)*AC$6/12</f>
        <v>0</v>
      </c>
      <c r="AD35" s="436">
        <f>+Assumpt!$C44*(1+Assumpt!$E44)^(AD$5-Assumpt!$C$35)*AD$6/12</f>
        <v>0</v>
      </c>
      <c r="AE35" s="436">
        <f>+Assumpt!$C44*(1+Assumpt!$E44)^(AE$5-Assumpt!$C$35)*AE$6/12</f>
        <v>0</v>
      </c>
      <c r="AF35" s="527">
        <f t="shared" si="11"/>
        <v>0</v>
      </c>
      <c r="AG35" s="43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208"/>
      <c r="AV35" s="208"/>
      <c r="AW35" s="208"/>
      <c r="AX35" s="208"/>
      <c r="AY35" s="208"/>
      <c r="AZ35" s="208"/>
      <c r="BA35" s="208"/>
      <c r="BB35" s="208"/>
    </row>
    <row r="36" spans="1:54" x14ac:dyDescent="0.2">
      <c r="A36" s="599" t="s">
        <v>231</v>
      </c>
      <c r="E36" s="83">
        <f>+SUM(E27:E35)</f>
        <v>10131.5650176</v>
      </c>
      <c r="F36" s="83">
        <f t="shared" ref="F36:AE36" si="12">+SUM(F27:F35)</f>
        <v>10334.196317951999</v>
      </c>
      <c r="G36" s="83">
        <f t="shared" si="12"/>
        <v>10540.88024431104</v>
      </c>
      <c r="H36" s="83">
        <f t="shared" si="12"/>
        <v>10751.697849197259</v>
      </c>
      <c r="I36" s="83">
        <f t="shared" si="12"/>
        <v>10966.731806181206</v>
      </c>
      <c r="J36" s="83">
        <f t="shared" si="12"/>
        <v>11186.066442304829</v>
      </c>
      <c r="K36" s="83">
        <f t="shared" si="12"/>
        <v>11409.787771150926</v>
      </c>
      <c r="L36" s="83">
        <f t="shared" si="12"/>
        <v>11637.983526573942</v>
      </c>
      <c r="M36" s="83">
        <f t="shared" si="12"/>
        <v>11870.743197105423</v>
      </c>
      <c r="N36" s="83">
        <f t="shared" si="12"/>
        <v>12108.15806104753</v>
      </c>
      <c r="O36" s="83">
        <f t="shared" si="12"/>
        <v>12350.321222268483</v>
      </c>
      <c r="P36" s="83">
        <f t="shared" si="12"/>
        <v>12597.327646713851</v>
      </c>
      <c r="Q36" s="83">
        <f t="shared" si="12"/>
        <v>12849.274199648129</v>
      </c>
      <c r="R36" s="83">
        <f t="shared" si="12"/>
        <v>13106.25968364109</v>
      </c>
      <c r="S36" s="83">
        <f t="shared" si="12"/>
        <v>13368.384877313913</v>
      </c>
      <c r="T36" s="83">
        <f t="shared" si="12"/>
        <v>0</v>
      </c>
      <c r="U36" s="83">
        <f t="shared" si="12"/>
        <v>0</v>
      </c>
      <c r="V36" s="83">
        <f t="shared" si="12"/>
        <v>0</v>
      </c>
      <c r="W36" s="83">
        <f t="shared" si="12"/>
        <v>0</v>
      </c>
      <c r="X36" s="83">
        <f t="shared" si="12"/>
        <v>0</v>
      </c>
      <c r="Y36" s="83">
        <f t="shared" si="12"/>
        <v>0</v>
      </c>
      <c r="Z36" s="83">
        <f t="shared" si="12"/>
        <v>0</v>
      </c>
      <c r="AA36" s="83">
        <f t="shared" si="12"/>
        <v>0</v>
      </c>
      <c r="AB36" s="83">
        <f t="shared" si="12"/>
        <v>0</v>
      </c>
      <c r="AC36" s="83">
        <f t="shared" si="12"/>
        <v>0</v>
      </c>
      <c r="AD36" s="83">
        <f t="shared" si="12"/>
        <v>0</v>
      </c>
      <c r="AE36" s="83">
        <f t="shared" si="12"/>
        <v>0</v>
      </c>
      <c r="AF36" s="525">
        <f t="shared" si="11"/>
        <v>175209.37786300961</v>
      </c>
      <c r="AG36" s="83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44"/>
      <c r="AV36" s="44"/>
      <c r="AW36" s="44"/>
      <c r="AX36" s="44"/>
      <c r="AY36" s="44"/>
      <c r="AZ36" s="44"/>
      <c r="BA36" s="44"/>
      <c r="BB36" s="44"/>
    </row>
    <row r="37" spans="1:54" s="346" customFormat="1" x14ac:dyDescent="0.2">
      <c r="A37" s="776" t="s">
        <v>232</v>
      </c>
      <c r="E37" s="778">
        <f>IF(ISERROR(E36/E$13),0,E36/E$13)</f>
        <v>1.0951345507734258</v>
      </c>
      <c r="F37" s="778">
        <f t="shared" ref="F37:AE37" si="13">IF(ISERROR(F36/F$13),0,F36/F$13)</f>
        <v>1.1078883408226046</v>
      </c>
      <c r="G37" s="778">
        <f t="shared" si="13"/>
        <v>0.5878348995712197</v>
      </c>
      <c r="H37" s="778">
        <f t="shared" si="13"/>
        <v>0.58154013860414644</v>
      </c>
      <c r="I37" s="778">
        <f t="shared" si="13"/>
        <v>0.59049847680195844</v>
      </c>
      <c r="J37" s="778">
        <f t="shared" si="13"/>
        <v>0.59141846865848791</v>
      </c>
      <c r="K37" s="778">
        <f t="shared" si="13"/>
        <v>0.59944195545232926</v>
      </c>
      <c r="L37" s="778">
        <f t="shared" si="13"/>
        <v>0.3373055585349134</v>
      </c>
      <c r="M37" s="778">
        <f t="shared" si="13"/>
        <v>0.32386958168615615</v>
      </c>
      <c r="N37" s="778">
        <f t="shared" si="13"/>
        <v>0.32784138654430484</v>
      </c>
      <c r="O37" s="778">
        <f t="shared" si="13"/>
        <v>0.33123335655397962</v>
      </c>
      <c r="P37" s="778">
        <f t="shared" si="13"/>
        <v>0.33170867753119765</v>
      </c>
      <c r="Q37" s="778">
        <f t="shared" si="13"/>
        <v>0.33834285108182161</v>
      </c>
      <c r="R37" s="778">
        <f t="shared" si="13"/>
        <v>0.34510970810345803</v>
      </c>
      <c r="S37" s="778">
        <f t="shared" si="13"/>
        <v>0.3520119022655272</v>
      </c>
      <c r="T37" s="778">
        <f t="shared" si="13"/>
        <v>0</v>
      </c>
      <c r="U37" s="778">
        <f t="shared" si="13"/>
        <v>0</v>
      </c>
      <c r="V37" s="778">
        <f t="shared" si="13"/>
        <v>0</v>
      </c>
      <c r="W37" s="778">
        <f t="shared" si="13"/>
        <v>0</v>
      </c>
      <c r="X37" s="778">
        <f t="shared" si="13"/>
        <v>0</v>
      </c>
      <c r="Y37" s="778">
        <f t="shared" si="13"/>
        <v>0</v>
      </c>
      <c r="Z37" s="778">
        <f t="shared" si="13"/>
        <v>0</v>
      </c>
      <c r="AA37" s="778">
        <f t="shared" si="13"/>
        <v>0</v>
      </c>
      <c r="AB37" s="778">
        <f t="shared" si="13"/>
        <v>0</v>
      </c>
      <c r="AC37" s="778">
        <f t="shared" si="13"/>
        <v>0</v>
      </c>
      <c r="AD37" s="778">
        <f t="shared" si="13"/>
        <v>0</v>
      </c>
      <c r="AE37" s="778">
        <f t="shared" si="13"/>
        <v>0</v>
      </c>
      <c r="AF37" s="777"/>
      <c r="AG37" s="531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1"/>
      <c r="AV37" s="321"/>
      <c r="AW37" s="321"/>
      <c r="AX37" s="321"/>
      <c r="AY37" s="321"/>
      <c r="AZ37" s="321"/>
      <c r="BA37" s="321"/>
      <c r="BB37" s="321"/>
    </row>
    <row r="38" spans="1:54" x14ac:dyDescent="0.2">
      <c r="A38" s="203"/>
      <c r="B38" s="231"/>
      <c r="C38" s="231"/>
      <c r="D38" s="231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359"/>
      <c r="AG38" s="356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198"/>
      <c r="AV38" s="198"/>
      <c r="AW38" s="198"/>
      <c r="AX38" s="198"/>
      <c r="AY38" s="198"/>
      <c r="AZ38" s="198"/>
      <c r="BA38" s="198"/>
      <c r="BB38" s="44"/>
    </row>
    <row r="39" spans="1:54" x14ac:dyDescent="0.2">
      <c r="A39" s="543" t="s">
        <v>282</v>
      </c>
      <c r="B39" s="544"/>
      <c r="C39" s="544"/>
      <c r="D39" s="544"/>
      <c r="E39" s="570">
        <f>+E23-E36</f>
        <v>7437.198830629246</v>
      </c>
      <c r="F39" s="570">
        <f t="shared" ref="F39:AE39" si="14">+F23-F36</f>
        <v>7733.9266537338008</v>
      </c>
      <c r="G39" s="570">
        <f t="shared" si="14"/>
        <v>24887.721038835632</v>
      </c>
      <c r="H39" s="570">
        <f t="shared" si="14"/>
        <v>26507.201472241246</v>
      </c>
      <c r="I39" s="570">
        <f t="shared" si="14"/>
        <v>27209.343490289182</v>
      </c>
      <c r="J39" s="570">
        <f t="shared" si="14"/>
        <v>28470.537627367346</v>
      </c>
      <c r="K39" s="570">
        <f t="shared" si="14"/>
        <v>29296.698003493322</v>
      </c>
      <c r="L39" s="570">
        <f t="shared" si="14"/>
        <v>63626.067946755633</v>
      </c>
      <c r="M39" s="570">
        <f t="shared" si="14"/>
        <v>69682.507010156405</v>
      </c>
      <c r="N39" s="570">
        <f t="shared" si="14"/>
        <v>71711.908244282939</v>
      </c>
      <c r="O39" s="570">
        <f t="shared" si="14"/>
        <v>73963.045282321676</v>
      </c>
      <c r="P39" s="570">
        <f t="shared" si="14"/>
        <v>77074.419606700583</v>
      </c>
      <c r="Q39" s="570">
        <f t="shared" si="14"/>
        <v>78615.90799883462</v>
      </c>
      <c r="R39" s="570">
        <f t="shared" si="14"/>
        <v>80188.226158811303</v>
      </c>
      <c r="S39" s="570">
        <f t="shared" si="14"/>
        <v>81791.990681987532</v>
      </c>
      <c r="T39" s="570">
        <f t="shared" si="14"/>
        <v>0</v>
      </c>
      <c r="U39" s="570">
        <f t="shared" si="14"/>
        <v>0</v>
      </c>
      <c r="V39" s="570">
        <f t="shared" si="14"/>
        <v>0</v>
      </c>
      <c r="W39" s="570">
        <f t="shared" si="14"/>
        <v>0</v>
      </c>
      <c r="X39" s="570">
        <f t="shared" si="14"/>
        <v>0</v>
      </c>
      <c r="Y39" s="570">
        <f t="shared" si="14"/>
        <v>0</v>
      </c>
      <c r="Z39" s="570">
        <f t="shared" si="14"/>
        <v>0</v>
      </c>
      <c r="AA39" s="570">
        <f t="shared" si="14"/>
        <v>0</v>
      </c>
      <c r="AB39" s="570">
        <f t="shared" si="14"/>
        <v>0</v>
      </c>
      <c r="AC39" s="570">
        <f t="shared" si="14"/>
        <v>0</v>
      </c>
      <c r="AD39" s="570">
        <f t="shared" si="14"/>
        <v>0</v>
      </c>
      <c r="AE39" s="570">
        <f t="shared" si="14"/>
        <v>0</v>
      </c>
      <c r="AF39" s="766">
        <f t="shared" si="11"/>
        <v>748196.70004644035</v>
      </c>
      <c r="AG39" s="356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198"/>
      <c r="AV39" s="198"/>
      <c r="AW39" s="198"/>
      <c r="AX39" s="198"/>
      <c r="AY39" s="198"/>
      <c r="AZ39" s="198"/>
      <c r="BA39" s="198"/>
      <c r="BB39" s="44"/>
    </row>
    <row r="40" spans="1:54" x14ac:dyDescent="0.2">
      <c r="A40" s="203"/>
      <c r="B40" s="231"/>
      <c r="C40" s="231"/>
      <c r="D40" s="231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359"/>
      <c r="AG40" s="356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198"/>
      <c r="AV40" s="198"/>
      <c r="AW40" s="198"/>
      <c r="AX40" s="198"/>
      <c r="AY40" s="198"/>
      <c r="AZ40" s="198"/>
      <c r="BA40" s="198"/>
      <c r="BB40" s="44"/>
    </row>
    <row r="41" spans="1:54" x14ac:dyDescent="0.2">
      <c r="A41" s="334" t="s">
        <v>283</v>
      </c>
      <c r="B41" s="231"/>
      <c r="C41" s="231"/>
      <c r="D41" s="231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359"/>
      <c r="AG41" s="356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198"/>
      <c r="AV41" s="198"/>
      <c r="AW41" s="198"/>
      <c r="AX41" s="198"/>
      <c r="AY41" s="198"/>
      <c r="AZ41" s="198"/>
      <c r="BA41" s="198"/>
      <c r="BB41" s="44"/>
    </row>
    <row r="42" spans="1:54" x14ac:dyDescent="0.2">
      <c r="A42" s="767" t="s">
        <v>280</v>
      </c>
      <c r="D42" s="768"/>
      <c r="E42" s="83">
        <f>-Assumpt!$L$8*E$6/12</f>
        <v>-25</v>
      </c>
      <c r="F42" s="83">
        <f>-Assumpt!$L$8*F$6/12</f>
        <v>-25</v>
      </c>
      <c r="G42" s="83">
        <f>-Assumpt!$L$8*G$6/12</f>
        <v>-25</v>
      </c>
      <c r="H42" s="83">
        <f>-Assumpt!$L$8*H$6/12</f>
        <v>-25</v>
      </c>
      <c r="I42" s="83">
        <f>-Assumpt!$L$8*I$6/12</f>
        <v>-25</v>
      </c>
      <c r="J42" s="83">
        <f>-Assumpt!$L$8*J$6/12</f>
        <v>-25</v>
      </c>
      <c r="K42" s="83">
        <f>-Assumpt!$L$8*K$6/12</f>
        <v>-25</v>
      </c>
      <c r="L42" s="83">
        <f>-Assumpt!$L$8*L$6/12</f>
        <v>-25</v>
      </c>
      <c r="M42" s="83">
        <f>-Assumpt!$L$8*M$6/12</f>
        <v>-25</v>
      </c>
      <c r="N42" s="83">
        <f>-Assumpt!$L$8*N$6/12</f>
        <v>-25</v>
      </c>
      <c r="O42" s="83">
        <f>-Assumpt!$L$8*O$6/12</f>
        <v>-25</v>
      </c>
      <c r="P42" s="83">
        <f>-Assumpt!$L$8*P$6/12</f>
        <v>-25</v>
      </c>
      <c r="Q42" s="83">
        <f>-Assumpt!$L$8*Q$6/12</f>
        <v>-25</v>
      </c>
      <c r="R42" s="83">
        <f>-Assumpt!$L$8*R$6/12</f>
        <v>-25</v>
      </c>
      <c r="S42" s="83">
        <f>-Assumpt!$L$8*S$6/12</f>
        <v>-25</v>
      </c>
      <c r="T42" s="83">
        <f>-Assumpt!$L$8*T$6/12</f>
        <v>0</v>
      </c>
      <c r="U42" s="83">
        <f>-Assumpt!$L$8*U$6/12</f>
        <v>0</v>
      </c>
      <c r="V42" s="83">
        <f>-Assumpt!$L$8*V$6/12</f>
        <v>0</v>
      </c>
      <c r="W42" s="83">
        <f>-Assumpt!$L$8*W$6/12</f>
        <v>0</v>
      </c>
      <c r="X42" s="83">
        <f>-Assumpt!$L$8*X$6/12</f>
        <v>0</v>
      </c>
      <c r="Y42" s="83">
        <f>-Assumpt!$L$8*Y$6/12</f>
        <v>0</v>
      </c>
      <c r="Z42" s="83">
        <f>-Assumpt!$L$8*Z$6/12</f>
        <v>0</v>
      </c>
      <c r="AA42" s="83">
        <f>-Assumpt!$L$8*AA$6/12</f>
        <v>0</v>
      </c>
      <c r="AB42" s="83">
        <f>-Assumpt!$L$8*AB$6/12</f>
        <v>0</v>
      </c>
      <c r="AC42" s="83">
        <f>-Assumpt!$L$8*AC$6/12</f>
        <v>0</v>
      </c>
      <c r="AD42" s="83">
        <f>-Assumpt!$L$8*AD$6/12</f>
        <v>0</v>
      </c>
      <c r="AE42" s="83">
        <f>-Assumpt!$L$8*AE$6/12</f>
        <v>0</v>
      </c>
      <c r="AF42" s="525">
        <f>SUM(E42:AE42)</f>
        <v>-375</v>
      </c>
      <c r="AG42" s="83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44"/>
      <c r="AV42" s="44"/>
      <c r="AW42" s="44"/>
      <c r="AX42" s="44"/>
      <c r="AY42" s="44"/>
      <c r="AZ42" s="44"/>
      <c r="BA42" s="44"/>
      <c r="BB42" s="44"/>
    </row>
    <row r="43" spans="1:54" x14ac:dyDescent="0.2">
      <c r="A43" s="767" t="s">
        <v>304</v>
      </c>
      <c r="B43" s="231"/>
      <c r="C43" s="231"/>
      <c r="D43" s="434"/>
      <c r="E43" s="83">
        <f>-Assumpt!$L$9*E$6/12</f>
        <v>-12</v>
      </c>
      <c r="F43" s="83">
        <f>-Assumpt!$L$9*F$6/12</f>
        <v>-12</v>
      </c>
      <c r="G43" s="83">
        <f>-Assumpt!$L$9*G$6/12</f>
        <v>-12</v>
      </c>
      <c r="H43" s="83">
        <f>-Assumpt!$L$9*H$6/12</f>
        <v>-12</v>
      </c>
      <c r="I43" s="83">
        <f>-Assumpt!$L$9*I$6/12</f>
        <v>-12</v>
      </c>
      <c r="J43" s="83">
        <f>-Assumpt!$L$9*J$6/12</f>
        <v>-12</v>
      </c>
      <c r="K43" s="83">
        <f>-Assumpt!$L$9*K$6/12</f>
        <v>-12</v>
      </c>
      <c r="L43" s="83">
        <f>-Assumpt!$L$9*L$6/12</f>
        <v>-12</v>
      </c>
      <c r="M43" s="83">
        <f>-Assumpt!$L$9*M$6/12</f>
        <v>-12</v>
      </c>
      <c r="N43" s="83">
        <f>-Assumpt!$L$9*N$6/12</f>
        <v>-12</v>
      </c>
      <c r="O43" s="83">
        <f>-Assumpt!$L$9*O$6/12</f>
        <v>-12</v>
      </c>
      <c r="P43" s="83">
        <f>-Assumpt!$L$9*P$6/12</f>
        <v>-12</v>
      </c>
      <c r="Q43" s="83">
        <f>-Assumpt!$L$9*Q$6/12</f>
        <v>-12</v>
      </c>
      <c r="R43" s="83">
        <f>-Assumpt!$L$9*R$6/12</f>
        <v>-12</v>
      </c>
      <c r="S43" s="83">
        <f>-Assumpt!$L$9*S$6/12</f>
        <v>-12</v>
      </c>
      <c r="T43" s="83">
        <f>-Assumpt!$L$9*T$6/12</f>
        <v>0</v>
      </c>
      <c r="U43" s="83">
        <f>-Assumpt!$L$9*U$6/12</f>
        <v>0</v>
      </c>
      <c r="V43" s="83">
        <f>-Assumpt!$L$9*V$6/12</f>
        <v>0</v>
      </c>
      <c r="W43" s="83">
        <f>-Assumpt!$L$9*W$6/12</f>
        <v>0</v>
      </c>
      <c r="X43" s="83">
        <f>-Assumpt!$L$9*X$6/12</f>
        <v>0</v>
      </c>
      <c r="Y43" s="83">
        <f>-Assumpt!$L$9*Y$6/12</f>
        <v>0</v>
      </c>
      <c r="Z43" s="83">
        <f>-Assumpt!$L$9*Z$6/12</f>
        <v>0</v>
      </c>
      <c r="AA43" s="83">
        <f>-Assumpt!$L$9*AA$6/12</f>
        <v>0</v>
      </c>
      <c r="AB43" s="83">
        <f>-Assumpt!$L$9*AB$6/12</f>
        <v>0</v>
      </c>
      <c r="AC43" s="83">
        <f>-Assumpt!$L$9*AC$6/12</f>
        <v>0</v>
      </c>
      <c r="AD43" s="83">
        <f>-Assumpt!$L$9*AD$6/12</f>
        <v>0</v>
      </c>
      <c r="AE43" s="83">
        <f>-Assumpt!$L$9*AE$6/12</f>
        <v>0</v>
      </c>
      <c r="AF43" s="525">
        <f>SUM(E43:AE43)</f>
        <v>-180</v>
      </c>
      <c r="AG43" s="356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198"/>
      <c r="AV43" s="198"/>
      <c r="AW43" s="198"/>
      <c r="AX43" s="198"/>
      <c r="AY43" s="198"/>
      <c r="AZ43" s="198"/>
      <c r="BA43" s="198"/>
      <c r="BB43" s="44"/>
    </row>
    <row r="44" spans="1:54" s="221" customFormat="1" x14ac:dyDescent="0.2">
      <c r="A44" s="769" t="s">
        <v>15</v>
      </c>
      <c r="B44" s="770"/>
      <c r="C44" s="770"/>
      <c r="D44" s="771"/>
      <c r="E44" s="772">
        <v>0</v>
      </c>
      <c r="F44" s="772">
        <v>0</v>
      </c>
      <c r="G44" s="772">
        <v>0</v>
      </c>
      <c r="H44" s="772">
        <v>0</v>
      </c>
      <c r="I44" s="772">
        <v>0</v>
      </c>
      <c r="J44" s="772">
        <v>0</v>
      </c>
      <c r="K44" s="772">
        <v>0</v>
      </c>
      <c r="L44" s="772">
        <v>0</v>
      </c>
      <c r="M44" s="772">
        <v>0</v>
      </c>
      <c r="N44" s="772">
        <v>0</v>
      </c>
      <c r="O44" s="772">
        <v>0</v>
      </c>
      <c r="P44" s="772">
        <v>0</v>
      </c>
      <c r="Q44" s="772">
        <v>0</v>
      </c>
      <c r="R44" s="772">
        <v>0</v>
      </c>
      <c r="S44" s="772">
        <v>0</v>
      </c>
      <c r="T44" s="772">
        <v>0</v>
      </c>
      <c r="U44" s="772">
        <v>0</v>
      </c>
      <c r="V44" s="772">
        <v>0</v>
      </c>
      <c r="W44" s="772">
        <v>0</v>
      </c>
      <c r="X44" s="772">
        <v>0</v>
      </c>
      <c r="Y44" s="772">
        <v>0</v>
      </c>
      <c r="Z44" s="772">
        <v>0</v>
      </c>
      <c r="AA44" s="772">
        <v>0</v>
      </c>
      <c r="AB44" s="772">
        <v>0</v>
      </c>
      <c r="AC44" s="772">
        <v>0</v>
      </c>
      <c r="AD44" s="772">
        <v>0</v>
      </c>
      <c r="AE44" s="772">
        <v>0</v>
      </c>
      <c r="AF44" s="527">
        <f>SUM(E44:AE44)</f>
        <v>0</v>
      </c>
      <c r="AG44" s="773"/>
      <c r="AH44" s="774"/>
      <c r="AI44" s="774"/>
      <c r="AJ44" s="774"/>
      <c r="AK44" s="774"/>
      <c r="AL44" s="774"/>
      <c r="AM44" s="774"/>
      <c r="AN44" s="774"/>
      <c r="AO44" s="774"/>
      <c r="AP44" s="774"/>
      <c r="AQ44" s="774"/>
      <c r="AR44" s="774"/>
      <c r="AS44" s="774"/>
      <c r="AT44" s="774"/>
      <c r="AU44" s="775"/>
      <c r="AV44" s="775"/>
      <c r="AW44" s="775"/>
      <c r="AX44" s="775"/>
      <c r="AY44" s="775"/>
      <c r="AZ44" s="775"/>
      <c r="BA44" s="775"/>
      <c r="BB44" s="208"/>
    </row>
    <row r="45" spans="1:54" x14ac:dyDescent="0.2">
      <c r="A45" s="767" t="s">
        <v>284</v>
      </c>
      <c r="D45" s="768"/>
      <c r="E45" s="83">
        <f>+SUM(E42:E44)</f>
        <v>-37</v>
      </c>
      <c r="F45" s="83">
        <f t="shared" ref="F45:AE45" si="15">+SUM(F42:F44)</f>
        <v>-37</v>
      </c>
      <c r="G45" s="83">
        <f t="shared" si="15"/>
        <v>-37</v>
      </c>
      <c r="H45" s="83">
        <f t="shared" si="15"/>
        <v>-37</v>
      </c>
      <c r="I45" s="83">
        <f t="shared" si="15"/>
        <v>-37</v>
      </c>
      <c r="J45" s="83">
        <f t="shared" si="15"/>
        <v>-37</v>
      </c>
      <c r="K45" s="83">
        <f t="shared" si="15"/>
        <v>-37</v>
      </c>
      <c r="L45" s="83">
        <f t="shared" si="15"/>
        <v>-37</v>
      </c>
      <c r="M45" s="83">
        <f t="shared" si="15"/>
        <v>-37</v>
      </c>
      <c r="N45" s="83">
        <f t="shared" si="15"/>
        <v>-37</v>
      </c>
      <c r="O45" s="83">
        <f t="shared" si="15"/>
        <v>-37</v>
      </c>
      <c r="P45" s="83">
        <f t="shared" si="15"/>
        <v>-37</v>
      </c>
      <c r="Q45" s="83">
        <f t="shared" si="15"/>
        <v>-37</v>
      </c>
      <c r="R45" s="83">
        <f t="shared" si="15"/>
        <v>-37</v>
      </c>
      <c r="S45" s="83">
        <f t="shared" si="15"/>
        <v>-37</v>
      </c>
      <c r="T45" s="83">
        <f t="shared" si="15"/>
        <v>0</v>
      </c>
      <c r="U45" s="83">
        <f t="shared" si="15"/>
        <v>0</v>
      </c>
      <c r="V45" s="83">
        <f t="shared" si="15"/>
        <v>0</v>
      </c>
      <c r="W45" s="83">
        <f t="shared" si="15"/>
        <v>0</v>
      </c>
      <c r="X45" s="83">
        <f t="shared" si="15"/>
        <v>0</v>
      </c>
      <c r="Y45" s="83">
        <f t="shared" si="15"/>
        <v>0</v>
      </c>
      <c r="Z45" s="83">
        <f t="shared" si="15"/>
        <v>0</v>
      </c>
      <c r="AA45" s="83">
        <f t="shared" si="15"/>
        <v>0</v>
      </c>
      <c r="AB45" s="83">
        <f t="shared" si="15"/>
        <v>0</v>
      </c>
      <c r="AC45" s="83">
        <f t="shared" si="15"/>
        <v>0</v>
      </c>
      <c r="AD45" s="83">
        <f t="shared" si="15"/>
        <v>0</v>
      </c>
      <c r="AE45" s="83">
        <f t="shared" si="15"/>
        <v>0</v>
      </c>
      <c r="AF45" s="525">
        <f>SUM(E45:AE45)</f>
        <v>-555</v>
      </c>
      <c r="AG45" s="83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44"/>
      <c r="AV45" s="44"/>
      <c r="AW45" s="44"/>
      <c r="AX45" s="44"/>
      <c r="AY45" s="44"/>
      <c r="AZ45" s="44"/>
      <c r="BA45" s="44"/>
      <c r="BB45" s="44"/>
    </row>
    <row r="46" spans="1:54" x14ac:dyDescent="0.2">
      <c r="A46" s="600"/>
      <c r="B46" s="231"/>
      <c r="C46" s="231"/>
      <c r="D46" s="434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  <c r="AA46" s="356"/>
      <c r="AB46" s="356"/>
      <c r="AC46" s="356"/>
      <c r="AD46" s="356"/>
      <c r="AE46" s="356"/>
      <c r="AF46" s="525"/>
      <c r="AG46" s="356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198"/>
      <c r="AV46" s="198"/>
      <c r="AW46" s="198"/>
      <c r="AX46" s="198"/>
      <c r="AY46" s="198"/>
      <c r="AZ46" s="198"/>
      <c r="BA46" s="198"/>
      <c r="BB46" s="44"/>
    </row>
    <row r="47" spans="1:54" s="231" customFormat="1" x14ac:dyDescent="0.2">
      <c r="A47" s="702" t="s">
        <v>285</v>
      </c>
      <c r="B47" s="544"/>
      <c r="C47" s="544"/>
      <c r="D47" s="569"/>
      <c r="E47" s="570">
        <f>+E39+E45</f>
        <v>7400.198830629246</v>
      </c>
      <c r="F47" s="570">
        <f t="shared" ref="F47:AE47" si="16">+F39+F45</f>
        <v>7696.9266537338008</v>
      </c>
      <c r="G47" s="570">
        <f t="shared" si="16"/>
        <v>24850.721038835632</v>
      </c>
      <c r="H47" s="570">
        <f t="shared" si="16"/>
        <v>26470.201472241246</v>
      </c>
      <c r="I47" s="570">
        <f t="shared" si="16"/>
        <v>27172.343490289182</v>
      </c>
      <c r="J47" s="570">
        <f t="shared" si="16"/>
        <v>28433.537627367346</v>
      </c>
      <c r="K47" s="570">
        <f t="shared" si="16"/>
        <v>29259.698003493322</v>
      </c>
      <c r="L47" s="570">
        <f t="shared" si="16"/>
        <v>63589.067946755633</v>
      </c>
      <c r="M47" s="570">
        <f t="shared" si="16"/>
        <v>69645.507010156405</v>
      </c>
      <c r="N47" s="570">
        <f t="shared" si="16"/>
        <v>71674.908244282939</v>
      </c>
      <c r="O47" s="570">
        <f t="shared" si="16"/>
        <v>73926.045282321676</v>
      </c>
      <c r="P47" s="570">
        <f t="shared" si="16"/>
        <v>77037.419606700583</v>
      </c>
      <c r="Q47" s="570">
        <f t="shared" si="16"/>
        <v>78578.90799883462</v>
      </c>
      <c r="R47" s="570">
        <f t="shared" si="16"/>
        <v>80151.226158811303</v>
      </c>
      <c r="S47" s="570">
        <f t="shared" si="16"/>
        <v>81754.990681987532</v>
      </c>
      <c r="T47" s="570">
        <f t="shared" si="16"/>
        <v>0</v>
      </c>
      <c r="U47" s="570">
        <f t="shared" si="16"/>
        <v>0</v>
      </c>
      <c r="V47" s="570">
        <f t="shared" si="16"/>
        <v>0</v>
      </c>
      <c r="W47" s="570">
        <f t="shared" si="16"/>
        <v>0</v>
      </c>
      <c r="X47" s="570">
        <f t="shared" si="16"/>
        <v>0</v>
      </c>
      <c r="Y47" s="570">
        <f t="shared" si="16"/>
        <v>0</v>
      </c>
      <c r="Z47" s="570">
        <f t="shared" si="16"/>
        <v>0</v>
      </c>
      <c r="AA47" s="570">
        <f t="shared" si="16"/>
        <v>0</v>
      </c>
      <c r="AB47" s="570">
        <f t="shared" si="16"/>
        <v>0</v>
      </c>
      <c r="AC47" s="570">
        <f t="shared" si="16"/>
        <v>0</v>
      </c>
      <c r="AD47" s="570">
        <f t="shared" si="16"/>
        <v>0</v>
      </c>
      <c r="AE47" s="570">
        <f t="shared" si="16"/>
        <v>0</v>
      </c>
      <c r="AF47" s="571">
        <f>SUM(E47:AE47)</f>
        <v>747641.70004644035</v>
      </c>
      <c r="AG47" s="565"/>
      <c r="AH47" s="565"/>
    </row>
    <row r="48" spans="1:54" x14ac:dyDescent="0.2">
      <c r="A48" s="203"/>
      <c r="AF48" s="250"/>
    </row>
    <row r="49" spans="1:34" x14ac:dyDescent="0.2">
      <c r="A49" s="572" t="s">
        <v>88</v>
      </c>
      <c r="E49" s="83">
        <f>-Debt!E51</f>
        <v>-12115.984615130792</v>
      </c>
      <c r="F49" s="83">
        <f>-Debt!F51</f>
        <v>-11953.942667125337</v>
      </c>
      <c r="G49" s="83">
        <f>-Debt!G51</f>
        <v>-11274.621297837295</v>
      </c>
      <c r="H49" s="83">
        <f>-Debt!H51</f>
        <v>-10529.231679627432</v>
      </c>
      <c r="I49" s="83">
        <f>-Debt!I51</f>
        <v>-9711.3482623615473</v>
      </c>
      <c r="J49" s="83">
        <f>-Debt!J51</f>
        <v>-8813.9205709951966</v>
      </c>
      <c r="K49" s="83">
        <f>-Debt!K51</f>
        <v>-7829.2124277203975</v>
      </c>
      <c r="L49" s="83">
        <f>-Debt!L51</f>
        <v>-6748.7352630862297</v>
      </c>
      <c r="M49" s="83">
        <f>-Debt!M51</f>
        <v>-5563.1749412091103</v>
      </c>
      <c r="N49" s="83">
        <f>-Debt!N51</f>
        <v>-4262.3114682774285</v>
      </c>
      <c r="O49" s="83">
        <f>-Debt!O51</f>
        <v>-2834.9308922064356</v>
      </c>
      <c r="P49" s="83">
        <f>-Debt!P51</f>
        <v>-1268.7286339839379</v>
      </c>
      <c r="Q49" s="83">
        <f>-Debt!Q51</f>
        <v>0</v>
      </c>
      <c r="R49" s="83">
        <f>-Debt!R51</f>
        <v>0</v>
      </c>
      <c r="S49" s="83">
        <f>-Debt!S51</f>
        <v>0</v>
      </c>
      <c r="T49" s="83">
        <f>-Debt!T51</f>
        <v>0</v>
      </c>
      <c r="U49" s="83">
        <f>-Debt!U51</f>
        <v>0</v>
      </c>
      <c r="V49" s="83">
        <f>-Debt!V51</f>
        <v>0</v>
      </c>
      <c r="W49" s="83">
        <f>-Debt!W51</f>
        <v>0</v>
      </c>
      <c r="X49" s="83">
        <f>-Debt!X51</f>
        <v>0</v>
      </c>
      <c r="Y49" s="83">
        <f>-Debt!Y51</f>
        <v>0</v>
      </c>
      <c r="Z49" s="83">
        <f>-Debt!Z51</f>
        <v>0</v>
      </c>
      <c r="AA49" s="83">
        <f>-Debt!AA51</f>
        <v>0</v>
      </c>
      <c r="AB49" s="83">
        <f>-Debt!AB51</f>
        <v>0</v>
      </c>
      <c r="AC49" s="83">
        <f>-Debt!AC51</f>
        <v>0</v>
      </c>
      <c r="AD49" s="83">
        <f>-Debt!AD51</f>
        <v>0</v>
      </c>
      <c r="AE49" s="83">
        <f>-Debt!AE51</f>
        <v>0</v>
      </c>
      <c r="AF49" s="525">
        <f>SUM(E49:AE49)</f>
        <v>-92906.142719561147</v>
      </c>
    </row>
    <row r="50" spans="1:34" x14ac:dyDescent="0.2">
      <c r="A50" s="572" t="s">
        <v>286</v>
      </c>
      <c r="E50" s="83">
        <f>+E49*Assumpt!$L$14</f>
        <v>-773.36072011473129</v>
      </c>
      <c r="F50" s="83">
        <f>+F49*Assumpt!$L$14</f>
        <v>-763.01761705055333</v>
      </c>
      <c r="G50" s="83">
        <f>+G49*Assumpt!$L$14</f>
        <v>-719.65667858535926</v>
      </c>
      <c r="H50" s="83">
        <f>+H49*Assumpt!$L$14</f>
        <v>-672.07861784855947</v>
      </c>
      <c r="I50" s="83">
        <f>+I49*Assumpt!$L$14</f>
        <v>-619.87329334222636</v>
      </c>
      <c r="J50" s="83">
        <f>+J49*Assumpt!$L$14</f>
        <v>-562.59067474437416</v>
      </c>
      <c r="K50" s="83">
        <f>+K49*Assumpt!$L$14</f>
        <v>-499.73696347151468</v>
      </c>
      <c r="L50" s="83">
        <f>+L49*Assumpt!$L$14</f>
        <v>-430.7703359416742</v>
      </c>
      <c r="M50" s="83">
        <f>+M49*Assumpt!$L$14</f>
        <v>-355.09627284313467</v>
      </c>
      <c r="N50" s="83">
        <f>+N49*Assumpt!$L$14</f>
        <v>-272.06243414536777</v>
      </c>
      <c r="O50" s="83">
        <f>+O49*Assumpt!$L$14</f>
        <v>-180.95303567275118</v>
      </c>
      <c r="P50" s="83">
        <f>+P49*Assumpt!$L$14</f>
        <v>-80.982678764932203</v>
      </c>
      <c r="Q50" s="83">
        <f>+Q49*Assumpt!$L$14</f>
        <v>0</v>
      </c>
      <c r="R50" s="83">
        <f>+R49*Assumpt!$L$14</f>
        <v>0</v>
      </c>
      <c r="S50" s="83">
        <f>+S49*Assumpt!$L$14</f>
        <v>0</v>
      </c>
      <c r="T50" s="83">
        <f>+T49*Assumpt!$L$14</f>
        <v>0</v>
      </c>
      <c r="U50" s="83">
        <f>+U49*Assumpt!$L$14</f>
        <v>0</v>
      </c>
      <c r="V50" s="83">
        <f>+V49*Assumpt!$L$14</f>
        <v>0</v>
      </c>
      <c r="W50" s="83">
        <f>+W49*Assumpt!$L$14</f>
        <v>0</v>
      </c>
      <c r="X50" s="83">
        <f>+X49*Assumpt!$L$14</f>
        <v>0</v>
      </c>
      <c r="Y50" s="83">
        <f>+Y49*Assumpt!$L$14</f>
        <v>0</v>
      </c>
      <c r="Z50" s="83">
        <f>+Z49*Assumpt!$L$14</f>
        <v>0</v>
      </c>
      <c r="AA50" s="83">
        <f>+AA49*Assumpt!$L$14</f>
        <v>0</v>
      </c>
      <c r="AB50" s="83">
        <f>+AB49*Assumpt!$L$14</f>
        <v>0</v>
      </c>
      <c r="AC50" s="83">
        <f>+AC49*Assumpt!$L$14</f>
        <v>0</v>
      </c>
      <c r="AD50" s="83">
        <f>+AD49*Assumpt!$L$14</f>
        <v>0</v>
      </c>
      <c r="AE50" s="83">
        <f>+AE49*Assumpt!$L$14</f>
        <v>0</v>
      </c>
      <c r="AF50" s="525">
        <f>SUM(E50:AE50)</f>
        <v>-5930.1793225251795</v>
      </c>
      <c r="AH50" s="83"/>
    </row>
    <row r="51" spans="1:34" x14ac:dyDescent="0.2">
      <c r="A51" s="572" t="s">
        <v>394</v>
      </c>
      <c r="E51" s="83">
        <f>-'Depn&amp;Tax'!E$87</f>
        <v>0</v>
      </c>
      <c r="F51" s="83">
        <f>-'Depn&amp;Tax'!F$87</f>
        <v>-20</v>
      </c>
      <c r="G51" s="83">
        <f>-'Depn&amp;Tax'!G$87</f>
        <v>-20</v>
      </c>
      <c r="H51" s="83">
        <f>-'Depn&amp;Tax'!H$87</f>
        <v>-20</v>
      </c>
      <c r="I51" s="83">
        <f>-'Depn&amp;Tax'!I$87</f>
        <v>-20</v>
      </c>
      <c r="J51" s="83">
        <f>-'Depn&amp;Tax'!J$87</f>
        <v>-20</v>
      </c>
      <c r="K51" s="83">
        <f>-'Depn&amp;Tax'!K$87</f>
        <v>-20</v>
      </c>
      <c r="L51" s="83">
        <f>-'Depn&amp;Tax'!L$87</f>
        <v>-20</v>
      </c>
      <c r="M51" s="83">
        <f>-'Depn&amp;Tax'!M$87</f>
        <v>-20</v>
      </c>
      <c r="N51" s="83">
        <f>-'Depn&amp;Tax'!N$87</f>
        <v>-20</v>
      </c>
      <c r="O51" s="83">
        <f>-'Depn&amp;Tax'!O$87</f>
        <v>-20</v>
      </c>
      <c r="P51" s="83">
        <f>-'Depn&amp;Tax'!P$87</f>
        <v>-20</v>
      </c>
      <c r="Q51" s="83">
        <f>-'Depn&amp;Tax'!Q$87</f>
        <v>-20</v>
      </c>
      <c r="R51" s="83">
        <f>-'Depn&amp;Tax'!R$87</f>
        <v>-20</v>
      </c>
      <c r="S51" s="83">
        <f>-'Depn&amp;Tax'!S$87</f>
        <v>-20</v>
      </c>
      <c r="T51" s="83">
        <f>-'Depn&amp;Tax'!T$87</f>
        <v>0</v>
      </c>
      <c r="U51" s="83">
        <f>-'Depn&amp;Tax'!U$87</f>
        <v>0</v>
      </c>
      <c r="V51" s="83">
        <f>-'Depn&amp;Tax'!V$87</f>
        <v>0</v>
      </c>
      <c r="W51" s="83">
        <f>-'Depn&amp;Tax'!W$87</f>
        <v>0</v>
      </c>
      <c r="X51" s="83">
        <f>-'Depn&amp;Tax'!X$87</f>
        <v>0</v>
      </c>
      <c r="Y51" s="83">
        <f>-'Depn&amp;Tax'!Y$87</f>
        <v>0</v>
      </c>
      <c r="Z51" s="83">
        <f>-'Depn&amp;Tax'!Z$87</f>
        <v>0</v>
      </c>
      <c r="AA51" s="83">
        <f>-'Depn&amp;Tax'!AA$87</f>
        <v>0</v>
      </c>
      <c r="AB51" s="83">
        <f>-'Depn&amp;Tax'!AB$87</f>
        <v>0</v>
      </c>
      <c r="AC51" s="83">
        <f>-'Depn&amp;Tax'!AC$87</f>
        <v>0</v>
      </c>
      <c r="AD51" s="83">
        <f>-'Depn&amp;Tax'!AD$87</f>
        <v>0</v>
      </c>
      <c r="AE51" s="83">
        <f>-'Depn&amp;Tax'!AE$87</f>
        <v>0</v>
      </c>
      <c r="AF51" s="525">
        <f>SUM(E51:AE51)</f>
        <v>-280</v>
      </c>
      <c r="AH51" s="83"/>
    </row>
    <row r="52" spans="1:34" x14ac:dyDescent="0.2">
      <c r="A52" s="572" t="s">
        <v>87</v>
      </c>
      <c r="E52" s="83">
        <f>'Depn&amp;Tax'!E11</f>
        <v>-4219.569848176724</v>
      </c>
      <c r="F52" s="83">
        <f>'Depn&amp;Tax'!F11</f>
        <v>-4219.569848176724</v>
      </c>
      <c r="G52" s="83">
        <f>'Depn&amp;Tax'!G11</f>
        <v>-4219.569848176724</v>
      </c>
      <c r="H52" s="83">
        <f>'Depn&amp;Tax'!H11</f>
        <v>-4219.569848176724</v>
      </c>
      <c r="I52" s="83">
        <f>'Depn&amp;Tax'!I11</f>
        <v>-4219.569848176724</v>
      </c>
      <c r="J52" s="83">
        <f>'Depn&amp;Tax'!J11</f>
        <v>-4219.569848176724</v>
      </c>
      <c r="K52" s="83">
        <f>'Depn&amp;Tax'!K11</f>
        <v>-4219.569848176724</v>
      </c>
      <c r="L52" s="83">
        <f>'Depn&amp;Tax'!L11</f>
        <v>-4219.569848176724</v>
      </c>
      <c r="M52" s="83">
        <f>'Depn&amp;Tax'!M11</f>
        <v>-4219.569848176724</v>
      </c>
      <c r="N52" s="83">
        <f>'Depn&amp;Tax'!N11</f>
        <v>-4219.569848176724</v>
      </c>
      <c r="O52" s="83">
        <f>'Depn&amp;Tax'!O11</f>
        <v>-4219.569848176724</v>
      </c>
      <c r="P52" s="83">
        <f>'Depn&amp;Tax'!P11</f>
        <v>-4219.569848176724</v>
      </c>
      <c r="Q52" s="83">
        <f>'Depn&amp;Tax'!Q11</f>
        <v>-4219.569848176724</v>
      </c>
      <c r="R52" s="83">
        <f>'Depn&amp;Tax'!R11</f>
        <v>-4219.569848176724</v>
      </c>
      <c r="S52" s="83">
        <f>'Depn&amp;Tax'!S11</f>
        <v>-4219.569848176724</v>
      </c>
      <c r="T52" s="83">
        <f>'Depn&amp;Tax'!T11</f>
        <v>0</v>
      </c>
      <c r="U52" s="83">
        <f>'Depn&amp;Tax'!U11</f>
        <v>0</v>
      </c>
      <c r="V52" s="83">
        <f>'Depn&amp;Tax'!V11</f>
        <v>0</v>
      </c>
      <c r="W52" s="83">
        <f>'Depn&amp;Tax'!W11</f>
        <v>0</v>
      </c>
      <c r="X52" s="83">
        <f>'Depn&amp;Tax'!X11</f>
        <v>0</v>
      </c>
      <c r="Y52" s="83">
        <f>'Depn&amp;Tax'!Y11</f>
        <v>0</v>
      </c>
      <c r="Z52" s="83">
        <f>'Depn&amp;Tax'!Z11</f>
        <v>0</v>
      </c>
      <c r="AA52" s="83">
        <f>'Depn&amp;Tax'!AA11</f>
        <v>0</v>
      </c>
      <c r="AB52" s="83">
        <f>'Depn&amp;Tax'!AB11</f>
        <v>0</v>
      </c>
      <c r="AC52" s="83">
        <f>'Depn&amp;Tax'!AC11</f>
        <v>0</v>
      </c>
      <c r="AD52" s="83">
        <f>'Depn&amp;Tax'!AD11</f>
        <v>0</v>
      </c>
      <c r="AE52" s="83">
        <f>'Depn&amp;Tax'!AE11</f>
        <v>0</v>
      </c>
      <c r="AF52" s="525">
        <f>SUM(E52:AE52)</f>
        <v>-63293.547722650866</v>
      </c>
      <c r="AH52" s="83"/>
    </row>
    <row r="53" spans="1:34" x14ac:dyDescent="0.2">
      <c r="A53" s="599" t="s">
        <v>294</v>
      </c>
      <c r="E53" s="83">
        <f>-'Depn&amp;Tax'!E30</f>
        <v>0</v>
      </c>
      <c r="F53" s="83">
        <f>-'Depn&amp;Tax'!F30</f>
        <v>0</v>
      </c>
      <c r="G53" s="83">
        <f>-'Depn&amp;Tax'!G30</f>
        <v>-1292.5309821354379</v>
      </c>
      <c r="H53" s="83">
        <f>-'Depn&amp;Tax'!H30</f>
        <v>-1654.3981989882798</v>
      </c>
      <c r="I53" s="83">
        <f>-'Depn&amp;Tax'!I30</f>
        <v>-1890.2328129613024</v>
      </c>
      <c r="J53" s="83">
        <f>-'Depn&amp;Tax'!J30</f>
        <v>-3591.9030046967905</v>
      </c>
      <c r="K53" s="83">
        <f>-'Depn&amp;Tax'!K30</f>
        <v>-5007.3536292374056</v>
      </c>
      <c r="L53" s="83">
        <f>-'Depn&amp;Tax'!L30</f>
        <v>-15650.997749865299</v>
      </c>
      <c r="M53" s="83">
        <f>-'Depn&amp;Tax'!M30</f>
        <v>-17846.299784378232</v>
      </c>
      <c r="N53" s="83">
        <f>-'Depn&amp;Tax'!N30</f>
        <v>-18870.289348105023</v>
      </c>
      <c r="O53" s="83">
        <f>-'Depn&amp;Tax'!O30</f>
        <v>-20001.177451879732</v>
      </c>
      <c r="P53" s="83">
        <f>-'Depn&amp;Tax'!P30</f>
        <v>-21434.441533732497</v>
      </c>
      <c r="Q53" s="83">
        <f>-'Depn&amp;Tax'!Q30</f>
        <v>-22301.801445197369</v>
      </c>
      <c r="R53" s="83">
        <f>-'Depn&amp;Tax'!R30</f>
        <v>-22773.496893190375</v>
      </c>
      <c r="S53" s="83">
        <f>-'Depn&amp;Tax'!S30</f>
        <v>-23254.626250143243</v>
      </c>
      <c r="T53" s="83">
        <f>-'Depn&amp;Tax'!T30</f>
        <v>0</v>
      </c>
      <c r="U53" s="83">
        <f>-'Depn&amp;Tax'!U30</f>
        <v>0</v>
      </c>
      <c r="V53" s="83">
        <f>-'Depn&amp;Tax'!V30</f>
        <v>0</v>
      </c>
      <c r="W53" s="83">
        <f>-'Depn&amp;Tax'!W30</f>
        <v>0</v>
      </c>
      <c r="X53" s="83">
        <f>-'Depn&amp;Tax'!X30</f>
        <v>0</v>
      </c>
      <c r="Y53" s="83">
        <f>-'Depn&amp;Tax'!Y30</f>
        <v>0</v>
      </c>
      <c r="Z53" s="83">
        <f>-'Depn&amp;Tax'!Z30</f>
        <v>0</v>
      </c>
      <c r="AA53" s="83">
        <f>-'Depn&amp;Tax'!AA30</f>
        <v>0</v>
      </c>
      <c r="AB53" s="83">
        <f>-'Depn&amp;Tax'!AB30</f>
        <v>0</v>
      </c>
      <c r="AC53" s="83">
        <f>-'Depn&amp;Tax'!AC30</f>
        <v>0</v>
      </c>
      <c r="AD53" s="83">
        <f>-'Depn&amp;Tax'!AD30</f>
        <v>0</v>
      </c>
      <c r="AE53" s="83">
        <f>-'Depn&amp;Tax'!AE30</f>
        <v>0</v>
      </c>
      <c r="AF53" s="525">
        <f>SUM(E53:AE53)</f>
        <v>-175569.549084511</v>
      </c>
      <c r="AH53" s="83"/>
    </row>
    <row r="54" spans="1:34" x14ac:dyDescent="0.2">
      <c r="A54" s="203"/>
      <c r="AF54" s="250"/>
    </row>
    <row r="55" spans="1:34" s="231" customFormat="1" x14ac:dyDescent="0.2">
      <c r="A55" s="568" t="s">
        <v>295</v>
      </c>
      <c r="B55" s="544"/>
      <c r="C55" s="544"/>
      <c r="D55" s="569"/>
      <c r="E55" s="570">
        <f t="shared" ref="E55:AE55" si="17">SUM(E47:E53)</f>
        <v>-9708.7163527930024</v>
      </c>
      <c r="F55" s="570">
        <f t="shared" si="17"/>
        <v>-9259.6034786188138</v>
      </c>
      <c r="G55" s="570">
        <f t="shared" si="17"/>
        <v>7324.3422321008156</v>
      </c>
      <c r="H55" s="570">
        <f t="shared" si="17"/>
        <v>9374.923127600252</v>
      </c>
      <c r="I55" s="570">
        <f t="shared" si="17"/>
        <v>10711.319273447381</v>
      </c>
      <c r="J55" s="570">
        <f t="shared" si="17"/>
        <v>11225.553528754261</v>
      </c>
      <c r="K55" s="570">
        <f t="shared" si="17"/>
        <v>11683.82513488728</v>
      </c>
      <c r="L55" s="570">
        <f t="shared" si="17"/>
        <v>36518.994749685706</v>
      </c>
      <c r="M55" s="570">
        <f t="shared" si="17"/>
        <v>41641.366163549203</v>
      </c>
      <c r="N55" s="570">
        <f t="shared" si="17"/>
        <v>44030.675145578396</v>
      </c>
      <c r="O55" s="570">
        <f t="shared" si="17"/>
        <v>46669.414054386041</v>
      </c>
      <c r="P55" s="570">
        <f t="shared" si="17"/>
        <v>50013.696912042498</v>
      </c>
      <c r="Q55" s="570">
        <f t="shared" si="17"/>
        <v>52037.53670546053</v>
      </c>
      <c r="R55" s="570">
        <f t="shared" si="17"/>
        <v>53138.159417444214</v>
      </c>
      <c r="S55" s="570">
        <f t="shared" si="17"/>
        <v>54260.794583667572</v>
      </c>
      <c r="T55" s="570">
        <f t="shared" si="17"/>
        <v>0</v>
      </c>
      <c r="U55" s="570">
        <f t="shared" si="17"/>
        <v>0</v>
      </c>
      <c r="V55" s="570">
        <f t="shared" si="17"/>
        <v>0</v>
      </c>
      <c r="W55" s="570">
        <f t="shared" si="17"/>
        <v>0</v>
      </c>
      <c r="X55" s="570">
        <f t="shared" si="17"/>
        <v>0</v>
      </c>
      <c r="Y55" s="570">
        <f t="shared" si="17"/>
        <v>0</v>
      </c>
      <c r="Z55" s="570">
        <f t="shared" si="17"/>
        <v>0</v>
      </c>
      <c r="AA55" s="570">
        <f t="shared" si="17"/>
        <v>0</v>
      </c>
      <c r="AB55" s="570">
        <f t="shared" si="17"/>
        <v>0</v>
      </c>
      <c r="AC55" s="570">
        <f t="shared" si="17"/>
        <v>0</v>
      </c>
      <c r="AD55" s="570">
        <f t="shared" si="17"/>
        <v>0</v>
      </c>
      <c r="AE55" s="570">
        <f t="shared" si="17"/>
        <v>0</v>
      </c>
      <c r="AF55" s="571">
        <f>SUM(E55:AE55)</f>
        <v>409662.28119719232</v>
      </c>
      <c r="AG55" s="565"/>
      <c r="AH55" s="565"/>
    </row>
    <row r="56" spans="1:34" x14ac:dyDescent="0.2">
      <c r="A56" s="203"/>
      <c r="AF56" s="246"/>
    </row>
    <row r="57" spans="1:34" x14ac:dyDescent="0.2">
      <c r="A57" s="572" t="s">
        <v>285</v>
      </c>
      <c r="E57" s="83">
        <f>+E47</f>
        <v>7400.198830629246</v>
      </c>
      <c r="F57" s="83">
        <f t="shared" ref="F57:U57" si="18">+F47</f>
        <v>7696.9266537338008</v>
      </c>
      <c r="G57" s="83">
        <f t="shared" si="18"/>
        <v>24850.721038835632</v>
      </c>
      <c r="H57" s="83">
        <f t="shared" si="18"/>
        <v>26470.201472241246</v>
      </c>
      <c r="I57" s="83">
        <f t="shared" si="18"/>
        <v>27172.343490289182</v>
      </c>
      <c r="J57" s="83">
        <f t="shared" si="18"/>
        <v>28433.537627367346</v>
      </c>
      <c r="K57" s="83">
        <f t="shared" si="18"/>
        <v>29259.698003493322</v>
      </c>
      <c r="L57" s="83">
        <f t="shared" si="18"/>
        <v>63589.067946755633</v>
      </c>
      <c r="M57" s="83">
        <f t="shared" si="18"/>
        <v>69645.507010156405</v>
      </c>
      <c r="N57" s="83">
        <f t="shared" si="18"/>
        <v>71674.908244282939</v>
      </c>
      <c r="O57" s="83">
        <f t="shared" si="18"/>
        <v>73926.045282321676</v>
      </c>
      <c r="P57" s="83">
        <f t="shared" si="18"/>
        <v>77037.419606700583</v>
      </c>
      <c r="Q57" s="83">
        <f t="shared" si="18"/>
        <v>78578.90799883462</v>
      </c>
      <c r="R57" s="83">
        <f t="shared" si="18"/>
        <v>80151.226158811303</v>
      </c>
      <c r="S57" s="83">
        <f t="shared" si="18"/>
        <v>81754.990681987532</v>
      </c>
      <c r="T57" s="83">
        <f t="shared" si="18"/>
        <v>0</v>
      </c>
      <c r="U57" s="83">
        <f t="shared" si="18"/>
        <v>0</v>
      </c>
      <c r="V57" s="83">
        <f t="shared" ref="V57:AE57" si="19">+V47</f>
        <v>0</v>
      </c>
      <c r="W57" s="83">
        <f t="shared" si="19"/>
        <v>0</v>
      </c>
      <c r="X57" s="83">
        <f t="shared" si="19"/>
        <v>0</v>
      </c>
      <c r="Y57" s="83">
        <f t="shared" si="19"/>
        <v>0</v>
      </c>
      <c r="Z57" s="83">
        <f t="shared" si="19"/>
        <v>0</v>
      </c>
      <c r="AA57" s="83">
        <f t="shared" si="19"/>
        <v>0</v>
      </c>
      <c r="AB57" s="83">
        <f t="shared" si="19"/>
        <v>0</v>
      </c>
      <c r="AC57" s="83">
        <f t="shared" si="19"/>
        <v>0</v>
      </c>
      <c r="AD57" s="83">
        <f t="shared" si="19"/>
        <v>0</v>
      </c>
      <c r="AE57" s="83">
        <f t="shared" si="19"/>
        <v>0</v>
      </c>
      <c r="AF57" s="525">
        <f t="shared" ref="AF57:AF64" si="20">SUM(E57:AE57)</f>
        <v>747641.70004644035</v>
      </c>
    </row>
    <row r="58" spans="1:34" x14ac:dyDescent="0.2">
      <c r="A58" s="599" t="s">
        <v>88</v>
      </c>
      <c r="D58" s="435"/>
      <c r="E58" s="242">
        <f t="shared" ref="E58:AE58" si="21">+E49</f>
        <v>-12115.984615130792</v>
      </c>
      <c r="F58" s="242">
        <f t="shared" si="21"/>
        <v>-11953.942667125337</v>
      </c>
      <c r="G58" s="242">
        <f t="shared" si="21"/>
        <v>-11274.621297837295</v>
      </c>
      <c r="H58" s="242">
        <f t="shared" si="21"/>
        <v>-10529.231679627432</v>
      </c>
      <c r="I58" s="242">
        <f t="shared" si="21"/>
        <v>-9711.3482623615473</v>
      </c>
      <c r="J58" s="242">
        <f t="shared" si="21"/>
        <v>-8813.9205709951966</v>
      </c>
      <c r="K58" s="242">
        <f t="shared" si="21"/>
        <v>-7829.2124277203975</v>
      </c>
      <c r="L58" s="242">
        <f t="shared" si="21"/>
        <v>-6748.7352630862297</v>
      </c>
      <c r="M58" s="242">
        <f t="shared" si="21"/>
        <v>-5563.1749412091103</v>
      </c>
      <c r="N58" s="242">
        <f t="shared" si="21"/>
        <v>-4262.3114682774285</v>
      </c>
      <c r="O58" s="242">
        <f t="shared" si="21"/>
        <v>-2834.9308922064356</v>
      </c>
      <c r="P58" s="242">
        <f t="shared" si="21"/>
        <v>-1268.7286339839379</v>
      </c>
      <c r="Q58" s="242">
        <f t="shared" si="21"/>
        <v>0</v>
      </c>
      <c r="R58" s="242">
        <f t="shared" si="21"/>
        <v>0</v>
      </c>
      <c r="S58" s="242">
        <f t="shared" si="21"/>
        <v>0</v>
      </c>
      <c r="T58" s="242">
        <f t="shared" si="21"/>
        <v>0</v>
      </c>
      <c r="U58" s="242">
        <f t="shared" si="21"/>
        <v>0</v>
      </c>
      <c r="V58" s="242">
        <f t="shared" si="21"/>
        <v>0</v>
      </c>
      <c r="W58" s="242">
        <f t="shared" si="21"/>
        <v>0</v>
      </c>
      <c r="X58" s="242">
        <f t="shared" si="21"/>
        <v>0</v>
      </c>
      <c r="Y58" s="242">
        <f t="shared" si="21"/>
        <v>0</v>
      </c>
      <c r="Z58" s="242">
        <f t="shared" si="21"/>
        <v>0</v>
      </c>
      <c r="AA58" s="242">
        <f t="shared" si="21"/>
        <v>0</v>
      </c>
      <c r="AB58" s="242">
        <f t="shared" si="21"/>
        <v>0</v>
      </c>
      <c r="AC58" s="242">
        <f t="shared" si="21"/>
        <v>0</v>
      </c>
      <c r="AD58" s="242">
        <f t="shared" si="21"/>
        <v>0</v>
      </c>
      <c r="AE58" s="242">
        <f t="shared" si="21"/>
        <v>0</v>
      </c>
      <c r="AF58" s="525">
        <f t="shared" si="20"/>
        <v>-92906.142719561147</v>
      </c>
    </row>
    <row r="59" spans="1:34" x14ac:dyDescent="0.2">
      <c r="A59" s="572" t="s">
        <v>286</v>
      </c>
      <c r="E59" s="83">
        <f>+E58*Assumpt!$L$14</f>
        <v>-773.36072011473129</v>
      </c>
      <c r="F59" s="83">
        <f>+F58*Assumpt!$L$14</f>
        <v>-763.01761705055333</v>
      </c>
      <c r="G59" s="83">
        <f>+G58*Assumpt!$L$14</f>
        <v>-719.65667858535926</v>
      </c>
      <c r="H59" s="83">
        <f>+H58*Assumpt!$L$14</f>
        <v>-672.07861784855947</v>
      </c>
      <c r="I59" s="83">
        <f>+I58*Assumpt!$L$14</f>
        <v>-619.87329334222636</v>
      </c>
      <c r="J59" s="83">
        <f>+J58*Assumpt!$L$14</f>
        <v>-562.59067474437416</v>
      </c>
      <c r="K59" s="83">
        <f>+K58*Assumpt!$L$14</f>
        <v>-499.73696347151468</v>
      </c>
      <c r="L59" s="83">
        <f>+L58*Assumpt!$L$14</f>
        <v>-430.7703359416742</v>
      </c>
      <c r="M59" s="83">
        <f>+M58*Assumpt!$L$14</f>
        <v>-355.09627284313467</v>
      </c>
      <c r="N59" s="83">
        <f>+N58*Assumpt!$L$14</f>
        <v>-272.06243414536777</v>
      </c>
      <c r="O59" s="83">
        <f>+O58*Assumpt!$L$14</f>
        <v>-180.95303567275118</v>
      </c>
      <c r="P59" s="83">
        <f>+P58*Assumpt!$L$14</f>
        <v>-80.982678764932203</v>
      </c>
      <c r="Q59" s="83">
        <f>+Q58*Assumpt!$L$14</f>
        <v>0</v>
      </c>
      <c r="R59" s="83">
        <f>+R58*Assumpt!$L$14</f>
        <v>0</v>
      </c>
      <c r="S59" s="83">
        <f>+S58*Assumpt!$L$14</f>
        <v>0</v>
      </c>
      <c r="T59" s="83">
        <f>+T58*Assumpt!$L$14</f>
        <v>0</v>
      </c>
      <c r="U59" s="83">
        <f>+U58*Assumpt!$L$14</f>
        <v>0</v>
      </c>
      <c r="V59" s="83">
        <f>+V58*Assumpt!$L$14</f>
        <v>0</v>
      </c>
      <c r="W59" s="83">
        <f>+W58*Assumpt!$L$14</f>
        <v>0</v>
      </c>
      <c r="X59" s="83">
        <f>+X58*Assumpt!$L$14</f>
        <v>0</v>
      </c>
      <c r="Y59" s="83">
        <f>+Y58*Assumpt!$L$14</f>
        <v>0</v>
      </c>
      <c r="Z59" s="83">
        <f>+Z58*Assumpt!$L$14</f>
        <v>0</v>
      </c>
      <c r="AA59" s="83">
        <f>+AA58*Assumpt!$L$14</f>
        <v>0</v>
      </c>
      <c r="AB59" s="83">
        <f>+AB58*Assumpt!$L$14</f>
        <v>0</v>
      </c>
      <c r="AC59" s="83">
        <f>+AC58*Assumpt!$L$14</f>
        <v>0</v>
      </c>
      <c r="AD59" s="83">
        <f>+AD58*Assumpt!$L$14</f>
        <v>0</v>
      </c>
      <c r="AE59" s="83">
        <f>+AE58*Assumpt!$L$14</f>
        <v>0</v>
      </c>
      <c r="AF59" s="525">
        <f>SUM(E59:AE59)</f>
        <v>-5930.1793225251795</v>
      </c>
      <c r="AH59" s="83"/>
    </row>
    <row r="60" spans="1:34" x14ac:dyDescent="0.2">
      <c r="A60" s="572" t="s">
        <v>394</v>
      </c>
      <c r="E60" s="83">
        <f>-'Depn&amp;Tax'!E$87</f>
        <v>0</v>
      </c>
      <c r="F60" s="83">
        <f>-'Depn&amp;Tax'!F$87</f>
        <v>-20</v>
      </c>
      <c r="G60" s="83">
        <f>-'Depn&amp;Tax'!G$87</f>
        <v>-20</v>
      </c>
      <c r="H60" s="83">
        <f>-'Depn&amp;Tax'!H$87</f>
        <v>-20</v>
      </c>
      <c r="I60" s="83">
        <f>-'Depn&amp;Tax'!I$87</f>
        <v>-20</v>
      </c>
      <c r="J60" s="83">
        <f>-'Depn&amp;Tax'!J$87</f>
        <v>-20</v>
      </c>
      <c r="K60" s="83">
        <f>-'Depn&amp;Tax'!K$87</f>
        <v>-20</v>
      </c>
      <c r="L60" s="83">
        <f>-'Depn&amp;Tax'!L$87</f>
        <v>-20</v>
      </c>
      <c r="M60" s="83">
        <f>-'Depn&amp;Tax'!M$87</f>
        <v>-20</v>
      </c>
      <c r="N60" s="83">
        <f>-'Depn&amp;Tax'!N$87</f>
        <v>-20</v>
      </c>
      <c r="O60" s="83">
        <f>-'Depn&amp;Tax'!O$87</f>
        <v>-20</v>
      </c>
      <c r="P60" s="83">
        <f>-'Depn&amp;Tax'!P$87</f>
        <v>-20</v>
      </c>
      <c r="Q60" s="83">
        <f>-'Depn&amp;Tax'!Q$87</f>
        <v>-20</v>
      </c>
      <c r="R60" s="83">
        <f>-'Depn&amp;Tax'!R$87</f>
        <v>-20</v>
      </c>
      <c r="S60" s="83">
        <f>-'Depn&amp;Tax'!S$87</f>
        <v>-20</v>
      </c>
      <c r="T60" s="83">
        <f>-'Depn&amp;Tax'!T$87</f>
        <v>0</v>
      </c>
      <c r="U60" s="83">
        <f>-'Depn&amp;Tax'!U$87</f>
        <v>0</v>
      </c>
      <c r="V60" s="83">
        <f>-'Depn&amp;Tax'!V$87</f>
        <v>0</v>
      </c>
      <c r="W60" s="83">
        <f>-'Depn&amp;Tax'!W$87</f>
        <v>0</v>
      </c>
      <c r="X60" s="83">
        <f>-'Depn&amp;Tax'!X$87</f>
        <v>0</v>
      </c>
      <c r="Y60" s="83">
        <f>-'Depn&amp;Tax'!Y$87</f>
        <v>0</v>
      </c>
      <c r="Z60" s="83">
        <f>-'Depn&amp;Tax'!Z$87</f>
        <v>0</v>
      </c>
      <c r="AA60" s="83">
        <f>-'Depn&amp;Tax'!AA$87</f>
        <v>0</v>
      </c>
      <c r="AB60" s="83">
        <f>-'Depn&amp;Tax'!AB$87</f>
        <v>0</v>
      </c>
      <c r="AC60" s="83">
        <f>-'Depn&amp;Tax'!AC$87</f>
        <v>0</v>
      </c>
      <c r="AD60" s="83">
        <f>-'Depn&amp;Tax'!AD$87</f>
        <v>0</v>
      </c>
      <c r="AE60" s="83">
        <f>-'Depn&amp;Tax'!AE$87</f>
        <v>0</v>
      </c>
      <c r="AF60" s="525">
        <f>SUM(E60:AE60)</f>
        <v>-280</v>
      </c>
      <c r="AH60" s="83"/>
    </row>
    <row r="61" spans="1:34" x14ac:dyDescent="0.2">
      <c r="A61" s="599" t="s">
        <v>92</v>
      </c>
      <c r="D61" s="435"/>
      <c r="E61" s="242">
        <f>-'Depn&amp;Tax'!E54</f>
        <v>0</v>
      </c>
      <c r="F61" s="242">
        <f>-'Depn&amp;Tax'!F54</f>
        <v>0</v>
      </c>
      <c r="G61" s="242">
        <f>-'Depn&amp;Tax'!G54</f>
        <v>0</v>
      </c>
      <c r="H61" s="242">
        <f>-'Depn&amp;Tax'!H54</f>
        <v>-727.36738619080927</v>
      </c>
      <c r="I61" s="242">
        <f>-'Depn&amp;Tax'!I54</f>
        <v>-1257.2973357347939</v>
      </c>
      <c r="J61" s="242">
        <f>-'Depn&amp;Tax'!J54</f>
        <v>-1589.6830027911492</v>
      </c>
      <c r="K61" s="242">
        <f>-'Depn&amp;Tax'!K54</f>
        <v>-1870.7413373921941</v>
      </c>
      <c r="L61" s="242">
        <f>-'Depn&amp;Tax'!L54</f>
        <v>-14385.126795412283</v>
      </c>
      <c r="M61" s="242">
        <f>-'Depn&amp;Tax'!M54</f>
        <v>-16580.428829925215</v>
      </c>
      <c r="N61" s="242">
        <f>-'Depn&amp;Tax'!N54</f>
        <v>-17604.418393652006</v>
      </c>
      <c r="O61" s="242">
        <f>-'Depn&amp;Tax'!O54</f>
        <v>-18735.306497426711</v>
      </c>
      <c r="P61" s="242">
        <f>-'Depn&amp;Tax'!P54</f>
        <v>-20168.57057927948</v>
      </c>
      <c r="Q61" s="242">
        <f>-'Depn&amp;Tax'!Q54</f>
        <v>-21035.930490744351</v>
      </c>
      <c r="R61" s="242">
        <f>-'Depn&amp;Tax'!R54</f>
        <v>-21507.625938737354</v>
      </c>
      <c r="S61" s="242">
        <f>-'Depn&amp;Tax'!S54</f>
        <v>-21988.755295690225</v>
      </c>
      <c r="T61" s="242">
        <f>-'Depn&amp;Tax'!T54</f>
        <v>0</v>
      </c>
      <c r="U61" s="242">
        <f>-'Depn&amp;Tax'!U54</f>
        <v>0</v>
      </c>
      <c r="V61" s="242">
        <f>-'Depn&amp;Tax'!V54</f>
        <v>0</v>
      </c>
      <c r="W61" s="242">
        <f>-'Depn&amp;Tax'!W54</f>
        <v>0</v>
      </c>
      <c r="X61" s="242">
        <f>-'Depn&amp;Tax'!X54</f>
        <v>0</v>
      </c>
      <c r="Y61" s="242">
        <f>-'Depn&amp;Tax'!Y54</f>
        <v>0</v>
      </c>
      <c r="Z61" s="242">
        <f>-'Depn&amp;Tax'!Z54</f>
        <v>0</v>
      </c>
      <c r="AA61" s="242">
        <f>-'Depn&amp;Tax'!AA54</f>
        <v>0</v>
      </c>
      <c r="AB61" s="242">
        <f>-'Depn&amp;Tax'!AB54</f>
        <v>0</v>
      </c>
      <c r="AC61" s="242">
        <f>-'Depn&amp;Tax'!AC54</f>
        <v>0</v>
      </c>
      <c r="AD61" s="242">
        <f>-'Depn&amp;Tax'!AD54</f>
        <v>0</v>
      </c>
      <c r="AE61" s="242">
        <f>-'Depn&amp;Tax'!AE54</f>
        <v>0</v>
      </c>
      <c r="AF61" s="525">
        <f>SUM(E61:AE61)</f>
        <v>-157451.25188297659</v>
      </c>
    </row>
    <row r="62" spans="1:34" x14ac:dyDescent="0.2">
      <c r="A62" s="573" t="s">
        <v>89</v>
      </c>
      <c r="D62" s="435"/>
      <c r="E62" s="436">
        <f>-Debt!E52</f>
        <v>0</v>
      </c>
      <c r="F62" s="436">
        <f>-Debt!F52</f>
        <v>-6984.8608113930131</v>
      </c>
      <c r="G62" s="436">
        <f>-Debt!G52</f>
        <v>-7664.1821806810549</v>
      </c>
      <c r="H62" s="436">
        <f>-Debt!H52</f>
        <v>-8409.5717988909164</v>
      </c>
      <c r="I62" s="436">
        <f>-Debt!I52</f>
        <v>-9227.4552161568026</v>
      </c>
      <c r="J62" s="436">
        <f>-Debt!J52</f>
        <v>-10124.882907523152</v>
      </c>
      <c r="K62" s="436">
        <f>-Debt!K52</f>
        <v>-11109.59105079795</v>
      </c>
      <c r="L62" s="436">
        <f>-Debt!L52</f>
        <v>-12190.068215432118</v>
      </c>
      <c r="M62" s="436">
        <f>-Debt!M52</f>
        <v>-13375.628537309238</v>
      </c>
      <c r="N62" s="436">
        <f>-Debt!N52</f>
        <v>-14676.49201024092</v>
      </c>
      <c r="O62" s="436">
        <f>-Debt!O52</f>
        <v>-16103.872586311914</v>
      </c>
      <c r="P62" s="436">
        <f>-Debt!P52</f>
        <v>-17670.074844534407</v>
      </c>
      <c r="Q62" s="436">
        <f>-Debt!Q52</f>
        <v>0</v>
      </c>
      <c r="R62" s="436">
        <f>-Debt!R52</f>
        <v>0</v>
      </c>
      <c r="S62" s="436">
        <f>-Debt!S52</f>
        <v>0</v>
      </c>
      <c r="T62" s="436">
        <f>-Debt!T52</f>
        <v>0</v>
      </c>
      <c r="U62" s="436">
        <f>-Debt!U52</f>
        <v>0</v>
      </c>
      <c r="V62" s="436">
        <f>-Debt!V52</f>
        <v>0</v>
      </c>
      <c r="W62" s="436">
        <f>-Debt!W52</f>
        <v>0</v>
      </c>
      <c r="X62" s="436">
        <f>-Debt!X52</f>
        <v>0</v>
      </c>
      <c r="Y62" s="436">
        <f>-Debt!Y52</f>
        <v>0</v>
      </c>
      <c r="Z62" s="436">
        <f>-Debt!Z52</f>
        <v>0</v>
      </c>
      <c r="AA62" s="436">
        <f>-Debt!AA52</f>
        <v>0</v>
      </c>
      <c r="AB62" s="436">
        <f>-Debt!AB52</f>
        <v>0</v>
      </c>
      <c r="AC62" s="436">
        <f>-Debt!AC52</f>
        <v>0</v>
      </c>
      <c r="AD62" s="436">
        <f>-Debt!AD52</f>
        <v>0</v>
      </c>
      <c r="AE62" s="436">
        <f>-Debt!AE52</f>
        <v>0</v>
      </c>
      <c r="AF62" s="527">
        <f t="shared" si="20"/>
        <v>-127536.68015927149</v>
      </c>
    </row>
    <row r="63" spans="1:34" x14ac:dyDescent="0.2">
      <c r="A63" s="573"/>
      <c r="D63" s="435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527"/>
    </row>
    <row r="64" spans="1:34" s="231" customFormat="1" x14ac:dyDescent="0.2">
      <c r="A64" s="568" t="s">
        <v>90</v>
      </c>
      <c r="B64" s="544"/>
      <c r="C64" s="544"/>
      <c r="D64" s="569"/>
      <c r="E64" s="570">
        <f>SUM(E57:E62)</f>
        <v>-5489.1465046162775</v>
      </c>
      <c r="F64" s="570">
        <f t="shared" ref="F64:U64" si="22">SUM(F57:F62)</f>
        <v>-12024.894441835102</v>
      </c>
      <c r="G64" s="570">
        <f t="shared" si="22"/>
        <v>5172.2608817319233</v>
      </c>
      <c r="H64" s="570">
        <f t="shared" si="22"/>
        <v>6111.9519896835282</v>
      </c>
      <c r="I64" s="570">
        <f t="shared" si="22"/>
        <v>6336.3693826938106</v>
      </c>
      <c r="J64" s="570">
        <f t="shared" si="22"/>
        <v>7322.4604713134759</v>
      </c>
      <c r="K64" s="570">
        <f t="shared" si="22"/>
        <v>7930.4162241112645</v>
      </c>
      <c r="L64" s="570">
        <f t="shared" si="22"/>
        <v>29814.367336883326</v>
      </c>
      <c r="M64" s="570">
        <f t="shared" si="22"/>
        <v>33751.178428869709</v>
      </c>
      <c r="N64" s="570">
        <f t="shared" si="22"/>
        <v>34839.623937967219</v>
      </c>
      <c r="O64" s="570">
        <f t="shared" si="22"/>
        <v>36050.982270703869</v>
      </c>
      <c r="P64" s="570">
        <f t="shared" si="22"/>
        <v>37829.06287013783</v>
      </c>
      <c r="Q64" s="570">
        <f t="shared" si="22"/>
        <v>57522.977508090269</v>
      </c>
      <c r="R64" s="570">
        <f t="shared" si="22"/>
        <v>58623.600220073946</v>
      </c>
      <c r="S64" s="570">
        <f t="shared" si="22"/>
        <v>59746.23538629731</v>
      </c>
      <c r="T64" s="570">
        <f t="shared" si="22"/>
        <v>0</v>
      </c>
      <c r="U64" s="570">
        <f t="shared" si="22"/>
        <v>0</v>
      </c>
      <c r="V64" s="570">
        <f t="shared" ref="V64:AE64" si="23">SUM(V57:V62)</f>
        <v>0</v>
      </c>
      <c r="W64" s="570">
        <f t="shared" si="23"/>
        <v>0</v>
      </c>
      <c r="X64" s="570">
        <f t="shared" si="23"/>
        <v>0</v>
      </c>
      <c r="Y64" s="570">
        <f t="shared" si="23"/>
        <v>0</v>
      </c>
      <c r="Z64" s="570">
        <f t="shared" si="23"/>
        <v>0</v>
      </c>
      <c r="AA64" s="570">
        <f t="shared" si="23"/>
        <v>0</v>
      </c>
      <c r="AB64" s="570">
        <f t="shared" si="23"/>
        <v>0</v>
      </c>
      <c r="AC64" s="570">
        <f t="shared" si="23"/>
        <v>0</v>
      </c>
      <c r="AD64" s="570">
        <f t="shared" si="23"/>
        <v>0</v>
      </c>
      <c r="AE64" s="570">
        <f t="shared" si="23"/>
        <v>0</v>
      </c>
      <c r="AF64" s="571">
        <f t="shared" si="20"/>
        <v>363537.44596210611</v>
      </c>
      <c r="AG64" s="565"/>
      <c r="AH64" s="565"/>
    </row>
    <row r="65" spans="1:32" s="44" customFormat="1" x14ac:dyDescent="0.2">
      <c r="A65" s="890"/>
      <c r="D65" s="198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125"/>
    </row>
    <row r="66" spans="1:32" s="44" customFormat="1" x14ac:dyDescent="0.2"/>
    <row r="67" spans="1:32" x14ac:dyDescent="0.2">
      <c r="A67" s="325" t="s">
        <v>91</v>
      </c>
      <c r="B67" s="200"/>
      <c r="C67" s="200"/>
      <c r="D67" s="577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1"/>
      <c r="AF67" s="246"/>
    </row>
    <row r="68" spans="1:32" s="221" customFormat="1" x14ac:dyDescent="0.2">
      <c r="A68" s="572" t="s">
        <v>285</v>
      </c>
      <c r="B68" s="44"/>
      <c r="C68" s="44"/>
      <c r="D68" s="44"/>
      <c r="E68" s="254">
        <f>+E57</f>
        <v>7400.198830629246</v>
      </c>
      <c r="F68" s="254">
        <f t="shared" ref="F68:U68" si="24">+F57</f>
        <v>7696.9266537338008</v>
      </c>
      <c r="G68" s="254">
        <f t="shared" si="24"/>
        <v>24850.721038835632</v>
      </c>
      <c r="H68" s="254">
        <f t="shared" si="24"/>
        <v>26470.201472241246</v>
      </c>
      <c r="I68" s="254">
        <f t="shared" si="24"/>
        <v>27172.343490289182</v>
      </c>
      <c r="J68" s="254">
        <f t="shared" si="24"/>
        <v>28433.537627367346</v>
      </c>
      <c r="K68" s="254">
        <f t="shared" si="24"/>
        <v>29259.698003493322</v>
      </c>
      <c r="L68" s="254">
        <f t="shared" si="24"/>
        <v>63589.067946755633</v>
      </c>
      <c r="M68" s="254">
        <f t="shared" si="24"/>
        <v>69645.507010156405</v>
      </c>
      <c r="N68" s="254">
        <f t="shared" si="24"/>
        <v>71674.908244282939</v>
      </c>
      <c r="O68" s="254">
        <f t="shared" si="24"/>
        <v>73926.045282321676</v>
      </c>
      <c r="P68" s="254">
        <f t="shared" si="24"/>
        <v>77037.419606700583</v>
      </c>
      <c r="Q68" s="254">
        <f t="shared" si="24"/>
        <v>78578.90799883462</v>
      </c>
      <c r="R68" s="254">
        <f t="shared" si="24"/>
        <v>80151.226158811303</v>
      </c>
      <c r="S68" s="254">
        <f t="shared" si="24"/>
        <v>81754.990681987532</v>
      </c>
      <c r="T68" s="254">
        <f t="shared" si="24"/>
        <v>0</v>
      </c>
      <c r="U68" s="254">
        <f t="shared" si="24"/>
        <v>0</v>
      </c>
      <c r="V68" s="254">
        <f t="shared" ref="V68:AE68" si="25">+V57</f>
        <v>0</v>
      </c>
      <c r="W68" s="254">
        <f t="shared" si="25"/>
        <v>0</v>
      </c>
      <c r="X68" s="254">
        <f t="shared" si="25"/>
        <v>0</v>
      </c>
      <c r="Y68" s="254">
        <f t="shared" si="25"/>
        <v>0</v>
      </c>
      <c r="Z68" s="254">
        <f t="shared" si="25"/>
        <v>0</v>
      </c>
      <c r="AA68" s="254">
        <f t="shared" si="25"/>
        <v>0</v>
      </c>
      <c r="AB68" s="254">
        <f t="shared" si="25"/>
        <v>0</v>
      </c>
      <c r="AC68" s="254">
        <f t="shared" si="25"/>
        <v>0</v>
      </c>
      <c r="AD68" s="254">
        <f t="shared" si="25"/>
        <v>0</v>
      </c>
      <c r="AE68" s="405">
        <f t="shared" si="25"/>
        <v>0</v>
      </c>
      <c r="AF68" s="525">
        <f>SUM(E68:AE68)</f>
        <v>747641.70004644035</v>
      </c>
    </row>
    <row r="69" spans="1:32" s="221" customFormat="1" x14ac:dyDescent="0.2">
      <c r="A69" s="573" t="s">
        <v>92</v>
      </c>
      <c r="B69" s="208"/>
      <c r="C69" s="208"/>
      <c r="D69" s="208"/>
      <c r="E69" s="387">
        <f t="shared" ref="E69:AE69" si="26">+E61</f>
        <v>0</v>
      </c>
      <c r="F69" s="387">
        <f t="shared" si="26"/>
        <v>0</v>
      </c>
      <c r="G69" s="387">
        <f t="shared" si="26"/>
        <v>0</v>
      </c>
      <c r="H69" s="387">
        <f t="shared" si="26"/>
        <v>-727.36738619080927</v>
      </c>
      <c r="I69" s="387">
        <f t="shared" si="26"/>
        <v>-1257.2973357347939</v>
      </c>
      <c r="J69" s="387">
        <f t="shared" si="26"/>
        <v>-1589.6830027911492</v>
      </c>
      <c r="K69" s="387">
        <f t="shared" si="26"/>
        <v>-1870.7413373921941</v>
      </c>
      <c r="L69" s="387">
        <f t="shared" si="26"/>
        <v>-14385.126795412283</v>
      </c>
      <c r="M69" s="387">
        <f t="shared" si="26"/>
        <v>-16580.428829925215</v>
      </c>
      <c r="N69" s="387">
        <f t="shared" si="26"/>
        <v>-17604.418393652006</v>
      </c>
      <c r="O69" s="387">
        <f t="shared" si="26"/>
        <v>-18735.306497426711</v>
      </c>
      <c r="P69" s="387">
        <f t="shared" si="26"/>
        <v>-20168.57057927948</v>
      </c>
      <c r="Q69" s="387">
        <f t="shared" si="26"/>
        <v>-21035.930490744351</v>
      </c>
      <c r="R69" s="387">
        <f t="shared" si="26"/>
        <v>-21507.625938737354</v>
      </c>
      <c r="S69" s="387">
        <f t="shared" si="26"/>
        <v>-21988.755295690225</v>
      </c>
      <c r="T69" s="387">
        <f t="shared" si="26"/>
        <v>0</v>
      </c>
      <c r="U69" s="387">
        <f t="shared" si="26"/>
        <v>0</v>
      </c>
      <c r="V69" s="387">
        <f t="shared" si="26"/>
        <v>0</v>
      </c>
      <c r="W69" s="387">
        <f t="shared" si="26"/>
        <v>0</v>
      </c>
      <c r="X69" s="387">
        <f t="shared" si="26"/>
        <v>0</v>
      </c>
      <c r="Y69" s="387">
        <f t="shared" si="26"/>
        <v>0</v>
      </c>
      <c r="Z69" s="387">
        <f t="shared" si="26"/>
        <v>0</v>
      </c>
      <c r="AA69" s="387">
        <f t="shared" si="26"/>
        <v>0</v>
      </c>
      <c r="AB69" s="387">
        <f t="shared" si="26"/>
        <v>0</v>
      </c>
      <c r="AC69" s="387">
        <f t="shared" si="26"/>
        <v>0</v>
      </c>
      <c r="AD69" s="387">
        <f t="shared" si="26"/>
        <v>0</v>
      </c>
      <c r="AE69" s="412">
        <f t="shared" si="26"/>
        <v>0</v>
      </c>
      <c r="AF69" s="527">
        <f>SUM(E69:AE69)</f>
        <v>-157451.25188297659</v>
      </c>
    </row>
    <row r="70" spans="1:32" x14ac:dyDescent="0.2">
      <c r="A70" s="572" t="s">
        <v>233</v>
      </c>
      <c r="B70" s="44"/>
      <c r="C70" s="44"/>
      <c r="D70" s="44"/>
      <c r="E70" s="254">
        <f t="shared" ref="E70:AE70" si="27">+E69+E68</f>
        <v>7400.198830629246</v>
      </c>
      <c r="F70" s="254">
        <f t="shared" si="27"/>
        <v>7696.9266537338008</v>
      </c>
      <c r="G70" s="254">
        <f t="shared" si="27"/>
        <v>24850.721038835632</v>
      </c>
      <c r="H70" s="254">
        <f t="shared" si="27"/>
        <v>25742.834086050436</v>
      </c>
      <c r="I70" s="254">
        <f t="shared" si="27"/>
        <v>25915.046154554388</v>
      </c>
      <c r="J70" s="254">
        <f t="shared" si="27"/>
        <v>26843.854624576197</v>
      </c>
      <c r="K70" s="254">
        <f t="shared" si="27"/>
        <v>27388.956666101127</v>
      </c>
      <c r="L70" s="254">
        <f t="shared" si="27"/>
        <v>49203.941151343352</v>
      </c>
      <c r="M70" s="254">
        <f t="shared" si="27"/>
        <v>53065.07818023119</v>
      </c>
      <c r="N70" s="254">
        <f t="shared" si="27"/>
        <v>54070.489850630933</v>
      </c>
      <c r="O70" s="254">
        <f t="shared" si="27"/>
        <v>55190.738784894966</v>
      </c>
      <c r="P70" s="254">
        <f t="shared" si="27"/>
        <v>56868.849027421107</v>
      </c>
      <c r="Q70" s="254">
        <f t="shared" si="27"/>
        <v>57542.977508090269</v>
      </c>
      <c r="R70" s="254">
        <f t="shared" si="27"/>
        <v>58643.600220073946</v>
      </c>
      <c r="S70" s="254">
        <f t="shared" si="27"/>
        <v>59766.23538629731</v>
      </c>
      <c r="T70" s="254">
        <f t="shared" si="27"/>
        <v>0</v>
      </c>
      <c r="U70" s="254">
        <f t="shared" si="27"/>
        <v>0</v>
      </c>
      <c r="V70" s="254">
        <f t="shared" si="27"/>
        <v>0</v>
      </c>
      <c r="W70" s="254">
        <f t="shared" si="27"/>
        <v>0</v>
      </c>
      <c r="X70" s="254">
        <f t="shared" si="27"/>
        <v>0</v>
      </c>
      <c r="Y70" s="254">
        <f t="shared" si="27"/>
        <v>0</v>
      </c>
      <c r="Z70" s="254">
        <f t="shared" si="27"/>
        <v>0</v>
      </c>
      <c r="AA70" s="254">
        <f t="shared" si="27"/>
        <v>0</v>
      </c>
      <c r="AB70" s="254">
        <f t="shared" si="27"/>
        <v>0</v>
      </c>
      <c r="AC70" s="254">
        <f t="shared" si="27"/>
        <v>0</v>
      </c>
      <c r="AD70" s="254">
        <f t="shared" si="27"/>
        <v>0</v>
      </c>
      <c r="AE70" s="405">
        <f t="shared" si="27"/>
        <v>0</v>
      </c>
      <c r="AF70" s="525">
        <f>SUM(E70:AE70)</f>
        <v>590190.44816346397</v>
      </c>
    </row>
    <row r="71" spans="1:32" x14ac:dyDescent="0.2">
      <c r="A71" s="20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AE71" s="202"/>
      <c r="AF71" s="250"/>
    </row>
    <row r="72" spans="1:32" x14ac:dyDescent="0.2">
      <c r="A72" s="572" t="s">
        <v>93</v>
      </c>
      <c r="B72" s="44"/>
      <c r="C72" s="44"/>
      <c r="D72" s="44"/>
      <c r="E72" s="254">
        <f t="shared" ref="E72:AE72" si="28">-E62-E58-E59</f>
        <v>12889.345335245524</v>
      </c>
      <c r="F72" s="254">
        <f t="shared" si="28"/>
        <v>19701.821095568903</v>
      </c>
      <c r="G72" s="254">
        <f t="shared" si="28"/>
        <v>19658.460157103706</v>
      </c>
      <c r="H72" s="254">
        <f t="shared" si="28"/>
        <v>19610.882096366906</v>
      </c>
      <c r="I72" s="254">
        <f t="shared" si="28"/>
        <v>19558.676771860573</v>
      </c>
      <c r="J72" s="254">
        <f t="shared" si="28"/>
        <v>19501.394153262721</v>
      </c>
      <c r="K72" s="254">
        <f t="shared" si="28"/>
        <v>19438.540441989862</v>
      </c>
      <c r="L72" s="254">
        <f t="shared" si="28"/>
        <v>19369.573814460022</v>
      </c>
      <c r="M72" s="254">
        <f t="shared" si="28"/>
        <v>19293.899751361481</v>
      </c>
      <c r="N72" s="254">
        <f t="shared" si="28"/>
        <v>19210.865912663718</v>
      </c>
      <c r="O72" s="254">
        <f t="shared" si="28"/>
        <v>19119.7565141911</v>
      </c>
      <c r="P72" s="254">
        <f t="shared" si="28"/>
        <v>19019.786157283277</v>
      </c>
      <c r="Q72" s="254">
        <f t="shared" si="28"/>
        <v>0</v>
      </c>
      <c r="R72" s="254">
        <f t="shared" si="28"/>
        <v>0</v>
      </c>
      <c r="S72" s="254">
        <f t="shared" si="28"/>
        <v>0</v>
      </c>
      <c r="T72" s="254">
        <f t="shared" si="28"/>
        <v>0</v>
      </c>
      <c r="U72" s="254">
        <f t="shared" si="28"/>
        <v>0</v>
      </c>
      <c r="V72" s="254">
        <f t="shared" si="28"/>
        <v>0</v>
      </c>
      <c r="W72" s="254">
        <f t="shared" si="28"/>
        <v>0</v>
      </c>
      <c r="X72" s="254">
        <f t="shared" si="28"/>
        <v>0</v>
      </c>
      <c r="Y72" s="254">
        <f t="shared" si="28"/>
        <v>0</v>
      </c>
      <c r="Z72" s="254">
        <f t="shared" si="28"/>
        <v>0</v>
      </c>
      <c r="AA72" s="254">
        <f t="shared" si="28"/>
        <v>0</v>
      </c>
      <c r="AB72" s="254">
        <f t="shared" si="28"/>
        <v>0</v>
      </c>
      <c r="AC72" s="254">
        <f t="shared" si="28"/>
        <v>0</v>
      </c>
      <c r="AD72" s="254">
        <f t="shared" si="28"/>
        <v>0</v>
      </c>
      <c r="AE72" s="405">
        <f t="shared" si="28"/>
        <v>0</v>
      </c>
      <c r="AF72" s="525">
        <f>SUM(E72:AE72)</f>
        <v>226373.0022013578</v>
      </c>
    </row>
    <row r="73" spans="1:32" x14ac:dyDescent="0.2">
      <c r="A73" s="203"/>
      <c r="B73" s="44"/>
      <c r="C73" s="44"/>
      <c r="D73" s="4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405"/>
      <c r="AF73" s="525"/>
    </row>
    <row r="74" spans="1:32" s="231" customFormat="1" x14ac:dyDescent="0.2">
      <c r="A74" s="566" t="s">
        <v>234</v>
      </c>
      <c r="B74" s="534"/>
      <c r="C74" s="534"/>
      <c r="D74" s="534"/>
      <c r="E74" s="583">
        <f t="shared" ref="E74:AE74" si="29">IF(E$72&lt;1,"N/A",+E68/E$72)</f>
        <v>0.57413302523547316</v>
      </c>
      <c r="F74" s="583">
        <f t="shared" si="29"/>
        <v>0.39067082258019797</v>
      </c>
      <c r="G74" s="583">
        <f t="shared" si="29"/>
        <v>1.2641234786568811</v>
      </c>
      <c r="H74" s="583">
        <f t="shared" si="29"/>
        <v>1.3497710782293211</v>
      </c>
      <c r="I74" s="583">
        <f t="shared" si="29"/>
        <v>1.3892730989543491</v>
      </c>
      <c r="J74" s="583">
        <f t="shared" si="29"/>
        <v>1.4580258931185295</v>
      </c>
      <c r="K74" s="583">
        <f t="shared" si="29"/>
        <v>1.5052415118723852</v>
      </c>
      <c r="L74" s="583">
        <f t="shared" si="29"/>
        <v>3.2829358330684753</v>
      </c>
      <c r="M74" s="583">
        <f t="shared" si="29"/>
        <v>3.6097164340890617</v>
      </c>
      <c r="N74" s="583">
        <f t="shared" si="29"/>
        <v>3.7309566664059197</v>
      </c>
      <c r="O74" s="583">
        <f t="shared" si="29"/>
        <v>3.8664742005188275</v>
      </c>
      <c r="P74" s="583">
        <f t="shared" si="29"/>
        <v>4.0503830573931303</v>
      </c>
      <c r="Q74" s="583" t="str">
        <f t="shared" si="29"/>
        <v>N/A</v>
      </c>
      <c r="R74" s="583" t="str">
        <f t="shared" si="29"/>
        <v>N/A</v>
      </c>
      <c r="S74" s="583" t="str">
        <f t="shared" si="29"/>
        <v>N/A</v>
      </c>
      <c r="T74" s="583" t="str">
        <f t="shared" si="29"/>
        <v>N/A</v>
      </c>
      <c r="U74" s="583" t="str">
        <f t="shared" si="29"/>
        <v>N/A</v>
      </c>
      <c r="V74" s="583" t="str">
        <f t="shared" si="29"/>
        <v>N/A</v>
      </c>
      <c r="W74" s="583" t="str">
        <f t="shared" si="29"/>
        <v>N/A</v>
      </c>
      <c r="X74" s="583" t="str">
        <f t="shared" si="29"/>
        <v>N/A</v>
      </c>
      <c r="Y74" s="583" t="str">
        <f t="shared" si="29"/>
        <v>N/A</v>
      </c>
      <c r="Z74" s="583" t="str">
        <f t="shared" si="29"/>
        <v>N/A</v>
      </c>
      <c r="AA74" s="583" t="str">
        <f t="shared" si="29"/>
        <v>N/A</v>
      </c>
      <c r="AB74" s="583" t="str">
        <f t="shared" si="29"/>
        <v>N/A</v>
      </c>
      <c r="AC74" s="583" t="str">
        <f t="shared" si="29"/>
        <v>N/A</v>
      </c>
      <c r="AD74" s="583" t="str">
        <f t="shared" si="29"/>
        <v>N/A</v>
      </c>
      <c r="AE74" s="584" t="str">
        <f t="shared" si="29"/>
        <v>N/A</v>
      </c>
      <c r="AF74" s="585"/>
    </row>
    <row r="75" spans="1:32" s="231" customFormat="1" x14ac:dyDescent="0.2">
      <c r="A75" s="578" t="s">
        <v>94</v>
      </c>
      <c r="B75" s="579"/>
      <c r="C75" s="579"/>
      <c r="D75" s="579"/>
      <c r="E75" s="580">
        <f>IF(E$72&lt;1,"N/A",+E70/E$72)</f>
        <v>0.57413302523547316</v>
      </c>
      <c r="F75" s="580">
        <f t="shared" ref="F75:AE75" si="30">IF(F$72&lt;1,"N/A",+F70/F$72)</f>
        <v>0.39067082258019797</v>
      </c>
      <c r="G75" s="580">
        <f t="shared" si="30"/>
        <v>1.2641234786568811</v>
      </c>
      <c r="H75" s="580">
        <f t="shared" si="30"/>
        <v>1.3126810899964327</v>
      </c>
      <c r="I75" s="580">
        <f t="shared" si="30"/>
        <v>1.3249897453103188</v>
      </c>
      <c r="J75" s="580">
        <f t="shared" si="30"/>
        <v>1.3765095158637686</v>
      </c>
      <c r="K75" s="580">
        <f t="shared" si="30"/>
        <v>1.4090027359738027</v>
      </c>
      <c r="L75" s="580">
        <f t="shared" si="30"/>
        <v>2.5402696839210264</v>
      </c>
      <c r="M75" s="580">
        <f t="shared" si="30"/>
        <v>2.7503552347672291</v>
      </c>
      <c r="N75" s="580">
        <f t="shared" si="30"/>
        <v>2.8145784836792758</v>
      </c>
      <c r="O75" s="580">
        <f t="shared" si="30"/>
        <v>2.8865816750297628</v>
      </c>
      <c r="P75" s="580">
        <f t="shared" si="30"/>
        <v>2.9899836179621939</v>
      </c>
      <c r="Q75" s="580" t="str">
        <f t="shared" si="30"/>
        <v>N/A</v>
      </c>
      <c r="R75" s="580" t="str">
        <f t="shared" si="30"/>
        <v>N/A</v>
      </c>
      <c r="S75" s="580" t="str">
        <f t="shared" si="30"/>
        <v>N/A</v>
      </c>
      <c r="T75" s="580" t="str">
        <f t="shared" si="30"/>
        <v>N/A</v>
      </c>
      <c r="U75" s="580" t="str">
        <f t="shared" si="30"/>
        <v>N/A</v>
      </c>
      <c r="V75" s="580" t="str">
        <f t="shared" si="30"/>
        <v>N/A</v>
      </c>
      <c r="W75" s="580" t="str">
        <f t="shared" si="30"/>
        <v>N/A</v>
      </c>
      <c r="X75" s="580" t="str">
        <f t="shared" si="30"/>
        <v>N/A</v>
      </c>
      <c r="Y75" s="580" t="str">
        <f t="shared" si="30"/>
        <v>N/A</v>
      </c>
      <c r="Z75" s="580" t="str">
        <f t="shared" si="30"/>
        <v>N/A</v>
      </c>
      <c r="AA75" s="580" t="str">
        <f t="shared" si="30"/>
        <v>N/A</v>
      </c>
      <c r="AB75" s="580" t="str">
        <f t="shared" si="30"/>
        <v>N/A</v>
      </c>
      <c r="AC75" s="580" t="str">
        <f t="shared" si="30"/>
        <v>N/A</v>
      </c>
      <c r="AD75" s="580" t="str">
        <f t="shared" si="30"/>
        <v>N/A</v>
      </c>
      <c r="AE75" s="581" t="str">
        <f t="shared" si="30"/>
        <v>N/A</v>
      </c>
      <c r="AF75" s="582"/>
    </row>
    <row r="76" spans="1:32" x14ac:dyDescent="0.2">
      <c r="A76" s="200"/>
      <c r="B76" s="44"/>
      <c r="C76" s="44"/>
      <c r="D76" s="44"/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  <c r="AA76" s="574"/>
      <c r="AB76" s="574"/>
      <c r="AC76" s="574"/>
      <c r="AD76" s="574"/>
      <c r="AE76" s="574"/>
      <c r="AF76" s="44"/>
    </row>
    <row r="77" spans="1:32" ht="23.25" customHeight="1" thickBot="1" x14ac:dyDescent="0.25">
      <c r="A77" s="601"/>
      <c r="B77" s="44"/>
      <c r="C77" s="44"/>
      <c r="D77" s="438" t="s">
        <v>95</v>
      </c>
      <c r="E77" s="438" t="s">
        <v>96</v>
      </c>
      <c r="F77" s="44"/>
      <c r="G77" s="20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AF77" s="44"/>
    </row>
    <row r="78" spans="1:32" ht="13.5" thickTop="1" x14ac:dyDescent="0.2">
      <c r="A78" s="439" t="s">
        <v>236</v>
      </c>
      <c r="B78" s="316"/>
      <c r="C78" s="316"/>
      <c r="D78" s="575">
        <f>AVERAGE(E74:AE74)</f>
        <v>2.2059754250102124</v>
      </c>
      <c r="E78" s="440">
        <f>AVERAGE(E75:AE75)</f>
        <v>1.8028232590813633</v>
      </c>
      <c r="F78" s="44"/>
      <c r="G78" s="437"/>
      <c r="H78" s="44"/>
      <c r="I78" s="151"/>
      <c r="J78" s="151"/>
      <c r="K78" s="44"/>
      <c r="L78" s="44"/>
      <c r="M78" s="44"/>
      <c r="N78" s="44"/>
      <c r="O78" s="44"/>
      <c r="P78" s="44"/>
      <c r="Q78" s="44"/>
      <c r="R78" s="44"/>
      <c r="AF78" s="44"/>
    </row>
    <row r="79" spans="1:32" s="44" customFormat="1" x14ac:dyDescent="0.2">
      <c r="A79" s="441" t="s">
        <v>235</v>
      </c>
      <c r="B79" s="226"/>
      <c r="C79" s="226"/>
      <c r="D79" s="576">
        <f>MIN(E74:AE74)</f>
        <v>0.39067082258019797</v>
      </c>
      <c r="E79" s="442">
        <f>MIN(E75:AE75)</f>
        <v>0.39067082258019797</v>
      </c>
      <c r="G79" s="437"/>
    </row>
    <row r="80" spans="1:32" x14ac:dyDescent="0.2">
      <c r="A80" s="44"/>
      <c r="B80" s="44"/>
      <c r="C80" s="44"/>
      <c r="D80" s="44"/>
      <c r="E80" s="44"/>
      <c r="F80" s="44"/>
      <c r="G80" s="44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</row>
    <row r="81" spans="1:31" x14ac:dyDescent="0.2">
      <c r="I81" s="44"/>
    </row>
    <row r="86" spans="1:31" s="274" customFormat="1" x14ac:dyDescent="0.2">
      <c r="A86" s="367"/>
      <c r="B86" s="280"/>
      <c r="C86" s="280"/>
      <c r="D86" s="280"/>
      <c r="E86" s="280"/>
      <c r="F86" s="444"/>
      <c r="G86" s="302"/>
      <c r="H86" s="156"/>
      <c r="I86" s="291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</row>
    <row r="87" spans="1:31" x14ac:dyDescent="0.2">
      <c r="A87" s="144"/>
      <c r="B87" s="144"/>
      <c r="C87" s="144"/>
      <c r="D87" s="144"/>
      <c r="E87" s="144"/>
      <c r="F87" s="144"/>
      <c r="G87" s="445"/>
      <c r="H87" s="445"/>
      <c r="I87" s="445"/>
      <c r="J87" s="445"/>
      <c r="K87" s="445"/>
      <c r="L87" s="445"/>
      <c r="M87" s="445"/>
      <c r="N87" s="445"/>
      <c r="O87" s="445"/>
      <c r="P87" s="445"/>
      <c r="Q87" s="445"/>
      <c r="R87" s="445"/>
      <c r="S87" s="445"/>
      <c r="T87" s="445"/>
      <c r="U87" s="445"/>
      <c r="V87" s="445"/>
      <c r="W87" s="445"/>
      <c r="X87" s="445"/>
      <c r="Y87" s="445"/>
      <c r="Z87" s="445"/>
      <c r="AA87" s="445"/>
      <c r="AB87" s="445"/>
      <c r="AC87" s="445"/>
      <c r="AD87" s="445"/>
      <c r="AE87" s="445"/>
    </row>
    <row r="88" spans="1:31" x14ac:dyDescent="0.2">
      <c r="A88" s="44"/>
      <c r="B88" s="44"/>
      <c r="C88" s="44"/>
      <c r="D88" s="44"/>
      <c r="E88" s="44"/>
      <c r="F88" s="44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</row>
    <row r="89" spans="1:31" x14ac:dyDescent="0.2">
      <c r="A89" s="44"/>
      <c r="B89" s="44"/>
      <c r="C89" s="44"/>
      <c r="D89" s="44"/>
      <c r="E89" s="44"/>
      <c r="F89" s="44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</row>
    <row r="90" spans="1:31" x14ac:dyDescent="0.2">
      <c r="A90" s="44"/>
      <c r="B90" s="44"/>
      <c r="C90" s="44"/>
      <c r="D90" s="44"/>
      <c r="E90" s="44"/>
      <c r="F90" s="44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</row>
    <row r="91" spans="1:31" x14ac:dyDescent="0.2">
      <c r="A91" s="44"/>
      <c r="B91" s="44"/>
      <c r="C91" s="44"/>
      <c r="D91" s="44"/>
      <c r="E91" s="44"/>
      <c r="F91" s="44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</row>
    <row r="92" spans="1:31" x14ac:dyDescent="0.2">
      <c r="A92" s="44"/>
      <c r="B92" s="44"/>
      <c r="C92" s="44"/>
      <c r="D92" s="44"/>
      <c r="E92" s="44"/>
      <c r="F92" s="44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</row>
    <row r="93" spans="1:31" x14ac:dyDescent="0.2">
      <c r="A93" s="44"/>
      <c r="B93" s="44"/>
      <c r="C93" s="44"/>
      <c r="D93" s="44"/>
      <c r="E93" s="44"/>
      <c r="F93" s="44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</row>
    <row r="94" spans="1:31" x14ac:dyDescent="0.2">
      <c r="A94" s="44"/>
      <c r="B94" s="44"/>
      <c r="C94" s="44"/>
      <c r="D94" s="44"/>
      <c r="E94" s="44"/>
      <c r="F94" s="4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x14ac:dyDescent="0.2">
      <c r="A95" s="44"/>
      <c r="B95" s="44"/>
      <c r="C95" s="44"/>
      <c r="D95" s="44"/>
      <c r="E95" s="44"/>
      <c r="F95" s="44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</row>
    <row r="96" spans="1:31" x14ac:dyDescent="0.2">
      <c r="A96" s="44"/>
      <c r="B96" s="44"/>
      <c r="C96" s="44"/>
      <c r="D96" s="44"/>
      <c r="E96" s="44"/>
      <c r="F96" s="141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6"/>
      <c r="U96" s="446"/>
      <c r="V96" s="446"/>
      <c r="W96" s="446"/>
      <c r="X96" s="446"/>
      <c r="Y96" s="446"/>
      <c r="Z96" s="446"/>
      <c r="AA96" s="446"/>
      <c r="AB96" s="446"/>
      <c r="AC96" s="446"/>
      <c r="AD96" s="446"/>
      <c r="AE96" s="446"/>
    </row>
    <row r="97" spans="1:31" x14ac:dyDescent="0.2">
      <c r="A97" s="199"/>
      <c r="B97" s="44"/>
      <c r="C97" s="44"/>
      <c r="D97" s="44"/>
      <c r="E97" s="44"/>
      <c r="F97" s="44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</row>
    <row r="98" spans="1:31" x14ac:dyDescent="0.2">
      <c r="A98" s="44"/>
      <c r="B98" s="44"/>
      <c r="C98" s="44"/>
      <c r="D98" s="44"/>
      <c r="E98" s="44"/>
      <c r="F98" s="44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</row>
    <row r="99" spans="1:31" x14ac:dyDescent="0.2">
      <c r="A99" s="44"/>
      <c r="B99" s="44"/>
      <c r="C99" s="44"/>
      <c r="D99" s="44"/>
      <c r="E99" s="44"/>
      <c r="F99" s="141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</row>
    <row r="100" spans="1:31" x14ac:dyDescent="0.2">
      <c r="A100" s="44"/>
      <c r="B100" s="44"/>
      <c r="C100" s="44"/>
      <c r="D100" s="44"/>
      <c r="E100" s="44"/>
      <c r="F100" s="141"/>
      <c r="G100" s="447"/>
      <c r="H100" s="447"/>
      <c r="I100" s="447"/>
      <c r="J100" s="447"/>
      <c r="K100" s="447"/>
      <c r="L100" s="447"/>
      <c r="M100" s="447"/>
      <c r="N100" s="447"/>
      <c r="O100" s="447"/>
      <c r="P100" s="447"/>
      <c r="Q100" s="447"/>
      <c r="R100" s="447"/>
      <c r="S100" s="447"/>
      <c r="T100" s="447"/>
      <c r="U100" s="447"/>
      <c r="V100" s="447"/>
      <c r="W100" s="447"/>
      <c r="X100" s="447"/>
      <c r="Y100" s="447"/>
      <c r="Z100" s="447"/>
      <c r="AA100" s="447"/>
      <c r="AB100" s="447"/>
      <c r="AC100" s="447"/>
      <c r="AD100" s="447"/>
      <c r="AE100" s="447"/>
    </row>
    <row r="101" spans="1:31" x14ac:dyDescent="0.2">
      <c r="A101" s="156"/>
      <c r="B101" s="156"/>
      <c r="C101" s="156"/>
      <c r="D101" s="156"/>
      <c r="E101" s="156"/>
      <c r="F101" s="448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</row>
    <row r="102" spans="1:31" x14ac:dyDescent="0.2">
      <c r="A102" s="296"/>
      <c r="B102" s="156"/>
      <c r="C102" s="156"/>
      <c r="D102" s="156"/>
      <c r="E102" s="156"/>
      <c r="F102" s="450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  <c r="AB102" s="451"/>
      <c r="AC102" s="451"/>
      <c r="AD102" s="451"/>
      <c r="AE102" s="451"/>
    </row>
    <row r="103" spans="1:31" ht="15" x14ac:dyDescent="0.35">
      <c r="A103" s="296"/>
      <c r="B103" s="156"/>
      <c r="C103" s="156"/>
      <c r="D103" s="156"/>
      <c r="E103" s="156"/>
      <c r="F103" s="452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/>
      <c r="W103" s="451"/>
      <c r="X103" s="451"/>
      <c r="Y103" s="451"/>
      <c r="Z103" s="451"/>
      <c r="AA103" s="451"/>
      <c r="AB103" s="451"/>
      <c r="AC103" s="451"/>
      <c r="AD103" s="451"/>
      <c r="AE103" s="451"/>
    </row>
    <row r="104" spans="1:31" x14ac:dyDescent="0.2">
      <c r="A104" s="296"/>
      <c r="B104" s="156"/>
      <c r="C104" s="156"/>
      <c r="D104" s="156"/>
      <c r="E104" s="156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3"/>
      <c r="T104" s="453"/>
      <c r="U104" s="453"/>
      <c r="V104" s="453"/>
      <c r="W104" s="453"/>
      <c r="X104" s="453"/>
      <c r="Y104" s="453"/>
      <c r="Z104" s="453"/>
      <c r="AA104" s="453"/>
      <c r="AB104" s="453"/>
      <c r="AC104" s="453"/>
      <c r="AD104" s="453"/>
      <c r="AE104" s="453"/>
    </row>
    <row r="105" spans="1:31" x14ac:dyDescent="0.2">
      <c r="A105" s="156"/>
      <c r="B105" s="156"/>
      <c r="C105" s="156"/>
      <c r="D105" s="156"/>
      <c r="E105" s="156"/>
      <c r="F105" s="454"/>
      <c r="G105" s="454"/>
      <c r="H105" s="451"/>
      <c r="I105" s="451"/>
      <c r="J105" s="451"/>
      <c r="K105" s="451"/>
      <c r="L105" s="451"/>
      <c r="M105" s="451"/>
      <c r="N105" s="451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  <c r="AB105" s="454"/>
      <c r="AC105" s="454"/>
      <c r="AD105" s="454"/>
      <c r="AE105" s="454"/>
    </row>
    <row r="106" spans="1:31" x14ac:dyDescent="0.2">
      <c r="A106" s="281"/>
      <c r="B106" s="156"/>
      <c r="C106" s="156"/>
      <c r="D106" s="156"/>
      <c r="E106" s="156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48"/>
      <c r="T106" s="448"/>
      <c r="U106" s="448"/>
      <c r="V106" s="448"/>
      <c r="W106" s="448"/>
      <c r="X106" s="448"/>
      <c r="Y106" s="448"/>
      <c r="Z106" s="448"/>
      <c r="AA106" s="448"/>
      <c r="AB106" s="448"/>
      <c r="AC106" s="448"/>
      <c r="AD106" s="448"/>
      <c r="AE106" s="448"/>
    </row>
    <row r="107" spans="1:31" ht="15" x14ac:dyDescent="0.35">
      <c r="A107" s="296"/>
      <c r="B107" s="156"/>
      <c r="C107" s="156"/>
      <c r="D107" s="156"/>
      <c r="E107" s="156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4"/>
      <c r="T107" s="454"/>
      <c r="U107" s="454"/>
      <c r="V107" s="454"/>
      <c r="W107" s="454"/>
      <c r="X107" s="454"/>
      <c r="Y107" s="454"/>
      <c r="Z107" s="454"/>
      <c r="AA107" s="454"/>
      <c r="AB107" s="454"/>
      <c r="AC107" s="454"/>
      <c r="AD107" s="454"/>
      <c r="AE107" s="454"/>
    </row>
    <row r="108" spans="1:31" x14ac:dyDescent="0.2">
      <c r="A108" s="296"/>
      <c r="B108" s="156"/>
      <c r="C108" s="156"/>
      <c r="D108" s="156"/>
      <c r="E108" s="156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6"/>
      <c r="T108" s="456"/>
      <c r="U108" s="456"/>
      <c r="V108" s="456"/>
      <c r="W108" s="456"/>
      <c r="X108" s="456"/>
      <c r="Y108" s="456"/>
      <c r="Z108" s="456"/>
      <c r="AA108" s="456"/>
      <c r="AB108" s="456"/>
      <c r="AC108" s="456"/>
      <c r="AD108" s="456"/>
      <c r="AE108" s="456"/>
    </row>
    <row r="109" spans="1:31" x14ac:dyDescent="0.2">
      <c r="A109" s="156"/>
      <c r="B109" s="156"/>
      <c r="C109" s="156"/>
      <c r="D109" s="156"/>
      <c r="E109" s="156"/>
      <c r="F109" s="454"/>
      <c r="G109" s="454"/>
      <c r="H109" s="451"/>
      <c r="I109" s="451"/>
      <c r="J109" s="451"/>
      <c r="K109" s="451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</row>
    <row r="110" spans="1:31" x14ac:dyDescent="0.2">
      <c r="A110" s="281"/>
      <c r="B110" s="156"/>
      <c r="C110" s="156"/>
      <c r="D110" s="156"/>
      <c r="E110" s="156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4"/>
    </row>
    <row r="111" spans="1:31" ht="15" x14ac:dyDescent="0.35">
      <c r="A111" s="296"/>
      <c r="B111" s="156"/>
      <c r="C111" s="156"/>
      <c r="D111" s="156"/>
      <c r="E111" s="156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4"/>
    </row>
    <row r="112" spans="1:31" ht="15" x14ac:dyDescent="0.35">
      <c r="A112" s="296"/>
      <c r="B112" s="156"/>
      <c r="C112" s="156"/>
      <c r="D112" s="156"/>
      <c r="E112" s="156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7"/>
      <c r="T112" s="457"/>
      <c r="U112" s="457"/>
      <c r="V112" s="457"/>
      <c r="W112" s="457"/>
      <c r="X112" s="457"/>
      <c r="Y112" s="457"/>
      <c r="Z112" s="457"/>
      <c r="AA112" s="457"/>
      <c r="AB112" s="457"/>
      <c r="AC112" s="457"/>
      <c r="AD112" s="457"/>
      <c r="AE112" s="457"/>
    </row>
    <row r="113" spans="1:31" x14ac:dyDescent="0.2">
      <c r="A113" s="156"/>
      <c r="B113" s="156"/>
      <c r="C113" s="156"/>
      <c r="D113" s="156"/>
      <c r="E113" s="156"/>
      <c r="F113" s="454"/>
      <c r="G113" s="454"/>
      <c r="H113" s="451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4"/>
    </row>
    <row r="114" spans="1:31" x14ac:dyDescent="0.2">
      <c r="A114" s="281"/>
      <c r="B114" s="156"/>
      <c r="C114" s="156"/>
      <c r="D114" s="156"/>
      <c r="E114" s="156"/>
      <c r="F114" s="454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  <c r="V114" s="448"/>
      <c r="W114" s="448"/>
      <c r="X114" s="448"/>
      <c r="Y114" s="448"/>
      <c r="Z114" s="448"/>
      <c r="AA114" s="448"/>
      <c r="AB114" s="448"/>
      <c r="AC114" s="448"/>
      <c r="AD114" s="448"/>
      <c r="AE114" s="448"/>
    </row>
    <row r="115" spans="1:31" ht="15" x14ac:dyDescent="0.35">
      <c r="A115" s="296"/>
      <c r="B115" s="156"/>
      <c r="C115" s="156"/>
      <c r="D115" s="156"/>
      <c r="E115" s="156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8"/>
      <c r="Q115" s="458"/>
      <c r="R115" s="458"/>
      <c r="S115" s="459"/>
      <c r="T115" s="459"/>
      <c r="U115" s="459"/>
      <c r="V115" s="459"/>
      <c r="W115" s="459"/>
      <c r="X115" s="459"/>
      <c r="Y115" s="459"/>
      <c r="Z115" s="459"/>
      <c r="AA115" s="459"/>
      <c r="AB115" s="459"/>
      <c r="AC115" s="459"/>
      <c r="AD115" s="459"/>
      <c r="AE115" s="459"/>
    </row>
    <row r="116" spans="1:31" x14ac:dyDescent="0.2">
      <c r="A116" s="296"/>
      <c r="B116" s="156"/>
      <c r="C116" s="156"/>
      <c r="D116" s="156"/>
      <c r="E116" s="156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48"/>
      <c r="T116" s="448"/>
      <c r="U116" s="448"/>
      <c r="V116" s="448"/>
      <c r="W116" s="448"/>
      <c r="X116" s="448"/>
      <c r="Y116" s="448"/>
      <c r="Z116" s="448"/>
      <c r="AA116" s="448"/>
      <c r="AB116" s="448"/>
      <c r="AC116" s="448"/>
      <c r="AD116" s="448"/>
      <c r="AE116" s="448"/>
    </row>
    <row r="117" spans="1:31" x14ac:dyDescent="0.2">
      <c r="A117" s="281"/>
      <c r="B117" s="156"/>
      <c r="C117" s="156"/>
      <c r="D117" s="156"/>
      <c r="E117" s="156"/>
      <c r="F117" s="451"/>
      <c r="G117" s="273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AD117" s="291"/>
      <c r="AE117" s="291"/>
    </row>
    <row r="118" spans="1:31" x14ac:dyDescent="0.2">
      <c r="A118" s="156"/>
      <c r="B118" s="156"/>
      <c r="C118" s="156"/>
      <c r="D118" s="156"/>
      <c r="E118" s="156"/>
      <c r="F118" s="460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</row>
    <row r="119" spans="1:3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</row>
    <row r="120" spans="1:3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</row>
    <row r="121" spans="1:3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</row>
    <row r="122" spans="1:3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</row>
    <row r="123" spans="1:3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</row>
    <row r="124" spans="1:3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</row>
    <row r="125" spans="1:3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</row>
    <row r="126" spans="1:31" ht="15.75" x14ac:dyDescent="0.25">
      <c r="A126" s="276"/>
      <c r="B126" s="156"/>
      <c r="C126" s="156"/>
      <c r="D126" s="156"/>
      <c r="E126" s="156"/>
      <c r="F126" s="156"/>
      <c r="G126" s="27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</row>
    <row r="127" spans="1:3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</row>
    <row r="128" spans="1:31" x14ac:dyDescent="0.2">
      <c r="A128" s="156"/>
      <c r="B128" s="156"/>
      <c r="C128" s="156"/>
      <c r="D128" s="156"/>
      <c r="E128" s="156"/>
      <c r="F128" s="156"/>
      <c r="G128" s="159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</row>
    <row r="129" spans="1:31" x14ac:dyDescent="0.2">
      <c r="A129" s="156"/>
      <c r="B129" s="156"/>
      <c r="C129" s="156"/>
      <c r="D129" s="156"/>
      <c r="E129" s="156"/>
      <c r="F129" s="156"/>
      <c r="G129" s="461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3"/>
      <c r="T129" s="463"/>
      <c r="U129" s="463"/>
      <c r="V129" s="463"/>
      <c r="W129" s="463"/>
      <c r="X129" s="463"/>
      <c r="Y129" s="463"/>
      <c r="Z129" s="463"/>
      <c r="AA129" s="463"/>
      <c r="AB129" s="463"/>
      <c r="AC129" s="463"/>
      <c r="AD129" s="463"/>
      <c r="AE129" s="463"/>
    </row>
    <row r="130" spans="1:3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</row>
    <row r="131" spans="1:3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</row>
    <row r="132" spans="1:3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</row>
    <row r="133" spans="1:3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</row>
    <row r="134" spans="1:31" x14ac:dyDescent="0.2">
      <c r="A134" s="156"/>
      <c r="B134" s="156"/>
      <c r="C134" s="156"/>
      <c r="D134" s="156"/>
      <c r="E134" s="156"/>
      <c r="F134" s="156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91"/>
      <c r="T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AD134" s="291"/>
      <c r="AE134" s="291"/>
    </row>
    <row r="135" spans="1:31" x14ac:dyDescent="0.2">
      <c r="A135" s="156"/>
      <c r="B135" s="156"/>
      <c r="C135" s="156"/>
      <c r="D135" s="156"/>
      <c r="E135" s="156"/>
      <c r="F135" s="156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91"/>
      <c r="T135" s="291"/>
      <c r="U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</row>
    <row r="136" spans="1:3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</row>
    <row r="137" spans="1:31" x14ac:dyDescent="0.2">
      <c r="A137" s="156"/>
      <c r="B137" s="156"/>
      <c r="C137" s="156"/>
      <c r="D137" s="156"/>
      <c r="E137" s="156"/>
      <c r="F137" s="156"/>
      <c r="G137" s="291"/>
      <c r="H137" s="291"/>
      <c r="I137" s="291"/>
      <c r="J137" s="291"/>
      <c r="K137" s="291"/>
      <c r="L137" s="291"/>
      <c r="M137" s="291"/>
      <c r="N137" s="291"/>
      <c r="O137" s="291"/>
      <c r="P137" s="291"/>
      <c r="Q137" s="291"/>
      <c r="R137" s="291"/>
      <c r="S137" s="291"/>
      <c r="T137" s="291"/>
      <c r="U137" s="291"/>
      <c r="V137" s="291"/>
      <c r="W137" s="291"/>
      <c r="X137" s="291"/>
      <c r="Y137" s="291"/>
      <c r="Z137" s="291"/>
      <c r="AA137" s="291"/>
      <c r="AB137" s="291"/>
      <c r="AC137" s="291"/>
      <c r="AD137" s="291"/>
      <c r="AE137" s="291"/>
    </row>
    <row r="138" spans="1:3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</row>
    <row r="139" spans="1:31" x14ac:dyDescent="0.2">
      <c r="A139" s="281"/>
      <c r="B139" s="156"/>
      <c r="C139" s="156"/>
      <c r="D139" s="156"/>
      <c r="E139" s="156"/>
      <c r="F139" s="156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91"/>
      <c r="T139" s="291"/>
      <c r="U139" s="291"/>
      <c r="V139" s="291"/>
      <c r="W139" s="291"/>
      <c r="X139" s="291"/>
      <c r="Y139" s="291"/>
      <c r="Z139" s="291"/>
      <c r="AA139" s="291"/>
      <c r="AB139" s="291"/>
      <c r="AC139" s="291"/>
      <c r="AD139" s="291"/>
      <c r="AE139" s="291"/>
    </row>
    <row r="140" spans="1:3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</row>
    <row r="141" spans="1:31" x14ac:dyDescent="0.2">
      <c r="A141" s="156"/>
      <c r="B141" s="156"/>
      <c r="C141" s="156"/>
      <c r="D141" s="156"/>
      <c r="E141" s="156"/>
      <c r="F141" s="156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</row>
    <row r="142" spans="1:3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</row>
    <row r="143" spans="1:31" s="83" customFormat="1" x14ac:dyDescent="0.2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  <c r="AA143" s="273"/>
      <c r="AB143" s="273"/>
      <c r="AC143" s="273"/>
      <c r="AD143" s="273"/>
      <c r="AE143" s="273"/>
    </row>
    <row r="144" spans="1:31" x14ac:dyDescent="0.2">
      <c r="A144" s="156"/>
      <c r="B144" s="156"/>
      <c r="C144" s="156"/>
      <c r="D144" s="156"/>
      <c r="E144" s="156"/>
      <c r="F144" s="156"/>
      <c r="G144" s="291"/>
      <c r="H144" s="291"/>
      <c r="I144" s="291"/>
      <c r="J144" s="291"/>
      <c r="K144" s="291"/>
      <c r="L144" s="291"/>
      <c r="M144" s="291"/>
      <c r="N144" s="291"/>
      <c r="O144" s="291"/>
      <c r="P144" s="291"/>
      <c r="Q144" s="291"/>
      <c r="R144" s="291"/>
      <c r="S144" s="291"/>
      <c r="T144" s="291"/>
      <c r="U144" s="291"/>
      <c r="V144" s="291"/>
      <c r="W144" s="291"/>
      <c r="X144" s="291"/>
      <c r="Y144" s="291"/>
      <c r="Z144" s="291"/>
      <c r="AA144" s="291"/>
      <c r="AB144" s="291"/>
      <c r="AC144" s="291"/>
      <c r="AD144" s="291"/>
      <c r="AE144" s="291"/>
    </row>
    <row r="145" spans="1:31" s="83" customFormat="1" x14ac:dyDescent="0.2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</row>
    <row r="146" spans="1:3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</row>
    <row r="147" spans="1:31" x14ac:dyDescent="0.2">
      <c r="A147" s="156"/>
      <c r="B147" s="156"/>
      <c r="C147" s="156"/>
      <c r="D147" s="156"/>
      <c r="E147" s="156"/>
      <c r="F147" s="156"/>
      <c r="G147" s="291"/>
      <c r="H147" s="291"/>
      <c r="I147" s="291"/>
      <c r="J147" s="291"/>
      <c r="K147" s="291"/>
      <c r="L147" s="291"/>
      <c r="M147" s="291"/>
      <c r="N147" s="291"/>
      <c r="O147" s="291"/>
      <c r="P147" s="291"/>
      <c r="Q147" s="291"/>
      <c r="R147" s="291"/>
      <c r="S147" s="291"/>
      <c r="T147" s="291"/>
      <c r="U147" s="291"/>
      <c r="V147" s="291"/>
      <c r="W147" s="291"/>
      <c r="X147" s="291"/>
      <c r="Y147" s="291"/>
      <c r="Z147" s="291"/>
      <c r="AA147" s="291"/>
      <c r="AB147" s="291"/>
      <c r="AC147" s="291"/>
      <c r="AD147" s="291"/>
      <c r="AE147" s="291"/>
    </row>
    <row r="148" spans="1:3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</row>
    <row r="149" spans="1:31" x14ac:dyDescent="0.2">
      <c r="A149" s="156"/>
      <c r="B149" s="156"/>
      <c r="C149" s="156"/>
      <c r="D149" s="156"/>
      <c r="E149" s="156"/>
      <c r="F149" s="156"/>
      <c r="G149" s="291"/>
      <c r="H149" s="291"/>
      <c r="I149" s="291"/>
      <c r="J149" s="291"/>
      <c r="K149" s="291"/>
      <c r="L149" s="291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1"/>
    </row>
    <row r="150" spans="1:31" x14ac:dyDescent="0.2">
      <c r="A150" s="156"/>
      <c r="B150" s="156"/>
      <c r="C150" s="156"/>
      <c r="D150" s="156"/>
      <c r="E150" s="156"/>
      <c r="F150" s="156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</row>
    <row r="151" spans="1:31" x14ac:dyDescent="0.2">
      <c r="A151" s="156"/>
      <c r="B151" s="156"/>
      <c r="C151" s="156"/>
      <c r="D151" s="156"/>
      <c r="E151" s="156"/>
      <c r="F151" s="156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91"/>
      <c r="T151" s="291"/>
      <c r="U151" s="291"/>
      <c r="V151" s="291"/>
      <c r="W151" s="291"/>
      <c r="X151" s="291"/>
      <c r="Y151" s="291"/>
      <c r="Z151" s="291"/>
      <c r="AA151" s="291"/>
      <c r="AB151" s="291"/>
      <c r="AC151" s="291"/>
      <c r="AD151" s="291"/>
      <c r="AE151" s="291"/>
    </row>
    <row r="152" spans="1:3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</row>
    <row r="153" spans="1:31" x14ac:dyDescent="0.2">
      <c r="A153" s="156"/>
      <c r="B153" s="156"/>
      <c r="C153" s="156"/>
      <c r="D153" s="156"/>
      <c r="E153" s="156"/>
      <c r="F153" s="156"/>
      <c r="G153" s="291"/>
      <c r="H153" s="291"/>
      <c r="I153" s="291"/>
      <c r="J153" s="291"/>
      <c r="K153" s="291"/>
      <c r="L153" s="291"/>
      <c r="M153" s="291"/>
      <c r="N153" s="291"/>
      <c r="O153" s="291"/>
      <c r="P153" s="291"/>
      <c r="Q153" s="291"/>
      <c r="R153" s="291"/>
      <c r="S153" s="291"/>
      <c r="T153" s="291"/>
      <c r="U153" s="291"/>
      <c r="V153" s="291"/>
      <c r="W153" s="291"/>
      <c r="X153" s="291"/>
      <c r="Y153" s="291"/>
      <c r="Z153" s="291"/>
      <c r="AA153" s="291"/>
      <c r="AB153" s="291"/>
      <c r="AC153" s="291"/>
      <c r="AD153" s="291"/>
      <c r="AE153" s="291"/>
    </row>
    <row r="154" spans="1:31" s="83" customFormat="1" x14ac:dyDescent="0.2">
      <c r="A154" s="273"/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91"/>
      <c r="T154" s="291"/>
      <c r="U154" s="291"/>
      <c r="V154" s="291"/>
      <c r="W154" s="291"/>
      <c r="X154" s="291"/>
      <c r="Y154" s="291"/>
      <c r="Z154" s="291"/>
      <c r="AA154" s="291"/>
      <c r="AB154" s="291"/>
      <c r="AC154" s="291"/>
      <c r="AD154" s="291"/>
      <c r="AE154" s="291"/>
    </row>
    <row r="155" spans="1:3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</row>
    <row r="156" spans="1:31" x14ac:dyDescent="0.2">
      <c r="A156" s="302"/>
      <c r="B156" s="302"/>
      <c r="C156" s="302"/>
      <c r="D156" s="302"/>
      <c r="E156" s="302"/>
      <c r="F156" s="302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303"/>
      <c r="AB156" s="303"/>
      <c r="AC156" s="303"/>
      <c r="AD156" s="303"/>
      <c r="AE156" s="303"/>
    </row>
    <row r="157" spans="1:3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</row>
    <row r="158" spans="1:31" x14ac:dyDescent="0.2">
      <c r="A158" s="281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</row>
    <row r="159" spans="1:3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</row>
    <row r="160" spans="1:3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</row>
    <row r="161" spans="1:3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</row>
    <row r="162" spans="1:31" ht="15.75" x14ac:dyDescent="0.25">
      <c r="A162" s="27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</row>
    <row r="163" spans="1:31" ht="15.75" x14ac:dyDescent="0.25">
      <c r="A163" s="27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</row>
    <row r="164" spans="1:31" ht="15.75" x14ac:dyDescent="0.25">
      <c r="A164" s="276"/>
      <c r="B164" s="156"/>
      <c r="C164" s="156"/>
      <c r="D164" s="156"/>
      <c r="E164" s="156"/>
      <c r="F164" s="156"/>
      <c r="G164" s="27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</row>
    <row r="165" spans="1:3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</row>
    <row r="166" spans="1:31" x14ac:dyDescent="0.2">
      <c r="A166" s="156"/>
      <c r="B166" s="156"/>
      <c r="C166" s="156"/>
      <c r="D166" s="156"/>
      <c r="E166" s="156"/>
      <c r="F166" s="156"/>
      <c r="G166" s="159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</row>
    <row r="167" spans="1:31" x14ac:dyDescent="0.2">
      <c r="A167" s="156"/>
      <c r="B167" s="156"/>
      <c r="C167" s="156"/>
      <c r="D167" s="156"/>
      <c r="E167" s="156"/>
      <c r="F167" s="156"/>
      <c r="G167" s="461"/>
      <c r="H167" s="462"/>
      <c r="I167" s="462"/>
      <c r="J167" s="462"/>
      <c r="K167" s="462"/>
      <c r="L167" s="462"/>
      <c r="M167" s="462"/>
      <c r="N167" s="462"/>
      <c r="O167" s="462"/>
      <c r="P167" s="462"/>
      <c r="Q167" s="462"/>
      <c r="R167" s="462"/>
      <c r="S167" s="464"/>
      <c r="T167" s="464"/>
      <c r="U167" s="464"/>
      <c r="V167" s="464"/>
      <c r="W167" s="464"/>
      <c r="X167" s="464"/>
      <c r="Y167" s="464"/>
      <c r="Z167" s="464"/>
      <c r="AA167" s="464"/>
      <c r="AB167" s="464"/>
      <c r="AC167" s="464"/>
      <c r="AD167" s="464"/>
      <c r="AE167" s="464"/>
    </row>
    <row r="168" spans="1:3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</row>
    <row r="169" spans="1:3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</row>
    <row r="170" spans="1:3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</row>
    <row r="171" spans="1:3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</row>
    <row r="172" spans="1:31" x14ac:dyDescent="0.2">
      <c r="A172" s="156"/>
      <c r="B172" s="156"/>
      <c r="C172" s="156"/>
      <c r="D172" s="156"/>
      <c r="E172" s="156"/>
      <c r="F172" s="156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</row>
    <row r="173" spans="1:31" x14ac:dyDescent="0.2">
      <c r="A173" s="156"/>
      <c r="B173" s="156"/>
      <c r="C173" s="156"/>
      <c r="D173" s="156"/>
      <c r="E173" s="156"/>
      <c r="F173" s="156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9"/>
      <c r="T173" s="279"/>
      <c r="U173" s="279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</row>
    <row r="174" spans="1:3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</row>
    <row r="175" spans="1:31" x14ac:dyDescent="0.2">
      <c r="A175" s="156"/>
      <c r="B175" s="156"/>
      <c r="C175" s="156"/>
      <c r="D175" s="156"/>
      <c r="E175" s="156"/>
      <c r="F175" s="156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</row>
    <row r="176" spans="1:3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</row>
    <row r="177" spans="1:31" x14ac:dyDescent="0.2">
      <c r="A177" s="156"/>
      <c r="B177" s="156"/>
      <c r="C177" s="156"/>
      <c r="D177" s="156"/>
      <c r="E177" s="156"/>
      <c r="F177" s="156"/>
      <c r="G177" s="273"/>
      <c r="H177" s="273"/>
      <c r="I177" s="465"/>
      <c r="J177" s="273"/>
      <c r="K177" s="273"/>
      <c r="L177" s="273"/>
      <c r="M177" s="273"/>
      <c r="N177" s="273"/>
      <c r="O177" s="273"/>
      <c r="P177" s="273"/>
      <c r="Q177" s="273"/>
      <c r="R177" s="273"/>
      <c r="S177" s="291"/>
      <c r="T177" s="291"/>
      <c r="U177" s="291"/>
      <c r="V177" s="291"/>
      <c r="W177" s="291"/>
      <c r="X177" s="291"/>
      <c r="Y177" s="291"/>
      <c r="Z177" s="291"/>
      <c r="AA177" s="291"/>
      <c r="AB177" s="291"/>
      <c r="AC177" s="291"/>
      <c r="AD177" s="291"/>
      <c r="AE177" s="291"/>
    </row>
    <row r="178" spans="1:3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</row>
    <row r="179" spans="1:31" x14ac:dyDescent="0.2">
      <c r="A179" s="156"/>
      <c r="B179" s="291"/>
      <c r="C179" s="291"/>
      <c r="D179" s="291"/>
      <c r="E179" s="291"/>
      <c r="F179" s="156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</row>
    <row r="180" spans="1:3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</row>
    <row r="181" spans="1:31" x14ac:dyDescent="0.2">
      <c r="A181" s="156"/>
      <c r="B181" s="156"/>
      <c r="C181" s="156"/>
      <c r="D181" s="156"/>
      <c r="E181" s="156"/>
      <c r="F181" s="156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91"/>
      <c r="T181" s="291"/>
      <c r="U181" s="291"/>
      <c r="V181" s="291"/>
      <c r="W181" s="291"/>
      <c r="X181" s="291"/>
      <c r="Y181" s="291"/>
      <c r="Z181" s="291"/>
      <c r="AA181" s="291"/>
      <c r="AB181" s="291"/>
      <c r="AC181" s="291"/>
      <c r="AD181" s="291"/>
      <c r="AE181" s="291"/>
    </row>
    <row r="182" spans="1:31" x14ac:dyDescent="0.2">
      <c r="A182" s="156"/>
      <c r="B182" s="156"/>
      <c r="C182" s="156"/>
      <c r="D182" s="156"/>
      <c r="E182" s="156"/>
      <c r="F182" s="156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  <c r="S182" s="279"/>
      <c r="T182" s="279"/>
      <c r="U182" s="279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</row>
    <row r="183" spans="1:31" x14ac:dyDescent="0.2">
      <c r="A183" s="156"/>
      <c r="B183" s="156"/>
      <c r="C183" s="156"/>
      <c r="D183" s="156"/>
      <c r="E183" s="156"/>
      <c r="F183" s="156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91"/>
      <c r="T183" s="291"/>
      <c r="U183" s="291"/>
      <c r="V183" s="291"/>
      <c r="W183" s="291"/>
      <c r="X183" s="291"/>
      <c r="Y183" s="291"/>
      <c r="Z183" s="291"/>
      <c r="AA183" s="291"/>
      <c r="AB183" s="291"/>
      <c r="AC183" s="291"/>
      <c r="AD183" s="291"/>
      <c r="AE183" s="291"/>
    </row>
    <row r="184" spans="1:3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</row>
    <row r="185" spans="1:31" x14ac:dyDescent="0.2">
      <c r="A185" s="156"/>
      <c r="B185" s="156"/>
      <c r="C185" s="156"/>
      <c r="D185" s="156"/>
      <c r="E185" s="156"/>
      <c r="F185" s="156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</row>
    <row r="186" spans="1:3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</row>
    <row r="187" spans="1:31" x14ac:dyDescent="0.2">
      <c r="A187" s="156"/>
      <c r="B187" s="156"/>
      <c r="C187" s="156"/>
      <c r="D187" s="156"/>
      <c r="E187" s="156"/>
      <c r="F187" s="156"/>
      <c r="G187" s="291"/>
      <c r="H187" s="291"/>
      <c r="I187" s="291"/>
      <c r="J187" s="291"/>
      <c r="K187" s="291"/>
      <c r="L187" s="291"/>
      <c r="M187" s="291"/>
      <c r="N187" s="291"/>
      <c r="O187" s="291"/>
      <c r="P187" s="291"/>
      <c r="Q187" s="291"/>
      <c r="R187" s="291"/>
      <c r="S187" s="291"/>
      <c r="T187" s="291"/>
      <c r="U187" s="291"/>
      <c r="V187" s="291"/>
      <c r="W187" s="291"/>
      <c r="X187" s="291"/>
      <c r="Y187" s="291"/>
      <c r="Z187" s="291"/>
      <c r="AA187" s="291"/>
      <c r="AB187" s="291"/>
      <c r="AC187" s="291"/>
      <c r="AD187" s="291"/>
      <c r="AE187" s="291"/>
    </row>
    <row r="188" spans="1:31" x14ac:dyDescent="0.2">
      <c r="A188" s="156"/>
      <c r="B188" s="156"/>
      <c r="C188" s="156"/>
      <c r="D188" s="156"/>
      <c r="E188" s="156"/>
      <c r="F188" s="156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91"/>
      <c r="T188" s="291"/>
      <c r="U188" s="291"/>
      <c r="V188" s="291"/>
      <c r="W188" s="291"/>
      <c r="X188" s="291"/>
      <c r="Y188" s="291"/>
      <c r="Z188" s="291"/>
      <c r="AA188" s="291"/>
      <c r="AB188" s="291"/>
      <c r="AC188" s="291"/>
      <c r="AD188" s="291"/>
      <c r="AE188" s="291"/>
    </row>
    <row r="189" spans="1:31" x14ac:dyDescent="0.2">
      <c r="A189" s="156"/>
      <c r="B189" s="156"/>
      <c r="C189" s="156"/>
      <c r="D189" s="156"/>
      <c r="E189" s="156"/>
      <c r="F189" s="156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91"/>
      <c r="T189" s="291"/>
      <c r="U189" s="291"/>
      <c r="V189" s="291"/>
      <c r="W189" s="291"/>
      <c r="X189" s="291"/>
      <c r="Y189" s="291"/>
      <c r="Z189" s="291"/>
      <c r="AA189" s="291"/>
      <c r="AB189" s="291"/>
      <c r="AC189" s="291"/>
      <c r="AD189" s="291"/>
      <c r="AE189" s="291"/>
    </row>
    <row r="190" spans="1:3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</row>
    <row r="191" spans="1:31" x14ac:dyDescent="0.2">
      <c r="A191" s="156"/>
      <c r="B191" s="156"/>
      <c r="C191" s="156"/>
      <c r="D191" s="156"/>
      <c r="E191" s="156"/>
      <c r="F191" s="156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</row>
    <row r="192" spans="1:31" x14ac:dyDescent="0.2">
      <c r="A192" s="156"/>
      <c r="B192" s="156"/>
      <c r="C192" s="156"/>
      <c r="D192" s="156"/>
      <c r="E192" s="156"/>
      <c r="F192" s="156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91"/>
      <c r="T192" s="291"/>
      <c r="U192" s="291"/>
      <c r="V192" s="291"/>
      <c r="W192" s="291"/>
      <c r="X192" s="291"/>
      <c r="Y192" s="291"/>
      <c r="Z192" s="291"/>
      <c r="AA192" s="291"/>
      <c r="AB192" s="291"/>
      <c r="AC192" s="291"/>
      <c r="AD192" s="291"/>
      <c r="AE192" s="291"/>
    </row>
    <row r="193" spans="1:3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</row>
    <row r="194" spans="1:31" x14ac:dyDescent="0.2">
      <c r="A194" s="302"/>
      <c r="B194" s="302"/>
      <c r="C194" s="302"/>
      <c r="D194" s="302"/>
      <c r="E194" s="302"/>
      <c r="F194" s="302"/>
      <c r="G194" s="466"/>
      <c r="H194" s="466"/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6"/>
      <c r="X194" s="466"/>
      <c r="Y194" s="466"/>
      <c r="Z194" s="466"/>
      <c r="AA194" s="466"/>
      <c r="AB194" s="466"/>
      <c r="AC194" s="466"/>
      <c r="AD194" s="466"/>
      <c r="AE194" s="466"/>
    </row>
    <row r="195" spans="1:3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</row>
    <row r="196" spans="1:31" x14ac:dyDescent="0.2">
      <c r="A196" s="281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</row>
    <row r="197" spans="1:3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</row>
    <row r="217" spans="1:31" x14ac:dyDescent="0.2">
      <c r="A217" s="241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</row>
    <row r="218" spans="1:31" x14ac:dyDescent="0.2">
      <c r="G218" s="467"/>
      <c r="H218" s="467"/>
      <c r="I218" s="467"/>
      <c r="J218" s="467"/>
      <c r="K218" s="467"/>
      <c r="L218" s="467"/>
      <c r="M218" s="467"/>
      <c r="N218" s="467"/>
      <c r="O218" s="467"/>
      <c r="P218" s="467"/>
      <c r="Q218" s="467"/>
      <c r="R218" s="467"/>
      <c r="S218" s="420"/>
      <c r="T218" s="420"/>
      <c r="U218" s="420"/>
      <c r="V218" s="420"/>
      <c r="W218" s="420"/>
      <c r="X218" s="420"/>
      <c r="Y218" s="420"/>
      <c r="Z218" s="420"/>
      <c r="AA218" s="420"/>
      <c r="AB218" s="420"/>
      <c r="AC218" s="420"/>
      <c r="AD218" s="420"/>
      <c r="AE218" s="420"/>
    </row>
    <row r="219" spans="1:31" x14ac:dyDescent="0.2"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</row>
    <row r="220" spans="1:31" x14ac:dyDescent="0.2">
      <c r="G220" s="467"/>
      <c r="H220" s="467"/>
      <c r="I220" s="467"/>
      <c r="J220" s="467"/>
      <c r="K220" s="467"/>
      <c r="L220" s="467"/>
      <c r="M220" s="467"/>
      <c r="N220" s="467"/>
      <c r="O220" s="467"/>
      <c r="P220" s="467"/>
      <c r="Q220" s="467"/>
      <c r="R220" s="467"/>
      <c r="S220" s="420"/>
      <c r="T220" s="420"/>
      <c r="U220" s="420"/>
      <c r="V220" s="420"/>
      <c r="W220" s="420"/>
      <c r="X220" s="420"/>
      <c r="Y220" s="420"/>
      <c r="Z220" s="420"/>
      <c r="AA220" s="420"/>
      <c r="AB220" s="420"/>
      <c r="AC220" s="420"/>
      <c r="AD220" s="420"/>
      <c r="AE220" s="420"/>
    </row>
    <row r="221" spans="1:31" x14ac:dyDescent="0.2">
      <c r="G221" s="467"/>
      <c r="H221" s="467"/>
      <c r="I221" s="467"/>
      <c r="J221" s="467"/>
      <c r="K221" s="467"/>
      <c r="L221" s="467"/>
      <c r="M221" s="467"/>
      <c r="N221" s="467"/>
      <c r="O221" s="467"/>
      <c r="P221" s="467"/>
      <c r="Q221" s="467"/>
      <c r="R221" s="467"/>
      <c r="S221" s="420"/>
      <c r="T221" s="420"/>
      <c r="U221" s="420"/>
      <c r="V221" s="420"/>
      <c r="W221" s="420"/>
      <c r="X221" s="420"/>
      <c r="Y221" s="420"/>
      <c r="Z221" s="420"/>
      <c r="AA221" s="420"/>
      <c r="AB221" s="420"/>
      <c r="AC221" s="420"/>
      <c r="AD221" s="420"/>
      <c r="AE221" s="420"/>
    </row>
    <row r="233" spans="1:31" x14ac:dyDescent="0.2">
      <c r="A233" s="231"/>
    </row>
    <row r="234" spans="1:31" x14ac:dyDescent="0.2">
      <c r="A234" s="231"/>
    </row>
    <row r="236" spans="1:31" x14ac:dyDescent="0.2">
      <c r="A236" s="44"/>
      <c r="B236" s="44"/>
      <c r="C236" s="44"/>
      <c r="D236" s="44"/>
      <c r="E236" s="44"/>
      <c r="F236" s="141"/>
    </row>
    <row r="237" spans="1:31" x14ac:dyDescent="0.2">
      <c r="F237" s="91"/>
    </row>
    <row r="238" spans="1:31" x14ac:dyDescent="0.2">
      <c r="F238" s="468"/>
      <c r="G238" s="468"/>
      <c r="H238" s="468"/>
      <c r="I238" s="468"/>
      <c r="J238" s="468"/>
      <c r="K238" s="468"/>
      <c r="L238" s="468"/>
      <c r="M238" s="468"/>
      <c r="N238" s="468"/>
      <c r="O238" s="468"/>
      <c r="P238" s="468"/>
      <c r="Q238" s="468"/>
      <c r="R238" s="468"/>
      <c r="S238" s="469"/>
      <c r="T238" s="469"/>
      <c r="U238" s="469"/>
      <c r="V238" s="469"/>
      <c r="W238" s="469"/>
      <c r="X238" s="469"/>
      <c r="Y238" s="469"/>
      <c r="Z238" s="469"/>
      <c r="AA238" s="469"/>
      <c r="AB238" s="469"/>
      <c r="AC238" s="469"/>
      <c r="AD238" s="469"/>
      <c r="AE238" s="469"/>
    </row>
    <row r="239" spans="1:31" x14ac:dyDescent="0.2"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x14ac:dyDescent="0.2"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s="221" customFormat="1" x14ac:dyDescent="0.2">
      <c r="A241" s="19"/>
      <c r="F241" s="470"/>
      <c r="G241" s="470"/>
      <c r="H241" s="470"/>
      <c r="I241" s="470"/>
      <c r="J241" s="470"/>
      <c r="K241" s="470"/>
      <c r="L241" s="470"/>
      <c r="M241" s="470"/>
      <c r="N241" s="470"/>
      <c r="O241" s="470"/>
      <c r="P241" s="470"/>
      <c r="Q241" s="470"/>
      <c r="R241" s="470"/>
      <c r="S241" s="387"/>
      <c r="T241" s="387"/>
      <c r="U241" s="387"/>
      <c r="V241" s="387"/>
      <c r="W241" s="387"/>
      <c r="X241" s="387"/>
      <c r="Y241" s="387"/>
      <c r="Z241" s="387"/>
      <c r="AA241" s="387"/>
      <c r="AB241" s="387"/>
      <c r="AC241" s="387"/>
      <c r="AD241" s="387"/>
      <c r="AE241" s="387"/>
    </row>
    <row r="242" spans="1:31" x14ac:dyDescent="0.2"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  <c r="AD242" s="254"/>
      <c r="AE242" s="254"/>
    </row>
    <row r="243" spans="1:31" x14ac:dyDescent="0.2">
      <c r="F243" s="83"/>
    </row>
    <row r="244" spans="1:31" x14ac:dyDescent="0.2">
      <c r="F244" s="83"/>
    </row>
    <row r="245" spans="1:31" x14ac:dyDescent="0.2">
      <c r="F245" s="436"/>
      <c r="J245" s="471"/>
    </row>
    <row r="246" spans="1:31" x14ac:dyDescent="0.2">
      <c r="F246" s="83"/>
    </row>
    <row r="247" spans="1:31" x14ac:dyDescent="0.2"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  <c r="AD247" s="254"/>
      <c r="AE247" s="254"/>
    </row>
    <row r="249" spans="1:31" x14ac:dyDescent="0.2"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</row>
    <row r="250" spans="1:31" x14ac:dyDescent="0.2">
      <c r="F250" s="472"/>
      <c r="G250" s="472"/>
      <c r="H250" s="472"/>
      <c r="I250" s="472"/>
      <c r="J250" s="472"/>
      <c r="K250" s="472"/>
      <c r="L250" s="472"/>
      <c r="M250" s="472"/>
      <c r="N250" s="472"/>
      <c r="O250" s="472"/>
      <c r="P250" s="472"/>
      <c r="Q250" s="472"/>
      <c r="R250" s="472"/>
      <c r="S250" s="417"/>
      <c r="T250" s="417"/>
      <c r="U250" s="417"/>
      <c r="V250" s="417"/>
      <c r="W250" s="417"/>
      <c r="X250" s="417"/>
      <c r="Y250" s="417"/>
      <c r="Z250" s="417"/>
      <c r="AA250" s="417"/>
      <c r="AB250" s="417"/>
      <c r="AC250" s="417"/>
      <c r="AD250" s="417"/>
      <c r="AE250" s="417"/>
    </row>
    <row r="251" spans="1:31" x14ac:dyDescent="0.2"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3" spans="1:31" x14ac:dyDescent="0.2"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  <c r="AD253" s="254"/>
      <c r="AE253" s="254"/>
    </row>
    <row r="254" spans="1:31" x14ac:dyDescent="0.2">
      <c r="F254" s="473"/>
      <c r="G254" s="474"/>
      <c r="H254" s="474"/>
      <c r="I254" s="474"/>
      <c r="J254" s="474"/>
      <c r="K254" s="474"/>
      <c r="L254" s="474"/>
      <c r="M254" s="474"/>
      <c r="N254" s="474"/>
      <c r="O254" s="474"/>
      <c r="P254" s="474"/>
      <c r="Q254" s="474"/>
      <c r="R254" s="474"/>
      <c r="S254" s="406"/>
      <c r="T254" s="406"/>
      <c r="U254" s="406"/>
      <c r="V254" s="406"/>
      <c r="W254" s="406"/>
      <c r="X254" s="406"/>
      <c r="Y254" s="406"/>
      <c r="Z254" s="406"/>
      <c r="AA254" s="406"/>
      <c r="AB254" s="406"/>
      <c r="AC254" s="406"/>
      <c r="AD254" s="406"/>
      <c r="AE254" s="406"/>
    </row>
    <row r="255" spans="1:31" x14ac:dyDescent="0.2"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x14ac:dyDescent="0.2">
      <c r="F256" s="83"/>
    </row>
    <row r="257" spans="6:31" x14ac:dyDescent="0.2"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4"/>
    </row>
  </sheetData>
  <customSheetViews>
    <customSheetView guid="{247772DD-F62B-11D1-9A7E-3C9971000000}" showGridLines="0" fitToPage="1" showRuler="0" topLeftCell="G119">
      <selection activeCell="A156" sqref="A156:S190"/>
      <pageMargins left="0.75" right="0.75" top="1" bottom="1" header="0.5" footer="0.5"/>
      <pageSetup scale="58" orientation="landscape" horizontalDpi="4294967292" verticalDpi="4294967292" r:id="rId1"/>
      <headerFooter alignWithMargins="0">
        <oddHeader>&amp;L&amp;D&amp;C&amp;"Britannic Bold,Bold Italic"CONFIDENTIAL&amp;R&amp;T</oddHeader>
        <oddFooter>&amp;CPage 3</oddFooter>
      </headerFooter>
    </customSheetView>
    <customSheetView guid="{247772DC-F62B-11D1-9A7E-3C9971000000}" showGridLines="0" fitToPage="1" showRuler="0" topLeftCell="K71">
      <selection activeCell="A95" sqref="A95:S152"/>
      <pageMargins left="0.75" right="0.75" top="1" bottom="1" header="0.5" footer="0.5"/>
      <pageSetup scale="58" orientation="landscape" horizontalDpi="4294967292" verticalDpi="4294967292" r:id="rId2"/>
      <headerFooter alignWithMargins="0">
        <oddHeader>&amp;L&amp;D&amp;C&amp;"Britannic Bold,Bold Italic"CONFIDENTIAL&amp;R&amp;T</oddHeader>
        <oddFooter>&amp;CPage 3</oddFooter>
      </headerFooter>
    </customSheetView>
    <customSheetView guid="{247772DB-F62B-11D1-9A7E-3C9971000000}" showGridLines="0" fitToPage="1" showRuler="0">
      <selection sqref="A1:T74"/>
      <pageMargins left="0.75" right="0.75" top="1" bottom="1" header="0.5" footer="0.5"/>
      <pageSetup scale="58" orientation="landscape" horizontalDpi="4294967292" verticalDpi="4294967292" r:id="rId3"/>
      <headerFooter alignWithMargins="0">
        <oddHeader>&amp;L&amp;D&amp;C&amp;"Britannic Bold,Bold Italic"CONFIDENTIAL&amp;R&amp;T</oddHeader>
        <oddFooter>&amp;CPage 4</oddFooter>
      </headerFooter>
    </customSheetView>
  </customSheetViews>
  <printOptions gridLinesSet="0"/>
  <pageMargins left="0.75" right="0.75" top="0.75" bottom="0.75" header="0.5" footer="0.5"/>
  <pageSetup scale="40" orientation="landscape" horizontalDpi="4294967292" verticalDpi="4294967292" r:id="rId4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90"/>
  <sheetViews>
    <sheetView showGridLines="0" zoomScale="80" zoomScaleNormal="80" workbookViewId="0">
      <selection activeCell="B30" sqref="B30"/>
    </sheetView>
  </sheetViews>
  <sheetFormatPr defaultRowHeight="12.75" outlineLevelCol="1" x14ac:dyDescent="0.2"/>
  <cols>
    <col min="1" max="1" width="32.5" style="19" customWidth="1"/>
    <col min="2" max="16" width="10.83203125" style="19" customWidth="1"/>
    <col min="17" max="25" width="10.83203125" style="44" customWidth="1"/>
    <col min="26" max="28" width="10.83203125" style="19" customWidth="1"/>
    <col min="29" max="34" width="10.83203125" style="19" customWidth="1" outlineLevel="1"/>
    <col min="35" max="35" width="11.5" style="19" customWidth="1"/>
    <col min="36" max="16384" width="9.33203125" style="19"/>
  </cols>
  <sheetData>
    <row r="1" spans="1:57" ht="15.75" x14ac:dyDescent="0.25">
      <c r="A1" s="588" t="str">
        <f>+Assumpt!A1</f>
        <v>Panama Regas Terminal</v>
      </c>
      <c r="B1" s="590"/>
      <c r="G1" s="375"/>
    </row>
    <row r="2" spans="1:57" ht="15.75" x14ac:dyDescent="0.25">
      <c r="A2" s="591" t="str">
        <f>+Assumpt!A2</f>
        <v>Enron International</v>
      </c>
      <c r="B2" s="592"/>
      <c r="G2" s="375"/>
    </row>
    <row r="3" spans="1:57" ht="16.5" thickBot="1" x14ac:dyDescent="0.3">
      <c r="A3" s="812" t="s">
        <v>378</v>
      </c>
      <c r="B3" s="146"/>
    </row>
    <row r="4" spans="1:57" ht="15.75" x14ac:dyDescent="0.25">
      <c r="A4" s="307"/>
      <c r="B4" s="307"/>
      <c r="D4" s="255"/>
    </row>
    <row r="5" spans="1:57" ht="15.75" x14ac:dyDescent="0.25">
      <c r="A5" s="307"/>
      <c r="B5" s="307"/>
      <c r="D5" s="241"/>
    </row>
    <row r="6" spans="1:57" s="231" customFormat="1" x14ac:dyDescent="0.2">
      <c r="A6" s="543" t="str">
        <f>+CF!A5</f>
        <v>Calendar Year</v>
      </c>
      <c r="B6" s="544"/>
      <c r="C6" s="713" t="str">
        <f>"BOY "&amp;E6</f>
        <v>BOY 2000</v>
      </c>
      <c r="D6" s="544"/>
      <c r="E6" s="544">
        <f>+F6-1</f>
        <v>2000</v>
      </c>
      <c r="F6" s="544">
        <f>+G6-1</f>
        <v>2001</v>
      </c>
      <c r="G6" s="544">
        <f>+H6-1</f>
        <v>2002</v>
      </c>
      <c r="H6" s="545">
        <f>+CF!E5</f>
        <v>2003</v>
      </c>
      <c r="I6" s="545">
        <f>+CF!F5</f>
        <v>2004</v>
      </c>
      <c r="J6" s="545">
        <f>+CF!G5</f>
        <v>2005</v>
      </c>
      <c r="K6" s="545">
        <f>+CF!H5</f>
        <v>2006</v>
      </c>
      <c r="L6" s="545">
        <f>+CF!I5</f>
        <v>2007</v>
      </c>
      <c r="M6" s="545">
        <f>+CF!J5</f>
        <v>2008</v>
      </c>
      <c r="N6" s="545">
        <f>+CF!K5</f>
        <v>2009</v>
      </c>
      <c r="O6" s="545">
        <f>+CF!L5</f>
        <v>2010</v>
      </c>
      <c r="P6" s="545">
        <f>+CF!M5</f>
        <v>2011</v>
      </c>
      <c r="Q6" s="545">
        <f>+CF!N5</f>
        <v>2012</v>
      </c>
      <c r="R6" s="545">
        <f>+CF!O5</f>
        <v>2013</v>
      </c>
      <c r="S6" s="545">
        <f>+CF!P5</f>
        <v>2014</v>
      </c>
      <c r="T6" s="545">
        <f>+CF!Q5</f>
        <v>2015</v>
      </c>
      <c r="U6" s="545">
        <f>+CF!R5</f>
        <v>2016</v>
      </c>
      <c r="V6" s="545">
        <f>+CF!S5</f>
        <v>2017</v>
      </c>
      <c r="W6" s="545">
        <f>+CF!T5</f>
        <v>2018</v>
      </c>
      <c r="X6" s="545">
        <f>+CF!U5</f>
        <v>2019</v>
      </c>
      <c r="Y6" s="545">
        <f>+CF!V5</f>
        <v>2020</v>
      </c>
      <c r="Z6" s="545">
        <f>+CF!W5</f>
        <v>2021</v>
      </c>
      <c r="AA6" s="545">
        <f>+CF!X5</f>
        <v>2022</v>
      </c>
      <c r="AB6" s="545">
        <f>+CF!Y5</f>
        <v>2023</v>
      </c>
      <c r="AC6" s="545">
        <f>+CF!Z5</f>
        <v>2024</v>
      </c>
      <c r="AD6" s="545">
        <f>+CF!AA5</f>
        <v>2025</v>
      </c>
      <c r="AE6" s="545">
        <f>+CF!AB5</f>
        <v>2026</v>
      </c>
      <c r="AF6" s="545">
        <f>+CF!AC5</f>
        <v>2027</v>
      </c>
      <c r="AG6" s="545">
        <f>+CF!AD5</f>
        <v>2028</v>
      </c>
      <c r="AH6" s="545">
        <f>+CF!AE5</f>
        <v>2029</v>
      </c>
      <c r="AI6" s="546" t="str">
        <f>+CF!AF5</f>
        <v>TOTALS</v>
      </c>
      <c r="AJ6" s="485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</row>
    <row r="7" spans="1:57" x14ac:dyDescent="0.2">
      <c r="A7" s="547" t="str">
        <f>+CF!A6</f>
        <v>Months of Operation</v>
      </c>
      <c r="B7" s="535"/>
      <c r="C7" s="535"/>
      <c r="D7" s="535"/>
      <c r="E7" s="535"/>
      <c r="F7" s="548"/>
      <c r="G7" s="548"/>
      <c r="H7" s="548">
        <f>+CF!E6</f>
        <v>12</v>
      </c>
      <c r="I7" s="548">
        <f>+CF!F6</f>
        <v>12</v>
      </c>
      <c r="J7" s="548">
        <f>+CF!G6</f>
        <v>12</v>
      </c>
      <c r="K7" s="548">
        <f>+CF!H6</f>
        <v>12</v>
      </c>
      <c r="L7" s="548">
        <f>+CF!I6</f>
        <v>12</v>
      </c>
      <c r="M7" s="548">
        <f>+CF!J6</f>
        <v>12</v>
      </c>
      <c r="N7" s="548">
        <f>+CF!K6</f>
        <v>12</v>
      </c>
      <c r="O7" s="548">
        <f>+CF!L6</f>
        <v>12</v>
      </c>
      <c r="P7" s="548">
        <f>+CF!M6</f>
        <v>12</v>
      </c>
      <c r="Q7" s="548">
        <f>+CF!N6</f>
        <v>12</v>
      </c>
      <c r="R7" s="548">
        <f>+CF!O6</f>
        <v>12</v>
      </c>
      <c r="S7" s="548">
        <f>+CF!P6</f>
        <v>12</v>
      </c>
      <c r="T7" s="548">
        <f>+CF!Q6</f>
        <v>12</v>
      </c>
      <c r="U7" s="548">
        <f>+CF!R6</f>
        <v>12</v>
      </c>
      <c r="V7" s="548">
        <f>+CF!S6</f>
        <v>12</v>
      </c>
      <c r="W7" s="548">
        <f>+CF!T6</f>
        <v>0</v>
      </c>
      <c r="X7" s="548">
        <f>+CF!U6</f>
        <v>0</v>
      </c>
      <c r="Y7" s="548">
        <f>+CF!V6</f>
        <v>0</v>
      </c>
      <c r="Z7" s="548">
        <f>+CF!W6</f>
        <v>0</v>
      </c>
      <c r="AA7" s="548">
        <f>+CF!X6</f>
        <v>0</v>
      </c>
      <c r="AB7" s="548">
        <f>+CF!Y6</f>
        <v>0</v>
      </c>
      <c r="AC7" s="548">
        <f>+CF!Z6</f>
        <v>0</v>
      </c>
      <c r="AD7" s="548">
        <f>+CF!AA6</f>
        <v>0</v>
      </c>
      <c r="AE7" s="548">
        <f>+CF!AB6</f>
        <v>0</v>
      </c>
      <c r="AF7" s="548">
        <f>+CF!AC6</f>
        <v>0</v>
      </c>
      <c r="AG7" s="548">
        <f>+CF!AD6</f>
        <v>0</v>
      </c>
      <c r="AH7" s="548">
        <f>+CF!AE6</f>
        <v>0</v>
      </c>
      <c r="AI7" s="552">
        <f>+CF!AF6</f>
        <v>180</v>
      </c>
      <c r="AJ7" s="256"/>
      <c r="AK7" s="53"/>
      <c r="AL7" s="53"/>
      <c r="AM7" s="53"/>
      <c r="AN7" s="53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</row>
    <row r="8" spans="1:57" x14ac:dyDescent="0.2">
      <c r="A8" s="549" t="str">
        <f>+CF!A7</f>
        <v>Contract Year</v>
      </c>
      <c r="B8" s="550"/>
      <c r="C8" s="550"/>
      <c r="D8" s="550"/>
      <c r="E8" s="550"/>
      <c r="F8" s="550"/>
      <c r="G8" s="550"/>
      <c r="H8" s="551">
        <f>+CF!E7</f>
        <v>1</v>
      </c>
      <c r="I8" s="551">
        <f>+CF!F7</f>
        <v>2</v>
      </c>
      <c r="J8" s="551">
        <f>+CF!G7</f>
        <v>3</v>
      </c>
      <c r="K8" s="551">
        <f>+CF!H7</f>
        <v>4</v>
      </c>
      <c r="L8" s="551">
        <f>+CF!I7</f>
        <v>5</v>
      </c>
      <c r="M8" s="551">
        <f>+CF!J7</f>
        <v>6</v>
      </c>
      <c r="N8" s="551">
        <f>+CF!K7</f>
        <v>7</v>
      </c>
      <c r="O8" s="551">
        <f>+CF!L7</f>
        <v>8</v>
      </c>
      <c r="P8" s="551">
        <f>+CF!M7</f>
        <v>9</v>
      </c>
      <c r="Q8" s="551">
        <f>+CF!N7</f>
        <v>10</v>
      </c>
      <c r="R8" s="551">
        <f>+CF!O7</f>
        <v>11</v>
      </c>
      <c r="S8" s="551">
        <f>+CF!P7</f>
        <v>12</v>
      </c>
      <c r="T8" s="551">
        <f>+CF!Q7</f>
        <v>13</v>
      </c>
      <c r="U8" s="551">
        <f>+CF!R7</f>
        <v>14</v>
      </c>
      <c r="V8" s="551">
        <f>+CF!S7</f>
        <v>15</v>
      </c>
      <c r="W8" s="551">
        <f>+CF!T7</f>
        <v>15</v>
      </c>
      <c r="X8" s="551">
        <f>+CF!U7</f>
        <v>15</v>
      </c>
      <c r="Y8" s="551">
        <f>+CF!V7</f>
        <v>15</v>
      </c>
      <c r="Z8" s="551">
        <f>+CF!W7</f>
        <v>15</v>
      </c>
      <c r="AA8" s="551">
        <f>+CF!X7</f>
        <v>15</v>
      </c>
      <c r="AB8" s="551">
        <f>+CF!Y7</f>
        <v>15</v>
      </c>
      <c r="AC8" s="551">
        <f>+CF!Z7</f>
        <v>15</v>
      </c>
      <c r="AD8" s="551">
        <f>+CF!AA7</f>
        <v>15</v>
      </c>
      <c r="AE8" s="551">
        <f>+CF!AB7</f>
        <v>15</v>
      </c>
      <c r="AF8" s="551">
        <f>+CF!AC7</f>
        <v>15</v>
      </c>
      <c r="AG8" s="551">
        <f>+CF!AD7</f>
        <v>15</v>
      </c>
      <c r="AH8" s="551">
        <f>+CF!AE7</f>
        <v>15</v>
      </c>
      <c r="AI8" s="553">
        <f>+CF!AF7</f>
        <v>15</v>
      </c>
      <c r="AJ8" s="374"/>
      <c r="AK8" s="53"/>
      <c r="AL8" s="53"/>
      <c r="AM8" s="53"/>
      <c r="AN8" s="53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</row>
    <row r="9" spans="1:57" s="156" customFormat="1" x14ac:dyDescent="0.2">
      <c r="H9" s="707"/>
      <c r="I9" s="707"/>
      <c r="J9" s="707"/>
      <c r="K9" s="707"/>
      <c r="L9" s="707"/>
      <c r="M9" s="707"/>
      <c r="N9" s="707"/>
      <c r="O9" s="707"/>
      <c r="P9" s="707"/>
      <c r="Q9" s="707"/>
      <c r="R9" s="707"/>
      <c r="S9" s="707"/>
      <c r="T9" s="707"/>
      <c r="U9" s="707"/>
      <c r="V9" s="707"/>
      <c r="W9" s="707"/>
      <c r="X9" s="707"/>
      <c r="Y9" s="707"/>
      <c r="Z9" s="707"/>
      <c r="AA9" s="707"/>
      <c r="AB9" s="707"/>
      <c r="AC9" s="707"/>
      <c r="AD9" s="707"/>
      <c r="AE9" s="707"/>
      <c r="AF9" s="707"/>
      <c r="AG9" s="707"/>
      <c r="AH9" s="707"/>
      <c r="AI9" s="708"/>
      <c r="AJ9" s="709"/>
      <c r="AK9" s="293"/>
      <c r="AL9" s="293"/>
      <c r="AM9" s="293"/>
      <c r="AN9" s="293"/>
    </row>
    <row r="10" spans="1:57" s="83" customFormat="1" x14ac:dyDescent="0.2">
      <c r="A10" s="715" t="s">
        <v>97</v>
      </c>
      <c r="B10" s="717"/>
      <c r="C10" s="717">
        <f>+NPV(DR,E10:L10)</f>
        <v>-29355.732551007259</v>
      </c>
      <c r="D10" s="717"/>
      <c r="E10" s="403">
        <f>IF(E$6&lt;YEAR(startconst),0,-HLOOKUP(DATE(E$6,12,1),idctable,IDC!$AO$23))</f>
        <v>-12644.438140059743</v>
      </c>
      <c r="F10" s="403">
        <f>IF(F$6&lt;YEAR(startconst),0,-HLOOKUP(DATE(F$6,12,1),idctable,IDC!$AO$23))-SUM($E10:E10)</f>
        <v>-12644.438140059758</v>
      </c>
      <c r="G10" s="403">
        <f>IF(G$6&lt;YEAR(startconst),0,-HLOOKUP(DATE(G$6,12,1),idctable,IDC!$AO$23))-SUM($E10:F10)</f>
        <v>-12644.438140059738</v>
      </c>
      <c r="H10" s="403">
        <f>IF(H$6&lt;YEAR(startconst),0,-HLOOKUP(DATE(H$6,12,1),idctable,IDC!$AO$23))-SUM($E10:G10)</f>
        <v>0</v>
      </c>
      <c r="I10" s="403">
        <f>IF(I$6&lt;YEAR(startconst),0,-HLOOKUP(DATE(I$6,12,1),idctable,IDC!$AO$23))-SUM($E10:H10)</f>
        <v>0</v>
      </c>
      <c r="J10" s="403">
        <f>IF(J$6&lt;YEAR(startconst),0,-HLOOKUP(DATE(J$6,12,1),idctable,IDC!$AO$23))-SUM($E10:I10)</f>
        <v>0</v>
      </c>
      <c r="K10" s="403">
        <f>IF(K$6&lt;YEAR(startconst),0,-HLOOKUP(DATE(K$6,12,1),idctable,IDC!$AO$23))-SUM($E10:J10)</f>
        <v>0</v>
      </c>
      <c r="L10" s="403">
        <f>IF(L$6&lt;YEAR(startconst),0,-HLOOKUP(DATE(L$6,12,1),idctable,IDC!$AO$23))-SUM($E10:K10)</f>
        <v>0</v>
      </c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3"/>
      <c r="AB10" s="403"/>
      <c r="AC10" s="403"/>
      <c r="AD10" s="403"/>
      <c r="AE10" s="403"/>
      <c r="AF10" s="403"/>
      <c r="AG10" s="403"/>
      <c r="AH10" s="403"/>
      <c r="AI10" s="718">
        <f>+SUM(E10:AH10)</f>
        <v>-37933.314420179238</v>
      </c>
      <c r="AJ10" s="77"/>
      <c r="AK10" s="77"/>
    </row>
    <row r="11" spans="1:57" s="436" customFormat="1" x14ac:dyDescent="0.2">
      <c r="A11" s="712" t="s">
        <v>98</v>
      </c>
      <c r="B11" s="72"/>
      <c r="C11" s="714">
        <f>+NPV(DR,E11:AH11)</f>
        <v>52414.757942098775</v>
      </c>
      <c r="D11" s="72"/>
      <c r="E11" s="711">
        <v>0</v>
      </c>
      <c r="F11" s="711">
        <v>0</v>
      </c>
      <c r="G11" s="711">
        <v>0</v>
      </c>
      <c r="H11" s="72">
        <f>+CF!E64</f>
        <v>-5489.1465046162775</v>
      </c>
      <c r="I11" s="72">
        <f>+CF!F64</f>
        <v>-12024.894441835102</v>
      </c>
      <c r="J11" s="72">
        <f>+CF!G64</f>
        <v>5172.2608817319233</v>
      </c>
      <c r="K11" s="72">
        <f>+CF!H64</f>
        <v>6111.9519896835282</v>
      </c>
      <c r="L11" s="72">
        <f>+CF!I64</f>
        <v>6336.3693826938106</v>
      </c>
      <c r="M11" s="72">
        <f>+CF!J64</f>
        <v>7322.4604713134759</v>
      </c>
      <c r="N11" s="72">
        <f>+CF!K64</f>
        <v>7930.4162241112645</v>
      </c>
      <c r="O11" s="72">
        <f>+CF!L64</f>
        <v>29814.367336883326</v>
      </c>
      <c r="P11" s="72">
        <f>+CF!M64</f>
        <v>33751.178428869709</v>
      </c>
      <c r="Q11" s="72">
        <f>+CF!N64</f>
        <v>34839.623937967219</v>
      </c>
      <c r="R11" s="72">
        <f>+CF!O64</f>
        <v>36050.982270703869</v>
      </c>
      <c r="S11" s="72">
        <f>+CF!P64</f>
        <v>37829.06287013783</v>
      </c>
      <c r="T11" s="72">
        <f>+CF!Q64</f>
        <v>57522.977508090269</v>
      </c>
      <c r="U11" s="72">
        <f>+CF!R64</f>
        <v>58623.600220073946</v>
      </c>
      <c r="V11" s="72">
        <f>+CF!S64</f>
        <v>59746.23538629731</v>
      </c>
      <c r="W11" s="72">
        <f>+CF!T64</f>
        <v>0</v>
      </c>
      <c r="X11" s="72">
        <f>+CF!U64</f>
        <v>0</v>
      </c>
      <c r="Y11" s="72">
        <f>+CF!V64</f>
        <v>0</v>
      </c>
      <c r="Z11" s="72">
        <f>+CF!W64</f>
        <v>0</v>
      </c>
      <c r="AA11" s="72">
        <f>+CF!X64</f>
        <v>0</v>
      </c>
      <c r="AB11" s="72">
        <f>+CF!Y64</f>
        <v>0</v>
      </c>
      <c r="AC11" s="72">
        <f>+CF!Z64</f>
        <v>0</v>
      </c>
      <c r="AD11" s="72">
        <f>+CF!AA64</f>
        <v>0</v>
      </c>
      <c r="AE11" s="72">
        <f>+CF!AB64</f>
        <v>0</v>
      </c>
      <c r="AF11" s="72">
        <f>+CF!AC64</f>
        <v>0</v>
      </c>
      <c r="AG11" s="72">
        <f>+CF!AD64</f>
        <v>0</v>
      </c>
      <c r="AH11" s="72">
        <f>+CF!AE64</f>
        <v>0</v>
      </c>
      <c r="AI11" s="262">
        <f>+SUM(E11:AH11)</f>
        <v>363537.44596210611</v>
      </c>
      <c r="AJ11" s="72"/>
      <c r="AK11" s="221"/>
      <c r="AL11" s="221"/>
      <c r="AM11" s="221"/>
      <c r="AN11" s="221"/>
      <c r="AO11" s="221"/>
    </row>
    <row r="12" spans="1:57" s="83" customFormat="1" x14ac:dyDescent="0.2">
      <c r="A12" s="357" t="s">
        <v>259</v>
      </c>
      <c r="B12" s="77"/>
      <c r="C12" s="77">
        <f>+SUM(C10:C11)</f>
        <v>23059.025391091516</v>
      </c>
      <c r="D12" s="77"/>
      <c r="E12" s="77">
        <f>SUM(E10:E11)</f>
        <v>-12644.438140059743</v>
      </c>
      <c r="F12" s="77">
        <f>SUM(F10:F11)</f>
        <v>-12644.438140059758</v>
      </c>
      <c r="G12" s="77">
        <f>SUM(G10:G11)</f>
        <v>-12644.438140059738</v>
      </c>
      <c r="H12" s="77">
        <f>SUM(H10:H11)</f>
        <v>-5489.1465046162775</v>
      </c>
      <c r="I12" s="77">
        <f t="shared" ref="I12:X12" si="0">SUM(I10:I11)</f>
        <v>-12024.894441835102</v>
      </c>
      <c r="J12" s="77">
        <f t="shared" si="0"/>
        <v>5172.2608817319233</v>
      </c>
      <c r="K12" s="77">
        <f t="shared" si="0"/>
        <v>6111.9519896835282</v>
      </c>
      <c r="L12" s="77">
        <f t="shared" si="0"/>
        <v>6336.3693826938106</v>
      </c>
      <c r="M12" s="77">
        <f t="shared" si="0"/>
        <v>7322.4604713134759</v>
      </c>
      <c r="N12" s="77">
        <f t="shared" si="0"/>
        <v>7930.4162241112645</v>
      </c>
      <c r="O12" s="77">
        <f t="shared" si="0"/>
        <v>29814.367336883326</v>
      </c>
      <c r="P12" s="77">
        <f t="shared" si="0"/>
        <v>33751.178428869709</v>
      </c>
      <c r="Q12" s="77">
        <f t="shared" si="0"/>
        <v>34839.623937967219</v>
      </c>
      <c r="R12" s="77">
        <f t="shared" si="0"/>
        <v>36050.982270703869</v>
      </c>
      <c r="S12" s="77">
        <f t="shared" si="0"/>
        <v>37829.06287013783</v>
      </c>
      <c r="T12" s="77">
        <f t="shared" si="0"/>
        <v>57522.977508090269</v>
      </c>
      <c r="U12" s="77">
        <f t="shared" si="0"/>
        <v>58623.600220073946</v>
      </c>
      <c r="V12" s="77">
        <f t="shared" si="0"/>
        <v>59746.23538629731</v>
      </c>
      <c r="W12" s="77">
        <f t="shared" si="0"/>
        <v>0</v>
      </c>
      <c r="X12" s="77">
        <f t="shared" si="0"/>
        <v>0</v>
      </c>
      <c r="Y12" s="77">
        <f t="shared" ref="Y12:AH12" si="1">SUM(Y10:Y11)</f>
        <v>0</v>
      </c>
      <c r="Z12" s="77">
        <f t="shared" si="1"/>
        <v>0</v>
      </c>
      <c r="AA12" s="77">
        <f t="shared" si="1"/>
        <v>0</v>
      </c>
      <c r="AB12" s="77">
        <f t="shared" si="1"/>
        <v>0</v>
      </c>
      <c r="AC12" s="77">
        <f t="shared" si="1"/>
        <v>0</v>
      </c>
      <c r="AD12" s="77">
        <f t="shared" si="1"/>
        <v>0</v>
      </c>
      <c r="AE12" s="77">
        <f t="shared" si="1"/>
        <v>0</v>
      </c>
      <c r="AF12" s="77">
        <f t="shared" si="1"/>
        <v>0</v>
      </c>
      <c r="AG12" s="77">
        <f t="shared" si="1"/>
        <v>0</v>
      </c>
      <c r="AH12" s="77">
        <f t="shared" si="1"/>
        <v>0</v>
      </c>
      <c r="AI12" s="259">
        <f>+SUM(E12:AH12)</f>
        <v>325604.13154192688</v>
      </c>
      <c r="AJ12" s="77"/>
      <c r="AK12" s="19"/>
      <c r="AL12" s="19"/>
      <c r="AM12" s="19"/>
      <c r="AN12" s="19"/>
      <c r="AO12" s="19"/>
    </row>
    <row r="13" spans="1:57" x14ac:dyDescent="0.2">
      <c r="A13" s="20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Z13" s="44"/>
      <c r="AA13" s="44"/>
      <c r="AB13" s="44"/>
      <c r="AC13" s="44"/>
      <c r="AD13" s="44"/>
      <c r="AE13" s="44"/>
      <c r="AF13" s="44"/>
      <c r="AG13" s="44"/>
      <c r="AH13" s="44"/>
      <c r="AI13" s="250"/>
      <c r="AJ13" s="44"/>
    </row>
    <row r="14" spans="1:57" x14ac:dyDescent="0.2">
      <c r="A14" s="357" t="s">
        <v>260</v>
      </c>
      <c r="B14" s="77"/>
      <c r="C14" s="77"/>
      <c r="D14" s="77"/>
      <c r="E14" s="77">
        <f>+NPV(DR,$E12:E12)</f>
        <v>-11091.612403561177</v>
      </c>
      <c r="F14" s="77">
        <f>+NPV(DR,$E12:F12)</f>
        <v>-20821.096968088536</v>
      </c>
      <c r="G14" s="77">
        <f>+NPV(DR,$E12:G12)</f>
        <v>-29355.732551007259</v>
      </c>
      <c r="H14" s="77">
        <f>+NPV(DR,$E12:H12)</f>
        <v>-32605.74793598607</v>
      </c>
      <c r="I14" s="77">
        <f>+NPV(DR,$E12:I12)</f>
        <v>-38851.101301309733</v>
      </c>
      <c r="J14" s="77">
        <f>+NPV(DR,$E12:J12)</f>
        <v>-36494.688822480231</v>
      </c>
      <c r="K14" s="77">
        <f>+NPV(DR,$E12:K12)</f>
        <v>-34052.124693892016</v>
      </c>
      <c r="L14" s="77">
        <f>+NPV(DR,$E12:L12)</f>
        <v>-31830.853031909581</v>
      </c>
      <c r="M14" s="77">
        <f>+NPV(DR,$E12:M12)</f>
        <v>-29579.138275764224</v>
      </c>
      <c r="N14" s="77">
        <f>+NPV(DR,$E12:N12)</f>
        <v>-27439.957592401974</v>
      </c>
      <c r="O14" s="77">
        <f>+NPV(DR,$E12:O12)</f>
        <v>-20385.360203062744</v>
      </c>
      <c r="P14" s="77">
        <f>+NPV(DR,$E12:P12)</f>
        <v>-13379.995902389166</v>
      </c>
      <c r="Q14" s="77">
        <f>+NPV(DR,$E12:Q12)</f>
        <v>-7036.7668904711372</v>
      </c>
      <c r="R14" s="77">
        <f>+NPV(DR,$E12:R12)</f>
        <v>-1279.0648884310619</v>
      </c>
      <c r="S14" s="77">
        <f>+NPV(DR,$E12:S12)</f>
        <v>4020.6537396482804</v>
      </c>
      <c r="T14" s="77">
        <f>+NPV(DR,$E12:T12)</f>
        <v>11089.747412478795</v>
      </c>
      <c r="U14" s="77">
        <f>+NPV(DR,$E12:U12)</f>
        <v>17409.353565957648</v>
      </c>
      <c r="V14" s="77">
        <f>+NPV(DR,$E12:V12)</f>
        <v>23059.02539109152</v>
      </c>
      <c r="W14" s="77">
        <f>+NPV(DR,$E12:W12)</f>
        <v>23059.02539109152</v>
      </c>
      <c r="X14" s="77">
        <f>+NPV(DR,$E12:X12)</f>
        <v>23059.02539109152</v>
      </c>
      <c r="Y14" s="77">
        <f>+NPV(DR,$E12:Y12)</f>
        <v>23059.02539109152</v>
      </c>
      <c r="Z14" s="77">
        <f>+NPV(DR,$E12:Z12)</f>
        <v>23059.02539109152</v>
      </c>
      <c r="AA14" s="77">
        <f>+NPV(DR,$E12:AA12)</f>
        <v>23059.02539109152</v>
      </c>
      <c r="AB14" s="77">
        <f>+NPV(DR,$E12:AB12)</f>
        <v>23059.02539109152</v>
      </c>
      <c r="AC14" s="77">
        <f>+NPV(DR,$E12:AC12)</f>
        <v>23059.02539109152</v>
      </c>
      <c r="AD14" s="77">
        <f>+NPV(DR,$E12:AD12)</f>
        <v>23059.02539109152</v>
      </c>
      <c r="AE14" s="77">
        <f>+NPV(DR,$E12:AE12)</f>
        <v>23059.02539109152</v>
      </c>
      <c r="AF14" s="77">
        <f>+NPV(DR,$E12:AF12)</f>
        <v>23059.02539109152</v>
      </c>
      <c r="AG14" s="77">
        <f>+NPV(DR,$E12:AG12)</f>
        <v>23059.02539109152</v>
      </c>
      <c r="AH14" s="77">
        <f>+NPV(DR,$E12:AH12)</f>
        <v>23059.02539109152</v>
      </c>
      <c r="AI14" s="252">
        <f>+AH14</f>
        <v>23059.02539109152</v>
      </c>
      <c r="AJ14" s="44"/>
    </row>
    <row r="15" spans="1:57" x14ac:dyDescent="0.2">
      <c r="A15" s="716" t="s">
        <v>99</v>
      </c>
      <c r="B15" s="410"/>
      <c r="C15" s="410"/>
      <c r="D15" s="410"/>
      <c r="E15" s="266" t="e">
        <f>IRR($E$12:E12)</f>
        <v>#NUM!</v>
      </c>
      <c r="F15" s="266" t="e">
        <f>IRR($E$12:F12)</f>
        <v>#NUM!</v>
      </c>
      <c r="G15" s="266" t="e">
        <f>IRR($E$12:G12)</f>
        <v>#NUM!</v>
      </c>
      <c r="H15" s="266" t="e">
        <f>IRR($E$12:H12)</f>
        <v>#NUM!</v>
      </c>
      <c r="I15" s="266" t="e">
        <f>IRR($E$12:I12)</f>
        <v>#NUM!</v>
      </c>
      <c r="J15" s="266">
        <f>IRR($E$12:J12)</f>
        <v>-0.67213474289276187</v>
      </c>
      <c r="K15" s="266" t="e">
        <f>IRR($E$12:K12)</f>
        <v>#NUM!</v>
      </c>
      <c r="L15" s="266">
        <f>IRR($E$12:L12)</f>
        <v>-0.24883674802609979</v>
      </c>
      <c r="M15" s="266">
        <f>IRR($E$12:M12)</f>
        <v>-0.15602032822467449</v>
      </c>
      <c r="N15" s="266">
        <f>IRR($E$12:N12)</f>
        <v>-9.3123101579002721E-2</v>
      </c>
      <c r="O15" s="266">
        <f>IRR($E$12:O12)</f>
        <v>1.8551424171088904E-2</v>
      </c>
      <c r="P15" s="266">
        <f>IRR($E$12:P12)</f>
        <v>7.6629041033378309E-2</v>
      </c>
      <c r="Q15" s="266">
        <f>IRR($E$12:Q12)</f>
        <v>0.11179109573210089</v>
      </c>
      <c r="R15" s="266">
        <f>IRR($E$12:R12)</f>
        <v>0.13550832377286137</v>
      </c>
      <c r="S15" s="266">
        <f>IRR($E$12:S12)</f>
        <v>0.15263589560710233</v>
      </c>
      <c r="T15" s="266">
        <f>IRR($E$12:T12)</f>
        <v>0.17050981572311752</v>
      </c>
      <c r="U15" s="266">
        <f>IRR($E$12:U12)</f>
        <v>0.18305006766657983</v>
      </c>
      <c r="V15" s="266">
        <f>IRR($E$12:V12)</f>
        <v>0.19219851081705674</v>
      </c>
      <c r="W15" s="266">
        <f>IRR($E$12:W12)</f>
        <v>0.19219851081705674</v>
      </c>
      <c r="X15" s="266">
        <f>IRR($E$12:X12)</f>
        <v>0.19219851081705674</v>
      </c>
      <c r="Y15" s="266">
        <f>IRR($E$12:Y12)</f>
        <v>0.19219851081705674</v>
      </c>
      <c r="Z15" s="266">
        <f>IRR($E$12:Z12)</f>
        <v>0.19219851081705674</v>
      </c>
      <c r="AA15" s="266">
        <f>IRR($E$12:AA12)</f>
        <v>0.19219851081705674</v>
      </c>
      <c r="AB15" s="266">
        <f>IRR($E$12:AB12)</f>
        <v>0.19219851081705674</v>
      </c>
      <c r="AC15" s="266">
        <f>IRR($E$12:AC12)</f>
        <v>0.19219851081705674</v>
      </c>
      <c r="AD15" s="266">
        <f>IRR($E$12:AD12)</f>
        <v>0.19219851081705674</v>
      </c>
      <c r="AE15" s="266">
        <f>IRR($E$12:AE12)</f>
        <v>0.19219851081705674</v>
      </c>
      <c r="AF15" s="266">
        <f>IRR($E$12:AF12)</f>
        <v>0.19219851081705674</v>
      </c>
      <c r="AG15" s="266">
        <f>IRR($E$12:AG12)</f>
        <v>0.19219851081705674</v>
      </c>
      <c r="AH15" s="266">
        <f>IRR($E$12:AH12)</f>
        <v>0.19219851081705674</v>
      </c>
      <c r="AI15" s="719">
        <f>+AH15</f>
        <v>0.19219851081705674</v>
      </c>
    </row>
    <row r="16" spans="1:57" x14ac:dyDescent="0.2">
      <c r="A16" s="20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Z16" s="44"/>
      <c r="AA16" s="44"/>
      <c r="AB16" s="44"/>
      <c r="AC16" s="44"/>
      <c r="AD16" s="44"/>
      <c r="AE16" s="44"/>
      <c r="AF16" s="44"/>
      <c r="AG16" s="44"/>
    </row>
    <row r="17" spans="1:41" s="44" customFormat="1" x14ac:dyDescent="0.2">
      <c r="A17" s="720" t="str">
        <f>"Project NPV as of "&amp;C6</f>
        <v>Project NPV as of BOY 2000</v>
      </c>
      <c r="B17" s="721">
        <f>+AI14</f>
        <v>23059.02539109152</v>
      </c>
      <c r="AH17" s="19"/>
      <c r="AI17" s="19"/>
      <c r="AJ17" s="19"/>
      <c r="AK17" s="19"/>
      <c r="AL17" s="19"/>
    </row>
    <row r="18" spans="1:41" x14ac:dyDescent="0.2">
      <c r="A18" s="722" t="s">
        <v>100</v>
      </c>
      <c r="B18" s="723">
        <f>+AI15</f>
        <v>0.19219851081705674</v>
      </c>
      <c r="C18" s="44"/>
      <c r="D18" s="415"/>
      <c r="E18" s="415"/>
      <c r="F18" s="415"/>
      <c r="G18" s="415"/>
      <c r="I18" s="44"/>
      <c r="J18" s="44"/>
      <c r="K18" s="44"/>
      <c r="L18" s="44"/>
      <c r="M18" s="44"/>
      <c r="N18" s="44"/>
      <c r="O18" s="44"/>
      <c r="P18" s="44"/>
      <c r="Z18" s="44"/>
      <c r="AA18" s="44"/>
      <c r="AB18" s="44"/>
    </row>
    <row r="19" spans="1:41" x14ac:dyDescent="0.2">
      <c r="A19" s="44"/>
      <c r="B19" s="44"/>
      <c r="C19" s="44"/>
      <c r="D19" s="77"/>
      <c r="E19" s="415"/>
      <c r="F19" s="415"/>
      <c r="G19" s="415"/>
      <c r="H19" s="44"/>
      <c r="I19" s="44"/>
      <c r="J19" s="44"/>
      <c r="K19" s="44"/>
      <c r="L19" s="44"/>
      <c r="M19" s="44"/>
      <c r="N19" s="44"/>
      <c r="O19" s="44"/>
      <c r="P19" s="44"/>
      <c r="Z19" s="44"/>
    </row>
    <row r="20" spans="1:41" x14ac:dyDescent="0.2">
      <c r="A20" s="44"/>
      <c r="B20" s="44"/>
      <c r="C20" s="44"/>
      <c r="D20" s="77"/>
      <c r="E20" s="415"/>
      <c r="F20" s="415"/>
      <c r="G20" s="415"/>
      <c r="H20" s="44"/>
      <c r="I20" s="44"/>
      <c r="J20" s="44"/>
      <c r="K20" s="44"/>
      <c r="L20" s="44"/>
      <c r="M20" s="44"/>
      <c r="N20" s="44"/>
      <c r="O20" s="44"/>
      <c r="P20" s="44"/>
      <c r="Z20" s="44"/>
    </row>
    <row r="21" spans="1:41" s="83" customFormat="1" x14ac:dyDescent="0.2">
      <c r="A21" s="715" t="s">
        <v>97</v>
      </c>
      <c r="B21" s="717"/>
      <c r="C21" s="717">
        <f>+NPV(DR,E21:L21)</f>
        <v>-29355.732551007259</v>
      </c>
      <c r="D21" s="717"/>
      <c r="E21" s="403">
        <f>+E10</f>
        <v>-12644.438140059743</v>
      </c>
      <c r="F21" s="403">
        <f t="shared" ref="F21:AH21" si="2">+F10</f>
        <v>-12644.438140059758</v>
      </c>
      <c r="G21" s="403">
        <f t="shared" si="2"/>
        <v>-12644.438140059738</v>
      </c>
      <c r="H21" s="403">
        <f t="shared" si="2"/>
        <v>0</v>
      </c>
      <c r="I21" s="403">
        <f t="shared" si="2"/>
        <v>0</v>
      </c>
      <c r="J21" s="403">
        <f t="shared" si="2"/>
        <v>0</v>
      </c>
      <c r="K21" s="403">
        <f t="shared" si="2"/>
        <v>0</v>
      </c>
      <c r="L21" s="403">
        <f t="shared" si="2"/>
        <v>0</v>
      </c>
      <c r="M21" s="403">
        <f t="shared" si="2"/>
        <v>0</v>
      </c>
      <c r="N21" s="403">
        <f t="shared" si="2"/>
        <v>0</v>
      </c>
      <c r="O21" s="403">
        <f t="shared" si="2"/>
        <v>0</v>
      </c>
      <c r="P21" s="403">
        <f t="shared" si="2"/>
        <v>0</v>
      </c>
      <c r="Q21" s="403">
        <f t="shared" si="2"/>
        <v>0</v>
      </c>
      <c r="R21" s="403">
        <f t="shared" si="2"/>
        <v>0</v>
      </c>
      <c r="S21" s="403">
        <f t="shared" si="2"/>
        <v>0</v>
      </c>
      <c r="T21" s="403">
        <f t="shared" si="2"/>
        <v>0</v>
      </c>
      <c r="U21" s="403">
        <f t="shared" si="2"/>
        <v>0</v>
      </c>
      <c r="V21" s="403">
        <f t="shared" si="2"/>
        <v>0</v>
      </c>
      <c r="W21" s="403">
        <f t="shared" si="2"/>
        <v>0</v>
      </c>
      <c r="X21" s="403">
        <f t="shared" si="2"/>
        <v>0</v>
      </c>
      <c r="Y21" s="403">
        <f t="shared" si="2"/>
        <v>0</v>
      </c>
      <c r="Z21" s="403">
        <f t="shared" si="2"/>
        <v>0</v>
      </c>
      <c r="AA21" s="403">
        <f t="shared" si="2"/>
        <v>0</v>
      </c>
      <c r="AB21" s="403">
        <f t="shared" si="2"/>
        <v>0</v>
      </c>
      <c r="AC21" s="403">
        <f t="shared" si="2"/>
        <v>0</v>
      </c>
      <c r="AD21" s="403">
        <f t="shared" si="2"/>
        <v>0</v>
      </c>
      <c r="AE21" s="403">
        <f t="shared" si="2"/>
        <v>0</v>
      </c>
      <c r="AF21" s="403">
        <f t="shared" si="2"/>
        <v>0</v>
      </c>
      <c r="AG21" s="403">
        <f t="shared" si="2"/>
        <v>0</v>
      </c>
      <c r="AH21" s="403">
        <f t="shared" si="2"/>
        <v>0</v>
      </c>
      <c r="AI21" s="718">
        <f>+SUM(E21:AH21)</f>
        <v>-37933.314420179238</v>
      </c>
      <c r="AJ21" s="77"/>
      <c r="AK21" s="77"/>
    </row>
    <row r="22" spans="1:41" s="83" customFormat="1" x14ac:dyDescent="0.2">
      <c r="A22" s="357" t="s">
        <v>98</v>
      </c>
      <c r="B22" s="77"/>
      <c r="C22" s="888">
        <f>+NPV(DR,E22:AH22)</f>
        <v>52414.757942098775</v>
      </c>
      <c r="D22" s="77"/>
      <c r="E22" s="77">
        <f>+E11</f>
        <v>0</v>
      </c>
      <c r="F22" s="77">
        <f t="shared" ref="F22:AH22" si="3">+F11</f>
        <v>0</v>
      </c>
      <c r="G22" s="77">
        <f t="shared" si="3"/>
        <v>0</v>
      </c>
      <c r="H22" s="77">
        <f t="shared" si="3"/>
        <v>-5489.1465046162775</v>
      </c>
      <c r="I22" s="77">
        <f t="shared" si="3"/>
        <v>-12024.894441835102</v>
      </c>
      <c r="J22" s="77">
        <f t="shared" si="3"/>
        <v>5172.2608817319233</v>
      </c>
      <c r="K22" s="77">
        <f t="shared" si="3"/>
        <v>6111.9519896835282</v>
      </c>
      <c r="L22" s="77">
        <f t="shared" si="3"/>
        <v>6336.3693826938106</v>
      </c>
      <c r="M22" s="77">
        <f t="shared" si="3"/>
        <v>7322.4604713134759</v>
      </c>
      <c r="N22" s="77">
        <f t="shared" si="3"/>
        <v>7930.4162241112645</v>
      </c>
      <c r="O22" s="77">
        <f t="shared" si="3"/>
        <v>29814.367336883326</v>
      </c>
      <c r="P22" s="77">
        <f t="shared" si="3"/>
        <v>33751.178428869709</v>
      </c>
      <c r="Q22" s="77">
        <f t="shared" si="3"/>
        <v>34839.623937967219</v>
      </c>
      <c r="R22" s="77">
        <f t="shared" si="3"/>
        <v>36050.982270703869</v>
      </c>
      <c r="S22" s="77">
        <f t="shared" si="3"/>
        <v>37829.06287013783</v>
      </c>
      <c r="T22" s="77">
        <f t="shared" si="3"/>
        <v>57522.977508090269</v>
      </c>
      <c r="U22" s="77">
        <f t="shared" si="3"/>
        <v>58623.600220073946</v>
      </c>
      <c r="V22" s="77">
        <f t="shared" si="3"/>
        <v>59746.23538629731</v>
      </c>
      <c r="W22" s="77">
        <f t="shared" si="3"/>
        <v>0</v>
      </c>
      <c r="X22" s="77">
        <f t="shared" si="3"/>
        <v>0</v>
      </c>
      <c r="Y22" s="77">
        <f t="shared" si="3"/>
        <v>0</v>
      </c>
      <c r="Z22" s="77">
        <f t="shared" si="3"/>
        <v>0</v>
      </c>
      <c r="AA22" s="77">
        <f t="shared" si="3"/>
        <v>0</v>
      </c>
      <c r="AB22" s="77">
        <f t="shared" si="3"/>
        <v>0</v>
      </c>
      <c r="AC22" s="77">
        <f t="shared" si="3"/>
        <v>0</v>
      </c>
      <c r="AD22" s="77">
        <f t="shared" si="3"/>
        <v>0</v>
      </c>
      <c r="AE22" s="77">
        <f t="shared" si="3"/>
        <v>0</v>
      </c>
      <c r="AF22" s="77">
        <f t="shared" si="3"/>
        <v>0</v>
      </c>
      <c r="AG22" s="77">
        <f t="shared" si="3"/>
        <v>0</v>
      </c>
      <c r="AH22" s="77">
        <f t="shared" si="3"/>
        <v>0</v>
      </c>
      <c r="AI22" s="259">
        <f>+SUM(E22:AH22)</f>
        <v>363537.44596210611</v>
      </c>
      <c r="AJ22" s="77"/>
      <c r="AK22" s="19"/>
      <c r="AL22" s="19"/>
      <c r="AM22" s="19"/>
      <c r="AN22" s="19"/>
      <c r="AO22" s="19"/>
    </row>
    <row r="23" spans="1:41" s="436" customFormat="1" x14ac:dyDescent="0.2">
      <c r="A23" s="712" t="s">
        <v>377</v>
      </c>
      <c r="B23" s="72"/>
      <c r="C23" s="714">
        <f>+NPV(DR,E23:AH23)</f>
        <v>-6191.0126692401263</v>
      </c>
      <c r="D23" s="72"/>
      <c r="E23" s="711">
        <v>0</v>
      </c>
      <c r="F23" s="711">
        <v>0</v>
      </c>
      <c r="G23" s="711">
        <v>0</v>
      </c>
      <c r="H23" s="72">
        <f>-'Depn&amp;Tax'!E80</f>
        <v>0</v>
      </c>
      <c r="I23" s="72">
        <f>-'Depn&amp;Tax'!F80</f>
        <v>0</v>
      </c>
      <c r="J23" s="72">
        <f>-'Depn&amp;Tax'!G80</f>
        <v>-517.22608817319235</v>
      </c>
      <c r="K23" s="72">
        <f>-'Depn&amp;Tax'!H80</f>
        <v>-611.19519896835288</v>
      </c>
      <c r="L23" s="72">
        <f>-'Depn&amp;Tax'!I80</f>
        <v>-633.63693826938106</v>
      </c>
      <c r="M23" s="72">
        <f>-'Depn&amp;Tax'!J80</f>
        <v>-732.24604713134761</v>
      </c>
      <c r="N23" s="72">
        <f>-'Depn&amp;Tax'!K80</f>
        <v>-793.04162241112647</v>
      </c>
      <c r="O23" s="72">
        <f>-'Depn&amp;Tax'!L80</f>
        <v>-2981.4367336883329</v>
      </c>
      <c r="P23" s="72">
        <f>-'Depn&amp;Tax'!M80</f>
        <v>-3375.1178428869712</v>
      </c>
      <c r="Q23" s="72">
        <f>-'Depn&amp;Tax'!N80</f>
        <v>-3483.9623937967222</v>
      </c>
      <c r="R23" s="72">
        <f>-'Depn&amp;Tax'!O80</f>
        <v>-3605.0982270703871</v>
      </c>
      <c r="S23" s="72">
        <f>-'Depn&amp;Tax'!P80</f>
        <v>-3782.9062870137832</v>
      </c>
      <c r="T23" s="72">
        <f>-'Depn&amp;Tax'!Q80</f>
        <v>-5752.2977508090271</v>
      </c>
      <c r="U23" s="72">
        <f>-'Depn&amp;Tax'!R80</f>
        <v>-5862.3600220073949</v>
      </c>
      <c r="V23" s="72">
        <f>-'Depn&amp;Tax'!S80</f>
        <v>-5974.6235386297312</v>
      </c>
      <c r="W23" s="72">
        <f>-'Depn&amp;Tax'!T80</f>
        <v>0</v>
      </c>
      <c r="X23" s="72">
        <f>-'Depn&amp;Tax'!U80</f>
        <v>0</v>
      </c>
      <c r="Y23" s="72">
        <f>-'Depn&amp;Tax'!V80</f>
        <v>0</v>
      </c>
      <c r="Z23" s="72">
        <f>-'Depn&amp;Tax'!W80</f>
        <v>0</v>
      </c>
      <c r="AA23" s="72">
        <f>-'Depn&amp;Tax'!X80</f>
        <v>0</v>
      </c>
      <c r="AB23" s="72">
        <f>-'Depn&amp;Tax'!Y80</f>
        <v>0</v>
      </c>
      <c r="AC23" s="72">
        <f>-'Depn&amp;Tax'!Z80</f>
        <v>0</v>
      </c>
      <c r="AD23" s="72">
        <f>-'Depn&amp;Tax'!AA80</f>
        <v>0</v>
      </c>
      <c r="AE23" s="72">
        <f>-'Depn&amp;Tax'!AB80</f>
        <v>0</v>
      </c>
      <c r="AF23" s="72">
        <f>-'Depn&amp;Tax'!AC80</f>
        <v>0</v>
      </c>
      <c r="AG23" s="72">
        <f>-'Depn&amp;Tax'!AD80</f>
        <v>0</v>
      </c>
      <c r="AH23" s="72">
        <f>-'Depn&amp;Tax'!AE80</f>
        <v>0</v>
      </c>
      <c r="AI23" s="262">
        <f>+SUM(E23:AH23)</f>
        <v>-38105.148690855749</v>
      </c>
      <c r="AJ23" s="72"/>
      <c r="AK23" s="221"/>
      <c r="AL23" s="221"/>
      <c r="AM23" s="221"/>
      <c r="AN23" s="221"/>
      <c r="AO23" s="221"/>
    </row>
    <row r="24" spans="1:41" s="83" customFormat="1" x14ac:dyDescent="0.2">
      <c r="A24" s="357" t="s">
        <v>259</v>
      </c>
      <c r="B24" s="77"/>
      <c r="C24" s="77">
        <f>SUM(C21:C23)</f>
        <v>16868.012721851388</v>
      </c>
      <c r="D24" s="77"/>
      <c r="E24" s="77">
        <f>SUM(E21:E23)</f>
        <v>-12644.438140059743</v>
      </c>
      <c r="F24" s="77">
        <f t="shared" ref="F24:AH24" si="4">SUM(F21:F23)</f>
        <v>-12644.438140059758</v>
      </c>
      <c r="G24" s="77">
        <f t="shared" si="4"/>
        <v>-12644.438140059738</v>
      </c>
      <c r="H24" s="77">
        <f t="shared" si="4"/>
        <v>-5489.1465046162775</v>
      </c>
      <c r="I24" s="77">
        <f t="shared" si="4"/>
        <v>-12024.894441835102</v>
      </c>
      <c r="J24" s="77">
        <f t="shared" si="4"/>
        <v>4655.0347935587306</v>
      </c>
      <c r="K24" s="77">
        <f t="shared" si="4"/>
        <v>5500.7567907151752</v>
      </c>
      <c r="L24" s="77">
        <f t="shared" si="4"/>
        <v>5702.7324444244296</v>
      </c>
      <c r="M24" s="77">
        <f t="shared" si="4"/>
        <v>6590.2144241821279</v>
      </c>
      <c r="N24" s="77">
        <f t="shared" si="4"/>
        <v>7137.3746017001376</v>
      </c>
      <c r="O24" s="77">
        <f t="shared" si="4"/>
        <v>26832.930603194993</v>
      </c>
      <c r="P24" s="77">
        <f t="shared" si="4"/>
        <v>30376.060585982737</v>
      </c>
      <c r="Q24" s="77">
        <f t="shared" si="4"/>
        <v>31355.661544170496</v>
      </c>
      <c r="R24" s="77">
        <f t="shared" si="4"/>
        <v>32445.884043633483</v>
      </c>
      <c r="S24" s="77">
        <f t="shared" si="4"/>
        <v>34046.156583124044</v>
      </c>
      <c r="T24" s="77">
        <f t="shared" si="4"/>
        <v>51770.679757281243</v>
      </c>
      <c r="U24" s="77">
        <f t="shared" si="4"/>
        <v>52761.240198066553</v>
      </c>
      <c r="V24" s="77">
        <f t="shared" si="4"/>
        <v>53771.611847667577</v>
      </c>
      <c r="W24" s="77">
        <f t="shared" si="4"/>
        <v>0</v>
      </c>
      <c r="X24" s="77">
        <f t="shared" si="4"/>
        <v>0</v>
      </c>
      <c r="Y24" s="77">
        <f t="shared" si="4"/>
        <v>0</v>
      </c>
      <c r="Z24" s="77">
        <f t="shared" si="4"/>
        <v>0</v>
      </c>
      <c r="AA24" s="77">
        <f t="shared" si="4"/>
        <v>0</v>
      </c>
      <c r="AB24" s="77">
        <f t="shared" si="4"/>
        <v>0</v>
      </c>
      <c r="AC24" s="77">
        <f t="shared" si="4"/>
        <v>0</v>
      </c>
      <c r="AD24" s="77">
        <f t="shared" si="4"/>
        <v>0</v>
      </c>
      <c r="AE24" s="77">
        <f t="shared" si="4"/>
        <v>0</v>
      </c>
      <c r="AF24" s="77">
        <f t="shared" si="4"/>
        <v>0</v>
      </c>
      <c r="AG24" s="77">
        <f t="shared" si="4"/>
        <v>0</v>
      </c>
      <c r="AH24" s="77">
        <f t="shared" si="4"/>
        <v>0</v>
      </c>
      <c r="AI24" s="259">
        <f>+SUM(E24:AH24)</f>
        <v>287498.98285107111</v>
      </c>
      <c r="AJ24" s="77"/>
      <c r="AK24" s="19"/>
      <c r="AL24" s="19"/>
      <c r="AM24" s="19"/>
      <c r="AN24" s="19"/>
      <c r="AO24" s="19"/>
    </row>
    <row r="25" spans="1:41" x14ac:dyDescent="0.2">
      <c r="A25" s="20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Z25" s="44"/>
      <c r="AA25" s="44"/>
      <c r="AB25" s="44"/>
      <c r="AC25" s="44"/>
      <c r="AD25" s="44"/>
      <c r="AE25" s="44"/>
      <c r="AF25" s="44"/>
      <c r="AG25" s="44"/>
      <c r="AH25" s="44"/>
      <c r="AI25" s="250"/>
      <c r="AJ25" s="44"/>
    </row>
    <row r="26" spans="1:41" x14ac:dyDescent="0.2">
      <c r="A26" s="357" t="s">
        <v>260</v>
      </c>
      <c r="B26" s="77"/>
      <c r="C26" s="77"/>
      <c r="D26" s="77"/>
      <c r="E26" s="77">
        <f>+NPV(DR,$E24:E24)</f>
        <v>-11091.612403561177</v>
      </c>
      <c r="F26" s="77">
        <f>+NPV(DR,$E24:F24)</f>
        <v>-20821.096968088536</v>
      </c>
      <c r="G26" s="77">
        <f>+NPV(DR,$E24:G24)</f>
        <v>-29355.732551007259</v>
      </c>
      <c r="H26" s="77">
        <f>+NPV(DR,$E24:H24)</f>
        <v>-32605.74793598607</v>
      </c>
      <c r="I26" s="77">
        <f>+NPV(DR,$E24:I24)</f>
        <v>-38851.101301309733</v>
      </c>
      <c r="J26" s="77">
        <f>+NPV(DR,$E24:J24)</f>
        <v>-36730.330070363183</v>
      </c>
      <c r="K26" s="77">
        <f>+NPV(DR,$E24:K24)</f>
        <v>-34532.022354633787</v>
      </c>
      <c r="L26" s="77">
        <f>+NPV(DR,$E24:L24)</f>
        <v>-32532.877858849592</v>
      </c>
      <c r="M26" s="77">
        <f>+NPV(DR,$E24:M24)</f>
        <v>-30506.334578318776</v>
      </c>
      <c r="N26" s="77">
        <f>+NPV(DR,$E24:N24)</f>
        <v>-28581.07196329275</v>
      </c>
      <c r="O26" s="77">
        <f>+NPV(DR,$E24:O24)</f>
        <v>-22231.934312887443</v>
      </c>
      <c r="P26" s="77">
        <f>+NPV(DR,$E24:P24)</f>
        <v>-15927.106442281223</v>
      </c>
      <c r="Q26" s="77">
        <f>+NPV(DR,$E24:Q24)</f>
        <v>-10218.200331554997</v>
      </c>
      <c r="R26" s="77">
        <f>+NPV(DR,$E24:R24)</f>
        <v>-5036.26852971893</v>
      </c>
      <c r="S26" s="77">
        <f>+NPV(DR,$E24:S24)</f>
        <v>-266.52176444752178</v>
      </c>
      <c r="T26" s="77">
        <f>+NPV(DR,$E24:T24)</f>
        <v>6095.6625410999422</v>
      </c>
      <c r="U26" s="77">
        <f>+NPV(DR,$E24:U24)</f>
        <v>11783.308079230908</v>
      </c>
      <c r="V26" s="77">
        <f>+NPV(DR,$E24:V24)</f>
        <v>16868.012721851392</v>
      </c>
      <c r="W26" s="77">
        <f>+NPV(DR,$E24:W24)</f>
        <v>16868.012721851392</v>
      </c>
      <c r="X26" s="77">
        <f>+NPV(DR,$E24:X24)</f>
        <v>16868.012721851392</v>
      </c>
      <c r="Y26" s="77">
        <f>+NPV(DR,$E24:Y24)</f>
        <v>16868.012721851392</v>
      </c>
      <c r="Z26" s="77">
        <f>+NPV(DR,$E24:Z24)</f>
        <v>16868.012721851392</v>
      </c>
      <c r="AA26" s="77">
        <f>+NPV(DR,$E24:AA24)</f>
        <v>16868.012721851392</v>
      </c>
      <c r="AB26" s="77">
        <f>+NPV(DR,$E24:AB24)</f>
        <v>16868.012721851392</v>
      </c>
      <c r="AC26" s="77">
        <f>+NPV(DR,$E24:AC24)</f>
        <v>16868.012721851392</v>
      </c>
      <c r="AD26" s="77">
        <f>+NPV(DR,$E24:AD24)</f>
        <v>16868.012721851392</v>
      </c>
      <c r="AE26" s="77">
        <f>+NPV(DR,$E24:AE24)</f>
        <v>16868.012721851392</v>
      </c>
      <c r="AF26" s="77">
        <f>+NPV(DR,$E24:AF24)</f>
        <v>16868.012721851392</v>
      </c>
      <c r="AG26" s="77">
        <f>+NPV(DR,$E24:AG24)</f>
        <v>16868.012721851392</v>
      </c>
      <c r="AH26" s="77">
        <f>+NPV(DR,$E24:AH24)</f>
        <v>16868.012721851392</v>
      </c>
      <c r="AI26" s="252">
        <f>+AH26</f>
        <v>16868.012721851392</v>
      </c>
      <c r="AJ26" s="44"/>
    </row>
    <row r="27" spans="1:41" x14ac:dyDescent="0.2">
      <c r="A27" s="716" t="s">
        <v>99</v>
      </c>
      <c r="B27" s="410"/>
      <c r="C27" s="410"/>
      <c r="D27" s="410"/>
      <c r="E27" s="266" t="e">
        <f>IRR($E$24:E24)</f>
        <v>#NUM!</v>
      </c>
      <c r="F27" s="266" t="e">
        <f>IRR($E$24:F24)</f>
        <v>#NUM!</v>
      </c>
      <c r="G27" s="266" t="e">
        <f>IRR($E$24:G24)</f>
        <v>#NUM!</v>
      </c>
      <c r="H27" s="266" t="e">
        <f>IRR($E$24:H24)</f>
        <v>#NUM!</v>
      </c>
      <c r="I27" s="266" t="e">
        <f>IRR($E$24:I24)</f>
        <v>#NUM!</v>
      </c>
      <c r="J27" s="266">
        <f>IRR($E$24:J24)</f>
        <v>-0.6961862828222154</v>
      </c>
      <c r="K27" s="266" t="e">
        <f>IRR($E$24:K24)</f>
        <v>#NUM!</v>
      </c>
      <c r="L27" s="266">
        <f>IRR($E$24:L24)</f>
        <v>-0.26951241051655295</v>
      </c>
      <c r="M27" s="266">
        <f>IRR($E$24:M24)</f>
        <v>-0.17505058284565844</v>
      </c>
      <c r="N27" s="266">
        <f>IRR($E$24:N24)</f>
        <v>-0.11085443981597731</v>
      </c>
      <c r="O27" s="266">
        <f>IRR($E$24:O24)</f>
        <v>2.6024025789961325E-3</v>
      </c>
      <c r="P27" s="266">
        <f>IRR($E$24:P24)</f>
        <v>6.1508842546773135E-2</v>
      </c>
      <c r="Q27" s="266">
        <f>IRR($E$24:Q24)</f>
        <v>9.7292665852080296E-2</v>
      </c>
      <c r="R27" s="266">
        <f>IRR($E$24:R24)</f>
        <v>0.12153567875721571</v>
      </c>
      <c r="S27" s="266">
        <f>IRR($E$24:S24)</f>
        <v>0.13912466822777003</v>
      </c>
      <c r="T27" s="266">
        <f>IRR($E$24:T24)</f>
        <v>0.15754404917848519</v>
      </c>
      <c r="U27" s="266">
        <f>IRR($E$24:U24)</f>
        <v>0.17050652600735416</v>
      </c>
      <c r="V27" s="266">
        <f>IRR($E$24:V24)</f>
        <v>0.1800002431869725</v>
      </c>
      <c r="W27" s="266">
        <f>IRR($E$24:W24)</f>
        <v>0.1800002431869725</v>
      </c>
      <c r="X27" s="266">
        <f>IRR($E$24:X24)</f>
        <v>0.1800002431869725</v>
      </c>
      <c r="Y27" s="266">
        <f>IRR($E$24:Y24)</f>
        <v>0.1800002431869725</v>
      </c>
      <c r="Z27" s="266">
        <f>IRR($E$24:Z24)</f>
        <v>0.1800002431869725</v>
      </c>
      <c r="AA27" s="266">
        <f>IRR($E$24:AA24)</f>
        <v>0.1800002431869725</v>
      </c>
      <c r="AB27" s="266">
        <f>IRR($E$24:AB24)</f>
        <v>0.1800002431869725</v>
      </c>
      <c r="AC27" s="266">
        <f>IRR($E$24:AC24)</f>
        <v>0.1800002431869725</v>
      </c>
      <c r="AD27" s="266">
        <f>IRR($E$24:AD24)</f>
        <v>0.1800002431869725</v>
      </c>
      <c r="AE27" s="266">
        <f>IRR($E$24:AE24)</f>
        <v>0.1800002431869725</v>
      </c>
      <c r="AF27" s="266">
        <f>IRR($E$24:AF24)</f>
        <v>0.1800002431869725</v>
      </c>
      <c r="AG27" s="266">
        <f>IRR($E$24:AG24)</f>
        <v>0.1800002431869725</v>
      </c>
      <c r="AH27" s="266">
        <f>IRR($E$24:AH24)</f>
        <v>0.1800002431869725</v>
      </c>
      <c r="AI27" s="719">
        <f>+AH27</f>
        <v>0.1800002431869725</v>
      </c>
    </row>
    <row r="28" spans="1:41" x14ac:dyDescent="0.2">
      <c r="A28" s="20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Z28" s="44"/>
      <c r="AA28" s="44"/>
      <c r="AB28" s="44"/>
      <c r="AC28" s="44"/>
      <c r="AD28" s="44"/>
      <c r="AE28" s="44"/>
      <c r="AF28" s="44"/>
      <c r="AG28" s="44"/>
    </row>
    <row r="29" spans="1:41" s="44" customFormat="1" x14ac:dyDescent="0.2">
      <c r="A29" s="720" t="str">
        <f>"Enron NPV as of "&amp;C16</f>
        <v xml:space="preserve">Enron NPV as of </v>
      </c>
      <c r="B29" s="721">
        <f>+AI26</f>
        <v>16868.012721851392</v>
      </c>
      <c r="AH29" s="19"/>
      <c r="AI29" s="19"/>
      <c r="AJ29" s="19"/>
      <c r="AK29" s="19"/>
      <c r="AL29" s="19"/>
    </row>
    <row r="30" spans="1:41" x14ac:dyDescent="0.2">
      <c r="A30" s="722" t="s">
        <v>376</v>
      </c>
      <c r="B30" s="723">
        <f>+AI27</f>
        <v>0.1800002431869725</v>
      </c>
      <c r="C30" s="44"/>
      <c r="D30" s="415"/>
      <c r="E30" s="415"/>
      <c r="F30" s="415"/>
      <c r="G30" s="415"/>
      <c r="I30" s="44"/>
      <c r="J30" s="44"/>
      <c r="K30" s="44"/>
      <c r="L30" s="44"/>
      <c r="M30" s="44"/>
      <c r="N30" s="44"/>
      <c r="O30" s="44"/>
      <c r="P30" s="44"/>
      <c r="Z30" s="44"/>
      <c r="AA30" s="44"/>
      <c r="AB30" s="44"/>
    </row>
    <row r="31" spans="1:41" x14ac:dyDescent="0.2">
      <c r="A31" s="44"/>
      <c r="B31" s="44"/>
      <c r="C31" s="44"/>
      <c r="D31" s="77"/>
      <c r="E31" s="415"/>
      <c r="F31" s="415"/>
      <c r="G31" s="415"/>
      <c r="H31" s="44"/>
      <c r="I31" s="44"/>
      <c r="J31" s="44"/>
      <c r="K31" s="44"/>
      <c r="L31" s="44"/>
      <c r="M31" s="44"/>
      <c r="N31" s="44"/>
      <c r="O31" s="44"/>
      <c r="P31" s="44"/>
      <c r="Z31" s="44"/>
    </row>
    <row r="32" spans="1:41" s="44" customFormat="1" ht="15" x14ac:dyDescent="0.35"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08"/>
      <c r="AB32" s="408"/>
      <c r="AC32" s="408"/>
      <c r="AD32" s="408"/>
      <c r="AE32" s="408"/>
      <c r="AF32" s="408"/>
    </row>
    <row r="33" spans="1:32" s="44" customFormat="1" ht="14.25" x14ac:dyDescent="0.2">
      <c r="A33" s="199"/>
      <c r="B33" s="418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</row>
    <row r="34" spans="1:32" s="44" customFormat="1" ht="14.25" x14ac:dyDescent="0.2">
      <c r="A34" s="367"/>
      <c r="B34" s="418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  <c r="AA34" s="419"/>
      <c r="AB34" s="419"/>
      <c r="AC34" s="419"/>
      <c r="AD34" s="419"/>
      <c r="AE34" s="419"/>
      <c r="AF34" s="419"/>
    </row>
    <row r="35" spans="1:32" s="44" customFormat="1" x14ac:dyDescent="0.2">
      <c r="A35" s="199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</row>
    <row r="36" spans="1:32" s="44" customFormat="1" x14ac:dyDescent="0.2">
      <c r="A36" s="199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</row>
    <row r="37" spans="1:32" s="44" customFormat="1" ht="15" x14ac:dyDescent="0.35">
      <c r="A37" s="199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</row>
    <row r="38" spans="1:32" s="44" customFormat="1" x14ac:dyDescent="0.2">
      <c r="A38" s="199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</row>
    <row r="39" spans="1:32" s="44" customFormat="1" x14ac:dyDescent="0.2">
      <c r="A39" s="367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416"/>
      <c r="Z39" s="416"/>
      <c r="AA39" s="416"/>
      <c r="AB39" s="416"/>
      <c r="AC39" s="416"/>
      <c r="AD39" s="416"/>
      <c r="AE39" s="416"/>
      <c r="AF39" s="416"/>
    </row>
    <row r="40" spans="1:32" s="44" customFormat="1" x14ac:dyDescent="0.2">
      <c r="A40" s="199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1:32" s="44" customFormat="1" x14ac:dyDescent="0.2"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32" s="44" customFormat="1" x14ac:dyDescent="0.2"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  <c r="AD42" s="254"/>
      <c r="AE42" s="254"/>
      <c r="AF42" s="254"/>
    </row>
    <row r="43" spans="1:32" s="44" customFormat="1" x14ac:dyDescent="0.2">
      <c r="A43" s="367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</row>
    <row r="44" spans="1:32" s="44" customFormat="1" x14ac:dyDescent="0.2"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</row>
    <row r="45" spans="1:32" s="44" customFormat="1" x14ac:dyDescent="0.2">
      <c r="B45" s="251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32" s="44" customFormat="1" x14ac:dyDescent="0.2">
      <c r="B46" s="254"/>
      <c r="G46" s="222"/>
    </row>
    <row r="47" spans="1:32" s="44" customFormat="1" x14ac:dyDescent="0.2">
      <c r="B47" s="254"/>
      <c r="G47" s="208"/>
    </row>
    <row r="48" spans="1:32" s="44" customFormat="1" x14ac:dyDescent="0.2">
      <c r="A48" s="198"/>
      <c r="B48" s="254"/>
      <c r="G48" s="320"/>
    </row>
    <row r="49" spans="1:33" s="44" customFormat="1" x14ac:dyDescent="0.2"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</row>
    <row r="50" spans="1:33" s="44" customFormat="1" x14ac:dyDescent="0.2">
      <c r="A50" s="199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  <c r="AD50" s="416"/>
      <c r="AE50" s="416"/>
      <c r="AF50" s="416"/>
      <c r="AG50" s="416"/>
    </row>
    <row r="51" spans="1:33" s="44" customFormat="1" x14ac:dyDescent="0.2">
      <c r="A51" s="199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254"/>
    </row>
    <row r="52" spans="1:33" s="44" customFormat="1" x14ac:dyDescent="0.2">
      <c r="A52" s="199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420"/>
      <c r="AA52" s="420"/>
      <c r="AB52" s="420"/>
      <c r="AC52" s="420"/>
      <c r="AD52" s="420"/>
      <c r="AE52" s="420"/>
      <c r="AF52" s="420"/>
      <c r="AG52" s="420"/>
    </row>
    <row r="53" spans="1:33" s="44" customFormat="1" x14ac:dyDescent="0.2">
      <c r="C53" s="421"/>
      <c r="D53" s="421"/>
      <c r="E53" s="421"/>
      <c r="F53" s="421"/>
      <c r="G53" s="421"/>
      <c r="H53" s="421"/>
      <c r="I53" s="421"/>
      <c r="J53" s="421"/>
      <c r="K53" s="421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</row>
    <row r="54" spans="1:33" s="44" customFormat="1" x14ac:dyDescent="0.2"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416"/>
    </row>
    <row r="55" spans="1:33" s="44" customFormat="1" x14ac:dyDescent="0.2">
      <c r="A55" s="199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s="44" customFormat="1" x14ac:dyDescent="0.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s="44" customFormat="1" x14ac:dyDescent="0.2">
      <c r="A57" s="199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406"/>
    </row>
    <row r="58" spans="1:33" s="44" customFormat="1" x14ac:dyDescent="0.2">
      <c r="A58" s="199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s="44" customFormat="1" ht="15" x14ac:dyDescent="0.35">
      <c r="A59" s="199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</row>
    <row r="60" spans="1:33" s="44" customFormat="1" x14ac:dyDescent="0.2">
      <c r="A60" s="199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</row>
    <row r="61" spans="1:33" s="44" customFormat="1" x14ac:dyDescent="0.2">
      <c r="A61" s="367"/>
    </row>
    <row r="62" spans="1:33" s="44" customFormat="1" x14ac:dyDescent="0.2">
      <c r="A62" s="199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s="44" customFormat="1" x14ac:dyDescent="0.2"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</row>
    <row r="64" spans="1:33" s="44" customFormat="1" x14ac:dyDescent="0.2"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</row>
    <row r="65" spans="1:58" s="44" customFormat="1" x14ac:dyDescent="0.2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</row>
    <row r="66" spans="1:58" s="44" customFormat="1" x14ac:dyDescent="0.2">
      <c r="A66" s="36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</row>
    <row r="67" spans="1:58" s="44" customFormat="1" x14ac:dyDescent="0.2"/>
    <row r="68" spans="1:58" s="44" customFormat="1" x14ac:dyDescent="0.2">
      <c r="A68" s="199"/>
      <c r="B68" s="141"/>
      <c r="C68" s="251"/>
    </row>
    <row r="69" spans="1:58" s="44" customFormat="1" x14ac:dyDescent="0.2">
      <c r="A69" s="199"/>
      <c r="B69" s="254"/>
      <c r="C69" s="77"/>
      <c r="D69" s="254"/>
    </row>
    <row r="70" spans="1:58" s="44" customFormat="1" x14ac:dyDescent="0.2"/>
    <row r="71" spans="1:58" x14ac:dyDescent="0.2">
      <c r="A71" s="198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</row>
    <row r="72" spans="1:58" x14ac:dyDescent="0.2">
      <c r="A72" s="44"/>
      <c r="B72" s="4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</row>
    <row r="73" spans="1:58" x14ac:dyDescent="0.2">
      <c r="A73" s="44"/>
      <c r="B73" s="44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</row>
    <row r="74" spans="1:58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</row>
    <row r="75" spans="1:58" x14ac:dyDescent="0.2">
      <c r="A75" s="44"/>
      <c r="B75" s="4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1:58" x14ac:dyDescent="0.2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1:58" x14ac:dyDescent="0.2">
      <c r="A77" s="44"/>
      <c r="B77" s="44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1:58" x14ac:dyDescent="0.2">
      <c r="A78" s="199"/>
      <c r="B78" s="44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1:58" x14ac:dyDescent="0.2">
      <c r="A79" s="44"/>
      <c r="B79" s="4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1:58" x14ac:dyDescent="0.2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1:58" x14ac:dyDescent="0.2">
      <c r="A81" s="44"/>
      <c r="B81" s="4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</row>
    <row r="82" spans="1:58" x14ac:dyDescent="0.2">
      <c r="A82" s="44"/>
      <c r="B82" s="44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7"/>
      <c r="X82" s="387"/>
      <c r="Y82" s="387"/>
      <c r="Z82" s="387"/>
      <c r="AA82" s="387"/>
      <c r="AB82" s="387"/>
      <c r="AC82" s="387"/>
      <c r="AD82" s="387"/>
      <c r="AE82" s="387"/>
      <c r="AF82" s="387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</row>
    <row r="83" spans="1:58" x14ac:dyDescent="0.2">
      <c r="A83" s="44"/>
      <c r="B83" s="4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</row>
    <row r="84" spans="1:58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1:58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</row>
    <row r="86" spans="1:58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</row>
    <row r="87" spans="1:58" x14ac:dyDescent="0.2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</row>
    <row r="88" spans="1:58" x14ac:dyDescent="0.2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</row>
    <row r="89" spans="1:58" x14ac:dyDescent="0.2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</row>
    <row r="90" spans="1:58" x14ac:dyDescent="0.2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</row>
    <row r="91" spans="1:58" x14ac:dyDescent="0.2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</row>
    <row r="92" spans="1:58" x14ac:dyDescent="0.2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</row>
    <row r="93" spans="1:58" x14ac:dyDescent="0.2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</row>
    <row r="94" spans="1:58" x14ac:dyDescent="0.2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</row>
    <row r="95" spans="1:58" x14ac:dyDescent="0.2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</row>
    <row r="96" spans="1:58" x14ac:dyDescent="0.2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Z96" s="44"/>
      <c r="AA96" s="44"/>
    </row>
    <row r="97" spans="1:27" x14ac:dyDescent="0.2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Z97" s="44"/>
      <c r="AA97" s="44"/>
    </row>
    <row r="98" spans="1:27" x14ac:dyDescent="0.2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Z98" s="44"/>
      <c r="AA98" s="44"/>
    </row>
    <row r="99" spans="1:27" x14ac:dyDescent="0.2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Z99" s="44"/>
      <c r="AA99" s="44"/>
    </row>
    <row r="100" spans="1:27" x14ac:dyDescent="0.2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Z100" s="44"/>
      <c r="AA100" s="44"/>
    </row>
    <row r="101" spans="1:27" x14ac:dyDescent="0.2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Z101" s="44"/>
      <c r="AA101" s="44"/>
    </row>
    <row r="102" spans="1:27" x14ac:dyDescent="0.2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Z102" s="44"/>
      <c r="AA102" s="44"/>
    </row>
    <row r="103" spans="1:27" x14ac:dyDescent="0.2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Z103" s="44"/>
      <c r="AA103" s="44"/>
    </row>
    <row r="104" spans="1:27" x14ac:dyDescent="0.2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Z104" s="44"/>
      <c r="AA104" s="44"/>
    </row>
    <row r="105" spans="1:27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Z105" s="44"/>
      <c r="AA105" s="44"/>
    </row>
    <row r="106" spans="1:27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Z106" s="44"/>
      <c r="AA106" s="44"/>
    </row>
    <row r="107" spans="1:27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Z107" s="44"/>
      <c r="AA107" s="44"/>
    </row>
    <row r="108" spans="1:27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Z108" s="44"/>
      <c r="AA108" s="44"/>
    </row>
    <row r="109" spans="1:27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Z109" s="44"/>
      <c r="AA109" s="44"/>
    </row>
    <row r="110" spans="1:27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Z110" s="44"/>
      <c r="AA110" s="44"/>
    </row>
    <row r="111" spans="1:27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Z111" s="44"/>
      <c r="AA111" s="44"/>
    </row>
    <row r="112" spans="1:27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Z112" s="44"/>
      <c r="AA112" s="44"/>
    </row>
    <row r="113" spans="1:27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Z113" s="44"/>
      <c r="AA113" s="44"/>
    </row>
    <row r="114" spans="1:27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Z114" s="44"/>
      <c r="AA114" s="44"/>
    </row>
    <row r="115" spans="1:27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Z115" s="44"/>
      <c r="AA115" s="44"/>
    </row>
    <row r="116" spans="1:27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Z116" s="44"/>
      <c r="AA116" s="44"/>
    </row>
    <row r="117" spans="1:27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Z117" s="44"/>
      <c r="AA117" s="44"/>
    </row>
    <row r="118" spans="1:27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Z118" s="44"/>
      <c r="AA118" s="44"/>
    </row>
    <row r="119" spans="1:27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Z119" s="44"/>
      <c r="AA119" s="44"/>
    </row>
    <row r="120" spans="1:27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Z120" s="44"/>
      <c r="AA120" s="44"/>
    </row>
    <row r="121" spans="1:27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Z121" s="44"/>
      <c r="AA121" s="44"/>
    </row>
    <row r="122" spans="1:27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Z122" s="44"/>
      <c r="AA122" s="44"/>
    </row>
    <row r="123" spans="1:27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Z123" s="44"/>
      <c r="AA123" s="44"/>
    </row>
    <row r="124" spans="1:27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Z124" s="44"/>
      <c r="AA124" s="44"/>
    </row>
    <row r="125" spans="1:27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Z125" s="44"/>
      <c r="AA125" s="44"/>
    </row>
    <row r="126" spans="1:27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Z126" s="44"/>
      <c r="AA126" s="44"/>
    </row>
    <row r="127" spans="1:27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Z127" s="44"/>
      <c r="AA127" s="44"/>
    </row>
    <row r="128" spans="1:27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Z128" s="44"/>
      <c r="AA128" s="44"/>
    </row>
    <row r="129" spans="1:27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Z129" s="44"/>
      <c r="AA129" s="44"/>
    </row>
    <row r="130" spans="1:27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Z130" s="44"/>
      <c r="AA130" s="44"/>
    </row>
    <row r="131" spans="1:27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Z131" s="44"/>
      <c r="AA131" s="44"/>
    </row>
    <row r="132" spans="1:27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Z132" s="44"/>
      <c r="AA132" s="44"/>
    </row>
    <row r="133" spans="1:27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Z133" s="44"/>
      <c r="AA133" s="44"/>
    </row>
    <row r="134" spans="1:27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Z134" s="44"/>
      <c r="AA134" s="44"/>
    </row>
    <row r="135" spans="1:27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Z135" s="44"/>
      <c r="AA135" s="44"/>
    </row>
    <row r="136" spans="1:27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Z136" s="44"/>
      <c r="AA136" s="44"/>
    </row>
    <row r="137" spans="1:27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Z137" s="44"/>
      <c r="AA137" s="44"/>
    </row>
    <row r="138" spans="1:27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Z138" s="44"/>
      <c r="AA138" s="44"/>
    </row>
    <row r="139" spans="1:27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Z139" s="44"/>
      <c r="AA139" s="44"/>
    </row>
    <row r="140" spans="1:27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Z140" s="44"/>
      <c r="AA140" s="44"/>
    </row>
    <row r="141" spans="1:27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Z141" s="44"/>
      <c r="AA141" s="44"/>
    </row>
    <row r="142" spans="1:27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Z142" s="44"/>
      <c r="AA142" s="44"/>
    </row>
    <row r="143" spans="1:27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Z143" s="44"/>
      <c r="AA143" s="44"/>
    </row>
    <row r="144" spans="1:27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Z144" s="44"/>
      <c r="AA144" s="44"/>
    </row>
    <row r="145" spans="1:27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Z145" s="44"/>
      <c r="AA145" s="44"/>
    </row>
    <row r="146" spans="1:27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Z146" s="44"/>
      <c r="AA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Z147" s="44"/>
      <c r="AA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Z148" s="44"/>
      <c r="AA148" s="44"/>
    </row>
    <row r="149" spans="1:27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Z149" s="44"/>
      <c r="AA149" s="44"/>
    </row>
    <row r="150" spans="1:27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Z150" s="44"/>
      <c r="AA150" s="44"/>
    </row>
    <row r="151" spans="1:27" x14ac:dyDescent="0.2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Z151" s="44"/>
      <c r="AA151" s="44"/>
    </row>
    <row r="152" spans="1:27" x14ac:dyDescent="0.2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Z152" s="44"/>
      <c r="AA152" s="44"/>
    </row>
    <row r="153" spans="1:27" x14ac:dyDescent="0.2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Z153" s="44"/>
      <c r="AA153" s="44"/>
    </row>
    <row r="154" spans="1:27" x14ac:dyDescent="0.2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Z154" s="44"/>
      <c r="AA154" s="44"/>
    </row>
    <row r="155" spans="1:27" x14ac:dyDescent="0.2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Z155" s="44"/>
      <c r="AA155" s="44"/>
    </row>
    <row r="156" spans="1:27" x14ac:dyDescent="0.2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Z156" s="44"/>
      <c r="AA156" s="44"/>
    </row>
    <row r="157" spans="1:27" x14ac:dyDescent="0.2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Z157" s="44"/>
      <c r="AA157" s="44"/>
    </row>
    <row r="158" spans="1:27" x14ac:dyDescent="0.2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Z158" s="44"/>
      <c r="AA158" s="44"/>
    </row>
    <row r="159" spans="1:27" x14ac:dyDescent="0.2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Z159" s="44"/>
      <c r="AA159" s="44"/>
    </row>
    <row r="160" spans="1:27" x14ac:dyDescent="0.2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Z160" s="44"/>
      <c r="AA160" s="44"/>
    </row>
    <row r="161" spans="1:27" x14ac:dyDescent="0.2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Z161" s="44"/>
      <c r="AA161" s="44"/>
    </row>
    <row r="162" spans="1:27" x14ac:dyDescent="0.2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Z162" s="44"/>
      <c r="AA162" s="44"/>
    </row>
    <row r="163" spans="1:27" x14ac:dyDescent="0.2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Z163" s="44"/>
      <c r="AA163" s="44"/>
    </row>
    <row r="164" spans="1:27" x14ac:dyDescent="0.2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Z164" s="44"/>
      <c r="AA164" s="44"/>
    </row>
    <row r="165" spans="1:27" x14ac:dyDescent="0.2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Z165" s="44"/>
      <c r="AA165" s="44"/>
    </row>
    <row r="166" spans="1:27" x14ac:dyDescent="0.2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Z166" s="44"/>
      <c r="AA166" s="44"/>
    </row>
    <row r="167" spans="1:27" x14ac:dyDescent="0.2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Z167" s="44"/>
      <c r="AA167" s="44"/>
    </row>
    <row r="168" spans="1:27" x14ac:dyDescent="0.2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Z168" s="44"/>
      <c r="AA168" s="44"/>
    </row>
    <row r="169" spans="1:27" x14ac:dyDescent="0.2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Z169" s="44"/>
      <c r="AA169" s="44"/>
    </row>
    <row r="170" spans="1:27" x14ac:dyDescent="0.2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Z170" s="44"/>
      <c r="AA170" s="44"/>
    </row>
    <row r="171" spans="1:27" x14ac:dyDescent="0.2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Z171" s="44"/>
      <c r="AA171" s="44"/>
    </row>
    <row r="172" spans="1:27" x14ac:dyDescent="0.2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Z172" s="44"/>
      <c r="AA172" s="44"/>
    </row>
    <row r="173" spans="1:27" x14ac:dyDescent="0.2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Z173" s="44"/>
      <c r="AA173" s="44"/>
    </row>
    <row r="174" spans="1:27" x14ac:dyDescent="0.2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Z174" s="44"/>
      <c r="AA174" s="44"/>
    </row>
    <row r="175" spans="1:27" x14ac:dyDescent="0.2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Z175" s="44"/>
      <c r="AA175" s="44"/>
    </row>
    <row r="176" spans="1:27" x14ac:dyDescent="0.2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Z176" s="44"/>
      <c r="AA176" s="44"/>
    </row>
    <row r="177" spans="1:27" x14ac:dyDescent="0.2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Z177" s="44"/>
      <c r="AA177" s="44"/>
    </row>
    <row r="178" spans="1:27" x14ac:dyDescent="0.2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Z178" s="44"/>
      <c r="AA178" s="44"/>
    </row>
    <row r="179" spans="1:27" x14ac:dyDescent="0.2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Z179" s="44"/>
      <c r="AA179" s="44"/>
    </row>
    <row r="180" spans="1:27" x14ac:dyDescent="0.2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Z180" s="44"/>
      <c r="AA180" s="44"/>
    </row>
    <row r="181" spans="1:27" x14ac:dyDescent="0.2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Z181" s="44"/>
      <c r="AA181" s="44"/>
    </row>
    <row r="182" spans="1:27" x14ac:dyDescent="0.2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Z182" s="44"/>
      <c r="AA182" s="44"/>
    </row>
    <row r="183" spans="1:27" x14ac:dyDescent="0.2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Z183" s="44"/>
      <c r="AA183" s="44"/>
    </row>
    <row r="184" spans="1:27" x14ac:dyDescent="0.2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Z184" s="44"/>
      <c r="AA184" s="44"/>
    </row>
    <row r="185" spans="1:27" x14ac:dyDescent="0.2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Z185" s="44"/>
      <c r="AA185" s="44"/>
    </row>
    <row r="186" spans="1:27" x14ac:dyDescent="0.2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Z186" s="44"/>
      <c r="AA186" s="44"/>
    </row>
    <row r="187" spans="1:27" x14ac:dyDescent="0.2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Z187" s="44"/>
      <c r="AA187" s="44"/>
    </row>
    <row r="188" spans="1:27" x14ac:dyDescent="0.2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Z188" s="44"/>
      <c r="AA188" s="44"/>
    </row>
    <row r="189" spans="1:27" x14ac:dyDescent="0.2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Z189" s="44"/>
      <c r="AA189" s="44"/>
    </row>
    <row r="190" spans="1:27" x14ac:dyDescent="0.2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Z190" s="44"/>
      <c r="AA190" s="44"/>
    </row>
    <row r="191" spans="1:27" x14ac:dyDescent="0.2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Z191" s="44"/>
      <c r="AA191" s="44"/>
    </row>
    <row r="192" spans="1:27" x14ac:dyDescent="0.2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Z192" s="44"/>
      <c r="AA192" s="44"/>
    </row>
    <row r="193" spans="1:27" x14ac:dyDescent="0.2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Z193" s="44"/>
      <c r="AA193" s="44"/>
    </row>
    <row r="194" spans="1:27" x14ac:dyDescent="0.2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Z194" s="44"/>
      <c r="AA194" s="44"/>
    </row>
    <row r="195" spans="1:27" x14ac:dyDescent="0.2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Z195" s="44"/>
      <c r="AA195" s="44"/>
    </row>
    <row r="196" spans="1:27" x14ac:dyDescent="0.2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Z196" s="44"/>
      <c r="AA196" s="44"/>
    </row>
    <row r="197" spans="1:27" x14ac:dyDescent="0.2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Z197" s="44"/>
      <c r="AA197" s="44"/>
    </row>
    <row r="198" spans="1:27" x14ac:dyDescent="0.2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Z198" s="44"/>
      <c r="AA198" s="44"/>
    </row>
    <row r="199" spans="1:27" x14ac:dyDescent="0.2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Z199" s="44"/>
      <c r="AA199" s="44"/>
    </row>
    <row r="200" spans="1:27" x14ac:dyDescent="0.2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Z200" s="44"/>
      <c r="AA200" s="44"/>
    </row>
    <row r="201" spans="1:27" x14ac:dyDescent="0.2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Z201" s="44"/>
      <c r="AA201" s="44"/>
    </row>
    <row r="202" spans="1:27" x14ac:dyDescent="0.2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Z202" s="44"/>
      <c r="AA202" s="44"/>
    </row>
    <row r="203" spans="1:27" x14ac:dyDescent="0.2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Z203" s="44"/>
      <c r="AA203" s="44"/>
    </row>
    <row r="204" spans="1:27" x14ac:dyDescent="0.2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Z204" s="44"/>
      <c r="AA204" s="44"/>
    </row>
    <row r="205" spans="1:27" x14ac:dyDescent="0.2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Z205" s="44"/>
      <c r="AA205" s="44"/>
    </row>
    <row r="206" spans="1:27" x14ac:dyDescent="0.2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Z206" s="44"/>
      <c r="AA206" s="44"/>
    </row>
    <row r="207" spans="1:27" x14ac:dyDescent="0.2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Z207" s="44"/>
      <c r="AA207" s="44"/>
    </row>
    <row r="208" spans="1:27" x14ac:dyDescent="0.2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Z208" s="44"/>
      <c r="AA208" s="44"/>
    </row>
    <row r="209" spans="1:27" x14ac:dyDescent="0.2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Z209" s="44"/>
      <c r="AA209" s="44"/>
    </row>
    <row r="210" spans="1:27" x14ac:dyDescent="0.2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Z210" s="44"/>
      <c r="AA210" s="44"/>
    </row>
    <row r="211" spans="1:27" x14ac:dyDescent="0.2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Z211" s="44"/>
      <c r="AA211" s="44"/>
    </row>
    <row r="212" spans="1:27" x14ac:dyDescent="0.2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Z212" s="44"/>
      <c r="AA212" s="44"/>
    </row>
    <row r="213" spans="1:27" x14ac:dyDescent="0.2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Z213" s="44"/>
      <c r="AA213" s="44"/>
    </row>
    <row r="214" spans="1:27" x14ac:dyDescent="0.2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Z214" s="44"/>
      <c r="AA214" s="44"/>
    </row>
    <row r="215" spans="1:27" x14ac:dyDescent="0.2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Z215" s="44"/>
      <c r="AA215" s="44"/>
    </row>
    <row r="216" spans="1:27" x14ac:dyDescent="0.2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Z216" s="44"/>
      <c r="AA216" s="44"/>
    </row>
    <row r="217" spans="1:27" x14ac:dyDescent="0.2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Z217" s="44"/>
      <c r="AA217" s="44"/>
    </row>
    <row r="218" spans="1:27" x14ac:dyDescent="0.2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Z218" s="44"/>
      <c r="AA218" s="44"/>
    </row>
    <row r="219" spans="1:27" x14ac:dyDescent="0.2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Z219" s="44"/>
      <c r="AA219" s="44"/>
    </row>
    <row r="220" spans="1:27" x14ac:dyDescent="0.2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Z220" s="44"/>
      <c r="AA220" s="44"/>
    </row>
    <row r="221" spans="1:27" x14ac:dyDescent="0.2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Z221" s="44"/>
      <c r="AA221" s="44"/>
    </row>
    <row r="222" spans="1:27" x14ac:dyDescent="0.2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Z222" s="44"/>
      <c r="AA222" s="44"/>
    </row>
    <row r="223" spans="1:27" x14ac:dyDescent="0.2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Z223" s="44"/>
      <c r="AA223" s="44"/>
    </row>
    <row r="224" spans="1:27" x14ac:dyDescent="0.2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Z224" s="44"/>
      <c r="AA224" s="44"/>
    </row>
    <row r="225" spans="1:27" x14ac:dyDescent="0.2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Z225" s="44"/>
      <c r="AA225" s="44"/>
    </row>
    <row r="226" spans="1:27" x14ac:dyDescent="0.2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Z226" s="44"/>
      <c r="AA226" s="44"/>
    </row>
    <row r="227" spans="1:27" x14ac:dyDescent="0.2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Z227" s="44"/>
      <c r="AA227" s="44"/>
    </row>
    <row r="228" spans="1:27" x14ac:dyDescent="0.2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Z228" s="44"/>
      <c r="AA228" s="44"/>
    </row>
    <row r="229" spans="1:27" x14ac:dyDescent="0.2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Z229" s="44"/>
      <c r="AA229" s="44"/>
    </row>
    <row r="230" spans="1:27" x14ac:dyDescent="0.2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Z230" s="44"/>
      <c r="AA230" s="44"/>
    </row>
    <row r="231" spans="1:27" x14ac:dyDescent="0.2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Z231" s="44"/>
      <c r="AA231" s="44"/>
    </row>
    <row r="232" spans="1:27" x14ac:dyDescent="0.2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Z232" s="44"/>
      <c r="AA232" s="44"/>
    </row>
    <row r="233" spans="1:27" x14ac:dyDescent="0.2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Z233" s="44"/>
      <c r="AA233" s="44"/>
    </row>
    <row r="234" spans="1:27" x14ac:dyDescent="0.2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Z234" s="44"/>
      <c r="AA234" s="44"/>
    </row>
    <row r="235" spans="1:27" x14ac:dyDescent="0.2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Z235" s="44"/>
      <c r="AA235" s="44"/>
    </row>
    <row r="236" spans="1:27" x14ac:dyDescent="0.2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Z236" s="44"/>
      <c r="AA236" s="44"/>
    </row>
    <row r="237" spans="1:27" x14ac:dyDescent="0.2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Z237" s="44"/>
      <c r="AA237" s="44"/>
    </row>
    <row r="238" spans="1:27" x14ac:dyDescent="0.2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Z238" s="44"/>
      <c r="AA238" s="44"/>
    </row>
    <row r="239" spans="1:27" x14ac:dyDescent="0.2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Z239" s="44"/>
      <c r="AA239" s="44"/>
    </row>
    <row r="240" spans="1:27" x14ac:dyDescent="0.2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Z240" s="44"/>
      <c r="AA240" s="44"/>
    </row>
    <row r="241" spans="1:27" x14ac:dyDescent="0.2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Z241" s="44"/>
      <c r="AA241" s="44"/>
    </row>
    <row r="242" spans="1:27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Z242" s="44"/>
      <c r="AA242" s="44"/>
    </row>
    <row r="243" spans="1:27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Z243" s="44"/>
      <c r="AA243" s="44"/>
    </row>
    <row r="244" spans="1:27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Z244" s="44"/>
      <c r="AA244" s="44"/>
    </row>
    <row r="245" spans="1:27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Z245" s="44"/>
      <c r="AA245" s="44"/>
    </row>
    <row r="246" spans="1:27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Z246" s="44"/>
      <c r="AA246" s="44"/>
    </row>
    <row r="247" spans="1:27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Z247" s="44"/>
      <c r="AA247" s="44"/>
    </row>
    <row r="248" spans="1:27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Z248" s="44"/>
      <c r="AA248" s="44"/>
    </row>
    <row r="249" spans="1:27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Z249" s="44"/>
      <c r="AA249" s="44"/>
    </row>
    <row r="250" spans="1:27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Z250" s="44"/>
      <c r="AA250" s="44"/>
    </row>
    <row r="251" spans="1:27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Z251" s="44"/>
      <c r="AA251" s="44"/>
    </row>
    <row r="252" spans="1:27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Z252" s="44"/>
      <c r="AA252" s="44"/>
    </row>
    <row r="253" spans="1:27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Z253" s="44"/>
      <c r="AA253" s="44"/>
    </row>
    <row r="254" spans="1:27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Z254" s="44"/>
      <c r="AA254" s="44"/>
    </row>
    <row r="255" spans="1:27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Z255" s="44"/>
      <c r="AA255" s="44"/>
    </row>
    <row r="256" spans="1:27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Z256" s="44"/>
      <c r="AA256" s="44"/>
    </row>
    <row r="257" spans="1:27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Z257" s="44"/>
      <c r="AA257" s="44"/>
    </row>
    <row r="258" spans="1:27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Z258" s="44"/>
      <c r="AA258" s="44"/>
    </row>
    <row r="259" spans="1:27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Z259" s="44"/>
      <c r="AA259" s="44"/>
    </row>
    <row r="260" spans="1:27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Z260" s="44"/>
      <c r="AA260" s="44"/>
    </row>
    <row r="261" spans="1:27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Z261" s="44"/>
      <c r="AA261" s="44"/>
    </row>
    <row r="262" spans="1:27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Z262" s="44"/>
      <c r="AA262" s="44"/>
    </row>
    <row r="263" spans="1:27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Z263" s="44"/>
      <c r="AA263" s="44"/>
    </row>
    <row r="264" spans="1:27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Z264" s="44"/>
      <c r="AA264" s="44"/>
    </row>
    <row r="265" spans="1:27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Z265" s="44"/>
      <c r="AA265" s="44"/>
    </row>
    <row r="266" spans="1:27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Z266" s="44"/>
      <c r="AA266" s="44"/>
    </row>
    <row r="267" spans="1:27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Z267" s="44"/>
      <c r="AA267" s="44"/>
    </row>
    <row r="268" spans="1:27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Z268" s="44"/>
      <c r="AA268" s="44"/>
    </row>
    <row r="269" spans="1:27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Z269" s="44"/>
      <c r="AA269" s="44"/>
    </row>
    <row r="270" spans="1:27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Z270" s="44"/>
      <c r="AA270" s="44"/>
    </row>
    <row r="271" spans="1:27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Z271" s="44"/>
      <c r="AA271" s="44"/>
    </row>
    <row r="272" spans="1:27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Z272" s="44"/>
      <c r="AA272" s="44"/>
    </row>
    <row r="273" spans="1:27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Z273" s="44"/>
      <c r="AA273" s="44"/>
    </row>
    <row r="274" spans="1:27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Z274" s="44"/>
      <c r="AA274" s="44"/>
    </row>
    <row r="275" spans="1:27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Z275" s="44"/>
      <c r="AA275" s="44"/>
    </row>
    <row r="276" spans="1:27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Z276" s="44"/>
      <c r="AA276" s="44"/>
    </row>
    <row r="277" spans="1:27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Z277" s="44"/>
      <c r="AA277" s="44"/>
    </row>
    <row r="278" spans="1:27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Z278" s="44"/>
      <c r="AA278" s="44"/>
    </row>
    <row r="279" spans="1:27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Z279" s="44"/>
      <c r="AA279" s="44"/>
    </row>
    <row r="280" spans="1:27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Z280" s="44"/>
      <c r="AA280" s="44"/>
    </row>
    <row r="281" spans="1:27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Z281" s="44"/>
      <c r="AA281" s="44"/>
    </row>
    <row r="282" spans="1:27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Z282" s="44"/>
      <c r="AA282" s="44"/>
    </row>
    <row r="283" spans="1:27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Z283" s="44"/>
      <c r="AA283" s="44"/>
    </row>
    <row r="284" spans="1:27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Z284" s="44"/>
      <c r="AA284" s="44"/>
    </row>
    <row r="285" spans="1:27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Z285" s="44"/>
      <c r="AA285" s="44"/>
    </row>
    <row r="286" spans="1:27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Z286" s="44"/>
      <c r="AA286" s="44"/>
    </row>
    <row r="287" spans="1:27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Z287" s="44"/>
      <c r="AA287" s="44"/>
    </row>
    <row r="288" spans="1:27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Z288" s="44"/>
      <c r="AA288" s="44"/>
    </row>
    <row r="289" spans="1:27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Z289" s="44"/>
      <c r="AA289" s="44"/>
    </row>
    <row r="290" spans="1:27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Z290" s="44"/>
      <c r="AA290" s="44"/>
    </row>
    <row r="291" spans="1:27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Z291" s="44"/>
      <c r="AA291" s="44"/>
    </row>
    <row r="292" spans="1:27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Z292" s="44"/>
      <c r="AA292" s="44"/>
    </row>
    <row r="293" spans="1:27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Z293" s="44"/>
      <c r="AA293" s="44"/>
    </row>
    <row r="294" spans="1:27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Z294" s="44"/>
      <c r="AA294" s="44"/>
    </row>
    <row r="295" spans="1:27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Z295" s="44"/>
      <c r="AA295" s="44"/>
    </row>
    <row r="296" spans="1:27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Z296" s="44"/>
      <c r="AA296" s="44"/>
    </row>
    <row r="297" spans="1:27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Z297" s="44"/>
      <c r="AA297" s="44"/>
    </row>
    <row r="298" spans="1:27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Z298" s="44"/>
      <c r="AA298" s="44"/>
    </row>
    <row r="299" spans="1:27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Z299" s="44"/>
      <c r="AA299" s="44"/>
    </row>
    <row r="300" spans="1:27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Z300" s="44"/>
      <c r="AA300" s="44"/>
    </row>
    <row r="301" spans="1:27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Z301" s="44"/>
      <c r="AA301" s="44"/>
    </row>
    <row r="302" spans="1:27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Z302" s="44"/>
      <c r="AA302" s="44"/>
    </row>
    <row r="303" spans="1:27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Z303" s="44"/>
      <c r="AA303" s="44"/>
    </row>
    <row r="304" spans="1:27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Z304" s="44"/>
      <c r="AA304" s="44"/>
    </row>
    <row r="305" spans="1:27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Z305" s="44"/>
      <c r="AA305" s="44"/>
    </row>
    <row r="306" spans="1:27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Z306" s="44"/>
      <c r="AA306" s="44"/>
    </row>
    <row r="307" spans="1:27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Z307" s="44"/>
      <c r="AA307" s="44"/>
    </row>
    <row r="308" spans="1:27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Z308" s="44"/>
      <c r="AA308" s="44"/>
    </row>
    <row r="309" spans="1:27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Z309" s="44"/>
      <c r="AA309" s="44"/>
    </row>
    <row r="310" spans="1:27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Z310" s="44"/>
      <c r="AA310" s="44"/>
    </row>
    <row r="311" spans="1:27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Z311" s="44"/>
      <c r="AA311" s="44"/>
    </row>
    <row r="312" spans="1:27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Z312" s="44"/>
      <c r="AA312" s="44"/>
    </row>
    <row r="313" spans="1:27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Z313" s="44"/>
      <c r="AA313" s="44"/>
    </row>
    <row r="314" spans="1:27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Z314" s="44"/>
      <c r="AA314" s="44"/>
    </row>
    <row r="315" spans="1:27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Z315" s="44"/>
      <c r="AA315" s="44"/>
    </row>
    <row r="316" spans="1:27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Z316" s="44"/>
      <c r="AA316" s="44"/>
    </row>
    <row r="317" spans="1:27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Z317" s="44"/>
      <c r="AA317" s="44"/>
    </row>
    <row r="318" spans="1:27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Z318" s="44"/>
      <c r="AA318" s="44"/>
    </row>
    <row r="319" spans="1:27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Z319" s="44"/>
      <c r="AA319" s="44"/>
    </row>
    <row r="320" spans="1:27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Z320" s="44"/>
      <c r="AA320" s="44"/>
    </row>
    <row r="321" spans="1:27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Z321" s="44"/>
      <c r="AA321" s="44"/>
    </row>
    <row r="322" spans="1:27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Z322" s="44"/>
      <c r="AA322" s="44"/>
    </row>
    <row r="323" spans="1:27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Z323" s="44"/>
      <c r="AA323" s="44"/>
    </row>
    <row r="324" spans="1:27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Z324" s="44"/>
      <c r="AA324" s="44"/>
    </row>
    <row r="325" spans="1:27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Z325" s="44"/>
      <c r="AA325" s="44"/>
    </row>
    <row r="326" spans="1:27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Z326" s="44"/>
      <c r="AA326" s="44"/>
    </row>
    <row r="327" spans="1:27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Z327" s="44"/>
      <c r="AA327" s="44"/>
    </row>
    <row r="328" spans="1:27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Z328" s="44"/>
      <c r="AA328" s="44"/>
    </row>
    <row r="329" spans="1:27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Z329" s="44"/>
      <c r="AA329" s="44"/>
    </row>
    <row r="330" spans="1:27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Z330" s="44"/>
      <c r="AA330" s="44"/>
    </row>
    <row r="331" spans="1:27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Z331" s="44"/>
      <c r="AA331" s="44"/>
    </row>
    <row r="332" spans="1:27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Z332" s="44"/>
      <c r="AA332" s="44"/>
    </row>
    <row r="333" spans="1:27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Z333" s="44"/>
      <c r="AA333" s="44"/>
    </row>
    <row r="334" spans="1:27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Z334" s="44"/>
      <c r="AA334" s="44"/>
    </row>
    <row r="335" spans="1:27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Z335" s="44"/>
      <c r="AA335" s="44"/>
    </row>
    <row r="336" spans="1:27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Z336" s="44"/>
      <c r="AA336" s="44"/>
    </row>
    <row r="337" spans="1:27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Z337" s="44"/>
      <c r="AA337" s="44"/>
    </row>
    <row r="338" spans="1:27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Z338" s="44"/>
      <c r="AA338" s="44"/>
    </row>
    <row r="339" spans="1:27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Z339" s="44"/>
      <c r="AA339" s="44"/>
    </row>
    <row r="340" spans="1:27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Z340" s="44"/>
      <c r="AA340" s="44"/>
    </row>
    <row r="341" spans="1:27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Z341" s="44"/>
      <c r="AA341" s="44"/>
    </row>
    <row r="342" spans="1:27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Z342" s="44"/>
      <c r="AA342" s="44"/>
    </row>
    <row r="343" spans="1:27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Z343" s="44"/>
      <c r="AA343" s="44"/>
    </row>
    <row r="344" spans="1:27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Z344" s="44"/>
      <c r="AA344" s="44"/>
    </row>
    <row r="345" spans="1:27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Z345" s="44"/>
      <c r="AA345" s="44"/>
    </row>
    <row r="346" spans="1:27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Z346" s="44"/>
      <c r="AA346" s="44"/>
    </row>
    <row r="347" spans="1:27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Z347" s="44"/>
      <c r="AA347" s="44"/>
    </row>
    <row r="348" spans="1:27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Z348" s="44"/>
      <c r="AA348" s="44"/>
    </row>
    <row r="349" spans="1:27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Z349" s="44"/>
      <c r="AA349" s="44"/>
    </row>
    <row r="350" spans="1:27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Z350" s="44"/>
      <c r="AA350" s="44"/>
    </row>
    <row r="351" spans="1:27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Z351" s="44"/>
      <c r="AA351" s="44"/>
    </row>
    <row r="352" spans="1:27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Z352" s="44"/>
      <c r="AA352" s="44"/>
    </row>
    <row r="353" spans="1:27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Z353" s="44"/>
      <c r="AA353" s="44"/>
    </row>
    <row r="354" spans="1:27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Z354" s="44"/>
      <c r="AA354" s="44"/>
    </row>
    <row r="355" spans="1:27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Z355" s="44"/>
      <c r="AA355" s="44"/>
    </row>
    <row r="356" spans="1:27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Z356" s="44"/>
      <c r="AA356" s="44"/>
    </row>
    <row r="357" spans="1:27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Z357" s="44"/>
      <c r="AA357" s="44"/>
    </row>
    <row r="358" spans="1:27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Z358" s="44"/>
      <c r="AA358" s="44"/>
    </row>
    <row r="359" spans="1:27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Z359" s="44"/>
      <c r="AA359" s="44"/>
    </row>
    <row r="360" spans="1:27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Z360" s="44"/>
      <c r="AA360" s="44"/>
    </row>
    <row r="361" spans="1:27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Z361" s="44"/>
      <c r="AA361" s="44"/>
    </row>
    <row r="362" spans="1:27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Z362" s="44"/>
      <c r="AA362" s="44"/>
    </row>
    <row r="363" spans="1:27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Z363" s="44"/>
      <c r="AA363" s="44"/>
    </row>
    <row r="364" spans="1:27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Z364" s="44"/>
      <c r="AA364" s="44"/>
    </row>
    <row r="365" spans="1:27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Z365" s="44"/>
      <c r="AA365" s="44"/>
    </row>
    <row r="366" spans="1:27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Z366" s="44"/>
      <c r="AA366" s="44"/>
    </row>
    <row r="367" spans="1:27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Z367" s="44"/>
      <c r="AA367" s="44"/>
    </row>
    <row r="368" spans="1:27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Z368" s="44"/>
      <c r="AA368" s="44"/>
    </row>
    <row r="369" spans="1:27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Z369" s="44"/>
      <c r="AA369" s="44"/>
    </row>
    <row r="370" spans="1:27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Z370" s="44"/>
      <c r="AA370" s="44"/>
    </row>
    <row r="371" spans="1:27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Z371" s="44"/>
      <c r="AA371" s="44"/>
    </row>
    <row r="372" spans="1:27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Z372" s="44"/>
      <c r="AA372" s="44"/>
    </row>
    <row r="373" spans="1:27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Z373" s="44"/>
      <c r="AA373" s="44"/>
    </row>
    <row r="374" spans="1:27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Z374" s="44"/>
      <c r="AA374" s="44"/>
    </row>
    <row r="375" spans="1:27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Z375" s="44"/>
      <c r="AA375" s="44"/>
    </row>
    <row r="376" spans="1:27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Z376" s="44"/>
      <c r="AA376" s="44"/>
    </row>
    <row r="377" spans="1:27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Z377" s="44"/>
      <c r="AA377" s="44"/>
    </row>
    <row r="378" spans="1:27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Z378" s="44"/>
      <c r="AA378" s="44"/>
    </row>
    <row r="379" spans="1:27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Z379" s="44"/>
      <c r="AA379" s="44"/>
    </row>
    <row r="380" spans="1:27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Z380" s="44"/>
      <c r="AA380" s="44"/>
    </row>
    <row r="381" spans="1:27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Z381" s="44"/>
      <c r="AA381" s="44"/>
    </row>
    <row r="382" spans="1:27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Z382" s="44"/>
      <c r="AA382" s="44"/>
    </row>
    <row r="383" spans="1:27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Z383" s="44"/>
      <c r="AA383" s="44"/>
    </row>
    <row r="384" spans="1:27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Z384" s="44"/>
      <c r="AA384" s="44"/>
    </row>
    <row r="385" spans="1:27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Z385" s="44"/>
      <c r="AA385" s="44"/>
    </row>
    <row r="386" spans="1:27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Z386" s="44"/>
      <c r="AA386" s="44"/>
    </row>
    <row r="387" spans="1:27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Z387" s="44"/>
      <c r="AA387" s="44"/>
    </row>
    <row r="388" spans="1:27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Z388" s="44"/>
      <c r="AA388" s="44"/>
    </row>
    <row r="389" spans="1:27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Z389" s="44"/>
      <c r="AA389" s="44"/>
    </row>
    <row r="390" spans="1:27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Z390" s="44"/>
      <c r="AA390" s="44"/>
    </row>
  </sheetData>
  <printOptions gridLinesSet="0"/>
  <pageMargins left="0.75" right="0.75" top="0.75" bottom="0.75" header="0.5" footer="0.5"/>
  <pageSetup scale="40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K156"/>
  <sheetViews>
    <sheetView showGridLines="0" zoomScale="80" zoomScaleNormal="75" workbookViewId="0"/>
  </sheetViews>
  <sheetFormatPr defaultRowHeight="12.75" outlineLevelCol="1" x14ac:dyDescent="0.2"/>
  <cols>
    <col min="1" max="1" width="13" style="19" customWidth="1"/>
    <col min="2" max="2" width="11.33203125" style="19" customWidth="1"/>
    <col min="3" max="4" width="11.5" style="19" customWidth="1"/>
    <col min="5" max="8" width="14.33203125" style="19" bestFit="1" customWidth="1"/>
    <col min="9" max="16" width="13.1640625" style="19" bestFit="1" customWidth="1"/>
    <col min="17" max="19" width="13.1640625" style="44" bestFit="1" customWidth="1"/>
    <col min="20" max="25" width="9.1640625" style="44" bestFit="1" customWidth="1"/>
    <col min="26" max="31" width="9.1640625" style="44" hidden="1" customWidth="1" outlineLevel="1"/>
    <col min="32" max="32" width="13" style="19" customWidth="1" collapsed="1"/>
    <col min="33" max="36" width="18.6640625" style="19" customWidth="1"/>
    <col min="37" max="39" width="9" style="19" customWidth="1"/>
    <col min="40" max="40" width="11.83203125" style="19" customWidth="1"/>
    <col min="41" max="41" width="9" style="19" customWidth="1"/>
    <col min="42" max="42" width="14.33203125" style="19" customWidth="1"/>
    <col min="43" max="43" width="10.6640625" style="19" customWidth="1"/>
    <col min="44" max="44" width="10" style="19" customWidth="1"/>
    <col min="45" max="50" width="9.5" style="19" customWidth="1"/>
    <col min="51" max="55" width="8.83203125" style="19" customWidth="1"/>
    <col min="56" max="56" width="9.5" style="19" customWidth="1"/>
    <col min="57" max="57" width="15.6640625" style="19" customWidth="1"/>
    <col min="58" max="60" width="9.33203125" style="19"/>
    <col min="61" max="61" width="20.5" style="19" customWidth="1"/>
    <col min="62" max="16384" width="9.33203125" style="19"/>
  </cols>
  <sheetData>
    <row r="1" spans="1:63" ht="15.75" x14ac:dyDescent="0.25">
      <c r="A1" s="588" t="str">
        <f>Assumpt!A1</f>
        <v>Panama Regas Terminal</v>
      </c>
      <c r="B1" s="589"/>
      <c r="C1" s="589"/>
      <c r="D1" s="590"/>
      <c r="AF1" s="44"/>
      <c r="AG1" s="44"/>
      <c r="AH1" s="44"/>
      <c r="AI1" s="44"/>
      <c r="AJ1" s="44"/>
      <c r="AK1" s="44"/>
      <c r="AL1" s="44"/>
      <c r="AM1" s="19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9"/>
      <c r="BE1" s="44"/>
    </row>
    <row r="2" spans="1:63" ht="15.75" x14ac:dyDescent="0.25">
      <c r="A2" s="591" t="str">
        <f>Assumpt!A2</f>
        <v>Enron International</v>
      </c>
      <c r="B2" s="558"/>
      <c r="C2" s="558"/>
      <c r="D2" s="592"/>
      <c r="O2" s="310"/>
      <c r="P2" s="310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44"/>
      <c r="AG2" s="44"/>
      <c r="AH2" s="44"/>
      <c r="AI2" s="44"/>
      <c r="AJ2" s="44"/>
      <c r="AK2" s="44"/>
      <c r="AL2" s="44"/>
      <c r="AM2" s="311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44"/>
      <c r="BE2" s="44"/>
    </row>
    <row r="3" spans="1:63" ht="18.75" thickBot="1" x14ac:dyDescent="0.3">
      <c r="A3" s="587" t="s">
        <v>113</v>
      </c>
      <c r="B3" s="64"/>
      <c r="C3" s="64"/>
      <c r="D3" s="146"/>
      <c r="F3" s="251"/>
      <c r="G3" s="44"/>
      <c r="I3" s="44"/>
      <c r="J3" s="44"/>
      <c r="K3" s="44"/>
      <c r="M3" s="44"/>
      <c r="N3" s="44"/>
      <c r="O3" s="44"/>
      <c r="P3" s="257"/>
      <c r="Q3" s="257">
        <f>+Assumpt!Y12</f>
        <v>0</v>
      </c>
      <c r="R3" s="257">
        <f>+Assumpt!Z12</f>
        <v>0</v>
      </c>
      <c r="S3" s="257">
        <f>+Assumpt!AA12</f>
        <v>0</v>
      </c>
      <c r="T3" s="257">
        <f>+Assumpt!AB13</f>
        <v>0</v>
      </c>
      <c r="U3" s="257" t="str">
        <f>+Assumpt!AC13</f>
        <v>Factor</v>
      </c>
      <c r="V3" s="257">
        <f>+Assumpt!AD13</f>
        <v>0</v>
      </c>
      <c r="W3" s="257">
        <f>+Assumpt!AE13</f>
        <v>0</v>
      </c>
      <c r="X3" s="257">
        <f>+Assumpt!AF13</f>
        <v>0</v>
      </c>
      <c r="Y3" s="257">
        <f>+Assumpt!AG13</f>
        <v>0</v>
      </c>
      <c r="Z3" s="257">
        <f>+Assumpt!AH13</f>
        <v>0</v>
      </c>
      <c r="AA3" s="257">
        <f>+Assumpt!AI13</f>
        <v>0</v>
      </c>
      <c r="AB3" s="257">
        <f>+Assumpt!AJ13</f>
        <v>0</v>
      </c>
      <c r="AC3" s="257">
        <f>+Assumpt!AK13</f>
        <v>0</v>
      </c>
      <c r="AD3" s="257">
        <f>+Assumpt!AL13</f>
        <v>0</v>
      </c>
      <c r="AE3" s="257">
        <f>+Assumpt!AM13</f>
        <v>0</v>
      </c>
      <c r="AF3" s="44"/>
      <c r="AG3" s="44"/>
      <c r="AH3" s="44"/>
      <c r="AI3" s="44"/>
      <c r="AJ3" s="44"/>
      <c r="AK3" s="44"/>
      <c r="AL3" s="44"/>
      <c r="AM3" s="44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44"/>
      <c r="BE3" s="44"/>
      <c r="BF3" s="312"/>
    </row>
    <row r="4" spans="1:63" ht="18" x14ac:dyDescent="0.25">
      <c r="E4" s="44"/>
      <c r="F4" s="44"/>
      <c r="G4" s="222"/>
      <c r="I4" s="44"/>
      <c r="J4" s="44"/>
      <c r="K4" s="222"/>
      <c r="L4" s="245"/>
      <c r="M4" s="44"/>
      <c r="N4" s="44"/>
      <c r="O4" s="222"/>
      <c r="P4" s="257"/>
      <c r="Q4" s="313">
        <f>+Assumpt!L53</f>
        <v>0</v>
      </c>
      <c r="R4" s="313">
        <f>+Assumpt!M39</f>
        <v>0</v>
      </c>
      <c r="S4" s="313" t="str">
        <f>+Assumpt!N56</f>
        <v>Total Soft Costs</v>
      </c>
      <c r="T4" s="313">
        <f>+Assumpt!O56</f>
        <v>0</v>
      </c>
      <c r="U4" s="313">
        <f>+Assumpt!P56</f>
        <v>0</v>
      </c>
      <c r="V4" s="313">
        <f>+Assumpt!R56</f>
        <v>0</v>
      </c>
      <c r="W4" s="313">
        <f>+Assumpt!S56</f>
        <v>32008.814554268938</v>
      </c>
      <c r="X4" s="313">
        <f>+Assumpt!T39</f>
        <v>0</v>
      </c>
      <c r="Y4" s="313">
        <f>+Assumpt!U39</f>
        <v>0</v>
      </c>
      <c r="Z4" s="313">
        <f>+Assumpt!V39</f>
        <v>0</v>
      </c>
      <c r="AA4" s="313">
        <f>+Assumpt!W39</f>
        <v>0</v>
      </c>
      <c r="AB4" s="313">
        <f>+Assumpt!X39</f>
        <v>0</v>
      </c>
      <c r="AC4" s="313">
        <f>+Assumpt!Y39</f>
        <v>0</v>
      </c>
      <c r="AD4" s="313">
        <f>+Assumpt!Z39</f>
        <v>0</v>
      </c>
      <c r="AE4" s="313">
        <f>+Assumpt!AA39</f>
        <v>0</v>
      </c>
      <c r="AF4" s="44"/>
      <c r="AG4" s="44"/>
      <c r="AH4" s="44"/>
      <c r="AI4" s="44"/>
      <c r="AJ4" s="44"/>
      <c r="AK4" s="44"/>
      <c r="AL4" s="44"/>
      <c r="AM4" s="44"/>
      <c r="AN4" s="314"/>
      <c r="AO4" s="169"/>
      <c r="AP4" s="169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44"/>
      <c r="BE4" s="44"/>
      <c r="BF4" s="312"/>
    </row>
    <row r="5" spans="1:63" s="231" customFormat="1" x14ac:dyDescent="0.2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63" x14ac:dyDescent="0.2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v>9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63" x14ac:dyDescent="0.2">
      <c r="A7" s="549" t="s">
        <v>77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63" x14ac:dyDescent="0.2">
      <c r="A8" s="661" t="s">
        <v>254</v>
      </c>
      <c r="B8" s="535"/>
      <c r="C8" s="535"/>
      <c r="D8" s="535"/>
      <c r="E8" s="659">
        <f>+IF(E6&gt;6,1,0)</f>
        <v>1</v>
      </c>
      <c r="F8" s="659">
        <f>+E9+1</f>
        <v>3</v>
      </c>
      <c r="G8" s="659">
        <f t="shared" ref="G8:AE8" si="0">+F9+1</f>
        <v>5</v>
      </c>
      <c r="H8" s="659">
        <f t="shared" si="0"/>
        <v>7</v>
      </c>
      <c r="I8" s="659">
        <f t="shared" si="0"/>
        <v>9</v>
      </c>
      <c r="J8" s="659">
        <f t="shared" si="0"/>
        <v>11</v>
      </c>
      <c r="K8" s="659">
        <f t="shared" si="0"/>
        <v>13</v>
      </c>
      <c r="L8" s="659">
        <f t="shared" si="0"/>
        <v>15</v>
      </c>
      <c r="M8" s="659">
        <f t="shared" si="0"/>
        <v>17</v>
      </c>
      <c r="N8" s="659">
        <f t="shared" si="0"/>
        <v>19</v>
      </c>
      <c r="O8" s="659">
        <f t="shared" si="0"/>
        <v>21</v>
      </c>
      <c r="P8" s="659">
        <f t="shared" si="0"/>
        <v>23</v>
      </c>
      <c r="Q8" s="659">
        <f t="shared" si="0"/>
        <v>25</v>
      </c>
      <c r="R8" s="659">
        <f t="shared" si="0"/>
        <v>27</v>
      </c>
      <c r="S8" s="659">
        <f t="shared" si="0"/>
        <v>29</v>
      </c>
      <c r="T8" s="659">
        <f t="shared" si="0"/>
        <v>31</v>
      </c>
      <c r="U8" s="659">
        <f t="shared" si="0"/>
        <v>33</v>
      </c>
      <c r="V8" s="659">
        <f t="shared" si="0"/>
        <v>35</v>
      </c>
      <c r="W8" s="659">
        <f t="shared" si="0"/>
        <v>37</v>
      </c>
      <c r="X8" s="659">
        <f t="shared" si="0"/>
        <v>39</v>
      </c>
      <c r="Y8" s="659">
        <f t="shared" si="0"/>
        <v>41</v>
      </c>
      <c r="Z8" s="659">
        <f t="shared" si="0"/>
        <v>43</v>
      </c>
      <c r="AA8" s="659">
        <f t="shared" si="0"/>
        <v>45</v>
      </c>
      <c r="AB8" s="659">
        <f t="shared" si="0"/>
        <v>47</v>
      </c>
      <c r="AC8" s="659">
        <f t="shared" si="0"/>
        <v>49</v>
      </c>
      <c r="AD8" s="659">
        <f t="shared" si="0"/>
        <v>51</v>
      </c>
      <c r="AE8" s="659">
        <f t="shared" si="0"/>
        <v>53</v>
      </c>
      <c r="AF8" s="658"/>
      <c r="AG8" s="374"/>
      <c r="AH8" s="53"/>
      <c r="AI8" s="53"/>
      <c r="AJ8" s="53"/>
      <c r="AK8" s="53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</row>
    <row r="9" spans="1:63" x14ac:dyDescent="0.2">
      <c r="A9" s="549"/>
      <c r="B9" s="550"/>
      <c r="C9" s="550"/>
      <c r="D9" s="550"/>
      <c r="E9" s="660">
        <f>+E8+1</f>
        <v>2</v>
      </c>
      <c r="F9" s="660">
        <f>+F8+1</f>
        <v>4</v>
      </c>
      <c r="G9" s="660">
        <f t="shared" ref="G9:AE9" si="1">+G8+1</f>
        <v>6</v>
      </c>
      <c r="H9" s="660">
        <f t="shared" si="1"/>
        <v>8</v>
      </c>
      <c r="I9" s="660">
        <f t="shared" si="1"/>
        <v>10</v>
      </c>
      <c r="J9" s="660">
        <f t="shared" si="1"/>
        <v>12</v>
      </c>
      <c r="K9" s="660">
        <f t="shared" si="1"/>
        <v>14</v>
      </c>
      <c r="L9" s="660">
        <f t="shared" si="1"/>
        <v>16</v>
      </c>
      <c r="M9" s="660">
        <f t="shared" si="1"/>
        <v>18</v>
      </c>
      <c r="N9" s="660">
        <f t="shared" si="1"/>
        <v>20</v>
      </c>
      <c r="O9" s="660">
        <f t="shared" si="1"/>
        <v>22</v>
      </c>
      <c r="P9" s="660">
        <f t="shared" si="1"/>
        <v>24</v>
      </c>
      <c r="Q9" s="660">
        <f t="shared" si="1"/>
        <v>26</v>
      </c>
      <c r="R9" s="660">
        <f t="shared" si="1"/>
        <v>28</v>
      </c>
      <c r="S9" s="660">
        <f t="shared" si="1"/>
        <v>30</v>
      </c>
      <c r="T9" s="660">
        <f t="shared" si="1"/>
        <v>32</v>
      </c>
      <c r="U9" s="660">
        <f t="shared" si="1"/>
        <v>34</v>
      </c>
      <c r="V9" s="660">
        <f t="shared" si="1"/>
        <v>36</v>
      </c>
      <c r="W9" s="660">
        <f t="shared" si="1"/>
        <v>38</v>
      </c>
      <c r="X9" s="660">
        <f t="shared" si="1"/>
        <v>40</v>
      </c>
      <c r="Y9" s="660">
        <f t="shared" si="1"/>
        <v>42</v>
      </c>
      <c r="Z9" s="660">
        <f t="shared" si="1"/>
        <v>44</v>
      </c>
      <c r="AA9" s="660">
        <f t="shared" si="1"/>
        <v>46</v>
      </c>
      <c r="AB9" s="660">
        <f t="shared" si="1"/>
        <v>48</v>
      </c>
      <c r="AC9" s="660">
        <f t="shared" si="1"/>
        <v>50</v>
      </c>
      <c r="AD9" s="660">
        <f t="shared" si="1"/>
        <v>52</v>
      </c>
      <c r="AE9" s="660">
        <f t="shared" si="1"/>
        <v>54</v>
      </c>
      <c r="AF9" s="553"/>
      <c r="AG9" s="374"/>
      <c r="AH9" s="53"/>
      <c r="AI9" s="53"/>
      <c r="AJ9" s="53"/>
      <c r="AK9" s="53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63" s="44" customFormat="1" x14ac:dyDescent="0.2"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</row>
    <row r="11" spans="1:63" ht="15" x14ac:dyDescent="0.2">
      <c r="A11" s="325" t="str">
        <f>+Assumpt!$G$36</f>
        <v xml:space="preserve">Tranche 1: </v>
      </c>
      <c r="B11" s="200"/>
      <c r="C11" s="200"/>
      <c r="D11" s="200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7"/>
      <c r="AF11" s="246"/>
      <c r="AG11" s="254"/>
      <c r="AH11" s="254"/>
      <c r="AI11" s="44"/>
      <c r="AJ11" s="44"/>
      <c r="AK11" s="44"/>
      <c r="AL11" s="44"/>
      <c r="AM11" s="44"/>
      <c r="AN11" s="44"/>
      <c r="AO11" s="44"/>
      <c r="AP11" s="44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317"/>
      <c r="BF11" s="318"/>
      <c r="BG11" s="318"/>
      <c r="BH11" s="318"/>
      <c r="BI11" s="319"/>
      <c r="BJ11" s="318"/>
      <c r="BK11" s="318"/>
    </row>
    <row r="12" spans="1:63" ht="15" x14ac:dyDescent="0.2">
      <c r="A12" s="325" t="s">
        <v>114</v>
      </c>
      <c r="B12" s="200"/>
      <c r="C12" s="200"/>
      <c r="D12" s="200"/>
      <c r="E12" s="328">
        <f>+tranche1amt</f>
        <v>127536.68015927149</v>
      </c>
      <c r="F12" s="328">
        <f>+E20</f>
        <v>127536.68015927149</v>
      </c>
      <c r="G12" s="328">
        <f t="shared" ref="G12:V12" si="2">+F20</f>
        <v>120551.81934787847</v>
      </c>
      <c r="H12" s="328">
        <f t="shared" si="2"/>
        <v>112887.6371671974</v>
      </c>
      <c r="I12" s="328">
        <f t="shared" si="2"/>
        <v>104478.06536830649</v>
      </c>
      <c r="J12" s="328">
        <f t="shared" si="2"/>
        <v>95250.610152149675</v>
      </c>
      <c r="K12" s="328">
        <f t="shared" si="2"/>
        <v>85125.727244626527</v>
      </c>
      <c r="L12" s="328">
        <f t="shared" si="2"/>
        <v>74016.13619382857</v>
      </c>
      <c r="M12" s="328">
        <f t="shared" si="2"/>
        <v>61826.067978396459</v>
      </c>
      <c r="N12" s="328">
        <f t="shared" si="2"/>
        <v>48450.439441087226</v>
      </c>
      <c r="O12" s="328">
        <f t="shared" si="2"/>
        <v>33773.94743084631</v>
      </c>
      <c r="P12" s="328">
        <f t="shared" si="2"/>
        <v>17670.0748445344</v>
      </c>
      <c r="Q12" s="328">
        <f t="shared" si="2"/>
        <v>0</v>
      </c>
      <c r="R12" s="328">
        <f t="shared" si="2"/>
        <v>0</v>
      </c>
      <c r="S12" s="328">
        <f t="shared" si="2"/>
        <v>0</v>
      </c>
      <c r="T12" s="328">
        <f t="shared" si="2"/>
        <v>0</v>
      </c>
      <c r="U12" s="328">
        <f t="shared" si="2"/>
        <v>0</v>
      </c>
      <c r="V12" s="328">
        <f t="shared" si="2"/>
        <v>0</v>
      </c>
      <c r="W12" s="328">
        <f t="shared" ref="W12:AE12" si="3">+V20</f>
        <v>0</v>
      </c>
      <c r="X12" s="328">
        <f t="shared" si="3"/>
        <v>0</v>
      </c>
      <c r="Y12" s="328">
        <f t="shared" si="3"/>
        <v>0</v>
      </c>
      <c r="Z12" s="328">
        <f t="shared" si="3"/>
        <v>0</v>
      </c>
      <c r="AA12" s="328">
        <f t="shared" si="3"/>
        <v>0</v>
      </c>
      <c r="AB12" s="328">
        <f t="shared" si="3"/>
        <v>0</v>
      </c>
      <c r="AC12" s="328">
        <f t="shared" si="3"/>
        <v>0</v>
      </c>
      <c r="AD12" s="328">
        <f t="shared" si="3"/>
        <v>0</v>
      </c>
      <c r="AE12" s="329">
        <f t="shared" si="3"/>
        <v>0</v>
      </c>
      <c r="AF12" s="250"/>
      <c r="AG12" s="44"/>
      <c r="AH12" s="44"/>
      <c r="AI12" s="44"/>
      <c r="AJ12" s="44"/>
      <c r="AK12" s="44"/>
      <c r="AL12" s="44"/>
      <c r="AM12" s="44"/>
      <c r="AN12" s="44"/>
      <c r="AO12" s="321"/>
      <c r="AP12" s="321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17"/>
      <c r="BF12" s="318"/>
      <c r="BG12" s="318"/>
      <c r="BH12" s="318"/>
      <c r="BI12" s="319"/>
      <c r="BJ12" s="318"/>
      <c r="BK12" s="318"/>
    </row>
    <row r="13" spans="1:63" ht="15" x14ac:dyDescent="0.2">
      <c r="A13" s="203" t="s">
        <v>115</v>
      </c>
      <c r="B13" s="44"/>
      <c r="C13" s="44"/>
      <c r="D13" s="44"/>
      <c r="E13" s="77">
        <f t="shared" ref="E13:AE13" si="4">+tranche1amt*E21</f>
        <v>0</v>
      </c>
      <c r="F13" s="77">
        <f t="shared" si="4"/>
        <v>3411.4094316937794</v>
      </c>
      <c r="G13" s="77">
        <f t="shared" si="4"/>
        <v>3743.1903202349476</v>
      </c>
      <c r="H13" s="77">
        <f t="shared" si="4"/>
        <v>4107.2389738172978</v>
      </c>
      <c r="I13" s="77">
        <f t="shared" si="4"/>
        <v>4506.6936342646168</v>
      </c>
      <c r="J13" s="77">
        <f t="shared" si="4"/>
        <v>4944.9977570320643</v>
      </c>
      <c r="K13" s="77">
        <f t="shared" si="4"/>
        <v>5425.9296951394144</v>
      </c>
      <c r="L13" s="77">
        <f t="shared" si="4"/>
        <v>5953.6352700523157</v>
      </c>
      <c r="M13" s="77">
        <f t="shared" si="4"/>
        <v>6532.6635102853425</v>
      </c>
      <c r="N13" s="77">
        <f t="shared" si="4"/>
        <v>7168.0058658075313</v>
      </c>
      <c r="O13" s="77">
        <f t="shared" si="4"/>
        <v>7865.1392362939741</v>
      </c>
      <c r="P13" s="77">
        <f t="shared" si="4"/>
        <v>8630.0731841437901</v>
      </c>
      <c r="Q13" s="77">
        <f t="shared" si="4"/>
        <v>0</v>
      </c>
      <c r="R13" s="77">
        <f t="shared" si="4"/>
        <v>0</v>
      </c>
      <c r="S13" s="77">
        <f t="shared" si="4"/>
        <v>0</v>
      </c>
      <c r="T13" s="77">
        <f t="shared" si="4"/>
        <v>0</v>
      </c>
      <c r="U13" s="77">
        <f t="shared" si="4"/>
        <v>0</v>
      </c>
      <c r="V13" s="77">
        <f t="shared" si="4"/>
        <v>0</v>
      </c>
      <c r="W13" s="77">
        <f t="shared" si="4"/>
        <v>0</v>
      </c>
      <c r="X13" s="77">
        <f t="shared" si="4"/>
        <v>0</v>
      </c>
      <c r="Y13" s="77">
        <f t="shared" si="4"/>
        <v>0</v>
      </c>
      <c r="Z13" s="77">
        <f t="shared" si="4"/>
        <v>0</v>
      </c>
      <c r="AA13" s="77">
        <f t="shared" si="4"/>
        <v>0</v>
      </c>
      <c r="AB13" s="77">
        <f t="shared" si="4"/>
        <v>0</v>
      </c>
      <c r="AC13" s="77">
        <f t="shared" si="4"/>
        <v>0</v>
      </c>
      <c r="AD13" s="77">
        <f t="shared" si="4"/>
        <v>0</v>
      </c>
      <c r="AE13" s="77">
        <f t="shared" si="4"/>
        <v>0</v>
      </c>
      <c r="AF13" s="250"/>
      <c r="AG13" s="254"/>
      <c r="AH13" s="44"/>
      <c r="AI13" s="44"/>
      <c r="AJ13" s="44"/>
      <c r="AK13" s="44"/>
      <c r="AL13" s="44"/>
      <c r="AM13" s="44"/>
      <c r="AN13" s="198"/>
      <c r="AO13" s="44"/>
      <c r="AP13" s="77"/>
      <c r="AQ13" s="324"/>
      <c r="AR13" s="324"/>
      <c r="AS13" s="324"/>
      <c r="AT13" s="324"/>
      <c r="AU13" s="324"/>
      <c r="AV13" s="324"/>
      <c r="AW13" s="324"/>
      <c r="AX13" s="324"/>
      <c r="AY13" s="324"/>
      <c r="AZ13" s="324"/>
      <c r="BA13" s="324"/>
      <c r="BB13" s="324"/>
      <c r="BC13" s="324"/>
      <c r="BD13" s="324"/>
      <c r="BE13" s="317"/>
      <c r="BF13" s="318"/>
      <c r="BG13" s="318"/>
      <c r="BH13" s="318"/>
      <c r="BI13" s="319"/>
      <c r="BJ13" s="318"/>
      <c r="BK13" s="318"/>
    </row>
    <row r="14" spans="1:63" ht="15" x14ac:dyDescent="0.2">
      <c r="A14" s="203" t="s">
        <v>116</v>
      </c>
      <c r="B14" s="44"/>
      <c r="C14" s="330"/>
      <c r="D14" s="330"/>
      <c r="E14" s="77">
        <f>+E12*tranche1cost*(E$6-6)/12</f>
        <v>6057.992307565396</v>
      </c>
      <c r="F14" s="77">
        <f>+F12*tranche1cost*MIN(6,E6)/12</f>
        <v>6057.992307565396</v>
      </c>
      <c r="G14" s="77">
        <f t="shared" ref="G14:AE14" si="5">+G12*tranche1cost*MIN(6,F6)/12</f>
        <v>5726.2114190242273</v>
      </c>
      <c r="H14" s="77">
        <f t="shared" si="5"/>
        <v>5362.1627654418771</v>
      </c>
      <c r="I14" s="77">
        <f t="shared" si="5"/>
        <v>4962.7081049945582</v>
      </c>
      <c r="J14" s="77">
        <f t="shared" si="5"/>
        <v>4524.4039822271097</v>
      </c>
      <c r="K14" s="77">
        <f t="shared" si="5"/>
        <v>4043.4720441197601</v>
      </c>
      <c r="L14" s="77">
        <f t="shared" si="5"/>
        <v>3515.766469206857</v>
      </c>
      <c r="M14" s="77">
        <f t="shared" si="5"/>
        <v>2936.7382289738321</v>
      </c>
      <c r="N14" s="77">
        <f t="shared" si="5"/>
        <v>2301.3958734516432</v>
      </c>
      <c r="O14" s="77">
        <f t="shared" si="5"/>
        <v>1604.2625029651997</v>
      </c>
      <c r="P14" s="77">
        <f t="shared" si="5"/>
        <v>839.32855511538401</v>
      </c>
      <c r="Q14" s="77">
        <f t="shared" si="5"/>
        <v>0</v>
      </c>
      <c r="R14" s="77">
        <f t="shared" si="5"/>
        <v>0</v>
      </c>
      <c r="S14" s="77">
        <f t="shared" si="5"/>
        <v>0</v>
      </c>
      <c r="T14" s="77">
        <f t="shared" si="5"/>
        <v>0</v>
      </c>
      <c r="U14" s="77">
        <f t="shared" si="5"/>
        <v>0</v>
      </c>
      <c r="V14" s="77">
        <f t="shared" si="5"/>
        <v>0</v>
      </c>
      <c r="W14" s="77">
        <f t="shared" si="5"/>
        <v>0</v>
      </c>
      <c r="X14" s="77">
        <f t="shared" si="5"/>
        <v>0</v>
      </c>
      <c r="Y14" s="77">
        <f t="shared" si="5"/>
        <v>0</v>
      </c>
      <c r="Z14" s="77">
        <f t="shared" si="5"/>
        <v>0</v>
      </c>
      <c r="AA14" s="77">
        <f t="shared" si="5"/>
        <v>0</v>
      </c>
      <c r="AB14" s="77">
        <f t="shared" si="5"/>
        <v>0</v>
      </c>
      <c r="AC14" s="77">
        <f t="shared" si="5"/>
        <v>0</v>
      </c>
      <c r="AD14" s="77">
        <f t="shared" si="5"/>
        <v>0</v>
      </c>
      <c r="AE14" s="205">
        <f t="shared" si="5"/>
        <v>0</v>
      </c>
      <c r="AF14" s="250"/>
      <c r="AG14" s="254"/>
      <c r="AH14" s="254"/>
      <c r="AI14" s="44"/>
      <c r="AJ14" s="44"/>
      <c r="AK14" s="44"/>
      <c r="AL14" s="44"/>
      <c r="AM14" s="44"/>
      <c r="AN14" s="44"/>
      <c r="AO14" s="44"/>
      <c r="AP14" s="44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317"/>
      <c r="BF14" s="318"/>
      <c r="BG14" s="318"/>
      <c r="BH14" s="318"/>
      <c r="BI14" s="319"/>
      <c r="BJ14" s="318"/>
      <c r="BK14" s="318"/>
    </row>
    <row r="15" spans="1:63" ht="15" x14ac:dyDescent="0.2">
      <c r="A15" s="331" t="s">
        <v>117</v>
      </c>
      <c r="B15" s="321"/>
      <c r="C15" s="321"/>
      <c r="D15" s="321"/>
      <c r="E15" s="332">
        <f t="shared" ref="E15:T15" si="6">+E13+E14</f>
        <v>6057.992307565396</v>
      </c>
      <c r="F15" s="332">
        <f t="shared" si="6"/>
        <v>9469.4017392591759</v>
      </c>
      <c r="G15" s="332">
        <f t="shared" si="6"/>
        <v>9469.4017392591741</v>
      </c>
      <c r="H15" s="332">
        <f t="shared" si="6"/>
        <v>9469.4017392591741</v>
      </c>
      <c r="I15" s="332">
        <f t="shared" si="6"/>
        <v>9469.4017392591741</v>
      </c>
      <c r="J15" s="332">
        <f t="shared" si="6"/>
        <v>9469.4017392591741</v>
      </c>
      <c r="K15" s="332">
        <f t="shared" si="6"/>
        <v>9469.4017392591741</v>
      </c>
      <c r="L15" s="332">
        <f t="shared" si="6"/>
        <v>9469.4017392591722</v>
      </c>
      <c r="M15" s="332">
        <f t="shared" si="6"/>
        <v>9469.4017392591741</v>
      </c>
      <c r="N15" s="332">
        <f t="shared" si="6"/>
        <v>9469.4017392591741</v>
      </c>
      <c r="O15" s="332">
        <f t="shared" si="6"/>
        <v>9469.4017392591741</v>
      </c>
      <c r="P15" s="332">
        <f t="shared" si="6"/>
        <v>9469.4017392591741</v>
      </c>
      <c r="Q15" s="332">
        <f t="shared" si="6"/>
        <v>0</v>
      </c>
      <c r="R15" s="332">
        <f t="shared" si="6"/>
        <v>0</v>
      </c>
      <c r="S15" s="332">
        <f t="shared" si="6"/>
        <v>0</v>
      </c>
      <c r="T15" s="332">
        <f t="shared" si="6"/>
        <v>0</v>
      </c>
      <c r="U15" s="332">
        <f t="shared" ref="U15:AE15" si="7">+U13+U14</f>
        <v>0</v>
      </c>
      <c r="V15" s="332">
        <f t="shared" si="7"/>
        <v>0</v>
      </c>
      <c r="W15" s="332">
        <f t="shared" si="7"/>
        <v>0</v>
      </c>
      <c r="X15" s="332">
        <f t="shared" si="7"/>
        <v>0</v>
      </c>
      <c r="Y15" s="332">
        <f t="shared" si="7"/>
        <v>0</v>
      </c>
      <c r="Z15" s="332">
        <f t="shared" si="7"/>
        <v>0</v>
      </c>
      <c r="AA15" s="332">
        <f t="shared" si="7"/>
        <v>0</v>
      </c>
      <c r="AB15" s="332">
        <f t="shared" si="7"/>
        <v>0</v>
      </c>
      <c r="AC15" s="332">
        <f t="shared" si="7"/>
        <v>0</v>
      </c>
      <c r="AD15" s="332">
        <f t="shared" si="7"/>
        <v>0</v>
      </c>
      <c r="AE15" s="333">
        <f t="shared" si="7"/>
        <v>0</v>
      </c>
      <c r="AF15" s="250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317"/>
      <c r="BF15" s="317"/>
      <c r="BG15" s="318"/>
      <c r="BH15" s="318"/>
      <c r="BI15" s="319"/>
      <c r="BJ15" s="318"/>
      <c r="BK15" s="318"/>
    </row>
    <row r="16" spans="1:63" ht="15" x14ac:dyDescent="0.2">
      <c r="A16" s="334" t="s">
        <v>118</v>
      </c>
      <c r="B16" s="44"/>
      <c r="C16" s="44"/>
      <c r="D16" s="44"/>
      <c r="E16" s="324">
        <f>E12-E13</f>
        <v>127536.68015927149</v>
      </c>
      <c r="F16" s="324">
        <f t="shared" ref="F16:U16" si="8">F12-F13</f>
        <v>124125.27072757771</v>
      </c>
      <c r="G16" s="324">
        <f t="shared" si="8"/>
        <v>116808.62902764352</v>
      </c>
      <c r="H16" s="324">
        <f t="shared" si="8"/>
        <v>108780.39819338011</v>
      </c>
      <c r="I16" s="324">
        <f t="shared" si="8"/>
        <v>99971.371734041866</v>
      </c>
      <c r="J16" s="324">
        <f t="shared" si="8"/>
        <v>90305.612395117612</v>
      </c>
      <c r="K16" s="324">
        <f t="shared" si="8"/>
        <v>79699.797549487106</v>
      </c>
      <c r="L16" s="324">
        <f t="shared" si="8"/>
        <v>68062.500923776257</v>
      </c>
      <c r="M16" s="324">
        <f t="shared" si="8"/>
        <v>55293.404468111119</v>
      </c>
      <c r="N16" s="324">
        <f t="shared" si="8"/>
        <v>41282.433575279698</v>
      </c>
      <c r="O16" s="324">
        <f t="shared" si="8"/>
        <v>25908.808194552337</v>
      </c>
      <c r="P16" s="324">
        <f t="shared" si="8"/>
        <v>9040.0016603906097</v>
      </c>
      <c r="Q16" s="324">
        <f t="shared" si="8"/>
        <v>0</v>
      </c>
      <c r="R16" s="324">
        <f t="shared" si="8"/>
        <v>0</v>
      </c>
      <c r="S16" s="324">
        <f t="shared" si="8"/>
        <v>0</v>
      </c>
      <c r="T16" s="324">
        <f t="shared" si="8"/>
        <v>0</v>
      </c>
      <c r="U16" s="324">
        <f t="shared" si="8"/>
        <v>0</v>
      </c>
      <c r="V16" s="324">
        <f t="shared" ref="V16:AD16" si="9">V12-V13</f>
        <v>0</v>
      </c>
      <c r="W16" s="324">
        <f t="shared" si="9"/>
        <v>0</v>
      </c>
      <c r="X16" s="324">
        <f t="shared" si="9"/>
        <v>0</v>
      </c>
      <c r="Y16" s="324">
        <f t="shared" si="9"/>
        <v>0</v>
      </c>
      <c r="Z16" s="324">
        <f t="shared" si="9"/>
        <v>0</v>
      </c>
      <c r="AA16" s="324">
        <f t="shared" si="9"/>
        <v>0</v>
      </c>
      <c r="AB16" s="324">
        <f t="shared" si="9"/>
        <v>0</v>
      </c>
      <c r="AC16" s="324">
        <f t="shared" si="9"/>
        <v>0</v>
      </c>
      <c r="AD16" s="324">
        <f t="shared" si="9"/>
        <v>0</v>
      </c>
      <c r="AE16" s="335">
        <f>MAX(AE12-AE13,0)</f>
        <v>0</v>
      </c>
      <c r="AF16" s="250"/>
      <c r="AG16" s="254"/>
      <c r="AH16" s="44"/>
      <c r="AI16" s="44"/>
      <c r="AJ16" s="44"/>
      <c r="AK16" s="44"/>
      <c r="AL16" s="44"/>
      <c r="AM16" s="44"/>
      <c r="AN16" s="44"/>
      <c r="AO16" s="321"/>
      <c r="AP16" s="321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17"/>
      <c r="BF16" s="317"/>
      <c r="BG16" s="318"/>
      <c r="BH16" s="318"/>
      <c r="BI16" s="319"/>
      <c r="BJ16" s="318"/>
      <c r="BK16" s="318"/>
    </row>
    <row r="17" spans="1:63" ht="15" x14ac:dyDescent="0.2">
      <c r="A17" s="203" t="s">
        <v>119</v>
      </c>
      <c r="B17" s="44"/>
      <c r="C17" s="44"/>
      <c r="D17" s="44"/>
      <c r="E17" s="77">
        <f t="shared" ref="E17:AE17" si="10">+tranche1amt*E22</f>
        <v>0</v>
      </c>
      <c r="F17" s="77">
        <f t="shared" si="10"/>
        <v>3573.4513796992337</v>
      </c>
      <c r="G17" s="77">
        <f t="shared" si="10"/>
        <v>3920.9918604461072</v>
      </c>
      <c r="H17" s="77">
        <f t="shared" si="10"/>
        <v>4302.3328250736195</v>
      </c>
      <c r="I17" s="77">
        <f t="shared" si="10"/>
        <v>4720.7615818921859</v>
      </c>
      <c r="J17" s="77">
        <f t="shared" si="10"/>
        <v>5179.8851504910881</v>
      </c>
      <c r="K17" s="77">
        <f t="shared" si="10"/>
        <v>5683.6613556585353</v>
      </c>
      <c r="L17" s="77">
        <f t="shared" si="10"/>
        <v>6236.4329453798018</v>
      </c>
      <c r="M17" s="77">
        <f t="shared" si="10"/>
        <v>6842.9650270238953</v>
      </c>
      <c r="N17" s="77">
        <f t="shared" si="10"/>
        <v>7508.4861444333883</v>
      </c>
      <c r="O17" s="77">
        <f t="shared" si="10"/>
        <v>8238.7333500179393</v>
      </c>
      <c r="P17" s="77">
        <f t="shared" si="10"/>
        <v>9040.0016603906188</v>
      </c>
      <c r="Q17" s="77">
        <f t="shared" si="10"/>
        <v>0</v>
      </c>
      <c r="R17" s="77">
        <f t="shared" si="10"/>
        <v>0</v>
      </c>
      <c r="S17" s="77">
        <f t="shared" si="10"/>
        <v>0</v>
      </c>
      <c r="T17" s="77">
        <f t="shared" si="10"/>
        <v>0</v>
      </c>
      <c r="U17" s="77">
        <f t="shared" si="10"/>
        <v>0</v>
      </c>
      <c r="V17" s="77">
        <f t="shared" si="10"/>
        <v>0</v>
      </c>
      <c r="W17" s="77">
        <f t="shared" si="10"/>
        <v>0</v>
      </c>
      <c r="X17" s="77">
        <f t="shared" si="10"/>
        <v>0</v>
      </c>
      <c r="Y17" s="77">
        <f t="shared" si="10"/>
        <v>0</v>
      </c>
      <c r="Z17" s="77">
        <f t="shared" si="10"/>
        <v>0</v>
      </c>
      <c r="AA17" s="77">
        <f t="shared" si="10"/>
        <v>0</v>
      </c>
      <c r="AB17" s="77">
        <f t="shared" si="10"/>
        <v>0</v>
      </c>
      <c r="AC17" s="77">
        <f t="shared" si="10"/>
        <v>0</v>
      </c>
      <c r="AD17" s="77">
        <f t="shared" si="10"/>
        <v>0</v>
      </c>
      <c r="AE17" s="77">
        <f t="shared" si="10"/>
        <v>0</v>
      </c>
      <c r="AF17" s="250"/>
      <c r="AG17" s="254"/>
      <c r="AH17" s="254"/>
      <c r="AI17" s="44"/>
      <c r="AJ17" s="44"/>
      <c r="AK17" s="44"/>
      <c r="AL17" s="44"/>
      <c r="AM17" s="44"/>
      <c r="AN17" s="198"/>
      <c r="AO17" s="44"/>
      <c r="AP17" s="44"/>
      <c r="AQ17" s="324"/>
      <c r="AR17" s="324"/>
      <c r="AS17" s="324"/>
      <c r="AT17" s="324"/>
      <c r="AU17" s="324"/>
      <c r="AV17" s="324"/>
      <c r="AW17" s="324"/>
      <c r="AX17" s="324"/>
      <c r="AY17" s="324"/>
      <c r="AZ17" s="324"/>
      <c r="BA17" s="324"/>
      <c r="BB17" s="324"/>
      <c r="BC17" s="324"/>
      <c r="BD17" s="324"/>
      <c r="BE17" s="317"/>
      <c r="BF17" s="317"/>
      <c r="BG17" s="318"/>
      <c r="BH17" s="318"/>
      <c r="BI17" s="319"/>
      <c r="BJ17" s="318"/>
      <c r="BK17" s="318"/>
    </row>
    <row r="18" spans="1:63" ht="15" x14ac:dyDescent="0.2">
      <c r="A18" s="203" t="s">
        <v>120</v>
      </c>
      <c r="B18" s="44"/>
      <c r="C18" s="44"/>
      <c r="D18" s="44"/>
      <c r="E18" s="77">
        <f>+E16*tranche1cost*MIN(6,E6)/12</f>
        <v>6057.992307565396</v>
      </c>
      <c r="F18" s="77">
        <f>+F16*tranche1cost*(E$6-6)/12</f>
        <v>5895.9503595599408</v>
      </c>
      <c r="G18" s="77">
        <f t="shared" ref="G18:AE18" si="11">+G16*tranche1cost*(F$6-6)/12</f>
        <v>5548.4098788130677</v>
      </c>
      <c r="H18" s="77">
        <f t="shared" si="11"/>
        <v>5167.0689141855555</v>
      </c>
      <c r="I18" s="77">
        <f t="shared" si="11"/>
        <v>4748.6401573669891</v>
      </c>
      <c r="J18" s="77">
        <f t="shared" si="11"/>
        <v>4289.5165887680869</v>
      </c>
      <c r="K18" s="77">
        <f t="shared" si="11"/>
        <v>3785.7403836006374</v>
      </c>
      <c r="L18" s="77">
        <f t="shared" si="11"/>
        <v>3232.9687938793722</v>
      </c>
      <c r="M18" s="77">
        <f t="shared" si="11"/>
        <v>2626.4367122352783</v>
      </c>
      <c r="N18" s="77">
        <f t="shared" si="11"/>
        <v>1960.9155948257858</v>
      </c>
      <c r="O18" s="77">
        <f t="shared" si="11"/>
        <v>1230.6683892412361</v>
      </c>
      <c r="P18" s="77">
        <f t="shared" si="11"/>
        <v>429.40007886855398</v>
      </c>
      <c r="Q18" s="77">
        <f t="shared" si="11"/>
        <v>0</v>
      </c>
      <c r="R18" s="77">
        <f t="shared" si="11"/>
        <v>0</v>
      </c>
      <c r="S18" s="77">
        <f t="shared" si="11"/>
        <v>0</v>
      </c>
      <c r="T18" s="77">
        <f t="shared" si="11"/>
        <v>0</v>
      </c>
      <c r="U18" s="77">
        <f t="shared" si="11"/>
        <v>0</v>
      </c>
      <c r="V18" s="77">
        <f t="shared" si="11"/>
        <v>0</v>
      </c>
      <c r="W18" s="77">
        <f t="shared" si="11"/>
        <v>0</v>
      </c>
      <c r="X18" s="77">
        <f t="shared" si="11"/>
        <v>0</v>
      </c>
      <c r="Y18" s="77">
        <f t="shared" si="11"/>
        <v>0</v>
      </c>
      <c r="Z18" s="77">
        <f t="shared" si="11"/>
        <v>0</v>
      </c>
      <c r="AA18" s="77">
        <f t="shared" si="11"/>
        <v>0</v>
      </c>
      <c r="AB18" s="77">
        <f t="shared" si="11"/>
        <v>0</v>
      </c>
      <c r="AC18" s="77">
        <f t="shared" si="11"/>
        <v>0</v>
      </c>
      <c r="AD18" s="77">
        <f t="shared" si="11"/>
        <v>0</v>
      </c>
      <c r="AE18" s="205">
        <f t="shared" si="11"/>
        <v>0</v>
      </c>
      <c r="AF18" s="250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317"/>
      <c r="BF18" s="317"/>
      <c r="BG18" s="318"/>
      <c r="BH18" s="318"/>
      <c r="BI18" s="319"/>
      <c r="BJ18" s="318"/>
      <c r="BK18" s="318"/>
    </row>
    <row r="19" spans="1:63" ht="15" x14ac:dyDescent="0.2">
      <c r="A19" s="331" t="s">
        <v>121</v>
      </c>
      <c r="B19" s="321"/>
      <c r="C19" s="321"/>
      <c r="D19" s="321"/>
      <c r="E19" s="322">
        <f t="shared" ref="E19:T19" si="12">+E17+E18</f>
        <v>6057.992307565396</v>
      </c>
      <c r="F19" s="322">
        <f t="shared" si="12"/>
        <v>9469.4017392591741</v>
      </c>
      <c r="G19" s="322">
        <f t="shared" si="12"/>
        <v>9469.4017392591741</v>
      </c>
      <c r="H19" s="322">
        <f t="shared" si="12"/>
        <v>9469.4017392591741</v>
      </c>
      <c r="I19" s="322">
        <f t="shared" si="12"/>
        <v>9469.4017392591741</v>
      </c>
      <c r="J19" s="322">
        <f t="shared" si="12"/>
        <v>9469.4017392591741</v>
      </c>
      <c r="K19" s="322">
        <f t="shared" si="12"/>
        <v>9469.4017392591722</v>
      </c>
      <c r="L19" s="322">
        <f t="shared" si="12"/>
        <v>9469.4017392591741</v>
      </c>
      <c r="M19" s="322">
        <f t="shared" si="12"/>
        <v>9469.4017392591741</v>
      </c>
      <c r="N19" s="322">
        <f t="shared" si="12"/>
        <v>9469.4017392591741</v>
      </c>
      <c r="O19" s="322">
        <f t="shared" si="12"/>
        <v>9469.4017392591759</v>
      </c>
      <c r="P19" s="322">
        <f t="shared" si="12"/>
        <v>9469.4017392591722</v>
      </c>
      <c r="Q19" s="322">
        <f t="shared" si="12"/>
        <v>0</v>
      </c>
      <c r="R19" s="322">
        <f t="shared" si="12"/>
        <v>0</v>
      </c>
      <c r="S19" s="322">
        <f t="shared" si="12"/>
        <v>0</v>
      </c>
      <c r="T19" s="322">
        <f t="shared" si="12"/>
        <v>0</v>
      </c>
      <c r="U19" s="322">
        <f t="shared" ref="U19:AE19" si="13">+U17+U18</f>
        <v>0</v>
      </c>
      <c r="V19" s="322">
        <f t="shared" si="13"/>
        <v>0</v>
      </c>
      <c r="W19" s="322">
        <f t="shared" si="13"/>
        <v>0</v>
      </c>
      <c r="X19" s="322">
        <f t="shared" si="13"/>
        <v>0</v>
      </c>
      <c r="Y19" s="322">
        <f t="shared" si="13"/>
        <v>0</v>
      </c>
      <c r="Z19" s="322">
        <f t="shared" si="13"/>
        <v>0</v>
      </c>
      <c r="AA19" s="322">
        <f t="shared" si="13"/>
        <v>0</v>
      </c>
      <c r="AB19" s="322">
        <f t="shared" si="13"/>
        <v>0</v>
      </c>
      <c r="AC19" s="322">
        <f t="shared" si="13"/>
        <v>0</v>
      </c>
      <c r="AD19" s="322">
        <f t="shared" si="13"/>
        <v>0</v>
      </c>
      <c r="AE19" s="336">
        <f t="shared" si="13"/>
        <v>0</v>
      </c>
      <c r="AF19" s="250"/>
      <c r="AG19" s="254"/>
      <c r="AH19" s="44"/>
      <c r="AI19" s="44"/>
      <c r="AJ19" s="44"/>
      <c r="AK19" s="44"/>
      <c r="AL19" s="44"/>
      <c r="AM19" s="44"/>
      <c r="AN19" s="44"/>
      <c r="AO19" s="44"/>
      <c r="AP19" s="44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317"/>
      <c r="BF19" s="317"/>
      <c r="BG19" s="318"/>
      <c r="BH19" s="318"/>
      <c r="BI19" s="319"/>
      <c r="BJ19" s="318"/>
      <c r="BK19" s="318"/>
    </row>
    <row r="20" spans="1:63" ht="15" x14ac:dyDescent="0.2">
      <c r="A20" s="337" t="s">
        <v>122</v>
      </c>
      <c r="B20" s="226"/>
      <c r="C20" s="410"/>
      <c r="D20" s="410"/>
      <c r="E20" s="338">
        <f>E16-E17</f>
        <v>127536.68015927149</v>
      </c>
      <c r="F20" s="338">
        <f t="shared" ref="F20:U20" si="14">F16-F17</f>
        <v>120551.81934787847</v>
      </c>
      <c r="G20" s="338">
        <f t="shared" si="14"/>
        <v>112887.6371671974</v>
      </c>
      <c r="H20" s="338">
        <f t="shared" si="14"/>
        <v>104478.06536830649</v>
      </c>
      <c r="I20" s="338">
        <f t="shared" si="14"/>
        <v>95250.610152149675</v>
      </c>
      <c r="J20" s="338">
        <f t="shared" si="14"/>
        <v>85125.727244626527</v>
      </c>
      <c r="K20" s="338">
        <f t="shared" si="14"/>
        <v>74016.13619382857</v>
      </c>
      <c r="L20" s="338">
        <f t="shared" si="14"/>
        <v>61826.067978396459</v>
      </c>
      <c r="M20" s="338">
        <f t="shared" si="14"/>
        <v>48450.439441087226</v>
      </c>
      <c r="N20" s="338">
        <f t="shared" si="14"/>
        <v>33773.94743084631</v>
      </c>
      <c r="O20" s="338">
        <f t="shared" si="14"/>
        <v>17670.0748445344</v>
      </c>
      <c r="P20" s="338">
        <f t="shared" si="14"/>
        <v>0</v>
      </c>
      <c r="Q20" s="338">
        <f t="shared" si="14"/>
        <v>0</v>
      </c>
      <c r="R20" s="338">
        <f t="shared" si="14"/>
        <v>0</v>
      </c>
      <c r="S20" s="338">
        <f t="shared" si="14"/>
        <v>0</v>
      </c>
      <c r="T20" s="338">
        <f t="shared" si="14"/>
        <v>0</v>
      </c>
      <c r="U20" s="338">
        <f t="shared" si="14"/>
        <v>0</v>
      </c>
      <c r="V20" s="338">
        <f t="shared" ref="V20:AE20" si="15">V16-V17</f>
        <v>0</v>
      </c>
      <c r="W20" s="338">
        <f t="shared" si="15"/>
        <v>0</v>
      </c>
      <c r="X20" s="338">
        <f t="shared" si="15"/>
        <v>0</v>
      </c>
      <c r="Y20" s="338">
        <f t="shared" si="15"/>
        <v>0</v>
      </c>
      <c r="Z20" s="338">
        <f t="shared" si="15"/>
        <v>0</v>
      </c>
      <c r="AA20" s="338">
        <f t="shared" si="15"/>
        <v>0</v>
      </c>
      <c r="AB20" s="338">
        <f t="shared" si="15"/>
        <v>0</v>
      </c>
      <c r="AC20" s="338">
        <f t="shared" si="15"/>
        <v>0</v>
      </c>
      <c r="AD20" s="338">
        <f t="shared" si="15"/>
        <v>0</v>
      </c>
      <c r="AE20" s="338">
        <f t="shared" si="15"/>
        <v>0</v>
      </c>
      <c r="AF20" s="250"/>
      <c r="AG20" s="254"/>
      <c r="AH20" s="254"/>
      <c r="AI20" s="44"/>
      <c r="AJ20" s="44"/>
      <c r="AK20" s="44"/>
      <c r="AL20" s="44"/>
      <c r="AM20" s="44"/>
      <c r="AN20" s="44"/>
      <c r="AO20" s="321"/>
      <c r="AP20" s="321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17"/>
      <c r="BF20" s="317"/>
      <c r="BG20" s="318"/>
      <c r="BH20" s="318"/>
      <c r="BI20" s="319"/>
      <c r="BJ20" s="318"/>
      <c r="BK20" s="318"/>
    </row>
    <row r="21" spans="1:63" s="346" customFormat="1" ht="15" x14ac:dyDescent="0.2">
      <c r="A21" s="339" t="s">
        <v>123</v>
      </c>
      <c r="B21" s="340"/>
      <c r="C21" s="340"/>
      <c r="D21" s="340"/>
      <c r="E21" s="341">
        <f>+IF(OR(E$8&lt;=tranche1grace,E$8&gt;tranche1reppd+tranche1grace),0,IF(tranche1amort=1,1/tranche1reppd,-PPMT(tranche1cost/2,MAX(0,E$8-tranche1grace),tranche1reppd,1)))</f>
        <v>0</v>
      </c>
      <c r="F21" s="341">
        <f t="shared" ref="F21:AE21" si="16">+IF(OR(F$8&lt;=tranche1grace,F$8&gt;tranche1reppd+tranche1grace),0,IF(tranche1amort=1,1/tranche1reppd,-PPMT(tranche1cost/2,MAX(0,F$8-tranche1grace),tranche1reppd,1)))</f>
        <v>2.674845720802449E-2</v>
      </c>
      <c r="G21" s="341">
        <f t="shared" si="16"/>
        <v>2.9349911849362424E-2</v>
      </c>
      <c r="H21" s="341">
        <f t="shared" si="16"/>
        <v>3.2204374213661978E-2</v>
      </c>
      <c r="I21" s="341">
        <f t="shared" si="16"/>
        <v>3.5336450883279441E-2</v>
      </c>
      <c r="J21" s="341">
        <f t="shared" si="16"/>
        <v>3.8773141584496386E-2</v>
      </c>
      <c r="K21" s="341">
        <f t="shared" si="16"/>
        <v>4.2544071935723564E-2</v>
      </c>
      <c r="L21" s="341">
        <f t="shared" si="16"/>
        <v>4.6681748831922269E-2</v>
      </c>
      <c r="M21" s="341">
        <f t="shared" si="16"/>
        <v>5.1221840666756918E-2</v>
      </c>
      <c r="N21" s="341">
        <f t="shared" si="16"/>
        <v>5.6203484808103193E-2</v>
      </c>
      <c r="O21" s="341">
        <f t="shared" si="16"/>
        <v>6.1669624977471277E-2</v>
      </c>
      <c r="P21" s="341">
        <f t="shared" si="16"/>
        <v>6.7667381441686464E-2</v>
      </c>
      <c r="Q21" s="341">
        <f t="shared" si="16"/>
        <v>0</v>
      </c>
      <c r="R21" s="341">
        <f t="shared" si="16"/>
        <v>0</v>
      </c>
      <c r="S21" s="341">
        <f t="shared" si="16"/>
        <v>0</v>
      </c>
      <c r="T21" s="341">
        <f t="shared" si="16"/>
        <v>0</v>
      </c>
      <c r="U21" s="341">
        <f t="shared" si="16"/>
        <v>0</v>
      </c>
      <c r="V21" s="341">
        <f t="shared" si="16"/>
        <v>0</v>
      </c>
      <c r="W21" s="341">
        <f t="shared" si="16"/>
        <v>0</v>
      </c>
      <c r="X21" s="341">
        <f t="shared" si="16"/>
        <v>0</v>
      </c>
      <c r="Y21" s="341">
        <f t="shared" si="16"/>
        <v>0</v>
      </c>
      <c r="Z21" s="341">
        <f t="shared" si="16"/>
        <v>0</v>
      </c>
      <c r="AA21" s="341">
        <f t="shared" si="16"/>
        <v>0</v>
      </c>
      <c r="AB21" s="341">
        <f t="shared" si="16"/>
        <v>0</v>
      </c>
      <c r="AC21" s="341">
        <f t="shared" si="16"/>
        <v>0</v>
      </c>
      <c r="AD21" s="341">
        <f t="shared" si="16"/>
        <v>0</v>
      </c>
      <c r="AE21" s="341">
        <f t="shared" si="16"/>
        <v>0</v>
      </c>
      <c r="AF21" s="342">
        <f>SUM(E21:AE21)</f>
        <v>0.48840048840048844</v>
      </c>
      <c r="AG21" s="343"/>
      <c r="AH21" s="321"/>
      <c r="AI21" s="657"/>
      <c r="AJ21" s="657"/>
      <c r="AK21" s="657"/>
      <c r="AL21" s="657"/>
      <c r="AM21" s="657"/>
      <c r="AN21" s="321"/>
      <c r="AO21" s="321"/>
      <c r="AP21" s="321"/>
      <c r="AQ21" s="321"/>
      <c r="AR21" s="321"/>
      <c r="AS21" s="321"/>
      <c r="AT21" s="321"/>
      <c r="AU21" s="321"/>
      <c r="AV21" s="321"/>
      <c r="AW21" s="321"/>
      <c r="AX21" s="321"/>
      <c r="AY21" s="321"/>
      <c r="AZ21" s="321"/>
      <c r="BA21" s="321"/>
      <c r="BB21" s="321"/>
      <c r="BC21" s="321"/>
      <c r="BD21" s="321"/>
      <c r="BE21" s="323"/>
      <c r="BF21" s="323"/>
      <c r="BG21" s="344"/>
      <c r="BH21" s="344"/>
      <c r="BI21" s="345"/>
      <c r="BJ21" s="344"/>
      <c r="BK21" s="344"/>
    </row>
    <row r="22" spans="1:63" s="346" customFormat="1" ht="15" x14ac:dyDescent="0.2">
      <c r="A22" s="347" t="s">
        <v>124</v>
      </c>
      <c r="B22" s="348"/>
      <c r="C22" s="348"/>
      <c r="D22" s="348"/>
      <c r="E22" s="349">
        <f>+IF(OR(E$9&lt;=tranche1grace,E$9&gt;tranche1reppd+tranche1grace),0,IF(tranche1amort=1,1/tranche1reppd,-PPMT(tranche1cost/2,MAX(0,E$9-tranche1grace),tranche1reppd,1)))</f>
        <v>0</v>
      </c>
      <c r="F22" s="349">
        <f t="shared" ref="F22:AE22" si="17">+IF(OR(F$9&lt;=tranche1grace,F$9&gt;tranche1reppd+tranche1grace),0,IF(tranche1amort=1,1/tranche1reppd,-PPMT(tranche1cost/2,MAX(0,F$9-tranche1grace),tranche1reppd,1)))</f>
        <v>2.8019008925405649E-2</v>
      </c>
      <c r="G22" s="349">
        <f t="shared" si="17"/>
        <v>3.0744032662207134E-2</v>
      </c>
      <c r="H22" s="349">
        <f t="shared" si="17"/>
        <v>3.3734081988810921E-2</v>
      </c>
      <c r="I22" s="349">
        <f t="shared" si="17"/>
        <v>3.7014932300235212E-2</v>
      </c>
      <c r="J22" s="349">
        <f t="shared" si="17"/>
        <v>4.0614865809759967E-2</v>
      </c>
      <c r="K22" s="349">
        <f t="shared" si="17"/>
        <v>4.4564915352670424E-2</v>
      </c>
      <c r="L22" s="349">
        <f t="shared" si="17"/>
        <v>4.8899131901438582E-2</v>
      </c>
      <c r="M22" s="349">
        <f t="shared" si="17"/>
        <v>5.3654878098427866E-2</v>
      </c>
      <c r="N22" s="349">
        <f t="shared" si="17"/>
        <v>5.8873150336488093E-2</v>
      </c>
      <c r="O22" s="349">
        <f t="shared" si="17"/>
        <v>6.4598932163901168E-2</v>
      </c>
      <c r="P22" s="349">
        <f t="shared" si="17"/>
        <v>7.0881582060166565E-2</v>
      </c>
      <c r="Q22" s="349">
        <f t="shared" si="17"/>
        <v>0</v>
      </c>
      <c r="R22" s="349">
        <f t="shared" si="17"/>
        <v>0</v>
      </c>
      <c r="S22" s="349">
        <f t="shared" si="17"/>
        <v>0</v>
      </c>
      <c r="T22" s="349">
        <f t="shared" si="17"/>
        <v>0</v>
      </c>
      <c r="U22" s="349">
        <f t="shared" si="17"/>
        <v>0</v>
      </c>
      <c r="V22" s="349">
        <f t="shared" si="17"/>
        <v>0</v>
      </c>
      <c r="W22" s="349">
        <f t="shared" si="17"/>
        <v>0</v>
      </c>
      <c r="X22" s="349">
        <f t="shared" si="17"/>
        <v>0</v>
      </c>
      <c r="Y22" s="349">
        <f t="shared" si="17"/>
        <v>0</v>
      </c>
      <c r="Z22" s="349">
        <f t="shared" si="17"/>
        <v>0</v>
      </c>
      <c r="AA22" s="349">
        <f t="shared" si="17"/>
        <v>0</v>
      </c>
      <c r="AB22" s="349">
        <f t="shared" si="17"/>
        <v>0</v>
      </c>
      <c r="AC22" s="349">
        <f t="shared" si="17"/>
        <v>0</v>
      </c>
      <c r="AD22" s="349">
        <f t="shared" si="17"/>
        <v>0</v>
      </c>
      <c r="AE22" s="349">
        <f t="shared" si="17"/>
        <v>0</v>
      </c>
      <c r="AF22" s="350">
        <f>SUM(E22:AE22)</f>
        <v>0.51159951159951156</v>
      </c>
      <c r="AG22" s="351">
        <f>+AF22+AF21</f>
        <v>1</v>
      </c>
      <c r="AH22" s="321"/>
      <c r="AI22" s="657"/>
      <c r="AJ22" s="657"/>
      <c r="AK22" s="657"/>
      <c r="AL22" s="657"/>
      <c r="AM22" s="657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3"/>
      <c r="BF22" s="323"/>
      <c r="BG22" s="344"/>
      <c r="BH22" s="344"/>
      <c r="BI22" s="345"/>
      <c r="BJ22" s="344"/>
      <c r="BK22" s="344"/>
    </row>
    <row r="23" spans="1:63" ht="17.25" x14ac:dyDescent="0.35">
      <c r="A23" s="311"/>
      <c r="B23" s="44"/>
      <c r="C23" s="275"/>
      <c r="D23" s="275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44"/>
      <c r="AG23" s="254"/>
      <c r="AH23" s="254"/>
      <c r="AI23" s="44"/>
      <c r="AJ23" s="44"/>
      <c r="AK23" s="44"/>
      <c r="AL23" s="44"/>
      <c r="AM23" s="44"/>
      <c r="AN23" s="44"/>
      <c r="AO23" s="321"/>
      <c r="AP23" s="321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17"/>
      <c r="BF23" s="317"/>
      <c r="BG23" s="318"/>
      <c r="BH23" s="318"/>
      <c r="BI23" s="319"/>
      <c r="BJ23" s="318"/>
      <c r="BK23" s="318"/>
    </row>
    <row r="24" spans="1:63" ht="15" x14ac:dyDescent="0.2">
      <c r="A24" s="325" t="str">
        <f>+Assumpt!$G$45</f>
        <v>Tranche 2: Banks</v>
      </c>
      <c r="B24" s="200"/>
      <c r="C24" s="200"/>
      <c r="D24" s="200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7"/>
      <c r="AF24" s="246"/>
      <c r="AG24" s="254"/>
      <c r="AH24" s="254"/>
      <c r="AI24" s="44"/>
      <c r="AJ24" s="44"/>
      <c r="AK24" s="44"/>
      <c r="AL24" s="44"/>
      <c r="AM24" s="44"/>
      <c r="AN24" s="44"/>
      <c r="AO24" s="44"/>
      <c r="AP24" s="44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317"/>
      <c r="BF24" s="318"/>
      <c r="BG24" s="318"/>
      <c r="BH24" s="318"/>
      <c r="BI24" s="319"/>
      <c r="BJ24" s="318"/>
      <c r="BK24" s="318"/>
    </row>
    <row r="25" spans="1:63" ht="15" x14ac:dyDescent="0.2">
      <c r="A25" s="325" t="s">
        <v>114</v>
      </c>
      <c r="B25" s="200"/>
      <c r="C25" s="200"/>
      <c r="D25" s="200"/>
      <c r="E25" s="328">
        <f>+tranche2amt</f>
        <v>0</v>
      </c>
      <c r="F25" s="328">
        <f t="shared" ref="F25:AE25" si="18">+E33</f>
        <v>0</v>
      </c>
      <c r="G25" s="328">
        <f t="shared" si="18"/>
        <v>0</v>
      </c>
      <c r="H25" s="328">
        <f t="shared" si="18"/>
        <v>0</v>
      </c>
      <c r="I25" s="328">
        <f t="shared" si="18"/>
        <v>0</v>
      </c>
      <c r="J25" s="328">
        <f t="shared" si="18"/>
        <v>0</v>
      </c>
      <c r="K25" s="328">
        <f t="shared" si="18"/>
        <v>0</v>
      </c>
      <c r="L25" s="328">
        <f t="shared" si="18"/>
        <v>0</v>
      </c>
      <c r="M25" s="328">
        <f t="shared" si="18"/>
        <v>0</v>
      </c>
      <c r="N25" s="328">
        <f t="shared" si="18"/>
        <v>0</v>
      </c>
      <c r="O25" s="328">
        <f t="shared" si="18"/>
        <v>0</v>
      </c>
      <c r="P25" s="328">
        <f t="shared" si="18"/>
        <v>0</v>
      </c>
      <c r="Q25" s="328">
        <f t="shared" si="18"/>
        <v>0</v>
      </c>
      <c r="R25" s="328">
        <f t="shared" si="18"/>
        <v>0</v>
      </c>
      <c r="S25" s="328">
        <f t="shared" si="18"/>
        <v>0</v>
      </c>
      <c r="T25" s="328">
        <f t="shared" si="18"/>
        <v>0</v>
      </c>
      <c r="U25" s="328">
        <f t="shared" si="18"/>
        <v>0</v>
      </c>
      <c r="V25" s="328">
        <f t="shared" si="18"/>
        <v>0</v>
      </c>
      <c r="W25" s="328">
        <f t="shared" si="18"/>
        <v>0</v>
      </c>
      <c r="X25" s="328">
        <f t="shared" si="18"/>
        <v>0</v>
      </c>
      <c r="Y25" s="328">
        <f t="shared" si="18"/>
        <v>0</v>
      </c>
      <c r="Z25" s="328">
        <f t="shared" si="18"/>
        <v>0</v>
      </c>
      <c r="AA25" s="328">
        <f t="shared" si="18"/>
        <v>0</v>
      </c>
      <c r="AB25" s="328">
        <f t="shared" si="18"/>
        <v>0</v>
      </c>
      <c r="AC25" s="328">
        <f t="shared" si="18"/>
        <v>0</v>
      </c>
      <c r="AD25" s="328">
        <f t="shared" si="18"/>
        <v>0</v>
      </c>
      <c r="AE25" s="329">
        <f t="shared" si="18"/>
        <v>0</v>
      </c>
      <c r="AF25" s="250"/>
      <c r="AG25" s="44"/>
      <c r="AH25" s="44"/>
      <c r="AI25" s="44"/>
      <c r="AJ25" s="44"/>
      <c r="AK25" s="44"/>
      <c r="AL25" s="44"/>
      <c r="AM25" s="44"/>
      <c r="AN25" s="44"/>
      <c r="AO25" s="321"/>
      <c r="AP25" s="321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17"/>
      <c r="BF25" s="318"/>
      <c r="BG25" s="318"/>
      <c r="BH25" s="318"/>
      <c r="BI25" s="319"/>
      <c r="BJ25" s="318"/>
      <c r="BK25" s="318"/>
    </row>
    <row r="26" spans="1:63" ht="15" x14ac:dyDescent="0.2">
      <c r="A26" s="203" t="s">
        <v>115</v>
      </c>
      <c r="B26" s="44"/>
      <c r="C26" s="44"/>
      <c r="D26" s="44"/>
      <c r="E26" s="77">
        <f t="shared" ref="E26:AE26" si="19">+tranche2amt*E34</f>
        <v>0</v>
      </c>
      <c r="F26" s="77">
        <f t="shared" si="19"/>
        <v>0</v>
      </c>
      <c r="G26" s="77">
        <f t="shared" si="19"/>
        <v>0</v>
      </c>
      <c r="H26" s="77">
        <f t="shared" si="19"/>
        <v>0</v>
      </c>
      <c r="I26" s="77">
        <f t="shared" si="19"/>
        <v>0</v>
      </c>
      <c r="J26" s="77">
        <f t="shared" si="19"/>
        <v>0</v>
      </c>
      <c r="K26" s="77">
        <f t="shared" si="19"/>
        <v>0</v>
      </c>
      <c r="L26" s="77">
        <f t="shared" si="19"/>
        <v>0</v>
      </c>
      <c r="M26" s="77">
        <f t="shared" si="19"/>
        <v>0</v>
      </c>
      <c r="N26" s="77">
        <f t="shared" si="19"/>
        <v>0</v>
      </c>
      <c r="O26" s="77">
        <f t="shared" si="19"/>
        <v>0</v>
      </c>
      <c r="P26" s="77">
        <f t="shared" si="19"/>
        <v>0</v>
      </c>
      <c r="Q26" s="77">
        <f t="shared" si="19"/>
        <v>0</v>
      </c>
      <c r="R26" s="77">
        <f t="shared" si="19"/>
        <v>0</v>
      </c>
      <c r="S26" s="77">
        <f t="shared" si="19"/>
        <v>0</v>
      </c>
      <c r="T26" s="77">
        <f t="shared" si="19"/>
        <v>0</v>
      </c>
      <c r="U26" s="77">
        <f t="shared" si="19"/>
        <v>0</v>
      </c>
      <c r="V26" s="77">
        <f t="shared" si="19"/>
        <v>0</v>
      </c>
      <c r="W26" s="77">
        <f t="shared" si="19"/>
        <v>0</v>
      </c>
      <c r="X26" s="77">
        <f t="shared" si="19"/>
        <v>0</v>
      </c>
      <c r="Y26" s="77">
        <f t="shared" si="19"/>
        <v>0</v>
      </c>
      <c r="Z26" s="77">
        <f t="shared" si="19"/>
        <v>0</v>
      </c>
      <c r="AA26" s="77">
        <f t="shared" si="19"/>
        <v>0</v>
      </c>
      <c r="AB26" s="77">
        <f t="shared" si="19"/>
        <v>0</v>
      </c>
      <c r="AC26" s="77">
        <f t="shared" si="19"/>
        <v>0</v>
      </c>
      <c r="AD26" s="77">
        <f t="shared" si="19"/>
        <v>0</v>
      </c>
      <c r="AE26" s="77">
        <f t="shared" si="19"/>
        <v>0</v>
      </c>
      <c r="AF26" s="250"/>
      <c r="AG26" s="254"/>
      <c r="AH26" s="44"/>
      <c r="AI26" s="44"/>
      <c r="AJ26" s="44"/>
      <c r="AK26" s="44"/>
      <c r="AL26" s="44"/>
      <c r="AM26" s="44"/>
      <c r="AN26" s="198"/>
      <c r="AO26" s="44"/>
      <c r="AP26" s="77"/>
      <c r="AQ26" s="324"/>
      <c r="AR26" s="324"/>
      <c r="AS26" s="324"/>
      <c r="AT26" s="324"/>
      <c r="AU26" s="324"/>
      <c r="AV26" s="324"/>
      <c r="AW26" s="324"/>
      <c r="AX26" s="324"/>
      <c r="AY26" s="324"/>
      <c r="AZ26" s="324"/>
      <c r="BA26" s="324"/>
      <c r="BB26" s="324"/>
      <c r="BC26" s="324"/>
      <c r="BD26" s="324"/>
      <c r="BE26" s="317"/>
      <c r="BF26" s="318"/>
      <c r="BG26" s="318"/>
      <c r="BH26" s="318"/>
      <c r="BI26" s="319"/>
      <c r="BJ26" s="318"/>
      <c r="BK26" s="318"/>
    </row>
    <row r="27" spans="1:63" ht="15" x14ac:dyDescent="0.2">
      <c r="A27" s="203" t="s">
        <v>116</v>
      </c>
      <c r="B27" s="44"/>
      <c r="C27" s="330"/>
      <c r="D27" s="330"/>
      <c r="E27" s="77">
        <f>+E25*tranche2cost*(E$6-6)/12</f>
        <v>0</v>
      </c>
      <c r="F27" s="77">
        <f t="shared" ref="F27:AE27" si="20">+F25*tranche2cost*MIN(6,E19)/12</f>
        <v>0</v>
      </c>
      <c r="G27" s="77">
        <f t="shared" si="20"/>
        <v>0</v>
      </c>
      <c r="H27" s="77">
        <f t="shared" si="20"/>
        <v>0</v>
      </c>
      <c r="I27" s="77">
        <f t="shared" si="20"/>
        <v>0</v>
      </c>
      <c r="J27" s="77">
        <f t="shared" si="20"/>
        <v>0</v>
      </c>
      <c r="K27" s="77">
        <f t="shared" si="20"/>
        <v>0</v>
      </c>
      <c r="L27" s="77">
        <f t="shared" si="20"/>
        <v>0</v>
      </c>
      <c r="M27" s="77">
        <f t="shared" si="20"/>
        <v>0</v>
      </c>
      <c r="N27" s="77">
        <f t="shared" si="20"/>
        <v>0</v>
      </c>
      <c r="O27" s="77">
        <f t="shared" si="20"/>
        <v>0</v>
      </c>
      <c r="P27" s="77">
        <f t="shared" si="20"/>
        <v>0</v>
      </c>
      <c r="Q27" s="77">
        <f t="shared" si="20"/>
        <v>0</v>
      </c>
      <c r="R27" s="77">
        <f t="shared" si="20"/>
        <v>0</v>
      </c>
      <c r="S27" s="77">
        <f t="shared" si="20"/>
        <v>0</v>
      </c>
      <c r="T27" s="77">
        <f t="shared" si="20"/>
        <v>0</v>
      </c>
      <c r="U27" s="77">
        <f t="shared" si="20"/>
        <v>0</v>
      </c>
      <c r="V27" s="77">
        <f t="shared" si="20"/>
        <v>0</v>
      </c>
      <c r="W27" s="77">
        <f t="shared" si="20"/>
        <v>0</v>
      </c>
      <c r="X27" s="77">
        <f t="shared" si="20"/>
        <v>0</v>
      </c>
      <c r="Y27" s="77">
        <f t="shared" si="20"/>
        <v>0</v>
      </c>
      <c r="Z27" s="77">
        <f t="shared" si="20"/>
        <v>0</v>
      </c>
      <c r="AA27" s="77">
        <f t="shared" si="20"/>
        <v>0</v>
      </c>
      <c r="AB27" s="77">
        <f t="shared" si="20"/>
        <v>0</v>
      </c>
      <c r="AC27" s="77">
        <f t="shared" si="20"/>
        <v>0</v>
      </c>
      <c r="AD27" s="77">
        <f t="shared" si="20"/>
        <v>0</v>
      </c>
      <c r="AE27" s="205">
        <f t="shared" si="20"/>
        <v>0</v>
      </c>
      <c r="AF27" s="250"/>
      <c r="AG27" s="254"/>
      <c r="AH27" s="254"/>
      <c r="AI27" s="44"/>
      <c r="AJ27" s="44"/>
      <c r="AK27" s="44"/>
      <c r="AL27" s="44"/>
      <c r="AM27" s="44"/>
      <c r="AN27" s="44"/>
      <c r="AO27" s="44"/>
      <c r="AP27" s="44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317"/>
      <c r="BF27" s="318"/>
      <c r="BG27" s="318"/>
      <c r="BH27" s="318"/>
      <c r="BI27" s="319"/>
      <c r="BJ27" s="318"/>
      <c r="BK27" s="318"/>
    </row>
    <row r="28" spans="1:63" ht="15" x14ac:dyDescent="0.2">
      <c r="A28" s="331" t="s">
        <v>117</v>
      </c>
      <c r="B28" s="321"/>
      <c r="C28" s="321"/>
      <c r="D28" s="321"/>
      <c r="E28" s="332">
        <f t="shared" ref="E28:AE28" si="21">+E26+E27</f>
        <v>0</v>
      </c>
      <c r="F28" s="332">
        <f t="shared" si="21"/>
        <v>0</v>
      </c>
      <c r="G28" s="332">
        <f t="shared" si="21"/>
        <v>0</v>
      </c>
      <c r="H28" s="332">
        <f t="shared" si="21"/>
        <v>0</v>
      </c>
      <c r="I28" s="332">
        <f t="shared" si="21"/>
        <v>0</v>
      </c>
      <c r="J28" s="332">
        <f t="shared" si="21"/>
        <v>0</v>
      </c>
      <c r="K28" s="332">
        <f t="shared" si="21"/>
        <v>0</v>
      </c>
      <c r="L28" s="332">
        <f t="shared" si="21"/>
        <v>0</v>
      </c>
      <c r="M28" s="332">
        <f t="shared" si="21"/>
        <v>0</v>
      </c>
      <c r="N28" s="332">
        <f t="shared" si="21"/>
        <v>0</v>
      </c>
      <c r="O28" s="332">
        <f t="shared" si="21"/>
        <v>0</v>
      </c>
      <c r="P28" s="332">
        <f t="shared" si="21"/>
        <v>0</v>
      </c>
      <c r="Q28" s="332">
        <f t="shared" si="21"/>
        <v>0</v>
      </c>
      <c r="R28" s="332">
        <f t="shared" si="21"/>
        <v>0</v>
      </c>
      <c r="S28" s="332">
        <f t="shared" si="21"/>
        <v>0</v>
      </c>
      <c r="T28" s="332">
        <f t="shared" si="21"/>
        <v>0</v>
      </c>
      <c r="U28" s="332">
        <f t="shared" si="21"/>
        <v>0</v>
      </c>
      <c r="V28" s="332">
        <f t="shared" si="21"/>
        <v>0</v>
      </c>
      <c r="W28" s="332">
        <f t="shared" si="21"/>
        <v>0</v>
      </c>
      <c r="X28" s="332">
        <f t="shared" si="21"/>
        <v>0</v>
      </c>
      <c r="Y28" s="332">
        <f t="shared" si="21"/>
        <v>0</v>
      </c>
      <c r="Z28" s="332">
        <f t="shared" si="21"/>
        <v>0</v>
      </c>
      <c r="AA28" s="332">
        <f t="shared" si="21"/>
        <v>0</v>
      </c>
      <c r="AB28" s="332">
        <f t="shared" si="21"/>
        <v>0</v>
      </c>
      <c r="AC28" s="332">
        <f t="shared" si="21"/>
        <v>0</v>
      </c>
      <c r="AD28" s="332">
        <f t="shared" si="21"/>
        <v>0</v>
      </c>
      <c r="AE28" s="333">
        <f t="shared" si="21"/>
        <v>0</v>
      </c>
      <c r="AF28" s="250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317"/>
      <c r="BF28" s="317"/>
      <c r="BG28" s="318"/>
      <c r="BH28" s="318"/>
      <c r="BI28" s="319"/>
      <c r="BJ28" s="318"/>
      <c r="BK28" s="318"/>
    </row>
    <row r="29" spans="1:63" ht="15" x14ac:dyDescent="0.2">
      <c r="A29" s="334" t="s">
        <v>118</v>
      </c>
      <c r="B29" s="44"/>
      <c r="C29" s="44"/>
      <c r="D29" s="44"/>
      <c r="E29" s="324">
        <f>E25-E26</f>
        <v>0</v>
      </c>
      <c r="F29" s="324">
        <f t="shared" ref="F29:AD29" si="22">F25-F26</f>
        <v>0</v>
      </c>
      <c r="G29" s="324">
        <f t="shared" si="22"/>
        <v>0</v>
      </c>
      <c r="H29" s="324">
        <f t="shared" si="22"/>
        <v>0</v>
      </c>
      <c r="I29" s="324">
        <f t="shared" si="22"/>
        <v>0</v>
      </c>
      <c r="J29" s="324">
        <f t="shared" si="22"/>
        <v>0</v>
      </c>
      <c r="K29" s="324">
        <f t="shared" si="22"/>
        <v>0</v>
      </c>
      <c r="L29" s="324">
        <f t="shared" si="22"/>
        <v>0</v>
      </c>
      <c r="M29" s="324">
        <f t="shared" si="22"/>
        <v>0</v>
      </c>
      <c r="N29" s="324">
        <f t="shared" si="22"/>
        <v>0</v>
      </c>
      <c r="O29" s="324">
        <f t="shared" si="22"/>
        <v>0</v>
      </c>
      <c r="P29" s="324">
        <f t="shared" si="22"/>
        <v>0</v>
      </c>
      <c r="Q29" s="324">
        <f t="shared" si="22"/>
        <v>0</v>
      </c>
      <c r="R29" s="324">
        <f t="shared" si="22"/>
        <v>0</v>
      </c>
      <c r="S29" s="324">
        <f t="shared" si="22"/>
        <v>0</v>
      </c>
      <c r="T29" s="324">
        <f t="shared" si="22"/>
        <v>0</v>
      </c>
      <c r="U29" s="324">
        <f t="shared" si="22"/>
        <v>0</v>
      </c>
      <c r="V29" s="324">
        <f t="shared" si="22"/>
        <v>0</v>
      </c>
      <c r="W29" s="324">
        <f t="shared" si="22"/>
        <v>0</v>
      </c>
      <c r="X29" s="324">
        <f t="shared" si="22"/>
        <v>0</v>
      </c>
      <c r="Y29" s="324">
        <f t="shared" si="22"/>
        <v>0</v>
      </c>
      <c r="Z29" s="324">
        <f t="shared" si="22"/>
        <v>0</v>
      </c>
      <c r="AA29" s="324">
        <f t="shared" si="22"/>
        <v>0</v>
      </c>
      <c r="AB29" s="324">
        <f t="shared" si="22"/>
        <v>0</v>
      </c>
      <c r="AC29" s="324">
        <f t="shared" si="22"/>
        <v>0</v>
      </c>
      <c r="AD29" s="324">
        <f t="shared" si="22"/>
        <v>0</v>
      </c>
      <c r="AE29" s="335">
        <f>MAX(AE25-AE26,0)</f>
        <v>0</v>
      </c>
      <c r="AF29" s="250"/>
      <c r="AG29" s="254"/>
      <c r="AH29" s="44"/>
      <c r="AI29" s="44"/>
      <c r="AJ29" s="44"/>
      <c r="AK29" s="44"/>
      <c r="AL29" s="44"/>
      <c r="AM29" s="44"/>
      <c r="AN29" s="44"/>
      <c r="AO29" s="321"/>
      <c r="AP29" s="321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17"/>
      <c r="BF29" s="317"/>
      <c r="BG29" s="318"/>
      <c r="BH29" s="318"/>
      <c r="BI29" s="319"/>
      <c r="BJ29" s="318"/>
      <c r="BK29" s="318"/>
    </row>
    <row r="30" spans="1:63" ht="15" x14ac:dyDescent="0.2">
      <c r="A30" s="203" t="s">
        <v>119</v>
      </c>
      <c r="B30" s="44"/>
      <c r="C30" s="44"/>
      <c r="D30" s="44"/>
      <c r="E30" s="77">
        <f t="shared" ref="E30:AE30" si="23">+tranche2amt*E35</f>
        <v>0</v>
      </c>
      <c r="F30" s="77">
        <f t="shared" si="23"/>
        <v>0</v>
      </c>
      <c r="G30" s="77">
        <f t="shared" si="23"/>
        <v>0</v>
      </c>
      <c r="H30" s="77">
        <f t="shared" si="23"/>
        <v>0</v>
      </c>
      <c r="I30" s="77">
        <f t="shared" si="23"/>
        <v>0</v>
      </c>
      <c r="J30" s="77">
        <f t="shared" si="23"/>
        <v>0</v>
      </c>
      <c r="K30" s="77">
        <f t="shared" si="23"/>
        <v>0</v>
      </c>
      <c r="L30" s="77">
        <f t="shared" si="23"/>
        <v>0</v>
      </c>
      <c r="M30" s="77">
        <f t="shared" si="23"/>
        <v>0</v>
      </c>
      <c r="N30" s="77">
        <f t="shared" si="23"/>
        <v>0</v>
      </c>
      <c r="O30" s="77">
        <f t="shared" si="23"/>
        <v>0</v>
      </c>
      <c r="P30" s="77">
        <f t="shared" si="23"/>
        <v>0</v>
      </c>
      <c r="Q30" s="77">
        <f t="shared" si="23"/>
        <v>0</v>
      </c>
      <c r="R30" s="77">
        <f t="shared" si="23"/>
        <v>0</v>
      </c>
      <c r="S30" s="77">
        <f t="shared" si="23"/>
        <v>0</v>
      </c>
      <c r="T30" s="77">
        <f t="shared" si="23"/>
        <v>0</v>
      </c>
      <c r="U30" s="77">
        <f t="shared" si="23"/>
        <v>0</v>
      </c>
      <c r="V30" s="77">
        <f t="shared" si="23"/>
        <v>0</v>
      </c>
      <c r="W30" s="77">
        <f t="shared" si="23"/>
        <v>0</v>
      </c>
      <c r="X30" s="77">
        <f t="shared" si="23"/>
        <v>0</v>
      </c>
      <c r="Y30" s="77">
        <f t="shared" si="23"/>
        <v>0</v>
      </c>
      <c r="Z30" s="77">
        <f t="shared" si="23"/>
        <v>0</v>
      </c>
      <c r="AA30" s="77">
        <f t="shared" si="23"/>
        <v>0</v>
      </c>
      <c r="AB30" s="77">
        <f t="shared" si="23"/>
        <v>0</v>
      </c>
      <c r="AC30" s="77">
        <f t="shared" si="23"/>
        <v>0</v>
      </c>
      <c r="AD30" s="77">
        <f t="shared" si="23"/>
        <v>0</v>
      </c>
      <c r="AE30" s="77">
        <f t="shared" si="23"/>
        <v>0</v>
      </c>
      <c r="AF30" s="250"/>
      <c r="AG30" s="254"/>
      <c r="AH30" s="254"/>
      <c r="AI30" s="44"/>
      <c r="AJ30" s="44"/>
      <c r="AK30" s="44"/>
      <c r="AL30" s="44"/>
      <c r="AM30" s="44"/>
      <c r="AN30" s="198"/>
      <c r="AO30" s="44"/>
      <c r="AP30" s="4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4"/>
      <c r="BA30" s="324"/>
      <c r="BB30" s="324"/>
      <c r="BC30" s="324"/>
      <c r="BD30" s="324"/>
      <c r="BE30" s="317"/>
      <c r="BF30" s="317"/>
      <c r="BG30" s="318"/>
      <c r="BH30" s="318"/>
      <c r="BI30" s="319"/>
      <c r="BJ30" s="318"/>
      <c r="BK30" s="318"/>
    </row>
    <row r="31" spans="1:63" ht="15" x14ac:dyDescent="0.2">
      <c r="A31" s="203" t="s">
        <v>120</v>
      </c>
      <c r="B31" s="44"/>
      <c r="C31" s="44"/>
      <c r="D31" s="44"/>
      <c r="E31" s="77">
        <f>+E29*tranche2cost*MIN(6,E19)/12</f>
        <v>0</v>
      </c>
      <c r="F31" s="77">
        <f t="shared" ref="F31:AE31" si="24">+F29*tranche2cost*(E$6-6)/12</f>
        <v>0</v>
      </c>
      <c r="G31" s="77">
        <f t="shared" si="24"/>
        <v>0</v>
      </c>
      <c r="H31" s="77">
        <f t="shared" si="24"/>
        <v>0</v>
      </c>
      <c r="I31" s="77">
        <f t="shared" si="24"/>
        <v>0</v>
      </c>
      <c r="J31" s="77">
        <f t="shared" si="24"/>
        <v>0</v>
      </c>
      <c r="K31" s="77">
        <f t="shared" si="24"/>
        <v>0</v>
      </c>
      <c r="L31" s="77">
        <f t="shared" si="24"/>
        <v>0</v>
      </c>
      <c r="M31" s="77">
        <f t="shared" si="24"/>
        <v>0</v>
      </c>
      <c r="N31" s="77">
        <f t="shared" si="24"/>
        <v>0</v>
      </c>
      <c r="O31" s="77">
        <f t="shared" si="24"/>
        <v>0</v>
      </c>
      <c r="P31" s="77">
        <f t="shared" si="24"/>
        <v>0</v>
      </c>
      <c r="Q31" s="77">
        <f t="shared" si="24"/>
        <v>0</v>
      </c>
      <c r="R31" s="77">
        <f t="shared" si="24"/>
        <v>0</v>
      </c>
      <c r="S31" s="77">
        <f t="shared" si="24"/>
        <v>0</v>
      </c>
      <c r="T31" s="77">
        <f t="shared" si="24"/>
        <v>0</v>
      </c>
      <c r="U31" s="77">
        <f t="shared" si="24"/>
        <v>0</v>
      </c>
      <c r="V31" s="77">
        <f t="shared" si="24"/>
        <v>0</v>
      </c>
      <c r="W31" s="77">
        <f t="shared" si="24"/>
        <v>0</v>
      </c>
      <c r="X31" s="77">
        <f t="shared" si="24"/>
        <v>0</v>
      </c>
      <c r="Y31" s="77">
        <f t="shared" si="24"/>
        <v>0</v>
      </c>
      <c r="Z31" s="77">
        <f t="shared" si="24"/>
        <v>0</v>
      </c>
      <c r="AA31" s="77">
        <f t="shared" si="24"/>
        <v>0</v>
      </c>
      <c r="AB31" s="77">
        <f t="shared" si="24"/>
        <v>0</v>
      </c>
      <c r="AC31" s="77">
        <f t="shared" si="24"/>
        <v>0</v>
      </c>
      <c r="AD31" s="77">
        <f t="shared" si="24"/>
        <v>0</v>
      </c>
      <c r="AE31" s="205">
        <f t="shared" si="24"/>
        <v>0</v>
      </c>
      <c r="AF31" s="250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317"/>
      <c r="BF31" s="317"/>
      <c r="BG31" s="318"/>
      <c r="BH31" s="318"/>
      <c r="BI31" s="319"/>
      <c r="BJ31" s="318"/>
      <c r="BK31" s="318"/>
    </row>
    <row r="32" spans="1:63" ht="15" x14ac:dyDescent="0.2">
      <c r="A32" s="331" t="s">
        <v>121</v>
      </c>
      <c r="B32" s="321"/>
      <c r="C32" s="321"/>
      <c r="D32" s="321"/>
      <c r="E32" s="322">
        <f t="shared" ref="E32:AE32" si="25">+E30+E31</f>
        <v>0</v>
      </c>
      <c r="F32" s="322">
        <f t="shared" si="25"/>
        <v>0</v>
      </c>
      <c r="G32" s="322">
        <f t="shared" si="25"/>
        <v>0</v>
      </c>
      <c r="H32" s="322">
        <f t="shared" si="25"/>
        <v>0</v>
      </c>
      <c r="I32" s="322">
        <f t="shared" si="25"/>
        <v>0</v>
      </c>
      <c r="J32" s="322">
        <f t="shared" si="25"/>
        <v>0</v>
      </c>
      <c r="K32" s="322">
        <f t="shared" si="25"/>
        <v>0</v>
      </c>
      <c r="L32" s="322">
        <f t="shared" si="25"/>
        <v>0</v>
      </c>
      <c r="M32" s="322">
        <f t="shared" si="25"/>
        <v>0</v>
      </c>
      <c r="N32" s="322">
        <f t="shared" si="25"/>
        <v>0</v>
      </c>
      <c r="O32" s="322">
        <f t="shared" si="25"/>
        <v>0</v>
      </c>
      <c r="P32" s="322">
        <f t="shared" si="25"/>
        <v>0</v>
      </c>
      <c r="Q32" s="322">
        <f t="shared" si="25"/>
        <v>0</v>
      </c>
      <c r="R32" s="322">
        <f t="shared" si="25"/>
        <v>0</v>
      </c>
      <c r="S32" s="322">
        <f t="shared" si="25"/>
        <v>0</v>
      </c>
      <c r="T32" s="322">
        <f t="shared" si="25"/>
        <v>0</v>
      </c>
      <c r="U32" s="322">
        <f t="shared" si="25"/>
        <v>0</v>
      </c>
      <c r="V32" s="322">
        <f t="shared" si="25"/>
        <v>0</v>
      </c>
      <c r="W32" s="322">
        <f t="shared" si="25"/>
        <v>0</v>
      </c>
      <c r="X32" s="322">
        <f t="shared" si="25"/>
        <v>0</v>
      </c>
      <c r="Y32" s="322">
        <f t="shared" si="25"/>
        <v>0</v>
      </c>
      <c r="Z32" s="322">
        <f t="shared" si="25"/>
        <v>0</v>
      </c>
      <c r="AA32" s="322">
        <f t="shared" si="25"/>
        <v>0</v>
      </c>
      <c r="AB32" s="322">
        <f t="shared" si="25"/>
        <v>0</v>
      </c>
      <c r="AC32" s="322">
        <f t="shared" si="25"/>
        <v>0</v>
      </c>
      <c r="AD32" s="322">
        <f t="shared" si="25"/>
        <v>0</v>
      </c>
      <c r="AE32" s="336">
        <f t="shared" si="25"/>
        <v>0</v>
      </c>
      <c r="AF32" s="250"/>
      <c r="AG32" s="254"/>
      <c r="AH32" s="44"/>
      <c r="AI32" s="44"/>
      <c r="AJ32" s="44"/>
      <c r="AK32" s="44"/>
      <c r="AL32" s="44"/>
      <c r="AM32" s="44"/>
      <c r="AN32" s="44"/>
      <c r="AO32" s="44"/>
      <c r="AP32" s="44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317"/>
      <c r="BF32" s="317"/>
      <c r="BG32" s="318"/>
      <c r="BH32" s="318"/>
      <c r="BI32" s="319"/>
      <c r="BJ32" s="318"/>
      <c r="BK32" s="318"/>
    </row>
    <row r="33" spans="1:63" ht="15" x14ac:dyDescent="0.2">
      <c r="A33" s="337" t="s">
        <v>122</v>
      </c>
      <c r="B33" s="226"/>
      <c r="C33" s="410"/>
      <c r="D33" s="410"/>
      <c r="E33" s="338">
        <f>E29-E30</f>
        <v>0</v>
      </c>
      <c r="F33" s="338">
        <f t="shared" ref="F33:AE33" si="26">F29-F30</f>
        <v>0</v>
      </c>
      <c r="G33" s="338">
        <f t="shared" si="26"/>
        <v>0</v>
      </c>
      <c r="H33" s="338">
        <f t="shared" si="26"/>
        <v>0</v>
      </c>
      <c r="I33" s="338">
        <f t="shared" si="26"/>
        <v>0</v>
      </c>
      <c r="J33" s="338">
        <f t="shared" si="26"/>
        <v>0</v>
      </c>
      <c r="K33" s="338">
        <f t="shared" si="26"/>
        <v>0</v>
      </c>
      <c r="L33" s="338">
        <f t="shared" si="26"/>
        <v>0</v>
      </c>
      <c r="M33" s="338">
        <f t="shared" si="26"/>
        <v>0</v>
      </c>
      <c r="N33" s="338">
        <f t="shared" si="26"/>
        <v>0</v>
      </c>
      <c r="O33" s="338">
        <f t="shared" si="26"/>
        <v>0</v>
      </c>
      <c r="P33" s="338">
        <f t="shared" si="26"/>
        <v>0</v>
      </c>
      <c r="Q33" s="338">
        <f t="shared" si="26"/>
        <v>0</v>
      </c>
      <c r="R33" s="338">
        <f t="shared" si="26"/>
        <v>0</v>
      </c>
      <c r="S33" s="338">
        <f t="shared" si="26"/>
        <v>0</v>
      </c>
      <c r="T33" s="338">
        <f t="shared" si="26"/>
        <v>0</v>
      </c>
      <c r="U33" s="338">
        <f t="shared" si="26"/>
        <v>0</v>
      </c>
      <c r="V33" s="338">
        <f t="shared" si="26"/>
        <v>0</v>
      </c>
      <c r="W33" s="338">
        <f t="shared" si="26"/>
        <v>0</v>
      </c>
      <c r="X33" s="338">
        <f t="shared" si="26"/>
        <v>0</v>
      </c>
      <c r="Y33" s="338">
        <f t="shared" si="26"/>
        <v>0</v>
      </c>
      <c r="Z33" s="338">
        <f t="shared" si="26"/>
        <v>0</v>
      </c>
      <c r="AA33" s="338">
        <f t="shared" si="26"/>
        <v>0</v>
      </c>
      <c r="AB33" s="338">
        <f t="shared" si="26"/>
        <v>0</v>
      </c>
      <c r="AC33" s="338">
        <f t="shared" si="26"/>
        <v>0</v>
      </c>
      <c r="AD33" s="338">
        <f t="shared" si="26"/>
        <v>0</v>
      </c>
      <c r="AE33" s="338">
        <f t="shared" si="26"/>
        <v>0</v>
      </c>
      <c r="AF33" s="250"/>
      <c r="AG33" s="254"/>
      <c r="AH33" s="254"/>
      <c r="AI33" s="44"/>
      <c r="AJ33" s="44"/>
      <c r="AK33" s="44"/>
      <c r="AL33" s="44"/>
      <c r="AM33" s="44"/>
      <c r="AN33" s="44"/>
      <c r="AO33" s="321"/>
      <c r="AP33" s="321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317"/>
      <c r="BF33" s="317"/>
      <c r="BG33" s="318"/>
      <c r="BH33" s="318"/>
      <c r="BI33" s="319"/>
      <c r="BJ33" s="318"/>
      <c r="BK33" s="318"/>
    </row>
    <row r="34" spans="1:63" s="346" customFormat="1" ht="15" x14ac:dyDescent="0.2">
      <c r="A34" s="339" t="s">
        <v>123</v>
      </c>
      <c r="B34" s="340"/>
      <c r="C34" s="340"/>
      <c r="D34" s="340"/>
      <c r="E34" s="341">
        <f t="shared" ref="E34:AE34" si="27">+IF(OR(E$8&lt;=tranche2grace,E$8&gt;tranche2reppd+tranche2grace),0,IF(tranche2amort=1,1/tranche2reppd,-PPMT(tranche2cost/2,MAX(0,E$8-tranche2grace),tranche2reppd,1)))</f>
        <v>0</v>
      </c>
      <c r="F34" s="341">
        <f t="shared" si="27"/>
        <v>7.1428571428571425E-2</v>
      </c>
      <c r="G34" s="341">
        <f t="shared" si="27"/>
        <v>7.1428571428571425E-2</v>
      </c>
      <c r="H34" s="341">
        <f t="shared" si="27"/>
        <v>7.1428571428571425E-2</v>
      </c>
      <c r="I34" s="341">
        <f t="shared" si="27"/>
        <v>7.1428571428571425E-2</v>
      </c>
      <c r="J34" s="341">
        <f t="shared" si="27"/>
        <v>7.1428571428571425E-2</v>
      </c>
      <c r="K34" s="341">
        <f t="shared" si="27"/>
        <v>7.1428571428571425E-2</v>
      </c>
      <c r="L34" s="341">
        <f t="shared" si="27"/>
        <v>7.1428571428571425E-2</v>
      </c>
      <c r="M34" s="341">
        <f t="shared" si="27"/>
        <v>0</v>
      </c>
      <c r="N34" s="341">
        <f t="shared" si="27"/>
        <v>0</v>
      </c>
      <c r="O34" s="341">
        <f t="shared" si="27"/>
        <v>0</v>
      </c>
      <c r="P34" s="341">
        <f t="shared" si="27"/>
        <v>0</v>
      </c>
      <c r="Q34" s="341">
        <f t="shared" si="27"/>
        <v>0</v>
      </c>
      <c r="R34" s="341">
        <f t="shared" si="27"/>
        <v>0</v>
      </c>
      <c r="S34" s="341">
        <f t="shared" si="27"/>
        <v>0</v>
      </c>
      <c r="T34" s="341">
        <f t="shared" si="27"/>
        <v>0</v>
      </c>
      <c r="U34" s="341">
        <f t="shared" si="27"/>
        <v>0</v>
      </c>
      <c r="V34" s="341">
        <f t="shared" si="27"/>
        <v>0</v>
      </c>
      <c r="W34" s="341">
        <f t="shared" si="27"/>
        <v>0</v>
      </c>
      <c r="X34" s="341">
        <f t="shared" si="27"/>
        <v>0</v>
      </c>
      <c r="Y34" s="341">
        <f t="shared" si="27"/>
        <v>0</v>
      </c>
      <c r="Z34" s="341">
        <f t="shared" si="27"/>
        <v>0</v>
      </c>
      <c r="AA34" s="341">
        <f t="shared" si="27"/>
        <v>0</v>
      </c>
      <c r="AB34" s="341">
        <f t="shared" si="27"/>
        <v>0</v>
      </c>
      <c r="AC34" s="341">
        <f t="shared" si="27"/>
        <v>0</v>
      </c>
      <c r="AD34" s="341">
        <f t="shared" si="27"/>
        <v>0</v>
      </c>
      <c r="AE34" s="341">
        <f t="shared" si="27"/>
        <v>0</v>
      </c>
      <c r="AF34" s="342">
        <f>SUM(E34:AE34)</f>
        <v>0.49999999999999989</v>
      </c>
      <c r="AG34" s="343"/>
      <c r="AH34" s="321"/>
      <c r="AI34" s="657"/>
      <c r="AJ34" s="657"/>
      <c r="AK34" s="657"/>
      <c r="AL34" s="657"/>
      <c r="AM34" s="657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/>
      <c r="AY34" s="321"/>
      <c r="AZ34" s="321"/>
      <c r="BA34" s="321"/>
      <c r="BB34" s="321"/>
      <c r="BC34" s="321"/>
      <c r="BD34" s="321"/>
      <c r="BE34" s="323"/>
      <c r="BF34" s="323"/>
      <c r="BG34" s="344"/>
      <c r="BH34" s="344"/>
      <c r="BI34" s="345"/>
      <c r="BJ34" s="344"/>
      <c r="BK34" s="344"/>
    </row>
    <row r="35" spans="1:63" s="346" customFormat="1" ht="15" x14ac:dyDescent="0.2">
      <c r="A35" s="347" t="s">
        <v>124</v>
      </c>
      <c r="B35" s="348"/>
      <c r="C35" s="348"/>
      <c r="D35" s="348"/>
      <c r="E35" s="349">
        <f t="shared" ref="E35:AE35" si="28">+IF(OR(E$9&lt;=tranche2grace,E$9&gt;tranche2reppd+tranche2grace),0,IF(tranche2amort=1,1/tranche2reppd,-PPMT(tranche2cost/2,MAX(0,E$9-tranche2grace),tranche2reppd,1)))</f>
        <v>7.1428571428571425E-2</v>
      </c>
      <c r="F35" s="349">
        <f t="shared" si="28"/>
        <v>7.1428571428571425E-2</v>
      </c>
      <c r="G35" s="349">
        <f t="shared" si="28"/>
        <v>7.1428571428571425E-2</v>
      </c>
      <c r="H35" s="349">
        <f t="shared" si="28"/>
        <v>7.1428571428571425E-2</v>
      </c>
      <c r="I35" s="349">
        <f t="shared" si="28"/>
        <v>7.1428571428571425E-2</v>
      </c>
      <c r="J35" s="349">
        <f t="shared" si="28"/>
        <v>7.1428571428571425E-2</v>
      </c>
      <c r="K35" s="349">
        <f t="shared" si="28"/>
        <v>7.1428571428571425E-2</v>
      </c>
      <c r="L35" s="349">
        <f t="shared" si="28"/>
        <v>0</v>
      </c>
      <c r="M35" s="349">
        <f t="shared" si="28"/>
        <v>0</v>
      </c>
      <c r="N35" s="349">
        <f t="shared" si="28"/>
        <v>0</v>
      </c>
      <c r="O35" s="349">
        <f t="shared" si="28"/>
        <v>0</v>
      </c>
      <c r="P35" s="349">
        <f t="shared" si="28"/>
        <v>0</v>
      </c>
      <c r="Q35" s="349">
        <f t="shared" si="28"/>
        <v>0</v>
      </c>
      <c r="R35" s="349">
        <f t="shared" si="28"/>
        <v>0</v>
      </c>
      <c r="S35" s="349">
        <f t="shared" si="28"/>
        <v>0</v>
      </c>
      <c r="T35" s="349">
        <f t="shared" si="28"/>
        <v>0</v>
      </c>
      <c r="U35" s="349">
        <f t="shared" si="28"/>
        <v>0</v>
      </c>
      <c r="V35" s="349">
        <f t="shared" si="28"/>
        <v>0</v>
      </c>
      <c r="W35" s="349">
        <f t="shared" si="28"/>
        <v>0</v>
      </c>
      <c r="X35" s="349">
        <f t="shared" si="28"/>
        <v>0</v>
      </c>
      <c r="Y35" s="349">
        <f t="shared" si="28"/>
        <v>0</v>
      </c>
      <c r="Z35" s="349">
        <f t="shared" si="28"/>
        <v>0</v>
      </c>
      <c r="AA35" s="349">
        <f t="shared" si="28"/>
        <v>0</v>
      </c>
      <c r="AB35" s="349">
        <f t="shared" si="28"/>
        <v>0</v>
      </c>
      <c r="AC35" s="349">
        <f t="shared" si="28"/>
        <v>0</v>
      </c>
      <c r="AD35" s="349">
        <f t="shared" si="28"/>
        <v>0</v>
      </c>
      <c r="AE35" s="349">
        <f t="shared" si="28"/>
        <v>0</v>
      </c>
      <c r="AF35" s="350">
        <f>SUM(E35:AE35)</f>
        <v>0.49999999999999989</v>
      </c>
      <c r="AG35" s="351">
        <f>+AF35+AF34</f>
        <v>0.99999999999999978</v>
      </c>
      <c r="AH35" s="321"/>
      <c r="AI35" s="657"/>
      <c r="AJ35" s="657"/>
      <c r="AK35" s="657"/>
      <c r="AL35" s="657"/>
      <c r="AM35" s="657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3"/>
      <c r="BF35" s="323"/>
      <c r="BG35" s="344"/>
      <c r="BH35" s="344"/>
      <c r="BI35" s="345"/>
      <c r="BJ35" s="344"/>
      <c r="BK35" s="344"/>
    </row>
    <row r="36" spans="1:63" ht="17.25" x14ac:dyDescent="0.35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54"/>
      <c r="AF36" s="44"/>
      <c r="AG36" s="254"/>
      <c r="AH36" s="44"/>
      <c r="AI36" s="353"/>
      <c r="AJ36" s="353"/>
      <c r="AK36" s="353"/>
      <c r="AL36" s="353"/>
      <c r="AM36" s="353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317"/>
      <c r="BF36" s="317"/>
      <c r="BG36" s="318"/>
      <c r="BH36" s="318"/>
      <c r="BI36" s="319"/>
      <c r="BJ36" s="318"/>
      <c r="BK36" s="318"/>
    </row>
    <row r="37" spans="1:63" ht="15" x14ac:dyDescent="0.2">
      <c r="A37" s="325" t="str">
        <f>+Assumpt!$G$54</f>
        <v>Tranche 3</v>
      </c>
      <c r="B37" s="200"/>
      <c r="C37" s="200"/>
      <c r="D37" s="200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7"/>
      <c r="AF37" s="246"/>
      <c r="AG37" s="254"/>
      <c r="AH37" s="254"/>
      <c r="AI37" s="44"/>
      <c r="AJ37" s="44"/>
      <c r="AK37" s="44"/>
      <c r="AL37" s="44"/>
      <c r="AM37" s="44"/>
      <c r="AN37" s="44"/>
      <c r="AO37" s="44"/>
      <c r="AP37" s="44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317"/>
      <c r="BF37" s="318"/>
      <c r="BG37" s="318"/>
      <c r="BH37" s="318"/>
      <c r="BI37" s="319"/>
      <c r="BJ37" s="318"/>
      <c r="BK37" s="318"/>
    </row>
    <row r="38" spans="1:63" ht="15" x14ac:dyDescent="0.2">
      <c r="A38" s="325" t="s">
        <v>114</v>
      </c>
      <c r="B38" s="200"/>
      <c r="C38" s="200"/>
      <c r="D38" s="200"/>
      <c r="E38" s="328">
        <f>+tranche3amt</f>
        <v>0</v>
      </c>
      <c r="F38" s="328">
        <f t="shared" ref="F38:AE38" si="29">+E46</f>
        <v>0</v>
      </c>
      <c r="G38" s="328">
        <f t="shared" si="29"/>
        <v>0</v>
      </c>
      <c r="H38" s="328">
        <f t="shared" si="29"/>
        <v>0</v>
      </c>
      <c r="I38" s="328">
        <f t="shared" si="29"/>
        <v>0</v>
      </c>
      <c r="J38" s="328">
        <f t="shared" si="29"/>
        <v>0</v>
      </c>
      <c r="K38" s="328">
        <f t="shared" si="29"/>
        <v>0</v>
      </c>
      <c r="L38" s="328">
        <f t="shared" si="29"/>
        <v>0</v>
      </c>
      <c r="M38" s="328">
        <f t="shared" si="29"/>
        <v>0</v>
      </c>
      <c r="N38" s="328">
        <f t="shared" si="29"/>
        <v>0</v>
      </c>
      <c r="O38" s="328">
        <f t="shared" si="29"/>
        <v>0</v>
      </c>
      <c r="P38" s="328">
        <f t="shared" si="29"/>
        <v>0</v>
      </c>
      <c r="Q38" s="328">
        <f t="shared" si="29"/>
        <v>0</v>
      </c>
      <c r="R38" s="328">
        <f t="shared" si="29"/>
        <v>0</v>
      </c>
      <c r="S38" s="328">
        <f t="shared" si="29"/>
        <v>0</v>
      </c>
      <c r="T38" s="328">
        <f t="shared" si="29"/>
        <v>0</v>
      </c>
      <c r="U38" s="328">
        <f t="shared" si="29"/>
        <v>0</v>
      </c>
      <c r="V38" s="328">
        <f t="shared" si="29"/>
        <v>0</v>
      </c>
      <c r="W38" s="328">
        <f t="shared" si="29"/>
        <v>0</v>
      </c>
      <c r="X38" s="328">
        <f t="shared" si="29"/>
        <v>0</v>
      </c>
      <c r="Y38" s="328">
        <f t="shared" si="29"/>
        <v>0</v>
      </c>
      <c r="Z38" s="328">
        <f t="shared" si="29"/>
        <v>0</v>
      </c>
      <c r="AA38" s="328">
        <f t="shared" si="29"/>
        <v>0</v>
      </c>
      <c r="AB38" s="328">
        <f t="shared" si="29"/>
        <v>0</v>
      </c>
      <c r="AC38" s="328">
        <f t="shared" si="29"/>
        <v>0</v>
      </c>
      <c r="AD38" s="328">
        <f t="shared" si="29"/>
        <v>0</v>
      </c>
      <c r="AE38" s="329">
        <f t="shared" si="29"/>
        <v>0</v>
      </c>
      <c r="AF38" s="250"/>
      <c r="AG38" s="44"/>
      <c r="AH38" s="44"/>
      <c r="AI38" s="44"/>
      <c r="AJ38" s="44"/>
      <c r="AK38" s="44"/>
      <c r="AL38" s="44"/>
      <c r="AM38" s="44"/>
      <c r="AN38" s="44"/>
      <c r="AO38" s="321"/>
      <c r="AP38" s="321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17"/>
      <c r="BF38" s="318"/>
      <c r="BG38" s="318"/>
      <c r="BH38" s="318"/>
      <c r="BI38" s="319"/>
      <c r="BJ38" s="318"/>
      <c r="BK38" s="318"/>
    </row>
    <row r="39" spans="1:63" ht="15" x14ac:dyDescent="0.2">
      <c r="A39" s="203" t="s">
        <v>115</v>
      </c>
      <c r="B39" s="44"/>
      <c r="C39" s="44"/>
      <c r="D39" s="44"/>
      <c r="E39" s="77">
        <f t="shared" ref="E39:AE39" si="30">+tranche3amt*E47</f>
        <v>0</v>
      </c>
      <c r="F39" s="77">
        <f t="shared" si="30"/>
        <v>0</v>
      </c>
      <c r="G39" s="77">
        <f t="shared" si="30"/>
        <v>0</v>
      </c>
      <c r="H39" s="77">
        <f t="shared" si="30"/>
        <v>0</v>
      </c>
      <c r="I39" s="77">
        <f t="shared" si="30"/>
        <v>0</v>
      </c>
      <c r="J39" s="77">
        <f t="shared" si="30"/>
        <v>0</v>
      </c>
      <c r="K39" s="77">
        <f t="shared" si="30"/>
        <v>0</v>
      </c>
      <c r="L39" s="77">
        <f t="shared" si="30"/>
        <v>0</v>
      </c>
      <c r="M39" s="77">
        <f t="shared" si="30"/>
        <v>0</v>
      </c>
      <c r="N39" s="77">
        <f t="shared" si="30"/>
        <v>0</v>
      </c>
      <c r="O39" s="77">
        <f t="shared" si="30"/>
        <v>0</v>
      </c>
      <c r="P39" s="77">
        <f t="shared" si="30"/>
        <v>0</v>
      </c>
      <c r="Q39" s="77">
        <f t="shared" si="30"/>
        <v>0</v>
      </c>
      <c r="R39" s="77">
        <f t="shared" si="30"/>
        <v>0</v>
      </c>
      <c r="S39" s="77">
        <f t="shared" si="30"/>
        <v>0</v>
      </c>
      <c r="T39" s="77">
        <f t="shared" si="30"/>
        <v>0</v>
      </c>
      <c r="U39" s="77">
        <f t="shared" si="30"/>
        <v>0</v>
      </c>
      <c r="V39" s="77">
        <f t="shared" si="30"/>
        <v>0</v>
      </c>
      <c r="W39" s="77">
        <f t="shared" si="30"/>
        <v>0</v>
      </c>
      <c r="X39" s="77">
        <f t="shared" si="30"/>
        <v>0</v>
      </c>
      <c r="Y39" s="77">
        <f t="shared" si="30"/>
        <v>0</v>
      </c>
      <c r="Z39" s="77">
        <f t="shared" si="30"/>
        <v>0</v>
      </c>
      <c r="AA39" s="77">
        <f t="shared" si="30"/>
        <v>0</v>
      </c>
      <c r="AB39" s="77">
        <f t="shared" si="30"/>
        <v>0</v>
      </c>
      <c r="AC39" s="77">
        <f t="shared" si="30"/>
        <v>0</v>
      </c>
      <c r="AD39" s="77">
        <f t="shared" si="30"/>
        <v>0</v>
      </c>
      <c r="AE39" s="77">
        <f t="shared" si="30"/>
        <v>0</v>
      </c>
      <c r="AF39" s="250"/>
      <c r="AG39" s="254"/>
      <c r="AH39" s="44"/>
      <c r="AI39" s="44"/>
      <c r="AJ39" s="44"/>
      <c r="AK39" s="44"/>
      <c r="AL39" s="44"/>
      <c r="AM39" s="44"/>
      <c r="AN39" s="198"/>
      <c r="AO39" s="44"/>
      <c r="AP39" s="77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17"/>
      <c r="BF39" s="318"/>
      <c r="BG39" s="318"/>
      <c r="BH39" s="318"/>
      <c r="BI39" s="319"/>
      <c r="BJ39" s="318"/>
      <c r="BK39" s="318"/>
    </row>
    <row r="40" spans="1:63" ht="15" x14ac:dyDescent="0.2">
      <c r="A40" s="203" t="s">
        <v>116</v>
      </c>
      <c r="B40" s="44"/>
      <c r="C40" s="330"/>
      <c r="D40" s="330"/>
      <c r="E40" s="77">
        <f>+E38*tranche3cost*(E$6-6)/12</f>
        <v>0</v>
      </c>
      <c r="F40" s="77">
        <f t="shared" ref="F40:AE40" si="31">+F38*tranche3cost*MIN(6,E32)/12</f>
        <v>0</v>
      </c>
      <c r="G40" s="77">
        <f t="shared" si="31"/>
        <v>0</v>
      </c>
      <c r="H40" s="77">
        <f t="shared" si="31"/>
        <v>0</v>
      </c>
      <c r="I40" s="77">
        <f t="shared" si="31"/>
        <v>0</v>
      </c>
      <c r="J40" s="77">
        <f t="shared" si="31"/>
        <v>0</v>
      </c>
      <c r="K40" s="77">
        <f t="shared" si="31"/>
        <v>0</v>
      </c>
      <c r="L40" s="77">
        <f t="shared" si="31"/>
        <v>0</v>
      </c>
      <c r="M40" s="77">
        <f t="shared" si="31"/>
        <v>0</v>
      </c>
      <c r="N40" s="77">
        <f t="shared" si="31"/>
        <v>0</v>
      </c>
      <c r="O40" s="77">
        <f t="shared" si="31"/>
        <v>0</v>
      </c>
      <c r="P40" s="77">
        <f t="shared" si="31"/>
        <v>0</v>
      </c>
      <c r="Q40" s="77">
        <f t="shared" si="31"/>
        <v>0</v>
      </c>
      <c r="R40" s="77">
        <f t="shared" si="31"/>
        <v>0</v>
      </c>
      <c r="S40" s="77">
        <f t="shared" si="31"/>
        <v>0</v>
      </c>
      <c r="T40" s="77">
        <f t="shared" si="31"/>
        <v>0</v>
      </c>
      <c r="U40" s="77">
        <f t="shared" si="31"/>
        <v>0</v>
      </c>
      <c r="V40" s="77">
        <f t="shared" si="31"/>
        <v>0</v>
      </c>
      <c r="W40" s="77">
        <f t="shared" si="31"/>
        <v>0</v>
      </c>
      <c r="X40" s="77">
        <f t="shared" si="31"/>
        <v>0</v>
      </c>
      <c r="Y40" s="77">
        <f t="shared" si="31"/>
        <v>0</v>
      </c>
      <c r="Z40" s="77">
        <f t="shared" si="31"/>
        <v>0</v>
      </c>
      <c r="AA40" s="77">
        <f t="shared" si="31"/>
        <v>0</v>
      </c>
      <c r="AB40" s="77">
        <f t="shared" si="31"/>
        <v>0</v>
      </c>
      <c r="AC40" s="77">
        <f t="shared" si="31"/>
        <v>0</v>
      </c>
      <c r="AD40" s="77">
        <f t="shared" si="31"/>
        <v>0</v>
      </c>
      <c r="AE40" s="205">
        <f t="shared" si="31"/>
        <v>0</v>
      </c>
      <c r="AF40" s="250"/>
      <c r="AG40" s="254"/>
      <c r="AH40" s="254"/>
      <c r="AI40" s="44"/>
      <c r="AJ40" s="44"/>
      <c r="AK40" s="44"/>
      <c r="AL40" s="44"/>
      <c r="AM40" s="44"/>
      <c r="AN40" s="44"/>
      <c r="AO40" s="44"/>
      <c r="AP40" s="44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317"/>
      <c r="BF40" s="318"/>
      <c r="BG40" s="318"/>
      <c r="BH40" s="318"/>
      <c r="BI40" s="319"/>
      <c r="BJ40" s="318"/>
      <c r="BK40" s="318"/>
    </row>
    <row r="41" spans="1:63" ht="15" x14ac:dyDescent="0.2">
      <c r="A41" s="331" t="s">
        <v>117</v>
      </c>
      <c r="B41" s="321"/>
      <c r="C41" s="321"/>
      <c r="D41" s="321"/>
      <c r="E41" s="332">
        <f t="shared" ref="E41:AE41" si="32">+E39+E40</f>
        <v>0</v>
      </c>
      <c r="F41" s="332">
        <f t="shared" si="32"/>
        <v>0</v>
      </c>
      <c r="G41" s="332">
        <f t="shared" si="32"/>
        <v>0</v>
      </c>
      <c r="H41" s="332">
        <f t="shared" si="32"/>
        <v>0</v>
      </c>
      <c r="I41" s="332">
        <f t="shared" si="32"/>
        <v>0</v>
      </c>
      <c r="J41" s="332">
        <f t="shared" si="32"/>
        <v>0</v>
      </c>
      <c r="K41" s="332">
        <f t="shared" si="32"/>
        <v>0</v>
      </c>
      <c r="L41" s="332">
        <f t="shared" si="32"/>
        <v>0</v>
      </c>
      <c r="M41" s="332">
        <f t="shared" si="32"/>
        <v>0</v>
      </c>
      <c r="N41" s="332">
        <f t="shared" si="32"/>
        <v>0</v>
      </c>
      <c r="O41" s="332">
        <f t="shared" si="32"/>
        <v>0</v>
      </c>
      <c r="P41" s="332">
        <f t="shared" si="32"/>
        <v>0</v>
      </c>
      <c r="Q41" s="332">
        <f t="shared" si="32"/>
        <v>0</v>
      </c>
      <c r="R41" s="332">
        <f t="shared" si="32"/>
        <v>0</v>
      </c>
      <c r="S41" s="332">
        <f t="shared" si="32"/>
        <v>0</v>
      </c>
      <c r="T41" s="332">
        <f t="shared" si="32"/>
        <v>0</v>
      </c>
      <c r="U41" s="332">
        <f t="shared" si="32"/>
        <v>0</v>
      </c>
      <c r="V41" s="332">
        <f t="shared" si="32"/>
        <v>0</v>
      </c>
      <c r="W41" s="332">
        <f t="shared" si="32"/>
        <v>0</v>
      </c>
      <c r="X41" s="332">
        <f t="shared" si="32"/>
        <v>0</v>
      </c>
      <c r="Y41" s="332">
        <f t="shared" si="32"/>
        <v>0</v>
      </c>
      <c r="Z41" s="332">
        <f t="shared" si="32"/>
        <v>0</v>
      </c>
      <c r="AA41" s="332">
        <f t="shared" si="32"/>
        <v>0</v>
      </c>
      <c r="AB41" s="332">
        <f t="shared" si="32"/>
        <v>0</v>
      </c>
      <c r="AC41" s="332">
        <f t="shared" si="32"/>
        <v>0</v>
      </c>
      <c r="AD41" s="332">
        <f t="shared" si="32"/>
        <v>0</v>
      </c>
      <c r="AE41" s="333">
        <f t="shared" si="32"/>
        <v>0</v>
      </c>
      <c r="AF41" s="250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317"/>
      <c r="BF41" s="317"/>
      <c r="BG41" s="318"/>
      <c r="BH41" s="318"/>
      <c r="BI41" s="319"/>
      <c r="BJ41" s="318"/>
      <c r="BK41" s="318"/>
    </row>
    <row r="42" spans="1:63" ht="15" x14ac:dyDescent="0.2">
      <c r="A42" s="334" t="s">
        <v>118</v>
      </c>
      <c r="B42" s="44"/>
      <c r="C42" s="44"/>
      <c r="D42" s="44"/>
      <c r="E42" s="324">
        <f>E38-E39</f>
        <v>0</v>
      </c>
      <c r="F42" s="324">
        <f t="shared" ref="F42:AD42" si="33">F38-F39</f>
        <v>0</v>
      </c>
      <c r="G42" s="324">
        <f t="shared" si="33"/>
        <v>0</v>
      </c>
      <c r="H42" s="324">
        <f t="shared" si="33"/>
        <v>0</v>
      </c>
      <c r="I42" s="324">
        <f t="shared" si="33"/>
        <v>0</v>
      </c>
      <c r="J42" s="324">
        <f t="shared" si="33"/>
        <v>0</v>
      </c>
      <c r="K42" s="324">
        <f t="shared" si="33"/>
        <v>0</v>
      </c>
      <c r="L42" s="324">
        <f t="shared" si="33"/>
        <v>0</v>
      </c>
      <c r="M42" s="324">
        <f t="shared" si="33"/>
        <v>0</v>
      </c>
      <c r="N42" s="324">
        <f t="shared" si="33"/>
        <v>0</v>
      </c>
      <c r="O42" s="324">
        <f t="shared" si="33"/>
        <v>0</v>
      </c>
      <c r="P42" s="324">
        <f t="shared" si="33"/>
        <v>0</v>
      </c>
      <c r="Q42" s="324">
        <f t="shared" si="33"/>
        <v>0</v>
      </c>
      <c r="R42" s="324">
        <f t="shared" si="33"/>
        <v>0</v>
      </c>
      <c r="S42" s="324">
        <f t="shared" si="33"/>
        <v>0</v>
      </c>
      <c r="T42" s="324">
        <f t="shared" si="33"/>
        <v>0</v>
      </c>
      <c r="U42" s="324">
        <f t="shared" si="33"/>
        <v>0</v>
      </c>
      <c r="V42" s="324">
        <f t="shared" si="33"/>
        <v>0</v>
      </c>
      <c r="W42" s="324">
        <f t="shared" si="33"/>
        <v>0</v>
      </c>
      <c r="X42" s="324">
        <f t="shared" si="33"/>
        <v>0</v>
      </c>
      <c r="Y42" s="324">
        <f t="shared" si="33"/>
        <v>0</v>
      </c>
      <c r="Z42" s="324">
        <f t="shared" si="33"/>
        <v>0</v>
      </c>
      <c r="AA42" s="324">
        <f t="shared" si="33"/>
        <v>0</v>
      </c>
      <c r="AB42" s="324">
        <f t="shared" si="33"/>
        <v>0</v>
      </c>
      <c r="AC42" s="324">
        <f t="shared" si="33"/>
        <v>0</v>
      </c>
      <c r="AD42" s="324">
        <f t="shared" si="33"/>
        <v>0</v>
      </c>
      <c r="AE42" s="335">
        <f>MAX(AE38-AE39,0)</f>
        <v>0</v>
      </c>
      <c r="AF42" s="250"/>
      <c r="AG42" s="254"/>
      <c r="AH42" s="44"/>
      <c r="AI42" s="44"/>
      <c r="AJ42" s="44"/>
      <c r="AK42" s="44"/>
      <c r="AL42" s="44"/>
      <c r="AM42" s="44"/>
      <c r="AN42" s="44"/>
      <c r="AO42" s="321"/>
      <c r="AP42" s="321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17"/>
      <c r="BF42" s="317"/>
      <c r="BG42" s="318"/>
      <c r="BH42" s="318"/>
      <c r="BI42" s="319"/>
      <c r="BJ42" s="318"/>
      <c r="BK42" s="318"/>
    </row>
    <row r="43" spans="1:63" ht="15" x14ac:dyDescent="0.2">
      <c r="A43" s="203" t="s">
        <v>119</v>
      </c>
      <c r="B43" s="44"/>
      <c r="C43" s="44"/>
      <c r="D43" s="44"/>
      <c r="E43" s="77">
        <f t="shared" ref="E43:AE43" si="34">+tranche3amt*E48</f>
        <v>0</v>
      </c>
      <c r="F43" s="77">
        <f t="shared" si="34"/>
        <v>0</v>
      </c>
      <c r="G43" s="77">
        <f t="shared" si="34"/>
        <v>0</v>
      </c>
      <c r="H43" s="77">
        <f t="shared" si="34"/>
        <v>0</v>
      </c>
      <c r="I43" s="77">
        <f t="shared" si="34"/>
        <v>0</v>
      </c>
      <c r="J43" s="77">
        <f t="shared" si="34"/>
        <v>0</v>
      </c>
      <c r="K43" s="77">
        <f t="shared" si="34"/>
        <v>0</v>
      </c>
      <c r="L43" s="77">
        <f t="shared" si="34"/>
        <v>0</v>
      </c>
      <c r="M43" s="77">
        <f t="shared" si="34"/>
        <v>0</v>
      </c>
      <c r="N43" s="77">
        <f t="shared" si="34"/>
        <v>0</v>
      </c>
      <c r="O43" s="77">
        <f t="shared" si="34"/>
        <v>0</v>
      </c>
      <c r="P43" s="77">
        <f t="shared" si="34"/>
        <v>0</v>
      </c>
      <c r="Q43" s="77">
        <f t="shared" si="34"/>
        <v>0</v>
      </c>
      <c r="R43" s="77">
        <f t="shared" si="34"/>
        <v>0</v>
      </c>
      <c r="S43" s="77">
        <f t="shared" si="34"/>
        <v>0</v>
      </c>
      <c r="T43" s="77">
        <f t="shared" si="34"/>
        <v>0</v>
      </c>
      <c r="U43" s="77">
        <f t="shared" si="34"/>
        <v>0</v>
      </c>
      <c r="V43" s="77">
        <f t="shared" si="34"/>
        <v>0</v>
      </c>
      <c r="W43" s="77">
        <f t="shared" si="34"/>
        <v>0</v>
      </c>
      <c r="X43" s="77">
        <f t="shared" si="34"/>
        <v>0</v>
      </c>
      <c r="Y43" s="77">
        <f t="shared" si="34"/>
        <v>0</v>
      </c>
      <c r="Z43" s="77">
        <f t="shared" si="34"/>
        <v>0</v>
      </c>
      <c r="AA43" s="77">
        <f t="shared" si="34"/>
        <v>0</v>
      </c>
      <c r="AB43" s="77">
        <f t="shared" si="34"/>
        <v>0</v>
      </c>
      <c r="AC43" s="77">
        <f t="shared" si="34"/>
        <v>0</v>
      </c>
      <c r="AD43" s="77">
        <f t="shared" si="34"/>
        <v>0</v>
      </c>
      <c r="AE43" s="77">
        <f t="shared" si="34"/>
        <v>0</v>
      </c>
      <c r="AF43" s="250"/>
      <c r="AG43" s="254"/>
      <c r="AH43" s="254"/>
      <c r="AI43" s="44"/>
      <c r="AJ43" s="44"/>
      <c r="AK43" s="44"/>
      <c r="AL43" s="44"/>
      <c r="AM43" s="44"/>
      <c r="AN43" s="198"/>
      <c r="AO43" s="44"/>
      <c r="AP43" s="4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17"/>
      <c r="BF43" s="317"/>
      <c r="BG43" s="318"/>
      <c r="BH43" s="318"/>
      <c r="BI43" s="319"/>
      <c r="BJ43" s="318"/>
      <c r="BK43" s="318"/>
    </row>
    <row r="44" spans="1:63" ht="15" x14ac:dyDescent="0.2">
      <c r="A44" s="203" t="s">
        <v>120</v>
      </c>
      <c r="B44" s="44"/>
      <c r="C44" s="44"/>
      <c r="D44" s="44"/>
      <c r="E44" s="77">
        <f>+E42*tranche3cost*MIN(6,E32)/12</f>
        <v>0</v>
      </c>
      <c r="F44" s="77">
        <f t="shared" ref="F44:AE44" si="35">+F42*tranche3cost*(E$6-6)/12</f>
        <v>0</v>
      </c>
      <c r="G44" s="77">
        <f t="shared" si="35"/>
        <v>0</v>
      </c>
      <c r="H44" s="77">
        <f t="shared" si="35"/>
        <v>0</v>
      </c>
      <c r="I44" s="77">
        <f t="shared" si="35"/>
        <v>0</v>
      </c>
      <c r="J44" s="77">
        <f t="shared" si="35"/>
        <v>0</v>
      </c>
      <c r="K44" s="77">
        <f t="shared" si="35"/>
        <v>0</v>
      </c>
      <c r="L44" s="77">
        <f t="shared" si="35"/>
        <v>0</v>
      </c>
      <c r="M44" s="77">
        <f t="shared" si="35"/>
        <v>0</v>
      </c>
      <c r="N44" s="77">
        <f t="shared" si="35"/>
        <v>0</v>
      </c>
      <c r="O44" s="77">
        <f t="shared" si="35"/>
        <v>0</v>
      </c>
      <c r="P44" s="77">
        <f t="shared" si="35"/>
        <v>0</v>
      </c>
      <c r="Q44" s="77">
        <f t="shared" si="35"/>
        <v>0</v>
      </c>
      <c r="R44" s="77">
        <f t="shared" si="35"/>
        <v>0</v>
      </c>
      <c r="S44" s="77">
        <f t="shared" si="35"/>
        <v>0</v>
      </c>
      <c r="T44" s="77">
        <f t="shared" si="35"/>
        <v>0</v>
      </c>
      <c r="U44" s="77">
        <f t="shared" si="35"/>
        <v>0</v>
      </c>
      <c r="V44" s="77">
        <f t="shared" si="35"/>
        <v>0</v>
      </c>
      <c r="W44" s="77">
        <f t="shared" si="35"/>
        <v>0</v>
      </c>
      <c r="X44" s="77">
        <f t="shared" si="35"/>
        <v>0</v>
      </c>
      <c r="Y44" s="77">
        <f t="shared" si="35"/>
        <v>0</v>
      </c>
      <c r="Z44" s="77">
        <f t="shared" si="35"/>
        <v>0</v>
      </c>
      <c r="AA44" s="77">
        <f t="shared" si="35"/>
        <v>0</v>
      </c>
      <c r="AB44" s="77">
        <f t="shared" si="35"/>
        <v>0</v>
      </c>
      <c r="AC44" s="77">
        <f t="shared" si="35"/>
        <v>0</v>
      </c>
      <c r="AD44" s="77">
        <f t="shared" si="35"/>
        <v>0</v>
      </c>
      <c r="AE44" s="205">
        <f t="shared" si="35"/>
        <v>0</v>
      </c>
      <c r="AF44" s="250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317"/>
      <c r="BF44" s="317"/>
      <c r="BG44" s="318"/>
      <c r="BH44" s="318"/>
      <c r="BI44" s="319"/>
      <c r="BJ44" s="318"/>
      <c r="BK44" s="318"/>
    </row>
    <row r="45" spans="1:63" ht="15" x14ac:dyDescent="0.2">
      <c r="A45" s="331" t="s">
        <v>121</v>
      </c>
      <c r="B45" s="321"/>
      <c r="C45" s="321"/>
      <c r="D45" s="321"/>
      <c r="E45" s="322">
        <f t="shared" ref="E45:AE45" si="36">+E43+E44</f>
        <v>0</v>
      </c>
      <c r="F45" s="322">
        <f t="shared" si="36"/>
        <v>0</v>
      </c>
      <c r="G45" s="322">
        <f t="shared" si="36"/>
        <v>0</v>
      </c>
      <c r="H45" s="322">
        <f t="shared" si="36"/>
        <v>0</v>
      </c>
      <c r="I45" s="322">
        <f t="shared" si="36"/>
        <v>0</v>
      </c>
      <c r="J45" s="322">
        <f t="shared" si="36"/>
        <v>0</v>
      </c>
      <c r="K45" s="322">
        <f t="shared" si="36"/>
        <v>0</v>
      </c>
      <c r="L45" s="322">
        <f t="shared" si="36"/>
        <v>0</v>
      </c>
      <c r="M45" s="322">
        <f t="shared" si="36"/>
        <v>0</v>
      </c>
      <c r="N45" s="322">
        <f t="shared" si="36"/>
        <v>0</v>
      </c>
      <c r="O45" s="322">
        <f t="shared" si="36"/>
        <v>0</v>
      </c>
      <c r="P45" s="322">
        <f t="shared" si="36"/>
        <v>0</v>
      </c>
      <c r="Q45" s="322">
        <f t="shared" si="36"/>
        <v>0</v>
      </c>
      <c r="R45" s="322">
        <f t="shared" si="36"/>
        <v>0</v>
      </c>
      <c r="S45" s="322">
        <f t="shared" si="36"/>
        <v>0</v>
      </c>
      <c r="T45" s="322">
        <f t="shared" si="36"/>
        <v>0</v>
      </c>
      <c r="U45" s="322">
        <f t="shared" si="36"/>
        <v>0</v>
      </c>
      <c r="V45" s="322">
        <f t="shared" si="36"/>
        <v>0</v>
      </c>
      <c r="W45" s="322">
        <f t="shared" si="36"/>
        <v>0</v>
      </c>
      <c r="X45" s="322">
        <f t="shared" si="36"/>
        <v>0</v>
      </c>
      <c r="Y45" s="322">
        <f t="shared" si="36"/>
        <v>0</v>
      </c>
      <c r="Z45" s="322">
        <f t="shared" si="36"/>
        <v>0</v>
      </c>
      <c r="AA45" s="322">
        <f t="shared" si="36"/>
        <v>0</v>
      </c>
      <c r="AB45" s="322">
        <f t="shared" si="36"/>
        <v>0</v>
      </c>
      <c r="AC45" s="322">
        <f t="shared" si="36"/>
        <v>0</v>
      </c>
      <c r="AD45" s="322">
        <f t="shared" si="36"/>
        <v>0</v>
      </c>
      <c r="AE45" s="336">
        <f t="shared" si="36"/>
        <v>0</v>
      </c>
      <c r="AF45" s="250"/>
      <c r="AG45" s="254"/>
      <c r="AH45" s="44"/>
      <c r="AI45" s="44"/>
      <c r="AJ45" s="44"/>
      <c r="AK45" s="44"/>
      <c r="AL45" s="44"/>
      <c r="AM45" s="44"/>
      <c r="AN45" s="44"/>
      <c r="AO45" s="44"/>
      <c r="AP45" s="44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317"/>
      <c r="BF45" s="317"/>
      <c r="BG45" s="318"/>
      <c r="BH45" s="318"/>
      <c r="BI45" s="319"/>
      <c r="BJ45" s="318"/>
      <c r="BK45" s="318"/>
    </row>
    <row r="46" spans="1:63" ht="15" x14ac:dyDescent="0.2">
      <c r="A46" s="337" t="s">
        <v>122</v>
      </c>
      <c r="B46" s="226"/>
      <c r="C46" s="410"/>
      <c r="D46" s="410"/>
      <c r="E46" s="338">
        <f>E42-E43</f>
        <v>0</v>
      </c>
      <c r="F46" s="338">
        <f t="shared" ref="F46:AE46" si="37">F42-F43</f>
        <v>0</v>
      </c>
      <c r="G46" s="338">
        <f t="shared" si="37"/>
        <v>0</v>
      </c>
      <c r="H46" s="338">
        <f t="shared" si="37"/>
        <v>0</v>
      </c>
      <c r="I46" s="338">
        <f t="shared" si="37"/>
        <v>0</v>
      </c>
      <c r="J46" s="338">
        <f t="shared" si="37"/>
        <v>0</v>
      </c>
      <c r="K46" s="338">
        <f t="shared" si="37"/>
        <v>0</v>
      </c>
      <c r="L46" s="338">
        <f t="shared" si="37"/>
        <v>0</v>
      </c>
      <c r="M46" s="338">
        <f t="shared" si="37"/>
        <v>0</v>
      </c>
      <c r="N46" s="338">
        <f t="shared" si="37"/>
        <v>0</v>
      </c>
      <c r="O46" s="338">
        <f t="shared" si="37"/>
        <v>0</v>
      </c>
      <c r="P46" s="338">
        <f t="shared" si="37"/>
        <v>0</v>
      </c>
      <c r="Q46" s="338">
        <f t="shared" si="37"/>
        <v>0</v>
      </c>
      <c r="R46" s="338">
        <f t="shared" si="37"/>
        <v>0</v>
      </c>
      <c r="S46" s="338">
        <f t="shared" si="37"/>
        <v>0</v>
      </c>
      <c r="T46" s="338">
        <f t="shared" si="37"/>
        <v>0</v>
      </c>
      <c r="U46" s="338">
        <f t="shared" si="37"/>
        <v>0</v>
      </c>
      <c r="V46" s="338">
        <f t="shared" si="37"/>
        <v>0</v>
      </c>
      <c r="W46" s="338">
        <f t="shared" si="37"/>
        <v>0</v>
      </c>
      <c r="X46" s="338">
        <f t="shared" si="37"/>
        <v>0</v>
      </c>
      <c r="Y46" s="338">
        <f t="shared" si="37"/>
        <v>0</v>
      </c>
      <c r="Z46" s="338">
        <f t="shared" si="37"/>
        <v>0</v>
      </c>
      <c r="AA46" s="338">
        <f t="shared" si="37"/>
        <v>0</v>
      </c>
      <c r="AB46" s="338">
        <f t="shared" si="37"/>
        <v>0</v>
      </c>
      <c r="AC46" s="338">
        <f t="shared" si="37"/>
        <v>0</v>
      </c>
      <c r="AD46" s="338">
        <f t="shared" si="37"/>
        <v>0</v>
      </c>
      <c r="AE46" s="338">
        <f t="shared" si="37"/>
        <v>0</v>
      </c>
      <c r="AF46" s="250"/>
      <c r="AG46" s="254"/>
      <c r="AH46" s="254"/>
      <c r="AI46" s="44"/>
      <c r="AJ46" s="44"/>
      <c r="AK46" s="44"/>
      <c r="AL46" s="44"/>
      <c r="AM46" s="44"/>
      <c r="AN46" s="44"/>
      <c r="AO46" s="321"/>
      <c r="AP46" s="321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17"/>
      <c r="BF46" s="317"/>
      <c r="BG46" s="318"/>
      <c r="BH46" s="318"/>
      <c r="BI46" s="319"/>
      <c r="BJ46" s="318"/>
      <c r="BK46" s="318"/>
    </row>
    <row r="47" spans="1:63" s="346" customFormat="1" ht="15" x14ac:dyDescent="0.2">
      <c r="A47" s="339" t="s">
        <v>123</v>
      </c>
      <c r="B47" s="340"/>
      <c r="C47" s="340"/>
      <c r="D47" s="340"/>
      <c r="E47" s="341">
        <f t="shared" ref="E47:AE47" si="38">+IF(OR(E$8&lt;=tranche3grace,E$8&gt;tranche3reppd+tranche3grace),0,IF(tranche3amort=1,1/tranche3reppd,-PPMT(tranche3cost/2,MAX(0,E$8-tranche3grace),tranche3reppd,1)))</f>
        <v>0</v>
      </c>
      <c r="F47" s="341">
        <f t="shared" si="38"/>
        <v>0</v>
      </c>
      <c r="G47" s="341">
        <f t="shared" si="38"/>
        <v>0</v>
      </c>
      <c r="H47" s="341">
        <f t="shared" si="38"/>
        <v>0</v>
      </c>
      <c r="I47" s="341">
        <f t="shared" si="38"/>
        <v>0</v>
      </c>
      <c r="J47" s="341">
        <f t="shared" si="38"/>
        <v>0</v>
      </c>
      <c r="K47" s="341">
        <f t="shared" si="38"/>
        <v>0</v>
      </c>
      <c r="L47" s="341">
        <f t="shared" si="38"/>
        <v>0</v>
      </c>
      <c r="M47" s="341">
        <f t="shared" si="38"/>
        <v>0</v>
      </c>
      <c r="N47" s="341">
        <f t="shared" si="38"/>
        <v>0</v>
      </c>
      <c r="O47" s="341">
        <f t="shared" si="38"/>
        <v>0</v>
      </c>
      <c r="P47" s="341">
        <f t="shared" si="38"/>
        <v>0</v>
      </c>
      <c r="Q47" s="341">
        <f t="shared" si="38"/>
        <v>0</v>
      </c>
      <c r="R47" s="341">
        <f t="shared" si="38"/>
        <v>0</v>
      </c>
      <c r="S47" s="341">
        <f t="shared" si="38"/>
        <v>0</v>
      </c>
      <c r="T47" s="341">
        <f t="shared" si="38"/>
        <v>0</v>
      </c>
      <c r="U47" s="341">
        <f t="shared" si="38"/>
        <v>0</v>
      </c>
      <c r="V47" s="341">
        <f t="shared" si="38"/>
        <v>0</v>
      </c>
      <c r="W47" s="341">
        <f t="shared" si="38"/>
        <v>0</v>
      </c>
      <c r="X47" s="341">
        <f t="shared" si="38"/>
        <v>0</v>
      </c>
      <c r="Y47" s="341">
        <f t="shared" si="38"/>
        <v>0</v>
      </c>
      <c r="Z47" s="341">
        <f t="shared" si="38"/>
        <v>0</v>
      </c>
      <c r="AA47" s="341">
        <f t="shared" si="38"/>
        <v>0</v>
      </c>
      <c r="AB47" s="341">
        <f t="shared" si="38"/>
        <v>0</v>
      </c>
      <c r="AC47" s="341">
        <f t="shared" si="38"/>
        <v>0</v>
      </c>
      <c r="AD47" s="341">
        <f t="shared" si="38"/>
        <v>0</v>
      </c>
      <c r="AE47" s="341">
        <f t="shared" si="38"/>
        <v>0</v>
      </c>
      <c r="AF47" s="342">
        <f>SUM(E47:AE47)</f>
        <v>0</v>
      </c>
      <c r="AG47" s="343"/>
      <c r="AH47" s="321"/>
      <c r="AI47" s="657"/>
      <c r="AJ47" s="657"/>
      <c r="AK47" s="657"/>
      <c r="AL47" s="657"/>
      <c r="AM47" s="657"/>
      <c r="AN47" s="321"/>
      <c r="AO47" s="321"/>
      <c r="AP47" s="321"/>
      <c r="AQ47" s="321"/>
      <c r="AR47" s="321"/>
      <c r="AS47" s="321"/>
      <c r="AT47" s="321"/>
      <c r="AU47" s="321"/>
      <c r="AV47" s="321"/>
      <c r="AW47" s="321"/>
      <c r="AX47" s="321"/>
      <c r="AY47" s="321"/>
      <c r="AZ47" s="321"/>
      <c r="BA47" s="321"/>
      <c r="BB47" s="321"/>
      <c r="BC47" s="321"/>
      <c r="BD47" s="321"/>
      <c r="BE47" s="323"/>
      <c r="BF47" s="323"/>
      <c r="BG47" s="344"/>
      <c r="BH47" s="344"/>
      <c r="BI47" s="345"/>
      <c r="BJ47" s="344"/>
      <c r="BK47" s="344"/>
    </row>
    <row r="48" spans="1:63" s="346" customFormat="1" ht="15" x14ac:dyDescent="0.2">
      <c r="A48" s="347" t="s">
        <v>124</v>
      </c>
      <c r="B48" s="348"/>
      <c r="C48" s="348"/>
      <c r="D48" s="348"/>
      <c r="E48" s="349">
        <f t="shared" ref="E48:AE48" si="39">+IF(OR(E$9&lt;=tranche3grace,E$9&gt;tranche3reppd+tranche3grace),0,IF(tranche3amort=1,1/tranche3reppd,-PPMT(tranche3cost/2,MAX(0,E$9-tranche3grace),tranche3reppd,1)))</f>
        <v>0</v>
      </c>
      <c r="F48" s="349">
        <f t="shared" si="39"/>
        <v>0</v>
      </c>
      <c r="G48" s="349">
        <f t="shared" si="39"/>
        <v>0</v>
      </c>
      <c r="H48" s="349">
        <f t="shared" si="39"/>
        <v>0</v>
      </c>
      <c r="I48" s="349">
        <f t="shared" si="39"/>
        <v>0</v>
      </c>
      <c r="J48" s="349">
        <f t="shared" si="39"/>
        <v>0</v>
      </c>
      <c r="K48" s="349">
        <f t="shared" si="39"/>
        <v>0</v>
      </c>
      <c r="L48" s="349">
        <f t="shared" si="39"/>
        <v>0</v>
      </c>
      <c r="M48" s="349">
        <f t="shared" si="39"/>
        <v>0</v>
      </c>
      <c r="N48" s="349">
        <f t="shared" si="39"/>
        <v>0</v>
      </c>
      <c r="O48" s="349">
        <f t="shared" si="39"/>
        <v>0</v>
      </c>
      <c r="P48" s="349">
        <f t="shared" si="39"/>
        <v>0</v>
      </c>
      <c r="Q48" s="349">
        <f t="shared" si="39"/>
        <v>0</v>
      </c>
      <c r="R48" s="349">
        <f t="shared" si="39"/>
        <v>0</v>
      </c>
      <c r="S48" s="349">
        <f t="shared" si="39"/>
        <v>0</v>
      </c>
      <c r="T48" s="349">
        <f t="shared" si="39"/>
        <v>0</v>
      </c>
      <c r="U48" s="349">
        <f t="shared" si="39"/>
        <v>0</v>
      </c>
      <c r="V48" s="349">
        <f t="shared" si="39"/>
        <v>0</v>
      </c>
      <c r="W48" s="349">
        <f t="shared" si="39"/>
        <v>0</v>
      </c>
      <c r="X48" s="349">
        <f t="shared" si="39"/>
        <v>0</v>
      </c>
      <c r="Y48" s="349">
        <f t="shared" si="39"/>
        <v>0</v>
      </c>
      <c r="Z48" s="349">
        <f t="shared" si="39"/>
        <v>0</v>
      </c>
      <c r="AA48" s="349">
        <f t="shared" si="39"/>
        <v>0</v>
      </c>
      <c r="AB48" s="349">
        <f t="shared" si="39"/>
        <v>0</v>
      </c>
      <c r="AC48" s="349">
        <f t="shared" si="39"/>
        <v>0</v>
      </c>
      <c r="AD48" s="349">
        <f t="shared" si="39"/>
        <v>0</v>
      </c>
      <c r="AE48" s="349">
        <f t="shared" si="39"/>
        <v>0</v>
      </c>
      <c r="AF48" s="350">
        <f>SUM(E48:AE48)</f>
        <v>0</v>
      </c>
      <c r="AG48" s="351">
        <f>+AF48+AF47</f>
        <v>0</v>
      </c>
      <c r="AH48" s="321"/>
      <c r="AI48" s="657"/>
      <c r="AJ48" s="657"/>
      <c r="AK48" s="657"/>
      <c r="AL48" s="657"/>
      <c r="AM48" s="657"/>
      <c r="AN48" s="321"/>
      <c r="AO48" s="321"/>
      <c r="AP48" s="321"/>
      <c r="AQ48" s="321"/>
      <c r="AR48" s="321"/>
      <c r="AS48" s="321"/>
      <c r="AT48" s="321"/>
      <c r="AU48" s="321"/>
      <c r="AV48" s="321"/>
      <c r="AW48" s="321"/>
      <c r="AX48" s="321"/>
      <c r="AY48" s="321"/>
      <c r="AZ48" s="321"/>
      <c r="BA48" s="321"/>
      <c r="BB48" s="321"/>
      <c r="BC48" s="321"/>
      <c r="BD48" s="321"/>
      <c r="BE48" s="323"/>
      <c r="BF48" s="323"/>
      <c r="BG48" s="344"/>
      <c r="BH48" s="344"/>
      <c r="BI48" s="345"/>
      <c r="BJ48" s="344"/>
      <c r="BK48" s="344"/>
    </row>
    <row r="49" spans="1:63" ht="15" x14ac:dyDescent="0.2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251"/>
      <c r="M49" s="44"/>
      <c r="N49" s="44"/>
      <c r="O49" s="44"/>
      <c r="P49" s="44"/>
      <c r="AF49" s="44"/>
      <c r="AG49" s="254"/>
      <c r="AH49" s="44"/>
      <c r="AI49" s="320"/>
      <c r="AJ49" s="320"/>
      <c r="AK49" s="320"/>
      <c r="AL49" s="320"/>
      <c r="AM49" s="320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317"/>
      <c r="BF49" s="317"/>
      <c r="BG49" s="318"/>
      <c r="BH49" s="318"/>
      <c r="BI49" s="319"/>
      <c r="BJ49" s="318"/>
      <c r="BK49" s="318"/>
    </row>
    <row r="50" spans="1:63" ht="15" x14ac:dyDescent="0.2">
      <c r="A50" s="533" t="s">
        <v>257</v>
      </c>
      <c r="B50" s="535"/>
      <c r="C50" s="535"/>
      <c r="D50" s="535"/>
      <c r="E50" s="535"/>
      <c r="F50" s="535"/>
      <c r="G50" s="535"/>
      <c r="H50" s="535"/>
      <c r="I50" s="535"/>
      <c r="J50" s="535"/>
      <c r="K50" s="535"/>
      <c r="L50" s="687"/>
      <c r="M50" s="535"/>
      <c r="N50" s="535"/>
      <c r="O50" s="535"/>
      <c r="P50" s="535"/>
      <c r="Q50" s="535"/>
      <c r="R50" s="535"/>
      <c r="S50" s="535"/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  <c r="AE50" s="535"/>
      <c r="AF50" s="606"/>
      <c r="AG50" s="254"/>
      <c r="AH50" s="44"/>
      <c r="AI50" s="320"/>
      <c r="AJ50" s="320"/>
      <c r="AK50" s="320"/>
      <c r="AL50" s="320"/>
      <c r="AM50" s="320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17"/>
      <c r="BF50" s="317"/>
      <c r="BG50" s="318"/>
      <c r="BH50" s="318"/>
      <c r="BI50" s="319"/>
      <c r="BJ50" s="318"/>
      <c r="BK50" s="318"/>
    </row>
    <row r="51" spans="1:63" s="44" customFormat="1" ht="15" x14ac:dyDescent="0.2">
      <c r="A51" s="688" t="s">
        <v>125</v>
      </c>
      <c r="B51" s="558"/>
      <c r="C51" s="558"/>
      <c r="D51" s="558"/>
      <c r="E51" s="689">
        <f>+E14+E18+E27+E31+E40+E44</f>
        <v>12115.984615130792</v>
      </c>
      <c r="F51" s="689">
        <f t="shared" ref="F51:AE51" si="40">+F14+F18+F27+F31+F40+F44</f>
        <v>11953.942667125337</v>
      </c>
      <c r="G51" s="689">
        <f t="shared" si="40"/>
        <v>11274.621297837295</v>
      </c>
      <c r="H51" s="689">
        <f t="shared" si="40"/>
        <v>10529.231679627432</v>
      </c>
      <c r="I51" s="689">
        <f t="shared" si="40"/>
        <v>9711.3482623615473</v>
      </c>
      <c r="J51" s="689">
        <f t="shared" si="40"/>
        <v>8813.9205709951966</v>
      </c>
      <c r="K51" s="689">
        <f t="shared" si="40"/>
        <v>7829.2124277203975</v>
      </c>
      <c r="L51" s="689">
        <f t="shared" si="40"/>
        <v>6748.7352630862297</v>
      </c>
      <c r="M51" s="689">
        <f t="shared" si="40"/>
        <v>5563.1749412091103</v>
      </c>
      <c r="N51" s="689">
        <f t="shared" si="40"/>
        <v>4262.3114682774285</v>
      </c>
      <c r="O51" s="689">
        <f t="shared" si="40"/>
        <v>2834.9308922064356</v>
      </c>
      <c r="P51" s="689">
        <f t="shared" si="40"/>
        <v>1268.7286339839379</v>
      </c>
      <c r="Q51" s="689">
        <f t="shared" si="40"/>
        <v>0</v>
      </c>
      <c r="R51" s="689">
        <f t="shared" si="40"/>
        <v>0</v>
      </c>
      <c r="S51" s="689">
        <f t="shared" si="40"/>
        <v>0</v>
      </c>
      <c r="T51" s="689">
        <f t="shared" si="40"/>
        <v>0</v>
      </c>
      <c r="U51" s="689">
        <f t="shared" si="40"/>
        <v>0</v>
      </c>
      <c r="V51" s="689">
        <f t="shared" si="40"/>
        <v>0</v>
      </c>
      <c r="W51" s="689">
        <f t="shared" si="40"/>
        <v>0</v>
      </c>
      <c r="X51" s="689">
        <f t="shared" si="40"/>
        <v>0</v>
      </c>
      <c r="Y51" s="689">
        <f t="shared" si="40"/>
        <v>0</v>
      </c>
      <c r="Z51" s="689">
        <f t="shared" si="40"/>
        <v>0</v>
      </c>
      <c r="AA51" s="689">
        <f t="shared" si="40"/>
        <v>0</v>
      </c>
      <c r="AB51" s="689">
        <f t="shared" si="40"/>
        <v>0</v>
      </c>
      <c r="AC51" s="689">
        <f t="shared" si="40"/>
        <v>0</v>
      </c>
      <c r="AD51" s="689">
        <f t="shared" si="40"/>
        <v>0</v>
      </c>
      <c r="AE51" s="689">
        <f t="shared" si="40"/>
        <v>0</v>
      </c>
      <c r="AF51" s="690">
        <f>SUM(E51:AE51)</f>
        <v>92906.142719561147</v>
      </c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BE51" s="317"/>
      <c r="BF51" s="317"/>
      <c r="BG51" s="317"/>
      <c r="BH51" s="317"/>
      <c r="BI51" s="654"/>
      <c r="BJ51" s="317"/>
      <c r="BK51" s="317"/>
    </row>
    <row r="52" spans="1:63" s="221" customFormat="1" ht="15" x14ac:dyDescent="0.2">
      <c r="A52" s="691" t="s">
        <v>126</v>
      </c>
      <c r="B52" s="692"/>
      <c r="C52" s="692"/>
      <c r="D52" s="692"/>
      <c r="E52" s="693">
        <f>+E13+E17+E26+E30+E39+E43</f>
        <v>0</v>
      </c>
      <c r="F52" s="693">
        <f t="shared" ref="F52:AE52" si="41">+F13+F17+F26+F30+F39+F43</f>
        <v>6984.8608113930131</v>
      </c>
      <c r="G52" s="693">
        <f t="shared" si="41"/>
        <v>7664.1821806810549</v>
      </c>
      <c r="H52" s="693">
        <f t="shared" si="41"/>
        <v>8409.5717988909164</v>
      </c>
      <c r="I52" s="693">
        <f t="shared" si="41"/>
        <v>9227.4552161568026</v>
      </c>
      <c r="J52" s="693">
        <f t="shared" si="41"/>
        <v>10124.882907523152</v>
      </c>
      <c r="K52" s="693">
        <f t="shared" si="41"/>
        <v>11109.59105079795</v>
      </c>
      <c r="L52" s="693">
        <f t="shared" si="41"/>
        <v>12190.068215432118</v>
      </c>
      <c r="M52" s="693">
        <f t="shared" si="41"/>
        <v>13375.628537309238</v>
      </c>
      <c r="N52" s="693">
        <f t="shared" si="41"/>
        <v>14676.49201024092</v>
      </c>
      <c r="O52" s="693">
        <f t="shared" si="41"/>
        <v>16103.872586311914</v>
      </c>
      <c r="P52" s="693">
        <f t="shared" si="41"/>
        <v>17670.074844534407</v>
      </c>
      <c r="Q52" s="693">
        <f t="shared" si="41"/>
        <v>0</v>
      </c>
      <c r="R52" s="693">
        <f t="shared" si="41"/>
        <v>0</v>
      </c>
      <c r="S52" s="693">
        <f t="shared" si="41"/>
        <v>0</v>
      </c>
      <c r="T52" s="693">
        <f t="shared" si="41"/>
        <v>0</v>
      </c>
      <c r="U52" s="693">
        <f t="shared" si="41"/>
        <v>0</v>
      </c>
      <c r="V52" s="693">
        <f t="shared" si="41"/>
        <v>0</v>
      </c>
      <c r="W52" s="693">
        <f t="shared" si="41"/>
        <v>0</v>
      </c>
      <c r="X52" s="693">
        <f t="shared" si="41"/>
        <v>0</v>
      </c>
      <c r="Y52" s="693">
        <f t="shared" si="41"/>
        <v>0</v>
      </c>
      <c r="Z52" s="693">
        <f t="shared" si="41"/>
        <v>0</v>
      </c>
      <c r="AA52" s="693">
        <f t="shared" si="41"/>
        <v>0</v>
      </c>
      <c r="AB52" s="693">
        <f t="shared" si="41"/>
        <v>0</v>
      </c>
      <c r="AC52" s="693">
        <f t="shared" si="41"/>
        <v>0</v>
      </c>
      <c r="AD52" s="693">
        <f t="shared" si="41"/>
        <v>0</v>
      </c>
      <c r="AE52" s="693">
        <f t="shared" si="41"/>
        <v>0</v>
      </c>
      <c r="AF52" s="694">
        <f>SUM(E52:AE52)</f>
        <v>127536.68015927149</v>
      </c>
      <c r="AG52" s="208"/>
      <c r="AH52" s="208"/>
      <c r="AI52" s="656"/>
      <c r="AJ52" s="656"/>
      <c r="AK52" s="656"/>
      <c r="AL52" s="656"/>
      <c r="AM52" s="656"/>
      <c r="AN52" s="656"/>
      <c r="AO52" s="656"/>
      <c r="AP52" s="656"/>
      <c r="AQ52" s="656"/>
      <c r="AR52" s="656"/>
      <c r="AS52" s="656"/>
      <c r="AT52" s="656"/>
      <c r="AU52" s="656"/>
      <c r="AV52" s="208"/>
      <c r="AW52" s="208"/>
      <c r="AX52" s="208"/>
      <c r="AY52" s="208"/>
      <c r="AZ52" s="208"/>
      <c r="BA52" s="208"/>
      <c r="BB52" s="208"/>
      <c r="BC52" s="208"/>
      <c r="BD52" s="208"/>
      <c r="BE52" s="655"/>
      <c r="BF52" s="655"/>
      <c r="BG52" s="388"/>
      <c r="BH52" s="388"/>
      <c r="BI52" s="384"/>
      <c r="BJ52" s="388"/>
      <c r="BK52" s="388"/>
    </row>
    <row r="53" spans="1:63" ht="15" x14ac:dyDescent="0.2">
      <c r="A53" s="695" t="s">
        <v>127</v>
      </c>
      <c r="B53" s="550"/>
      <c r="C53" s="550"/>
      <c r="D53" s="550"/>
      <c r="E53" s="696">
        <f t="shared" ref="E53:T53" si="42">+E52+E51</f>
        <v>12115.984615130792</v>
      </c>
      <c r="F53" s="696">
        <f t="shared" si="42"/>
        <v>18938.803478518348</v>
      </c>
      <c r="G53" s="696">
        <f t="shared" si="42"/>
        <v>18938.803478518348</v>
      </c>
      <c r="H53" s="696">
        <f t="shared" si="42"/>
        <v>18938.803478518348</v>
      </c>
      <c r="I53" s="696">
        <f t="shared" si="42"/>
        <v>18938.803478518348</v>
      </c>
      <c r="J53" s="696">
        <f t="shared" si="42"/>
        <v>18938.803478518348</v>
      </c>
      <c r="K53" s="696">
        <f t="shared" si="42"/>
        <v>18938.803478518348</v>
      </c>
      <c r="L53" s="696">
        <f t="shared" si="42"/>
        <v>18938.803478518348</v>
      </c>
      <c r="M53" s="696">
        <f t="shared" si="42"/>
        <v>18938.803478518348</v>
      </c>
      <c r="N53" s="696">
        <f t="shared" si="42"/>
        <v>18938.803478518348</v>
      </c>
      <c r="O53" s="696">
        <f t="shared" si="42"/>
        <v>18938.803478518348</v>
      </c>
      <c r="P53" s="696">
        <f t="shared" si="42"/>
        <v>18938.803478518344</v>
      </c>
      <c r="Q53" s="696">
        <f t="shared" si="42"/>
        <v>0</v>
      </c>
      <c r="R53" s="696">
        <f t="shared" si="42"/>
        <v>0</v>
      </c>
      <c r="S53" s="696">
        <f t="shared" si="42"/>
        <v>0</v>
      </c>
      <c r="T53" s="696">
        <f t="shared" si="42"/>
        <v>0</v>
      </c>
      <c r="U53" s="696">
        <f t="shared" ref="U53:AE53" si="43">+U52+U51</f>
        <v>0</v>
      </c>
      <c r="V53" s="696">
        <f t="shared" si="43"/>
        <v>0</v>
      </c>
      <c r="W53" s="696">
        <f t="shared" si="43"/>
        <v>0</v>
      </c>
      <c r="X53" s="696">
        <f t="shared" si="43"/>
        <v>0</v>
      </c>
      <c r="Y53" s="696">
        <f t="shared" si="43"/>
        <v>0</v>
      </c>
      <c r="Z53" s="696">
        <f t="shared" si="43"/>
        <v>0</v>
      </c>
      <c r="AA53" s="696">
        <f t="shared" si="43"/>
        <v>0</v>
      </c>
      <c r="AB53" s="696">
        <f t="shared" si="43"/>
        <v>0</v>
      </c>
      <c r="AC53" s="696">
        <f t="shared" si="43"/>
        <v>0</v>
      </c>
      <c r="AD53" s="696">
        <f t="shared" si="43"/>
        <v>0</v>
      </c>
      <c r="AE53" s="696">
        <f t="shared" si="43"/>
        <v>0</v>
      </c>
      <c r="AF53" s="697">
        <f>SUM(E53:AE53)</f>
        <v>220442.82287883267</v>
      </c>
      <c r="AG53" s="44"/>
      <c r="AH53" s="44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44"/>
      <c r="AW53" s="44"/>
      <c r="AX53" s="44"/>
      <c r="AY53" s="44"/>
      <c r="AZ53" s="44"/>
      <c r="BA53" s="44"/>
      <c r="BB53" s="44"/>
      <c r="BC53" s="44"/>
      <c r="BD53" s="44"/>
      <c r="BE53" s="317"/>
      <c r="BF53" s="317"/>
      <c r="BG53" s="318"/>
      <c r="BH53" s="318"/>
      <c r="BI53" s="319"/>
      <c r="BJ53" s="318"/>
      <c r="BK53" s="318"/>
    </row>
    <row r="54" spans="1:63" s="274" customFormat="1" ht="17.25" x14ac:dyDescent="0.3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156"/>
      <c r="AH54" s="156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156"/>
      <c r="AW54" s="156"/>
      <c r="AX54" s="156"/>
      <c r="AY54" s="156"/>
      <c r="AZ54" s="156"/>
      <c r="BA54" s="156"/>
      <c r="BB54" s="156"/>
      <c r="BC54" s="156"/>
      <c r="BD54" s="156"/>
      <c r="BE54" s="364"/>
      <c r="BF54" s="364"/>
      <c r="BG54" s="365"/>
      <c r="BH54" s="365"/>
      <c r="BI54" s="366"/>
      <c r="BJ54" s="365"/>
      <c r="BK54" s="365"/>
    </row>
    <row r="55" spans="1:63" ht="17.25" x14ac:dyDescent="0.35">
      <c r="A55" s="362"/>
      <c r="B55" s="367"/>
      <c r="C55" s="367"/>
      <c r="D55" s="367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Q55" s="353"/>
      <c r="AR55" s="353"/>
      <c r="AS55" s="353"/>
      <c r="AT55" s="353"/>
      <c r="AU55" s="353"/>
      <c r="AV55" s="44"/>
      <c r="AW55" s="44"/>
      <c r="AX55" s="44"/>
      <c r="AY55" s="44"/>
      <c r="AZ55" s="44"/>
      <c r="BA55" s="44"/>
      <c r="BB55" s="44"/>
      <c r="BC55" s="44"/>
      <c r="BD55" s="44"/>
      <c r="BE55" s="317"/>
      <c r="BF55" s="317"/>
      <c r="BG55" s="318"/>
      <c r="BH55" s="318"/>
      <c r="BI55" s="319"/>
      <c r="BJ55" s="318"/>
      <c r="BK55" s="318"/>
    </row>
    <row r="56" spans="1:63" ht="17.25" x14ac:dyDescent="0.35">
      <c r="A56" s="367"/>
      <c r="B56" s="367"/>
      <c r="C56" s="367"/>
      <c r="D56" s="367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Q56" s="353"/>
      <c r="AR56" s="353"/>
      <c r="AS56" s="353"/>
      <c r="AT56" s="353"/>
      <c r="AU56" s="353"/>
      <c r="AV56" s="44"/>
      <c r="AW56" s="44"/>
      <c r="AX56" s="44"/>
      <c r="AY56" s="44"/>
      <c r="AZ56" s="44"/>
      <c r="BA56" s="44"/>
      <c r="BB56" s="44"/>
      <c r="BC56" s="44"/>
      <c r="BD56" s="44"/>
      <c r="BE56" s="317"/>
      <c r="BF56" s="317"/>
      <c r="BG56" s="318"/>
      <c r="BH56" s="318"/>
      <c r="BI56" s="319"/>
      <c r="BJ56" s="318"/>
      <c r="BK56" s="318"/>
    </row>
    <row r="57" spans="1:63" ht="17.25" x14ac:dyDescent="0.35">
      <c r="A57" s="362"/>
      <c r="B57" s="367"/>
      <c r="C57" s="367"/>
      <c r="D57" s="367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67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Q57" s="353"/>
      <c r="AR57" s="353"/>
      <c r="AS57" s="353"/>
      <c r="AT57" s="353"/>
      <c r="AU57" s="353"/>
      <c r="AV57" s="44"/>
      <c r="AW57" s="44"/>
      <c r="AX57" s="44"/>
      <c r="AY57" s="44"/>
      <c r="AZ57" s="44"/>
      <c r="BA57" s="44"/>
      <c r="BB57" s="44"/>
      <c r="BC57" s="44"/>
      <c r="BD57" s="44"/>
      <c r="BE57" s="317"/>
      <c r="BF57" s="317"/>
      <c r="BG57" s="318"/>
      <c r="BH57" s="318"/>
      <c r="BI57" s="319"/>
      <c r="BJ57" s="318"/>
      <c r="BK57" s="318"/>
    </row>
    <row r="58" spans="1:63" ht="17.25" x14ac:dyDescent="0.35">
      <c r="A58" s="367"/>
      <c r="B58" s="367"/>
      <c r="C58" s="367"/>
      <c r="D58" s="367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  <c r="Y58" s="379"/>
      <c r="Z58" s="379"/>
      <c r="AA58" s="379"/>
      <c r="AB58" s="379"/>
      <c r="AC58" s="379"/>
      <c r="AD58" s="379"/>
      <c r="AE58" s="379"/>
      <c r="AQ58" s="353"/>
      <c r="AR58" s="353"/>
      <c r="AS58" s="353"/>
      <c r="AT58" s="353"/>
      <c r="AU58" s="353"/>
      <c r="AV58" s="44"/>
      <c r="AW58" s="44"/>
      <c r="AX58" s="44"/>
      <c r="AY58" s="44"/>
      <c r="AZ58" s="44"/>
      <c r="BA58" s="44"/>
      <c r="BB58" s="44"/>
      <c r="BC58" s="44"/>
      <c r="BD58" s="44"/>
      <c r="BE58" s="317"/>
      <c r="BF58" s="317"/>
      <c r="BG58" s="318"/>
      <c r="BH58" s="318"/>
      <c r="BI58" s="319"/>
      <c r="BJ58" s="318"/>
      <c r="BK58" s="318"/>
    </row>
    <row r="59" spans="1:63" ht="17.25" x14ac:dyDescent="0.35">
      <c r="A59" s="362"/>
      <c r="B59" s="367"/>
      <c r="C59" s="367"/>
      <c r="D59" s="367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67"/>
      <c r="R59" s="367"/>
      <c r="S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67"/>
      <c r="AE59" s="367"/>
      <c r="AQ59" s="353"/>
      <c r="AR59" s="353"/>
      <c r="AS59" s="353"/>
      <c r="AT59" s="353"/>
      <c r="AU59" s="353"/>
      <c r="AV59" s="44"/>
      <c r="AW59" s="44"/>
      <c r="AX59" s="44"/>
      <c r="AY59" s="44"/>
      <c r="AZ59" s="44"/>
      <c r="BA59" s="44"/>
      <c r="BB59" s="44"/>
      <c r="BC59" s="44"/>
      <c r="BD59" s="44"/>
      <c r="BE59" s="317"/>
      <c r="BF59" s="317"/>
      <c r="BG59" s="318"/>
      <c r="BH59" s="318"/>
      <c r="BI59" s="319"/>
      <c r="BJ59" s="318"/>
      <c r="BK59" s="318"/>
    </row>
    <row r="60" spans="1:63" ht="17.25" x14ac:dyDescent="0.35">
      <c r="A60" s="199"/>
      <c r="B60" s="367"/>
      <c r="C60" s="367"/>
      <c r="D60" s="367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  <c r="Y60" s="379"/>
      <c r="Z60" s="379"/>
      <c r="AA60" s="379"/>
      <c r="AB60" s="379"/>
      <c r="AC60" s="379"/>
      <c r="AD60" s="379"/>
      <c r="AE60" s="379"/>
      <c r="AQ60" s="353"/>
      <c r="AR60" s="353"/>
      <c r="AS60" s="353"/>
      <c r="AT60" s="353"/>
      <c r="AU60" s="353"/>
      <c r="AV60" s="44"/>
      <c r="AW60" s="44"/>
      <c r="AX60" s="44"/>
      <c r="AY60" s="44"/>
      <c r="AZ60" s="44"/>
      <c r="BA60" s="44"/>
      <c r="BB60" s="44"/>
      <c r="BC60" s="44"/>
      <c r="BD60" s="44"/>
      <c r="BE60" s="317"/>
      <c r="BF60" s="317"/>
      <c r="BG60" s="318"/>
      <c r="BH60" s="318"/>
      <c r="BI60" s="319"/>
      <c r="BJ60" s="318"/>
      <c r="BK60" s="318"/>
    </row>
    <row r="61" spans="1:63" ht="15" customHeight="1" x14ac:dyDescent="0.35">
      <c r="A61" s="367"/>
      <c r="B61" s="367"/>
      <c r="C61" s="367"/>
      <c r="D61" s="367"/>
      <c r="J61" s="368"/>
      <c r="K61" s="368"/>
      <c r="L61" s="368"/>
      <c r="M61" s="368"/>
      <c r="N61" s="368"/>
      <c r="O61" s="368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Q61" s="353"/>
      <c r="AR61" s="353"/>
      <c r="AS61" s="353"/>
      <c r="AT61" s="353"/>
      <c r="AU61" s="353"/>
      <c r="AV61" s="44"/>
      <c r="BE61" s="318"/>
      <c r="BF61" s="318"/>
      <c r="BG61" s="318"/>
      <c r="BH61" s="318"/>
      <c r="BI61" s="319"/>
      <c r="BJ61" s="318"/>
      <c r="BK61" s="318"/>
    </row>
    <row r="62" spans="1:63" ht="15" x14ac:dyDescent="0.2">
      <c r="A62" s="367"/>
      <c r="B62" s="367"/>
      <c r="C62" s="377"/>
      <c r="D62" s="377"/>
      <c r="J62" s="367"/>
      <c r="K62" s="367"/>
      <c r="L62" s="367"/>
      <c r="M62" s="367"/>
      <c r="N62" s="367"/>
      <c r="O62" s="367"/>
      <c r="P62" s="367"/>
      <c r="Q62" s="380"/>
      <c r="R62" s="380"/>
      <c r="S62" s="380"/>
      <c r="T62" s="380"/>
      <c r="U62" s="380"/>
      <c r="V62" s="380"/>
      <c r="W62" s="380"/>
      <c r="X62" s="380"/>
      <c r="Y62" s="380"/>
      <c r="Z62" s="380"/>
      <c r="AA62" s="380"/>
      <c r="AB62" s="380"/>
      <c r="AC62" s="380"/>
      <c r="AD62" s="380"/>
      <c r="AE62" s="380"/>
      <c r="AQ62" s="254"/>
      <c r="AR62" s="254"/>
      <c r="AS62" s="254"/>
      <c r="AT62" s="254"/>
      <c r="AU62" s="254"/>
      <c r="AV62" s="44"/>
      <c r="BE62" s="318"/>
      <c r="BF62" s="318"/>
      <c r="BG62" s="318"/>
      <c r="BH62" s="318"/>
      <c r="BI62" s="319"/>
      <c r="BJ62" s="318"/>
      <c r="BK62" s="318"/>
    </row>
    <row r="63" spans="1:63" ht="15" x14ac:dyDescent="0.2">
      <c r="AQ63" s="254"/>
      <c r="AR63" s="254"/>
      <c r="AS63" s="254"/>
      <c r="AT63" s="254"/>
      <c r="AU63" s="254"/>
      <c r="AV63" s="44"/>
      <c r="BE63" s="318"/>
      <c r="BF63" s="318"/>
      <c r="BG63" s="318"/>
      <c r="BH63" s="318"/>
      <c r="BI63" s="319"/>
      <c r="BJ63" s="318"/>
      <c r="BK63" s="318"/>
    </row>
    <row r="64" spans="1:63" ht="15" x14ac:dyDescent="0.2">
      <c r="AQ64" s="254"/>
      <c r="AR64" s="254"/>
      <c r="AS64" s="254"/>
      <c r="AT64" s="254"/>
      <c r="AU64" s="254"/>
      <c r="AV64" s="44"/>
      <c r="BE64" s="318"/>
      <c r="BF64" s="318"/>
      <c r="BG64" s="318"/>
      <c r="BH64" s="318"/>
      <c r="BI64" s="319"/>
      <c r="BJ64" s="318"/>
      <c r="BK64" s="318"/>
    </row>
    <row r="65" spans="1:63" ht="15" x14ac:dyDescent="0.2">
      <c r="AQ65" s="254"/>
      <c r="AR65" s="254"/>
      <c r="AS65" s="254"/>
      <c r="AT65" s="254"/>
      <c r="AU65" s="254"/>
      <c r="AV65" s="44"/>
      <c r="BE65" s="318"/>
      <c r="BF65" s="318"/>
      <c r="BG65" s="318"/>
      <c r="BH65" s="318"/>
      <c r="BI65" s="319"/>
      <c r="BJ65" s="318"/>
      <c r="BK65" s="318"/>
    </row>
    <row r="66" spans="1:63" ht="15" x14ac:dyDescent="0.2">
      <c r="AQ66" s="254"/>
      <c r="AR66" s="254"/>
      <c r="AS66" s="254"/>
      <c r="AT66" s="254"/>
      <c r="AU66" s="254"/>
      <c r="AV66" s="44"/>
      <c r="BE66" s="318"/>
      <c r="BF66" s="318"/>
      <c r="BG66" s="318"/>
      <c r="BH66" s="318"/>
      <c r="BI66" s="319"/>
      <c r="BJ66" s="318"/>
      <c r="BK66" s="318"/>
    </row>
    <row r="67" spans="1:63" ht="15" x14ac:dyDescent="0.2">
      <c r="AQ67" s="44"/>
      <c r="AR67" s="44"/>
      <c r="AS67" s="44"/>
      <c r="AT67" s="44"/>
      <c r="AU67" s="44"/>
      <c r="AV67" s="44"/>
      <c r="BE67" s="318"/>
      <c r="BF67" s="318"/>
      <c r="BG67" s="318"/>
      <c r="BH67" s="318"/>
      <c r="BI67" s="319"/>
      <c r="BJ67" s="318"/>
      <c r="BK67" s="318"/>
    </row>
    <row r="68" spans="1:63" ht="17.25" x14ac:dyDescent="0.35">
      <c r="A68" s="367"/>
      <c r="B68" s="367"/>
      <c r="C68" s="381"/>
      <c r="D68" s="381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L68" s="371"/>
      <c r="AM68" s="275"/>
      <c r="AN68" s="275"/>
      <c r="AO68" s="275"/>
      <c r="AP68" s="275"/>
      <c r="AQ68" s="275"/>
      <c r="AR68" s="275"/>
      <c r="AS68" s="275"/>
      <c r="AT68" s="275"/>
      <c r="AU68" s="275"/>
      <c r="AV68" s="44"/>
      <c r="BE68" s="318"/>
      <c r="BF68" s="318"/>
      <c r="BG68" s="318"/>
      <c r="BH68" s="318"/>
      <c r="BI68" s="319"/>
      <c r="BJ68" s="318"/>
      <c r="BK68" s="318"/>
    </row>
    <row r="69" spans="1:63" ht="15" x14ac:dyDescent="0.2">
      <c r="A69" s="367"/>
      <c r="B69" s="367"/>
      <c r="C69" s="377"/>
      <c r="D69" s="377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L69" s="367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BE69" s="318"/>
      <c r="BF69" s="318"/>
      <c r="BG69" s="318"/>
      <c r="BH69" s="318"/>
      <c r="BI69" s="384"/>
      <c r="BJ69" s="318"/>
      <c r="BK69" s="318"/>
    </row>
    <row r="70" spans="1:63" ht="15" x14ac:dyDescent="0.2">
      <c r="A70" s="367"/>
      <c r="B70" s="36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  <c r="T70" s="377"/>
      <c r="U70" s="377"/>
      <c r="V70" s="377"/>
      <c r="W70" s="377"/>
      <c r="X70" s="377"/>
      <c r="Y70" s="377"/>
      <c r="Z70" s="377"/>
      <c r="AA70" s="377"/>
      <c r="AB70" s="377"/>
      <c r="AC70" s="377"/>
      <c r="AD70" s="377"/>
      <c r="AE70" s="377"/>
      <c r="AL70" s="376"/>
      <c r="AM70" s="254"/>
      <c r="AN70" s="254"/>
      <c r="AO70" s="254"/>
      <c r="AP70" s="254"/>
      <c r="AQ70" s="254"/>
      <c r="AR70" s="254"/>
      <c r="AS70" s="254"/>
      <c r="AT70" s="254"/>
      <c r="AU70" s="254"/>
      <c r="AV70" s="44"/>
      <c r="BE70" s="318"/>
      <c r="BF70" s="318"/>
      <c r="BG70" s="318"/>
      <c r="BH70" s="318"/>
      <c r="BI70" s="319"/>
      <c r="BJ70" s="318"/>
      <c r="BK70" s="318"/>
    </row>
    <row r="71" spans="1:63" ht="15" x14ac:dyDescent="0.2">
      <c r="A71" s="367"/>
      <c r="B71" s="367"/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377"/>
      <c r="AB71" s="377"/>
      <c r="AC71" s="377"/>
      <c r="AD71" s="377"/>
      <c r="AE71" s="377"/>
      <c r="AL71" s="376"/>
      <c r="AM71" s="254"/>
      <c r="AN71" s="254"/>
      <c r="AO71" s="254"/>
      <c r="AP71" s="254"/>
      <c r="AQ71" s="254"/>
      <c r="AR71" s="254"/>
      <c r="AS71" s="254"/>
      <c r="AT71" s="254"/>
      <c r="AU71" s="254"/>
      <c r="AV71" s="44"/>
      <c r="BE71" s="318"/>
      <c r="BF71" s="318"/>
      <c r="BG71" s="318"/>
      <c r="BH71" s="318"/>
      <c r="BI71" s="319"/>
      <c r="BJ71" s="318"/>
      <c r="BK71" s="318"/>
    </row>
    <row r="72" spans="1:63" s="221" customFormat="1" ht="15" x14ac:dyDescent="0.2">
      <c r="A72" s="367"/>
      <c r="B72" s="369"/>
      <c r="C72" s="385"/>
      <c r="D72" s="385"/>
      <c r="E72" s="385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  <c r="X72" s="385"/>
      <c r="Y72" s="385"/>
      <c r="Z72" s="385"/>
      <c r="AA72" s="385"/>
      <c r="AB72" s="385"/>
      <c r="AC72" s="385"/>
      <c r="AD72" s="385"/>
      <c r="AE72" s="385"/>
      <c r="AF72" s="19"/>
      <c r="AG72" s="19"/>
      <c r="AH72" s="19"/>
      <c r="AI72" s="19"/>
      <c r="AJ72" s="19"/>
      <c r="AK72" s="19"/>
      <c r="AL72" s="386"/>
      <c r="AM72" s="387"/>
      <c r="AN72" s="387"/>
      <c r="AO72" s="387"/>
      <c r="AP72" s="387"/>
      <c r="AQ72" s="387"/>
      <c r="AR72" s="387"/>
      <c r="AS72" s="387"/>
      <c r="AT72" s="387"/>
      <c r="AU72" s="387"/>
      <c r="AV72" s="208"/>
      <c r="BE72" s="388"/>
      <c r="BF72" s="388"/>
      <c r="BG72" s="388"/>
      <c r="BH72" s="388"/>
      <c r="BI72" s="384"/>
      <c r="BJ72" s="388"/>
      <c r="BK72" s="388"/>
    </row>
    <row r="73" spans="1:63" ht="15" x14ac:dyDescent="0.2">
      <c r="A73" s="367"/>
      <c r="B73" s="367"/>
      <c r="C73" s="377"/>
      <c r="D73" s="377"/>
      <c r="E73" s="389"/>
      <c r="F73" s="377"/>
      <c r="G73" s="377"/>
      <c r="H73" s="377"/>
      <c r="I73" s="377"/>
      <c r="J73" s="377"/>
      <c r="K73" s="377"/>
      <c r="L73" s="377"/>
      <c r="M73" s="37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L73" s="367"/>
      <c r="AM73" s="44"/>
      <c r="BE73" s="318"/>
      <c r="BF73" s="318"/>
      <c r="BG73" s="318"/>
      <c r="BH73" s="318"/>
      <c r="BI73" s="390"/>
      <c r="BJ73" s="318"/>
      <c r="BK73" s="318"/>
    </row>
    <row r="74" spans="1:63" ht="15" x14ac:dyDescent="0.2">
      <c r="A74" s="367"/>
      <c r="B74" s="36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67"/>
      <c r="O74" s="367"/>
      <c r="P74" s="367"/>
      <c r="Q74" s="367"/>
      <c r="R74" s="367"/>
      <c r="S74" s="367"/>
      <c r="T74" s="367"/>
      <c r="U74" s="367"/>
      <c r="V74" s="367"/>
      <c r="W74" s="367"/>
      <c r="X74" s="367"/>
      <c r="Y74" s="367"/>
      <c r="Z74" s="367"/>
      <c r="AA74" s="367"/>
      <c r="AB74" s="367"/>
      <c r="AC74" s="367"/>
      <c r="AD74" s="367"/>
      <c r="AE74" s="367"/>
      <c r="AL74" s="367"/>
      <c r="AM74" s="44"/>
      <c r="BE74" s="318"/>
      <c r="BF74" s="318"/>
      <c r="BG74" s="318"/>
      <c r="BH74" s="318"/>
      <c r="BI74" s="390"/>
      <c r="BJ74" s="318"/>
      <c r="BK74" s="318"/>
    </row>
    <row r="75" spans="1:63" ht="15" x14ac:dyDescent="0.2">
      <c r="A75" s="367"/>
      <c r="B75" s="36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  <c r="AA75" s="367"/>
      <c r="AB75" s="367"/>
      <c r="AC75" s="367"/>
      <c r="AD75" s="367"/>
      <c r="AE75" s="367"/>
      <c r="AL75" s="367"/>
      <c r="AM75" s="44"/>
      <c r="BE75" s="318"/>
      <c r="BF75" s="318"/>
      <c r="BG75" s="318"/>
      <c r="BH75" s="318"/>
      <c r="BI75" s="318"/>
      <c r="BJ75" s="318"/>
      <c r="BK75" s="318"/>
    </row>
    <row r="76" spans="1:63" ht="15" x14ac:dyDescent="0.2">
      <c r="A76" s="367"/>
      <c r="B76" s="36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  <c r="AA76" s="367"/>
      <c r="AB76" s="367"/>
      <c r="AC76" s="367"/>
      <c r="AD76" s="367"/>
      <c r="AE76" s="367"/>
      <c r="AL76" s="367"/>
      <c r="AM76" s="44"/>
      <c r="BE76" s="318"/>
      <c r="BF76" s="318"/>
      <c r="BG76" s="318"/>
      <c r="BH76" s="318"/>
      <c r="BI76" s="318"/>
      <c r="BJ76" s="318"/>
      <c r="BK76" s="318"/>
    </row>
    <row r="77" spans="1:63" s="221" customFormat="1" ht="15" x14ac:dyDescent="0.2">
      <c r="A77" s="367"/>
      <c r="B77" s="369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19"/>
      <c r="AG77" s="19"/>
      <c r="AH77" s="19"/>
      <c r="AI77" s="19"/>
      <c r="AJ77" s="19"/>
      <c r="AK77" s="19"/>
      <c r="AL77" s="369"/>
      <c r="AM77" s="208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E77" s="388"/>
      <c r="BF77" s="388"/>
      <c r="BG77" s="388"/>
      <c r="BH77" s="388"/>
      <c r="BI77" s="388"/>
      <c r="BJ77" s="388"/>
      <c r="BK77" s="388"/>
    </row>
    <row r="78" spans="1:63" ht="15" x14ac:dyDescent="0.2">
      <c r="A78" s="367"/>
      <c r="B78" s="36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  <c r="AA78" s="367"/>
      <c r="AB78" s="367"/>
      <c r="AC78" s="367"/>
      <c r="AD78" s="367"/>
      <c r="AE78" s="367"/>
      <c r="AL78" s="367"/>
      <c r="AM78" s="44"/>
      <c r="BE78" s="318"/>
      <c r="BF78" s="318"/>
      <c r="BG78" s="318"/>
      <c r="BH78" s="318"/>
      <c r="BI78" s="318"/>
      <c r="BJ78" s="318"/>
      <c r="BK78" s="318"/>
    </row>
    <row r="79" spans="1:63" ht="15" x14ac:dyDescent="0.2">
      <c r="A79" s="367"/>
      <c r="B79" s="367"/>
      <c r="C79" s="377"/>
      <c r="D79" s="377"/>
      <c r="E79" s="377"/>
      <c r="F79" s="377"/>
      <c r="G79" s="377"/>
      <c r="H79" s="377"/>
      <c r="I79" s="377"/>
      <c r="J79" s="377"/>
      <c r="K79" s="377"/>
      <c r="L79" s="380"/>
      <c r="M79" s="380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  <c r="AA79" s="367"/>
      <c r="AB79" s="367"/>
      <c r="AC79" s="367"/>
      <c r="AD79" s="367"/>
      <c r="AE79" s="367"/>
      <c r="AL79" s="367"/>
      <c r="AM79" s="44"/>
      <c r="BE79" s="318"/>
      <c r="BF79" s="318"/>
      <c r="BG79" s="318"/>
      <c r="BH79" s="318"/>
      <c r="BI79" s="318"/>
      <c r="BJ79" s="318"/>
      <c r="BK79" s="318"/>
    </row>
    <row r="80" spans="1:63" ht="15" x14ac:dyDescent="0.2">
      <c r="A80" s="367"/>
      <c r="B80" s="367"/>
      <c r="C80" s="372"/>
      <c r="D80" s="372"/>
      <c r="E80" s="377"/>
      <c r="F80" s="367"/>
      <c r="G80" s="377"/>
      <c r="H80" s="377"/>
      <c r="I80" s="377"/>
      <c r="J80" s="377"/>
      <c r="K80" s="37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2"/>
      <c r="AI80" s="362"/>
      <c r="AJ80" s="367"/>
      <c r="AK80" s="367"/>
      <c r="AL80" s="367"/>
      <c r="AM80" s="44"/>
      <c r="BE80" s="318"/>
      <c r="BF80" s="318"/>
      <c r="BG80" s="318"/>
      <c r="BH80" s="318"/>
      <c r="BI80" s="318"/>
      <c r="BJ80" s="318"/>
      <c r="BK80" s="318"/>
    </row>
    <row r="81" spans="1:63" ht="15" x14ac:dyDescent="0.2">
      <c r="A81" s="367"/>
      <c r="B81" s="367"/>
      <c r="C81" s="377"/>
      <c r="D81" s="377"/>
      <c r="E81" s="377"/>
      <c r="F81" s="377"/>
      <c r="G81" s="377"/>
      <c r="H81" s="367"/>
      <c r="I81" s="380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9"/>
      <c r="AJ81" s="369"/>
      <c r="AK81" s="369"/>
      <c r="AL81" s="369"/>
      <c r="AM81" s="208"/>
      <c r="BE81" s="318"/>
      <c r="BF81" s="318"/>
      <c r="BG81" s="318"/>
      <c r="BH81" s="318"/>
      <c r="BI81" s="318"/>
      <c r="BJ81" s="318"/>
      <c r="BK81" s="318"/>
    </row>
    <row r="82" spans="1:63" x14ac:dyDescent="0.2">
      <c r="A82" s="367"/>
      <c r="B82" s="367"/>
      <c r="C82" s="367"/>
      <c r="D82" s="367"/>
      <c r="E82" s="367"/>
      <c r="F82" s="367"/>
      <c r="G82" s="377"/>
      <c r="H82" s="367"/>
      <c r="I82" s="380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7"/>
      <c r="V82" s="367"/>
      <c r="W82" s="367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80"/>
      <c r="AJ82" s="380"/>
      <c r="AK82" s="380"/>
      <c r="AL82" s="380"/>
      <c r="AM82" s="320"/>
    </row>
    <row r="83" spans="1:63" x14ac:dyDescent="0.2">
      <c r="A83" s="367"/>
      <c r="B83" s="367"/>
      <c r="C83" s="377"/>
      <c r="D83" s="377"/>
      <c r="E83" s="391"/>
      <c r="F83" s="377"/>
      <c r="G83" s="377"/>
      <c r="H83" s="367"/>
      <c r="I83" s="381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7"/>
      <c r="V83" s="367"/>
      <c r="W83" s="367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9"/>
      <c r="AJ83" s="369"/>
      <c r="AK83" s="369"/>
      <c r="AL83" s="369"/>
      <c r="AM83" s="208"/>
    </row>
    <row r="84" spans="1:63" x14ac:dyDescent="0.2">
      <c r="A84" s="367"/>
      <c r="B84" s="367"/>
      <c r="C84" s="377"/>
      <c r="D84" s="377"/>
      <c r="E84" s="377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367"/>
      <c r="AB84" s="367"/>
      <c r="AC84" s="367"/>
      <c r="AD84" s="367"/>
      <c r="AE84" s="367"/>
      <c r="AF84" s="367"/>
      <c r="AG84" s="367"/>
      <c r="AH84" s="367"/>
      <c r="AI84" s="373"/>
      <c r="AJ84" s="373"/>
      <c r="AK84" s="373"/>
      <c r="AL84" s="373"/>
      <c r="AM84" s="53"/>
    </row>
    <row r="85" spans="1:63" x14ac:dyDescent="0.2">
      <c r="A85" s="367"/>
      <c r="B85" s="367"/>
      <c r="C85" s="377"/>
      <c r="D85" s="377"/>
      <c r="E85" s="377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7"/>
      <c r="Q85" s="367"/>
      <c r="R85" s="367"/>
      <c r="S85" s="367"/>
      <c r="T85" s="367"/>
      <c r="U85" s="367"/>
      <c r="V85" s="367"/>
      <c r="W85" s="367"/>
      <c r="X85" s="367"/>
      <c r="Y85" s="367"/>
      <c r="Z85" s="367"/>
      <c r="AA85" s="367"/>
      <c r="AB85" s="367"/>
      <c r="AC85" s="367"/>
      <c r="AD85" s="367"/>
      <c r="AE85" s="367"/>
      <c r="AF85" s="367"/>
      <c r="AG85" s="367"/>
      <c r="AH85" s="367"/>
      <c r="AI85" s="373"/>
      <c r="AJ85" s="373"/>
      <c r="AK85" s="373"/>
      <c r="AL85" s="37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63" s="221" customFormat="1" x14ac:dyDescent="0.2">
      <c r="A86" s="367"/>
      <c r="B86" s="369"/>
      <c r="C86" s="385"/>
      <c r="D86" s="385"/>
      <c r="E86" s="385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93"/>
      <c r="AJ86" s="393"/>
      <c r="AK86" s="393"/>
      <c r="AL86" s="393"/>
      <c r="AM86" s="394"/>
      <c r="AN86" s="394"/>
      <c r="AO86" s="394"/>
      <c r="AP86" s="394"/>
      <c r="AQ86" s="394"/>
      <c r="AR86" s="394"/>
      <c r="AS86" s="394"/>
      <c r="AT86" s="394"/>
      <c r="AU86" s="394"/>
      <c r="AV86" s="394"/>
      <c r="AW86" s="394"/>
      <c r="AX86" s="394"/>
      <c r="AY86" s="394"/>
    </row>
    <row r="87" spans="1:63" x14ac:dyDescent="0.2">
      <c r="A87" s="367"/>
      <c r="B87" s="367"/>
      <c r="C87" s="377"/>
      <c r="D87" s="377"/>
      <c r="E87" s="377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7"/>
      <c r="Q87" s="367"/>
      <c r="R87" s="367"/>
      <c r="S87" s="367"/>
      <c r="T87" s="367"/>
      <c r="U87" s="367"/>
      <c r="V87" s="367"/>
      <c r="W87" s="367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73"/>
      <c r="AJ87" s="373"/>
      <c r="AK87" s="373"/>
      <c r="AL87" s="37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63" x14ac:dyDescent="0.2">
      <c r="A88" s="367"/>
      <c r="B88" s="367"/>
      <c r="C88" s="377"/>
      <c r="D88" s="377"/>
      <c r="E88" s="377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73"/>
      <c r="AJ88" s="373"/>
      <c r="AK88" s="373"/>
      <c r="AL88" s="37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63" s="221" customFormat="1" x14ac:dyDescent="0.2">
      <c r="A89" s="367"/>
      <c r="B89" s="369"/>
      <c r="C89" s="385"/>
      <c r="D89" s="385"/>
      <c r="E89" s="385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369"/>
      <c r="AB89" s="369"/>
      <c r="AC89" s="369"/>
      <c r="AD89" s="369"/>
      <c r="AE89" s="369"/>
      <c r="AF89" s="208"/>
      <c r="AG89" s="208"/>
      <c r="AH89" s="208"/>
      <c r="AI89" s="394"/>
      <c r="AJ89" s="394"/>
      <c r="AK89" s="394"/>
      <c r="AL89" s="394"/>
      <c r="AM89" s="394"/>
      <c r="AN89" s="394"/>
      <c r="AO89" s="394"/>
      <c r="AP89" s="394"/>
      <c r="AQ89" s="394"/>
      <c r="AR89" s="394"/>
      <c r="AS89" s="394"/>
      <c r="AT89" s="394"/>
      <c r="AU89" s="394"/>
      <c r="AV89" s="394"/>
      <c r="AW89" s="394"/>
      <c r="AX89" s="394"/>
      <c r="AY89" s="394"/>
    </row>
    <row r="90" spans="1:63" s="221" customFormat="1" x14ac:dyDescent="0.2">
      <c r="A90" s="367"/>
      <c r="B90" s="369"/>
      <c r="C90" s="385"/>
      <c r="D90" s="385"/>
      <c r="E90" s="385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369"/>
      <c r="AB90" s="369"/>
      <c r="AC90" s="369"/>
      <c r="AD90" s="369"/>
      <c r="AE90" s="369"/>
      <c r="AF90" s="208"/>
      <c r="AG90" s="208"/>
      <c r="AH90" s="208"/>
      <c r="AI90" s="394"/>
      <c r="AJ90" s="394"/>
      <c r="AK90" s="394"/>
      <c r="AL90" s="394"/>
      <c r="AM90" s="394"/>
      <c r="AN90" s="394"/>
      <c r="AO90" s="394"/>
      <c r="AP90" s="394"/>
      <c r="AQ90" s="394"/>
      <c r="AR90" s="394"/>
      <c r="AS90" s="394"/>
      <c r="AT90" s="394"/>
      <c r="AU90" s="394"/>
      <c r="AV90" s="394"/>
      <c r="AW90" s="394"/>
      <c r="AX90" s="394"/>
      <c r="AY90" s="394"/>
    </row>
    <row r="91" spans="1:63" x14ac:dyDescent="0.2">
      <c r="A91" s="367"/>
      <c r="B91" s="367"/>
      <c r="C91" s="377"/>
      <c r="D91" s="377"/>
      <c r="E91" s="377"/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7"/>
      <c r="Q91" s="367"/>
      <c r="R91" s="367"/>
      <c r="S91" s="367"/>
      <c r="T91" s="367"/>
      <c r="U91" s="367"/>
      <c r="V91" s="367"/>
      <c r="W91" s="367"/>
      <c r="X91" s="367"/>
      <c r="Y91" s="367"/>
      <c r="Z91" s="367"/>
      <c r="AA91" s="367"/>
      <c r="AB91" s="367"/>
      <c r="AC91" s="367"/>
      <c r="AD91" s="367"/>
      <c r="AE91" s="367"/>
      <c r="AF91" s="44"/>
      <c r="AG91" s="44"/>
      <c r="AH91" s="44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63" x14ac:dyDescent="0.2">
      <c r="A92" s="367"/>
      <c r="B92" s="36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7"/>
      <c r="AF92" s="44"/>
      <c r="AG92" s="44"/>
      <c r="AH92" s="44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</row>
    <row r="93" spans="1:63" x14ac:dyDescent="0.2">
      <c r="A93" s="367"/>
      <c r="B93" s="36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67"/>
      <c r="N93" s="367"/>
      <c r="O93" s="367"/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44"/>
      <c r="AG93" s="44"/>
      <c r="AH93" s="44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</row>
    <row r="94" spans="1:63" x14ac:dyDescent="0.2">
      <c r="A94" s="367"/>
      <c r="B94" s="367"/>
      <c r="C94" s="372"/>
      <c r="D94" s="372"/>
      <c r="E94" s="377"/>
      <c r="F94" s="377"/>
      <c r="G94" s="377"/>
      <c r="H94" s="367"/>
      <c r="I94" s="380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7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spans="1:63" ht="15" x14ac:dyDescent="0.35">
      <c r="A95" s="367"/>
      <c r="B95" s="367"/>
      <c r="C95" s="377"/>
      <c r="D95" s="377"/>
      <c r="E95" s="377"/>
      <c r="F95" s="377"/>
      <c r="G95" s="377"/>
      <c r="H95" s="367"/>
      <c r="I95" s="380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7"/>
      <c r="AF95" s="44"/>
      <c r="AG95" s="44"/>
      <c r="AH95" s="44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44"/>
    </row>
    <row r="96" spans="1:63" x14ac:dyDescent="0.2">
      <c r="A96" s="362"/>
      <c r="B96" s="362"/>
      <c r="C96" s="395"/>
      <c r="D96" s="395"/>
      <c r="E96" s="395"/>
      <c r="F96" s="44"/>
      <c r="G96" s="377"/>
      <c r="H96" s="367"/>
      <c r="I96" s="380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67"/>
      <c r="Y96" s="367"/>
      <c r="Z96" s="367"/>
      <c r="AA96" s="367"/>
      <c r="AB96" s="367"/>
      <c r="AC96" s="367"/>
      <c r="AD96" s="367"/>
      <c r="AE96" s="367"/>
      <c r="AF96" s="44"/>
      <c r="AG96" s="44"/>
      <c r="AH96" s="4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44"/>
    </row>
    <row r="97" spans="1:48" x14ac:dyDescent="0.2">
      <c r="A97" s="367"/>
      <c r="B97" s="367"/>
      <c r="C97" s="377"/>
      <c r="D97" s="377"/>
      <c r="E97" s="377"/>
      <c r="F97" s="377"/>
      <c r="G97" s="377"/>
      <c r="H97" s="367"/>
      <c r="I97" s="380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67"/>
      <c r="Y97" s="367"/>
      <c r="Z97" s="367"/>
      <c r="AA97" s="367"/>
      <c r="AB97" s="367"/>
      <c r="AC97" s="367"/>
      <c r="AD97" s="367"/>
      <c r="AE97" s="367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spans="1:48" ht="15" x14ac:dyDescent="0.35">
      <c r="A98" s="367"/>
      <c r="B98" s="367"/>
      <c r="C98" s="377"/>
      <c r="D98" s="377"/>
      <c r="E98" s="377"/>
      <c r="F98" s="377"/>
      <c r="G98" s="377"/>
      <c r="H98" s="367"/>
      <c r="I98" s="380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7"/>
      <c r="V98" s="367"/>
      <c r="W98" s="367"/>
      <c r="X98" s="367"/>
      <c r="Y98" s="367"/>
      <c r="Z98" s="367"/>
      <c r="AA98" s="367"/>
      <c r="AB98" s="367"/>
      <c r="AC98" s="367"/>
      <c r="AD98" s="367"/>
      <c r="AE98" s="367"/>
      <c r="AF98" s="44"/>
      <c r="AG98" s="44"/>
      <c r="AH98" s="44"/>
      <c r="AI98" s="275"/>
      <c r="AJ98" s="275"/>
      <c r="AK98" s="275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44"/>
    </row>
    <row r="99" spans="1:48" x14ac:dyDescent="0.2">
      <c r="A99" s="367"/>
      <c r="B99" s="367"/>
      <c r="C99" s="377"/>
      <c r="D99" s="377"/>
      <c r="E99" s="377"/>
      <c r="F99" s="377"/>
      <c r="G99" s="377"/>
      <c r="H99" s="367"/>
      <c r="I99" s="380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7"/>
      <c r="Y99" s="367"/>
      <c r="Z99" s="367"/>
      <c r="AA99" s="367"/>
      <c r="AB99" s="367"/>
      <c r="AC99" s="367"/>
      <c r="AD99" s="367"/>
      <c r="AE99" s="367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spans="1:48" x14ac:dyDescent="0.2">
      <c r="A100" s="367"/>
      <c r="B100" s="367"/>
      <c r="C100" s="377"/>
      <c r="D100" s="377"/>
      <c r="E100" s="377"/>
      <c r="F100" s="377"/>
      <c r="G100" s="377"/>
      <c r="H100" s="255"/>
      <c r="I100" s="396"/>
      <c r="J100" s="255"/>
      <c r="K100" s="255"/>
      <c r="L100" s="255"/>
      <c r="M100" s="255"/>
      <c r="N100" s="255"/>
      <c r="O100" s="255"/>
      <c r="P100" s="255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  <c r="AA100" s="367"/>
      <c r="AB100" s="367"/>
      <c r="AC100" s="367"/>
      <c r="AD100" s="367"/>
      <c r="AE100" s="367"/>
      <c r="AF100" s="44"/>
      <c r="AG100" s="44"/>
      <c r="AH100" s="4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44"/>
    </row>
    <row r="101" spans="1:48" x14ac:dyDescent="0.2">
      <c r="A101" s="367"/>
      <c r="B101" s="367"/>
      <c r="C101" s="377"/>
      <c r="D101" s="377"/>
      <c r="E101" s="377"/>
      <c r="F101" s="377"/>
      <c r="G101" s="377"/>
      <c r="H101" s="255"/>
      <c r="I101" s="396"/>
      <c r="J101" s="255"/>
      <c r="K101" s="255"/>
      <c r="L101" s="255"/>
      <c r="M101" s="255"/>
      <c r="N101" s="255"/>
      <c r="O101" s="255"/>
      <c r="P101" s="255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367"/>
      <c r="AB101" s="367"/>
      <c r="AC101" s="367"/>
      <c r="AD101" s="367"/>
      <c r="AE101" s="367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spans="1:48" x14ac:dyDescent="0.2">
      <c r="A102" s="362"/>
      <c r="B102" s="367"/>
      <c r="C102" s="377"/>
      <c r="D102" s="377"/>
      <c r="E102" s="377"/>
      <c r="F102" s="397"/>
      <c r="G102" s="397"/>
      <c r="H102" s="397"/>
      <c r="I102" s="44"/>
      <c r="J102" s="44"/>
      <c r="K102" s="44"/>
      <c r="L102" s="44"/>
      <c r="M102" s="44"/>
      <c r="N102" s="44"/>
      <c r="O102" s="44"/>
      <c r="P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spans="1:48" x14ac:dyDescent="0.2">
      <c r="A103" s="362"/>
      <c r="B103" s="367"/>
      <c r="C103" s="381"/>
      <c r="D103" s="381"/>
      <c r="E103" s="37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397"/>
      <c r="AF103" s="44"/>
      <c r="AG103" s="44"/>
      <c r="AH103" s="198"/>
      <c r="AI103" s="198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spans="1:48" x14ac:dyDescent="0.2">
      <c r="A104" s="362"/>
      <c r="B104" s="367"/>
      <c r="C104" s="377"/>
      <c r="D104" s="377"/>
      <c r="E104" s="377"/>
      <c r="F104" s="377"/>
      <c r="G104" s="377"/>
      <c r="H104" s="367"/>
      <c r="I104" s="367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7"/>
      <c r="V104" s="367"/>
      <c r="W104" s="367"/>
      <c r="X104" s="367"/>
      <c r="Y104" s="367"/>
      <c r="Z104" s="367"/>
      <c r="AA104" s="367"/>
      <c r="AB104" s="367"/>
      <c r="AC104" s="367"/>
      <c r="AD104" s="367"/>
      <c r="AE104" s="367"/>
      <c r="AF104" s="44"/>
      <c r="AG104" s="44"/>
      <c r="AH104" s="44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44"/>
    </row>
    <row r="105" spans="1:48" x14ac:dyDescent="0.2">
      <c r="A105" s="367"/>
      <c r="B105" s="367"/>
      <c r="C105" s="377"/>
      <c r="D105" s="377"/>
      <c r="E105" s="377"/>
      <c r="F105" s="377"/>
      <c r="G105" s="377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68"/>
      <c r="AA105" s="368"/>
      <c r="AB105" s="368"/>
      <c r="AC105" s="368"/>
      <c r="AD105" s="368"/>
      <c r="AE105" s="368"/>
      <c r="AF105" s="44"/>
      <c r="AG105" s="44"/>
      <c r="AH105" s="44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  <c r="AT105" s="320"/>
      <c r="AU105" s="320"/>
      <c r="AV105" s="44"/>
    </row>
    <row r="106" spans="1:48" x14ac:dyDescent="0.2">
      <c r="A106" s="367"/>
      <c r="B106" s="44"/>
      <c r="C106" s="367"/>
      <c r="D106" s="367"/>
      <c r="E106" s="367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68"/>
      <c r="Z106" s="368"/>
      <c r="AA106" s="368"/>
      <c r="AB106" s="368"/>
      <c r="AC106" s="368"/>
      <c r="AD106" s="368"/>
      <c r="AE106" s="368"/>
      <c r="AF106" s="44"/>
      <c r="AG106" s="44"/>
      <c r="AH106" s="44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44"/>
    </row>
    <row r="107" spans="1:48" x14ac:dyDescent="0.2">
      <c r="A107" s="367"/>
      <c r="B107" s="367"/>
      <c r="C107" s="367"/>
      <c r="D107" s="367"/>
      <c r="E107" s="367"/>
      <c r="F107" s="367"/>
      <c r="G107" s="367"/>
      <c r="H107" s="367"/>
      <c r="I107" s="367"/>
      <c r="J107" s="367"/>
      <c r="K107" s="367"/>
      <c r="L107" s="367"/>
      <c r="M107" s="367"/>
      <c r="N107" s="367"/>
      <c r="O107" s="367"/>
      <c r="P107" s="367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  <c r="AA107" s="376"/>
      <c r="AB107" s="376"/>
      <c r="AC107" s="376"/>
      <c r="AD107" s="376"/>
      <c r="AE107" s="376"/>
      <c r="AF107" s="44"/>
      <c r="AG107" s="44"/>
      <c r="AH107" s="44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44"/>
    </row>
    <row r="108" spans="1:48" ht="15" x14ac:dyDescent="0.35">
      <c r="A108" s="256"/>
      <c r="B108" s="256"/>
      <c r="C108" s="398"/>
      <c r="D108" s="398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99"/>
      <c r="AB108" s="399"/>
      <c r="AC108" s="399"/>
      <c r="AD108" s="399"/>
      <c r="AE108" s="399"/>
      <c r="AF108" s="44"/>
      <c r="AG108" s="44"/>
      <c r="AH108" s="44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44"/>
    </row>
    <row r="109" spans="1:48" x14ac:dyDescent="0.2">
      <c r="A109" s="367"/>
      <c r="B109" s="256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44"/>
      <c r="AG109" s="44"/>
      <c r="AH109" s="44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44"/>
    </row>
    <row r="110" spans="1:48" x14ac:dyDescent="0.2">
      <c r="A110" s="367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spans="1:48" ht="15" x14ac:dyDescent="0.35">
      <c r="A111" s="367"/>
      <c r="B111" s="256"/>
      <c r="C111" s="256"/>
      <c r="D111" s="256"/>
      <c r="E111" s="256"/>
      <c r="F111" s="256"/>
      <c r="G111" s="113"/>
      <c r="H111" s="113"/>
      <c r="I111" s="113"/>
      <c r="J111" s="113"/>
      <c r="K111" s="113"/>
      <c r="L111" s="113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44"/>
      <c r="AG111" s="44"/>
      <c r="AH111" s="44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44"/>
    </row>
    <row r="112" spans="1:48" x14ac:dyDescent="0.2">
      <c r="A112" s="367"/>
      <c r="B112" s="256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44"/>
      <c r="AG112" s="44"/>
      <c r="AH112" s="4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44"/>
    </row>
    <row r="113" spans="1:48" x14ac:dyDescent="0.2">
      <c r="A113" s="367"/>
      <c r="B113" s="256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spans="1:48" ht="15" x14ac:dyDescent="0.35">
      <c r="A114" s="367"/>
      <c r="B114" s="256"/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44"/>
      <c r="AG114" s="44"/>
      <c r="AH114" s="44"/>
      <c r="AI114" s="275"/>
      <c r="AJ114" s="275"/>
      <c r="AK114" s="275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44"/>
    </row>
    <row r="115" spans="1:48" x14ac:dyDescent="0.2">
      <c r="A115" s="367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spans="1:48" ht="15" x14ac:dyDescent="0.35">
      <c r="A116" s="367"/>
      <c r="B116" s="256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4"/>
      <c r="AG116" s="44"/>
      <c r="AH116" s="4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44"/>
    </row>
    <row r="117" spans="1:48" x14ac:dyDescent="0.2">
      <c r="A117" s="367"/>
      <c r="B117" s="256"/>
      <c r="C117" s="258"/>
      <c r="D117" s="258"/>
      <c r="E117" s="256"/>
      <c r="F117" s="256"/>
      <c r="G117" s="125"/>
      <c r="H117" s="125"/>
      <c r="I117" s="125"/>
      <c r="J117" s="125"/>
      <c r="K117" s="125"/>
      <c r="L117" s="125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</row>
    <row r="118" spans="1:48" x14ac:dyDescent="0.2">
      <c r="A118" s="367"/>
      <c r="B118" s="256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</row>
    <row r="119" spans="1:48" x14ac:dyDescent="0.2">
      <c r="A119" s="199"/>
      <c r="B119" s="256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</row>
    <row r="120" spans="1:48" x14ac:dyDescent="0.2">
      <c r="A120" s="367"/>
      <c r="B120" s="256"/>
      <c r="C120" s="258"/>
      <c r="D120" s="258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</row>
    <row r="121" spans="1:48" x14ac:dyDescent="0.2">
      <c r="A121" s="367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</row>
    <row r="122" spans="1:48" x14ac:dyDescent="0.2">
      <c r="A122" s="367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</row>
    <row r="123" spans="1:48" x14ac:dyDescent="0.2">
      <c r="A123" s="367"/>
      <c r="B123" s="256"/>
      <c r="C123" s="256"/>
      <c r="D123" s="256"/>
      <c r="E123" s="256"/>
      <c r="F123" s="125"/>
      <c r="G123" s="125"/>
      <c r="H123" s="125"/>
      <c r="I123" s="125"/>
      <c r="J123" s="125"/>
      <c r="K123" s="125"/>
      <c r="L123" s="125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</row>
    <row r="124" spans="1:48" x14ac:dyDescent="0.2">
      <c r="A124" s="367"/>
      <c r="B124" s="256"/>
      <c r="C124" s="256"/>
      <c r="D124" s="256"/>
      <c r="E124" s="256"/>
      <c r="F124" s="125"/>
      <c r="G124" s="125"/>
      <c r="H124" s="125"/>
      <c r="I124" s="125"/>
      <c r="J124" s="125"/>
      <c r="K124" s="125"/>
      <c r="L124" s="125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</row>
    <row r="125" spans="1:48" x14ac:dyDescent="0.2">
      <c r="A125" s="367"/>
      <c r="B125" s="256"/>
      <c r="C125" s="256"/>
      <c r="D125" s="256"/>
      <c r="E125" s="256"/>
      <c r="F125" s="125"/>
      <c r="G125" s="125"/>
      <c r="H125" s="125"/>
      <c r="I125" s="125"/>
      <c r="J125" s="125"/>
      <c r="K125" s="125"/>
      <c r="L125" s="125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</row>
    <row r="126" spans="1:48" x14ac:dyDescent="0.2">
      <c r="A126" s="367"/>
      <c r="B126" s="256"/>
      <c r="C126" s="256"/>
      <c r="D126" s="256"/>
      <c r="E126" s="256"/>
      <c r="F126" s="125"/>
      <c r="G126" s="125"/>
      <c r="H126" s="125"/>
      <c r="I126" s="125"/>
      <c r="J126" s="125"/>
      <c r="K126" s="125"/>
      <c r="L126" s="125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</row>
    <row r="127" spans="1:48" x14ac:dyDescent="0.2">
      <c r="A127" s="367"/>
      <c r="B127" s="256"/>
      <c r="C127" s="256"/>
      <c r="D127" s="256"/>
      <c r="E127" s="256"/>
      <c r="F127" s="125"/>
      <c r="G127" s="125"/>
      <c r="H127" s="125"/>
      <c r="I127" s="125"/>
      <c r="J127" s="125"/>
      <c r="K127" s="125"/>
      <c r="L127" s="125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</row>
    <row r="128" spans="1:48" x14ac:dyDescent="0.2">
      <c r="A128" s="367"/>
      <c r="B128" s="256"/>
      <c r="C128" s="256"/>
      <c r="D128" s="256"/>
      <c r="E128" s="256"/>
      <c r="F128" s="125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</row>
    <row r="129" spans="1:31" x14ac:dyDescent="0.2">
      <c r="A129" s="367"/>
      <c r="B129" s="256"/>
      <c r="C129" s="258"/>
      <c r="D129" s="258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</row>
    <row r="130" spans="1:31" x14ac:dyDescent="0.2">
      <c r="A130" s="367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</row>
    <row r="131" spans="1:31" x14ac:dyDescent="0.2">
      <c r="A131" s="255"/>
      <c r="B131" s="378"/>
      <c r="C131" s="402"/>
      <c r="D131" s="402"/>
      <c r="E131" s="402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</row>
    <row r="132" spans="1:31" x14ac:dyDescent="0.2">
      <c r="A132" s="255"/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</row>
    <row r="133" spans="1:31" x14ac:dyDescent="0.2">
      <c r="A133" s="255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</row>
    <row r="134" spans="1:31" x14ac:dyDescent="0.2">
      <c r="A134" s="255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</row>
    <row r="135" spans="1:31" x14ac:dyDescent="0.2">
      <c r="A135" s="255"/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</row>
    <row r="136" spans="1:31" x14ac:dyDescent="0.2">
      <c r="A136" s="255"/>
      <c r="B136" s="378"/>
      <c r="C136" s="378"/>
      <c r="D136" s="378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</row>
    <row r="137" spans="1:31" x14ac:dyDescent="0.2">
      <c r="A137" s="255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</row>
    <row r="138" spans="1:31" x14ac:dyDescent="0.2">
      <c r="A138" s="255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8"/>
      <c r="N138" s="378"/>
      <c r="O138" s="378"/>
      <c r="P138" s="378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</row>
    <row r="139" spans="1:31" x14ac:dyDescent="0.2">
      <c r="A139" s="255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</row>
    <row r="140" spans="1:31" x14ac:dyDescent="0.2">
      <c r="A140" s="255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</row>
    <row r="141" spans="1:31" x14ac:dyDescent="0.2">
      <c r="A141" s="255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</row>
    <row r="142" spans="1:31" x14ac:dyDescent="0.2">
      <c r="A142" s="255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</row>
    <row r="143" spans="1:31" x14ac:dyDescent="0.2">
      <c r="A143" s="255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8"/>
      <c r="M143" s="378"/>
      <c r="N143" s="378"/>
      <c r="O143" s="378"/>
      <c r="P143" s="378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</row>
    <row r="144" spans="1:31" x14ac:dyDescent="0.2">
      <c r="A144" s="255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</row>
    <row r="145" spans="1:31" x14ac:dyDescent="0.2">
      <c r="A145" s="255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  <c r="AA145" s="367"/>
      <c r="AB145" s="367"/>
      <c r="AC145" s="367"/>
      <c r="AD145" s="367"/>
      <c r="AE145" s="367"/>
    </row>
    <row r="146" spans="1:31" x14ac:dyDescent="0.2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367"/>
      <c r="AB146" s="367"/>
      <c r="AC146" s="367"/>
      <c r="AD146" s="367"/>
      <c r="AE146" s="367"/>
    </row>
    <row r="147" spans="1:31" x14ac:dyDescent="0.2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  <c r="AA147" s="367"/>
      <c r="AB147" s="367"/>
      <c r="AC147" s="367"/>
      <c r="AD147" s="367"/>
      <c r="AE147" s="367"/>
    </row>
    <row r="148" spans="1:31" x14ac:dyDescent="0.2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  <c r="AA148" s="367"/>
      <c r="AB148" s="367"/>
      <c r="AC148" s="367"/>
      <c r="AD148" s="367"/>
      <c r="AE148" s="367"/>
    </row>
    <row r="149" spans="1:31" x14ac:dyDescent="0.2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  <c r="AA149" s="367"/>
      <c r="AB149" s="367"/>
      <c r="AC149" s="367"/>
      <c r="AD149" s="367"/>
      <c r="AE149" s="367"/>
    </row>
    <row r="150" spans="1:31" x14ac:dyDescent="0.2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  <c r="AA150" s="367"/>
      <c r="AB150" s="367"/>
      <c r="AC150" s="367"/>
      <c r="AD150" s="367"/>
      <c r="AE150" s="367"/>
    </row>
    <row r="151" spans="1:31" x14ac:dyDescent="0.2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367"/>
      <c r="AB151" s="367"/>
      <c r="AC151" s="367"/>
      <c r="AD151" s="367"/>
      <c r="AE151" s="367"/>
    </row>
    <row r="152" spans="1:31" x14ac:dyDescent="0.2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367"/>
      <c r="AB152" s="367"/>
      <c r="AC152" s="367"/>
      <c r="AD152" s="367"/>
      <c r="AE152" s="367"/>
    </row>
    <row r="153" spans="1:31" x14ac:dyDescent="0.2">
      <c r="A153" s="255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  <c r="AA153" s="367"/>
      <c r="AB153" s="367"/>
      <c r="AC153" s="367"/>
      <c r="AD153" s="367"/>
      <c r="AE153" s="367"/>
    </row>
    <row r="154" spans="1:31" x14ac:dyDescent="0.2">
      <c r="A154" s="255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  <c r="AA154" s="367"/>
      <c r="AB154" s="367"/>
      <c r="AC154" s="367"/>
      <c r="AD154" s="367"/>
      <c r="AE154" s="367"/>
    </row>
    <row r="155" spans="1:31" x14ac:dyDescent="0.2">
      <c r="A155" s="255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  <c r="AA155" s="367"/>
      <c r="AB155" s="367"/>
      <c r="AC155" s="367"/>
      <c r="AD155" s="367"/>
      <c r="AE155" s="367"/>
    </row>
    <row r="156" spans="1:31" x14ac:dyDescent="0.2">
      <c r="A156" s="255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367"/>
      <c r="AB156" s="367"/>
      <c r="AC156" s="367"/>
      <c r="AD156" s="367"/>
      <c r="AE156" s="367"/>
    </row>
  </sheetData>
  <customSheetViews>
    <customSheetView guid="{247772DE-F62B-11D1-9A7E-3C9971000000}" showGridLines="0" fitToPage="1" showRuler="0" topLeftCell="M1">
      <selection sqref="A1:Y63"/>
      <pageMargins left="0.75" right="0.75" top="1" bottom="1" header="0.5" footer="0.5"/>
      <pageSetup scale="42" orientation="landscape" horizontalDpi="4294967292" verticalDpi="4294967292" r:id="rId1"/>
      <headerFooter alignWithMargins="0">
        <oddHeader>&amp;L&amp;D&amp;R&amp;T</oddHeader>
        <oddFooter>&amp;L&amp;F&amp;CPage 6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CO144"/>
  <sheetViews>
    <sheetView showGridLines="0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2.75" outlineLevelRow="1" outlineLevelCol="1" x14ac:dyDescent="0.2"/>
  <cols>
    <col min="1" max="1" width="33.6640625" style="19" customWidth="1"/>
    <col min="2" max="2" width="16" style="19" customWidth="1"/>
    <col min="3" max="27" width="12.83203125" style="19" customWidth="1"/>
    <col min="28" max="38" width="12.83203125" style="19" customWidth="1" outlineLevel="1"/>
    <col min="39" max="39" width="14" style="19" customWidth="1"/>
    <col min="40" max="40" width="14.33203125" style="19" bestFit="1" customWidth="1"/>
    <col min="41" max="44" width="9.33203125" style="19"/>
    <col min="45" max="45" width="20.5" style="19" customWidth="1"/>
    <col min="46" max="16384" width="9.33203125" style="19"/>
  </cols>
  <sheetData>
    <row r="1" spans="1:93" s="200" customFormat="1" ht="15.75" x14ac:dyDescent="0.25">
      <c r="A1" s="588" t="str">
        <f>+Assumpt!A1</f>
        <v>Panama Regas Terminal</v>
      </c>
      <c r="B1" s="589"/>
      <c r="C1" s="589"/>
      <c r="D1" s="590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19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</row>
    <row r="2" spans="1:93" ht="15.75" x14ac:dyDescent="0.25">
      <c r="A2" s="591" t="str">
        <f>+Assumpt!A2</f>
        <v>Enron International</v>
      </c>
      <c r="B2" s="558"/>
      <c r="C2" s="558"/>
      <c r="D2" s="592"/>
      <c r="G2" s="156" t="s">
        <v>128</v>
      </c>
      <c r="H2" s="156"/>
      <c r="I2" s="273"/>
      <c r="J2" s="273">
        <f>+Assumpt!$S$28</f>
        <v>138040.42500000002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93" ht="16.5" thickBot="1" x14ac:dyDescent="0.3">
      <c r="A3" s="587" t="s">
        <v>129</v>
      </c>
      <c r="B3" s="64"/>
      <c r="C3" s="64"/>
      <c r="D3" s="146"/>
      <c r="G3" s="156" t="s">
        <v>130</v>
      </c>
      <c r="H3" s="156"/>
      <c r="I3" s="156"/>
      <c r="J3" s="273">
        <f>estcost-Assumpt!$S$28-estidc</f>
        <v>13692.832680716925</v>
      </c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</row>
    <row r="4" spans="1:93" x14ac:dyDescent="0.2">
      <c r="G4" s="156" t="s">
        <v>131</v>
      </c>
      <c r="H4" s="156"/>
      <c r="I4" s="156"/>
      <c r="J4" s="291">
        <f>estdebt-estidc*debtamt</f>
        <v>113800.23493713611</v>
      </c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</row>
    <row r="5" spans="1:93" x14ac:dyDescent="0.2">
      <c r="A5" s="547" t="s">
        <v>132</v>
      </c>
      <c r="B5" s="535"/>
      <c r="C5" s="602">
        <v>1</v>
      </c>
      <c r="D5" s="602">
        <f>MIN(C5+1,constmonths)</f>
        <v>2</v>
      </c>
      <c r="E5" s="602">
        <f t="shared" ref="E5:AL5" si="0">MIN(D5+1,constmonths)</f>
        <v>3</v>
      </c>
      <c r="F5" s="602">
        <f t="shared" si="0"/>
        <v>4</v>
      </c>
      <c r="G5" s="602">
        <f t="shared" si="0"/>
        <v>5</v>
      </c>
      <c r="H5" s="602">
        <f t="shared" si="0"/>
        <v>6</v>
      </c>
      <c r="I5" s="602">
        <f t="shared" si="0"/>
        <v>7</v>
      </c>
      <c r="J5" s="602">
        <f t="shared" si="0"/>
        <v>8</v>
      </c>
      <c r="K5" s="602">
        <f t="shared" si="0"/>
        <v>9</v>
      </c>
      <c r="L5" s="602">
        <f t="shared" si="0"/>
        <v>10</v>
      </c>
      <c r="M5" s="602">
        <f t="shared" si="0"/>
        <v>11</v>
      </c>
      <c r="N5" s="602">
        <f t="shared" si="0"/>
        <v>12</v>
      </c>
      <c r="O5" s="602">
        <f t="shared" si="0"/>
        <v>13</v>
      </c>
      <c r="P5" s="602">
        <f t="shared" si="0"/>
        <v>14</v>
      </c>
      <c r="Q5" s="602">
        <f t="shared" si="0"/>
        <v>15</v>
      </c>
      <c r="R5" s="602">
        <f t="shared" si="0"/>
        <v>16</v>
      </c>
      <c r="S5" s="602">
        <f t="shared" si="0"/>
        <v>17</v>
      </c>
      <c r="T5" s="602">
        <f t="shared" si="0"/>
        <v>18</v>
      </c>
      <c r="U5" s="602">
        <f t="shared" si="0"/>
        <v>19</v>
      </c>
      <c r="V5" s="602">
        <f t="shared" si="0"/>
        <v>20</v>
      </c>
      <c r="W5" s="602">
        <f t="shared" si="0"/>
        <v>21</v>
      </c>
      <c r="X5" s="602">
        <f t="shared" si="0"/>
        <v>22</v>
      </c>
      <c r="Y5" s="602">
        <f t="shared" si="0"/>
        <v>23</v>
      </c>
      <c r="Z5" s="602">
        <f t="shared" si="0"/>
        <v>24</v>
      </c>
      <c r="AA5" s="602">
        <f t="shared" si="0"/>
        <v>25</v>
      </c>
      <c r="AB5" s="602">
        <f t="shared" si="0"/>
        <v>26</v>
      </c>
      <c r="AC5" s="602">
        <f t="shared" si="0"/>
        <v>27</v>
      </c>
      <c r="AD5" s="602">
        <f t="shared" si="0"/>
        <v>28</v>
      </c>
      <c r="AE5" s="602">
        <f t="shared" si="0"/>
        <v>29</v>
      </c>
      <c r="AF5" s="602">
        <f t="shared" si="0"/>
        <v>30</v>
      </c>
      <c r="AG5" s="602">
        <f t="shared" si="0"/>
        <v>31</v>
      </c>
      <c r="AH5" s="602">
        <f t="shared" si="0"/>
        <v>32</v>
      </c>
      <c r="AI5" s="602">
        <f t="shared" si="0"/>
        <v>33</v>
      </c>
      <c r="AJ5" s="602">
        <f t="shared" si="0"/>
        <v>34</v>
      </c>
      <c r="AK5" s="602">
        <f t="shared" si="0"/>
        <v>35</v>
      </c>
      <c r="AL5" s="602">
        <f t="shared" si="0"/>
        <v>36</v>
      </c>
      <c r="AM5" s="606"/>
      <c r="AP5" s="44"/>
      <c r="AQ5" s="44"/>
      <c r="AR5" s="44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44"/>
      <c r="CD5" s="44"/>
      <c r="CE5" s="44"/>
      <c r="CF5" s="44"/>
      <c r="CG5" s="44"/>
      <c r="CH5" s="44"/>
      <c r="CI5" s="44"/>
    </row>
    <row r="6" spans="1:93" s="231" customFormat="1" x14ac:dyDescent="0.2">
      <c r="A6" s="578" t="s">
        <v>133</v>
      </c>
      <c r="B6" s="579"/>
      <c r="C6" s="604">
        <f>+Assumpt!E16</f>
        <v>36526</v>
      </c>
      <c r="D6" s="604">
        <f t="shared" ref="D6:AL6" si="1">+EDATE(C6,1)</f>
        <v>36557</v>
      </c>
      <c r="E6" s="604">
        <f t="shared" si="1"/>
        <v>36586</v>
      </c>
      <c r="F6" s="604">
        <f t="shared" si="1"/>
        <v>36617</v>
      </c>
      <c r="G6" s="604">
        <f t="shared" si="1"/>
        <v>36647</v>
      </c>
      <c r="H6" s="604">
        <f t="shared" si="1"/>
        <v>36678</v>
      </c>
      <c r="I6" s="604">
        <f t="shared" si="1"/>
        <v>36708</v>
      </c>
      <c r="J6" s="604">
        <f t="shared" si="1"/>
        <v>36739</v>
      </c>
      <c r="K6" s="604">
        <f t="shared" si="1"/>
        <v>36770</v>
      </c>
      <c r="L6" s="604">
        <f t="shared" si="1"/>
        <v>36800</v>
      </c>
      <c r="M6" s="604">
        <f t="shared" si="1"/>
        <v>36831</v>
      </c>
      <c r="N6" s="604">
        <f t="shared" si="1"/>
        <v>36861</v>
      </c>
      <c r="O6" s="604">
        <f t="shared" si="1"/>
        <v>36892</v>
      </c>
      <c r="P6" s="604">
        <f t="shared" si="1"/>
        <v>36923</v>
      </c>
      <c r="Q6" s="604">
        <f t="shared" si="1"/>
        <v>36951</v>
      </c>
      <c r="R6" s="604">
        <f t="shared" si="1"/>
        <v>36982</v>
      </c>
      <c r="S6" s="604">
        <f t="shared" si="1"/>
        <v>37012</v>
      </c>
      <c r="T6" s="604">
        <f t="shared" si="1"/>
        <v>37043</v>
      </c>
      <c r="U6" s="604">
        <f t="shared" si="1"/>
        <v>37073</v>
      </c>
      <c r="V6" s="604">
        <f t="shared" si="1"/>
        <v>37104</v>
      </c>
      <c r="W6" s="604">
        <f t="shared" si="1"/>
        <v>37135</v>
      </c>
      <c r="X6" s="604">
        <f t="shared" si="1"/>
        <v>37165</v>
      </c>
      <c r="Y6" s="604">
        <f t="shared" si="1"/>
        <v>37196</v>
      </c>
      <c r="Z6" s="604">
        <f t="shared" si="1"/>
        <v>37226</v>
      </c>
      <c r="AA6" s="604">
        <f t="shared" si="1"/>
        <v>37257</v>
      </c>
      <c r="AB6" s="604">
        <f t="shared" si="1"/>
        <v>37288</v>
      </c>
      <c r="AC6" s="604">
        <f t="shared" si="1"/>
        <v>37316</v>
      </c>
      <c r="AD6" s="604">
        <f t="shared" si="1"/>
        <v>37347</v>
      </c>
      <c r="AE6" s="604">
        <f t="shared" si="1"/>
        <v>37377</v>
      </c>
      <c r="AF6" s="604">
        <f t="shared" si="1"/>
        <v>37408</v>
      </c>
      <c r="AG6" s="604">
        <f t="shared" si="1"/>
        <v>37438</v>
      </c>
      <c r="AH6" s="604">
        <f t="shared" si="1"/>
        <v>37469</v>
      </c>
      <c r="AI6" s="604">
        <f t="shared" si="1"/>
        <v>37500</v>
      </c>
      <c r="AJ6" s="604">
        <f t="shared" si="1"/>
        <v>37530</v>
      </c>
      <c r="AK6" s="604">
        <f t="shared" si="1"/>
        <v>37561</v>
      </c>
      <c r="AL6" s="604">
        <f t="shared" si="1"/>
        <v>37591</v>
      </c>
      <c r="AM6" s="607" t="s">
        <v>134</v>
      </c>
      <c r="AN6" s="198"/>
      <c r="AO6" s="1">
        <v>1</v>
      </c>
      <c r="AP6" s="198"/>
      <c r="AQ6" s="198"/>
      <c r="AR6" s="198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5"/>
      <c r="BY6" s="605"/>
      <c r="BZ6" s="605"/>
      <c r="CA6" s="605"/>
      <c r="CB6" s="605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</row>
    <row r="7" spans="1:93" x14ac:dyDescent="0.2"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04"/>
      <c r="AN7" s="44"/>
      <c r="AO7" s="1">
        <f>+AO6+1</f>
        <v>2</v>
      </c>
      <c r="AP7" s="44"/>
      <c r="AQ7" s="44"/>
      <c r="AR7" s="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</row>
    <row r="8" spans="1:93" x14ac:dyDescent="0.2">
      <c r="A8" s="263" t="s">
        <v>135</v>
      </c>
      <c r="B8" s="200"/>
      <c r="C8" s="636">
        <f>1/constmonths</f>
        <v>2.7777777777777776E-2</v>
      </c>
      <c r="D8" s="636">
        <f t="shared" ref="D8:AA9" si="2">1/constmonths</f>
        <v>2.7777777777777776E-2</v>
      </c>
      <c r="E8" s="636">
        <f t="shared" si="2"/>
        <v>2.7777777777777776E-2</v>
      </c>
      <c r="F8" s="636">
        <f t="shared" si="2"/>
        <v>2.7777777777777776E-2</v>
      </c>
      <c r="G8" s="636">
        <f t="shared" si="2"/>
        <v>2.7777777777777776E-2</v>
      </c>
      <c r="H8" s="636">
        <f t="shared" si="2"/>
        <v>2.7777777777777776E-2</v>
      </c>
      <c r="I8" s="636">
        <f t="shared" si="2"/>
        <v>2.7777777777777776E-2</v>
      </c>
      <c r="J8" s="636">
        <f t="shared" si="2"/>
        <v>2.7777777777777776E-2</v>
      </c>
      <c r="K8" s="636">
        <f t="shared" si="2"/>
        <v>2.7777777777777776E-2</v>
      </c>
      <c r="L8" s="636">
        <f t="shared" si="2"/>
        <v>2.7777777777777776E-2</v>
      </c>
      <c r="M8" s="636">
        <f t="shared" si="2"/>
        <v>2.7777777777777776E-2</v>
      </c>
      <c r="N8" s="636">
        <f t="shared" si="2"/>
        <v>2.7777777777777776E-2</v>
      </c>
      <c r="O8" s="636">
        <f t="shared" si="2"/>
        <v>2.7777777777777776E-2</v>
      </c>
      <c r="P8" s="636">
        <f t="shared" si="2"/>
        <v>2.7777777777777776E-2</v>
      </c>
      <c r="Q8" s="636">
        <f t="shared" si="2"/>
        <v>2.7777777777777776E-2</v>
      </c>
      <c r="R8" s="636">
        <f t="shared" si="2"/>
        <v>2.7777777777777776E-2</v>
      </c>
      <c r="S8" s="636">
        <f t="shared" si="2"/>
        <v>2.7777777777777776E-2</v>
      </c>
      <c r="T8" s="636">
        <f t="shared" si="2"/>
        <v>2.7777777777777776E-2</v>
      </c>
      <c r="U8" s="636">
        <f t="shared" si="2"/>
        <v>2.7777777777777776E-2</v>
      </c>
      <c r="V8" s="636">
        <f t="shared" si="2"/>
        <v>2.7777777777777776E-2</v>
      </c>
      <c r="W8" s="636">
        <f t="shared" si="2"/>
        <v>2.7777777777777776E-2</v>
      </c>
      <c r="X8" s="636">
        <f t="shared" si="2"/>
        <v>2.7777777777777776E-2</v>
      </c>
      <c r="Y8" s="636">
        <f t="shared" si="2"/>
        <v>2.7777777777777776E-2</v>
      </c>
      <c r="Z8" s="636">
        <f t="shared" si="2"/>
        <v>2.7777777777777776E-2</v>
      </c>
      <c r="AA8" s="636">
        <f t="shared" si="2"/>
        <v>2.7777777777777776E-2</v>
      </c>
      <c r="AB8" s="636">
        <f t="shared" ref="AA8:AL9" si="3">1/constmonths</f>
        <v>2.7777777777777776E-2</v>
      </c>
      <c r="AC8" s="636">
        <f t="shared" si="3"/>
        <v>2.7777777777777776E-2</v>
      </c>
      <c r="AD8" s="636">
        <f t="shared" si="3"/>
        <v>2.7777777777777776E-2</v>
      </c>
      <c r="AE8" s="636">
        <f t="shared" si="3"/>
        <v>2.7777777777777776E-2</v>
      </c>
      <c r="AF8" s="636">
        <f t="shared" si="3"/>
        <v>2.7777777777777776E-2</v>
      </c>
      <c r="AG8" s="636">
        <f t="shared" si="3"/>
        <v>2.7777777777777776E-2</v>
      </c>
      <c r="AH8" s="636">
        <f t="shared" si="3"/>
        <v>2.7777777777777776E-2</v>
      </c>
      <c r="AI8" s="636">
        <f t="shared" si="3"/>
        <v>2.7777777777777776E-2</v>
      </c>
      <c r="AJ8" s="636">
        <f t="shared" si="3"/>
        <v>2.7777777777777776E-2</v>
      </c>
      <c r="AK8" s="636">
        <f t="shared" si="3"/>
        <v>2.7777777777777776E-2</v>
      </c>
      <c r="AL8" s="636">
        <f t="shared" si="3"/>
        <v>2.7777777777777776E-2</v>
      </c>
      <c r="AM8" s="637">
        <f>SUM(C8:AL8)</f>
        <v>1.0000000000000002</v>
      </c>
      <c r="AN8" s="44"/>
      <c r="AO8" s="1">
        <f t="shared" ref="AO8:AO48" si="4">+AO7+1</f>
        <v>3</v>
      </c>
      <c r="AP8" s="44"/>
      <c r="AQ8" s="204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</row>
    <row r="9" spans="1:93" s="221" customFormat="1" x14ac:dyDescent="0.2">
      <c r="A9" s="219" t="s">
        <v>136</v>
      </c>
      <c r="B9" s="208"/>
      <c r="C9" s="638">
        <f>1/constmonths</f>
        <v>2.7777777777777776E-2</v>
      </c>
      <c r="D9" s="638">
        <f t="shared" si="2"/>
        <v>2.7777777777777776E-2</v>
      </c>
      <c r="E9" s="638">
        <f t="shared" si="2"/>
        <v>2.7777777777777776E-2</v>
      </c>
      <c r="F9" s="638">
        <f t="shared" si="2"/>
        <v>2.7777777777777776E-2</v>
      </c>
      <c r="G9" s="638">
        <f t="shared" si="2"/>
        <v>2.7777777777777776E-2</v>
      </c>
      <c r="H9" s="638">
        <f t="shared" si="2"/>
        <v>2.7777777777777776E-2</v>
      </c>
      <c r="I9" s="638">
        <f t="shared" si="2"/>
        <v>2.7777777777777776E-2</v>
      </c>
      <c r="J9" s="638">
        <f t="shared" si="2"/>
        <v>2.7777777777777776E-2</v>
      </c>
      <c r="K9" s="638">
        <f t="shared" si="2"/>
        <v>2.7777777777777776E-2</v>
      </c>
      <c r="L9" s="638">
        <f t="shared" si="2"/>
        <v>2.7777777777777776E-2</v>
      </c>
      <c r="M9" s="638">
        <f t="shared" si="2"/>
        <v>2.7777777777777776E-2</v>
      </c>
      <c r="N9" s="638">
        <f t="shared" si="2"/>
        <v>2.7777777777777776E-2</v>
      </c>
      <c r="O9" s="638">
        <f t="shared" si="2"/>
        <v>2.7777777777777776E-2</v>
      </c>
      <c r="P9" s="638">
        <f t="shared" si="2"/>
        <v>2.7777777777777776E-2</v>
      </c>
      <c r="Q9" s="638">
        <f t="shared" si="2"/>
        <v>2.7777777777777776E-2</v>
      </c>
      <c r="R9" s="638">
        <f t="shared" si="2"/>
        <v>2.7777777777777776E-2</v>
      </c>
      <c r="S9" s="638">
        <f t="shared" si="2"/>
        <v>2.7777777777777776E-2</v>
      </c>
      <c r="T9" s="638">
        <f t="shared" si="2"/>
        <v>2.7777777777777776E-2</v>
      </c>
      <c r="U9" s="638">
        <f t="shared" si="2"/>
        <v>2.7777777777777776E-2</v>
      </c>
      <c r="V9" s="638">
        <f t="shared" si="2"/>
        <v>2.7777777777777776E-2</v>
      </c>
      <c r="W9" s="638">
        <f t="shared" si="2"/>
        <v>2.7777777777777776E-2</v>
      </c>
      <c r="X9" s="638">
        <f t="shared" si="2"/>
        <v>2.7777777777777776E-2</v>
      </c>
      <c r="Y9" s="638">
        <f t="shared" si="2"/>
        <v>2.7777777777777776E-2</v>
      </c>
      <c r="Z9" s="638">
        <f t="shared" si="2"/>
        <v>2.7777777777777776E-2</v>
      </c>
      <c r="AA9" s="638">
        <f t="shared" si="3"/>
        <v>2.7777777777777776E-2</v>
      </c>
      <c r="AB9" s="638">
        <f t="shared" si="3"/>
        <v>2.7777777777777776E-2</v>
      </c>
      <c r="AC9" s="638">
        <f t="shared" si="3"/>
        <v>2.7777777777777776E-2</v>
      </c>
      <c r="AD9" s="638">
        <f t="shared" si="3"/>
        <v>2.7777777777777776E-2</v>
      </c>
      <c r="AE9" s="638">
        <f t="shared" si="3"/>
        <v>2.7777777777777776E-2</v>
      </c>
      <c r="AF9" s="638">
        <f t="shared" si="3"/>
        <v>2.7777777777777776E-2</v>
      </c>
      <c r="AG9" s="638">
        <f t="shared" si="3"/>
        <v>2.7777777777777776E-2</v>
      </c>
      <c r="AH9" s="638">
        <f t="shared" si="3"/>
        <v>2.7777777777777776E-2</v>
      </c>
      <c r="AI9" s="638">
        <f t="shared" si="3"/>
        <v>2.7777777777777776E-2</v>
      </c>
      <c r="AJ9" s="638">
        <f t="shared" si="3"/>
        <v>2.7777777777777776E-2</v>
      </c>
      <c r="AK9" s="638">
        <f t="shared" si="3"/>
        <v>2.7777777777777776E-2</v>
      </c>
      <c r="AL9" s="638">
        <f t="shared" si="3"/>
        <v>2.7777777777777776E-2</v>
      </c>
      <c r="AM9" s="609">
        <f>SUM(C9:AL9)</f>
        <v>1.0000000000000002</v>
      </c>
      <c r="AN9" s="208"/>
      <c r="AO9" s="1">
        <f t="shared" si="4"/>
        <v>4</v>
      </c>
      <c r="AP9" s="208"/>
      <c r="AQ9" s="207"/>
      <c r="AR9" s="248"/>
      <c r="AS9" s="249"/>
      <c r="AT9" s="249"/>
      <c r="AU9" s="249"/>
      <c r="AV9" s="249"/>
      <c r="AW9" s="249"/>
      <c r="AX9" s="249"/>
      <c r="AY9" s="249"/>
      <c r="AZ9" s="249"/>
      <c r="BA9" s="249"/>
      <c r="BB9" s="248"/>
      <c r="BC9" s="248"/>
      <c r="BD9" s="248"/>
      <c r="BE9" s="248"/>
      <c r="BF9" s="248"/>
      <c r="BG9" s="248"/>
      <c r="BH9" s="248"/>
      <c r="BI9" s="248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48"/>
      <c r="BU9" s="248"/>
      <c r="BV9" s="248"/>
      <c r="BW9" s="248"/>
      <c r="BX9" s="248"/>
      <c r="BY9" s="248"/>
      <c r="BZ9" s="248"/>
      <c r="CA9" s="248"/>
      <c r="CB9" s="248"/>
      <c r="CC9" s="24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</row>
    <row r="10" spans="1:93" x14ac:dyDescent="0.2">
      <c r="A10" s="203" t="s">
        <v>237</v>
      </c>
      <c r="B10" s="44"/>
      <c r="C10" s="251">
        <f>+SUM($C$8:C$9)/SUM($AM$8:$AM$9)</f>
        <v>2.7777777777777769E-2</v>
      </c>
      <c r="D10" s="251">
        <f>+SUM($C$8:D$9)/SUM($AM$8:$AM$9)</f>
        <v>5.5555555555555539E-2</v>
      </c>
      <c r="E10" s="251">
        <f>+SUM($C$8:E$9)/SUM($AM$8:$AM$9)</f>
        <v>8.3333333333333329E-2</v>
      </c>
      <c r="F10" s="251">
        <f>+SUM($C$8:F$9)/SUM($AM$8:$AM$9)</f>
        <v>0.1111111111111111</v>
      </c>
      <c r="G10" s="251">
        <f>+SUM($C$8:G$9)/SUM($AM$8:$AM$9)</f>
        <v>0.1388888888888889</v>
      </c>
      <c r="H10" s="251">
        <f>+SUM($C$8:H$9)/SUM($AM$8:$AM$9)</f>
        <v>0.16666666666666669</v>
      </c>
      <c r="I10" s="251">
        <f>+SUM($C$8:I$9)/SUM($AM$8:$AM$9)</f>
        <v>0.19444444444444445</v>
      </c>
      <c r="J10" s="251">
        <f>+SUM($C$8:J$9)/SUM($AM$8:$AM$9)</f>
        <v>0.22222222222222224</v>
      </c>
      <c r="K10" s="251">
        <f>+SUM($C$8:K$9)/SUM($AM$8:$AM$9)</f>
        <v>0.25</v>
      </c>
      <c r="L10" s="251">
        <f>+SUM($C$8:L$9)/SUM($AM$8:$AM$9)</f>
        <v>0.27777777777777779</v>
      </c>
      <c r="M10" s="251">
        <f>+SUM($C$8:M$9)/SUM($AM$8:$AM$9)</f>
        <v>0.30555555555555558</v>
      </c>
      <c r="N10" s="251">
        <f>+SUM($C$8:N$9)/SUM($AM$8:$AM$9)</f>
        <v>0.33333333333333337</v>
      </c>
      <c r="O10" s="251">
        <f>+SUM($C$8:O$9)/SUM($AM$8:$AM$9)</f>
        <v>0.36111111111111116</v>
      </c>
      <c r="P10" s="251">
        <f>+SUM($C$8:P$9)/SUM($AM$8:$AM$9)</f>
        <v>0.3888888888888889</v>
      </c>
      <c r="Q10" s="251">
        <f>+SUM($C$8:Q$9)/SUM($AM$8:$AM$9)</f>
        <v>0.41666666666666669</v>
      </c>
      <c r="R10" s="251">
        <f>+SUM($C$8:R$9)/SUM($AM$8:$AM$9)</f>
        <v>0.44444444444444448</v>
      </c>
      <c r="S10" s="251">
        <f>+SUM($C$8:S$9)/SUM($AM$8:$AM$9)</f>
        <v>0.47222222222222227</v>
      </c>
      <c r="T10" s="251">
        <f>+SUM($C$8:T$9)/SUM($AM$8:$AM$9)</f>
        <v>0.5</v>
      </c>
      <c r="U10" s="251">
        <f>+SUM($C$8:U$9)/SUM($AM$8:$AM$9)</f>
        <v>0.52777777777777768</v>
      </c>
      <c r="V10" s="251">
        <f>+SUM($C$8:V$9)/SUM($AM$8:$AM$9)</f>
        <v>0.55555555555555536</v>
      </c>
      <c r="W10" s="251">
        <f>+SUM($C$8:W$9)/SUM($AM$8:$AM$9)</f>
        <v>0.58333333333333304</v>
      </c>
      <c r="X10" s="251">
        <f>+SUM($C$8:X$9)/SUM($AM$8:$AM$9)</f>
        <v>0.61111111111111072</v>
      </c>
      <c r="Y10" s="251">
        <f>+SUM($C$8:Y$9)/SUM($AM$8:$AM$9)</f>
        <v>0.6388888888888884</v>
      </c>
      <c r="Z10" s="251">
        <f>+SUM($C$8:Z$9)/SUM($AM$8:$AM$9)</f>
        <v>0.66666666666666607</v>
      </c>
      <c r="AA10" s="251">
        <f>+SUM($C$8:AA$9)/SUM($AM$8:$AM$9)</f>
        <v>0.69444444444444375</v>
      </c>
      <c r="AB10" s="251">
        <f>+SUM($C$8:AB$9)/SUM($AM$8:$AM$9)</f>
        <v>0.72222222222222143</v>
      </c>
      <c r="AC10" s="251">
        <f>+SUM($C$8:AC$9)/SUM($AM$8:$AM$9)</f>
        <v>0.74999999999999911</v>
      </c>
      <c r="AD10" s="251">
        <f>+SUM($C$8:AD$9)/SUM($AM$8:$AM$9)</f>
        <v>0.77777777777777668</v>
      </c>
      <c r="AE10" s="251">
        <f>+SUM($C$8:AE$9)/SUM($AM$8:$AM$9)</f>
        <v>0.80555555555555436</v>
      </c>
      <c r="AF10" s="251">
        <f>+SUM($C$8:AF$9)/SUM($AM$8:$AM$9)</f>
        <v>0.83333333333333204</v>
      </c>
      <c r="AG10" s="251">
        <f>+SUM($C$8:AG$9)/SUM($AM$8:$AM$9)</f>
        <v>0.86111111111110972</v>
      </c>
      <c r="AH10" s="251">
        <f>+SUM($C$8:AH$9)/SUM($AM$8:$AM$9)</f>
        <v>0.8888888888888874</v>
      </c>
      <c r="AI10" s="251">
        <f>+SUM($C$8:AI$9)/SUM($AM$8:$AM$9)</f>
        <v>0.91666666666666508</v>
      </c>
      <c r="AJ10" s="251">
        <f>+SUM($C$8:AJ$9)/SUM($AM$8:$AM$9)</f>
        <v>0.94444444444444275</v>
      </c>
      <c r="AK10" s="251">
        <f>+SUM($C$8:AK$9)/SUM($AM$8:$AM$9)</f>
        <v>0.97222222222222043</v>
      </c>
      <c r="AL10" s="251">
        <f>+SUM($C$8:AL$9)/SUM($AM$8:$AM$9)</f>
        <v>0.99999999999999811</v>
      </c>
      <c r="AM10" s="250"/>
      <c r="AN10" s="44"/>
      <c r="AO10" s="1">
        <f t="shared" si="4"/>
        <v>5</v>
      </c>
      <c r="AP10" s="44"/>
      <c r="AQ10" s="247"/>
      <c r="AR10" s="141"/>
      <c r="AS10" s="118"/>
      <c r="AT10" s="118"/>
      <c r="AU10" s="118"/>
      <c r="AV10" s="118"/>
      <c r="AW10" s="118"/>
      <c r="AX10" s="118"/>
      <c r="AY10" s="118"/>
      <c r="AZ10" s="118"/>
      <c r="BA10" s="118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</row>
    <row r="11" spans="1:93" x14ac:dyDescent="0.2">
      <c r="A11" s="20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250"/>
      <c r="AN11" s="44"/>
      <c r="AO11" s="1">
        <f t="shared" si="4"/>
        <v>6</v>
      </c>
      <c r="AP11" s="44"/>
      <c r="AQ11" s="44"/>
      <c r="AR11" s="25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</row>
    <row r="12" spans="1:93" x14ac:dyDescent="0.2">
      <c r="A12" s="572" t="s">
        <v>137</v>
      </c>
      <c r="B12" s="44"/>
      <c r="C12" s="77">
        <f t="shared" ref="C12:AL12" si="5">+C8*$J$2</f>
        <v>3834.4562500000002</v>
      </c>
      <c r="D12" s="77">
        <f t="shared" si="5"/>
        <v>3834.4562500000002</v>
      </c>
      <c r="E12" s="77">
        <f t="shared" si="5"/>
        <v>3834.4562500000002</v>
      </c>
      <c r="F12" s="77">
        <f t="shared" si="5"/>
        <v>3834.4562500000002</v>
      </c>
      <c r="G12" s="77">
        <f t="shared" si="5"/>
        <v>3834.4562500000002</v>
      </c>
      <c r="H12" s="77">
        <f t="shared" si="5"/>
        <v>3834.4562500000002</v>
      </c>
      <c r="I12" s="77">
        <f t="shared" si="5"/>
        <v>3834.4562500000002</v>
      </c>
      <c r="J12" s="77">
        <f t="shared" si="5"/>
        <v>3834.4562500000002</v>
      </c>
      <c r="K12" s="77">
        <f t="shared" si="5"/>
        <v>3834.4562500000002</v>
      </c>
      <c r="L12" s="77">
        <f t="shared" si="5"/>
        <v>3834.4562500000002</v>
      </c>
      <c r="M12" s="77">
        <f t="shared" si="5"/>
        <v>3834.4562500000002</v>
      </c>
      <c r="N12" s="77">
        <f t="shared" si="5"/>
        <v>3834.4562500000002</v>
      </c>
      <c r="O12" s="77">
        <f t="shared" si="5"/>
        <v>3834.4562500000002</v>
      </c>
      <c r="P12" s="77">
        <f t="shared" si="5"/>
        <v>3834.4562500000002</v>
      </c>
      <c r="Q12" s="77">
        <f t="shared" si="5"/>
        <v>3834.4562500000002</v>
      </c>
      <c r="R12" s="77">
        <f t="shared" si="5"/>
        <v>3834.4562500000002</v>
      </c>
      <c r="S12" s="77">
        <f t="shared" si="5"/>
        <v>3834.4562500000002</v>
      </c>
      <c r="T12" s="77">
        <f t="shared" si="5"/>
        <v>3834.4562500000002</v>
      </c>
      <c r="U12" s="77">
        <f t="shared" si="5"/>
        <v>3834.4562500000002</v>
      </c>
      <c r="V12" s="77">
        <f t="shared" si="5"/>
        <v>3834.4562500000002</v>
      </c>
      <c r="W12" s="77">
        <f t="shared" si="5"/>
        <v>3834.4562500000002</v>
      </c>
      <c r="X12" s="77">
        <f t="shared" si="5"/>
        <v>3834.4562500000002</v>
      </c>
      <c r="Y12" s="77">
        <f t="shared" si="5"/>
        <v>3834.4562500000002</v>
      </c>
      <c r="Z12" s="77">
        <f t="shared" si="5"/>
        <v>3834.4562500000002</v>
      </c>
      <c r="AA12" s="77">
        <f t="shared" si="5"/>
        <v>3834.4562500000002</v>
      </c>
      <c r="AB12" s="77">
        <f t="shared" si="5"/>
        <v>3834.4562500000002</v>
      </c>
      <c r="AC12" s="77">
        <f t="shared" si="5"/>
        <v>3834.4562500000002</v>
      </c>
      <c r="AD12" s="77">
        <f t="shared" si="5"/>
        <v>3834.4562500000002</v>
      </c>
      <c r="AE12" s="77">
        <f t="shared" si="5"/>
        <v>3834.4562500000002</v>
      </c>
      <c r="AF12" s="77">
        <f t="shared" si="5"/>
        <v>3834.4562500000002</v>
      </c>
      <c r="AG12" s="77">
        <f t="shared" si="5"/>
        <v>3834.4562500000002</v>
      </c>
      <c r="AH12" s="77">
        <f t="shared" si="5"/>
        <v>3834.4562500000002</v>
      </c>
      <c r="AI12" s="77">
        <f t="shared" si="5"/>
        <v>3834.4562500000002</v>
      </c>
      <c r="AJ12" s="77">
        <f t="shared" si="5"/>
        <v>3834.4562500000002</v>
      </c>
      <c r="AK12" s="77">
        <f t="shared" si="5"/>
        <v>3834.4562500000002</v>
      </c>
      <c r="AL12" s="77">
        <f t="shared" si="5"/>
        <v>3834.4562500000002</v>
      </c>
      <c r="AM12" s="252">
        <f>SUM(C12:AL12)</f>
        <v>138040.42500000005</v>
      </c>
      <c r="AN12" s="44"/>
      <c r="AO12" s="1">
        <f t="shared" si="4"/>
        <v>7</v>
      </c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</row>
    <row r="13" spans="1:93" s="221" customFormat="1" x14ac:dyDescent="0.2">
      <c r="A13" s="573" t="s">
        <v>138</v>
      </c>
      <c r="B13" s="208"/>
      <c r="C13" s="72">
        <f t="shared" ref="C13:AL13" si="6">+C9*$J$3</f>
        <v>380.35646335324788</v>
      </c>
      <c r="D13" s="72">
        <f t="shared" si="6"/>
        <v>380.35646335324788</v>
      </c>
      <c r="E13" s="72">
        <f t="shared" si="6"/>
        <v>380.35646335324788</v>
      </c>
      <c r="F13" s="72">
        <f t="shared" si="6"/>
        <v>380.35646335324788</v>
      </c>
      <c r="G13" s="72">
        <f t="shared" si="6"/>
        <v>380.35646335324788</v>
      </c>
      <c r="H13" s="72">
        <f t="shared" si="6"/>
        <v>380.35646335324788</v>
      </c>
      <c r="I13" s="72">
        <f t="shared" si="6"/>
        <v>380.35646335324788</v>
      </c>
      <c r="J13" s="72">
        <f t="shared" si="6"/>
        <v>380.35646335324788</v>
      </c>
      <c r="K13" s="72">
        <f t="shared" si="6"/>
        <v>380.35646335324788</v>
      </c>
      <c r="L13" s="72">
        <f t="shared" si="6"/>
        <v>380.35646335324788</v>
      </c>
      <c r="M13" s="72">
        <f t="shared" si="6"/>
        <v>380.35646335324788</v>
      </c>
      <c r="N13" s="72">
        <f t="shared" si="6"/>
        <v>380.35646335324788</v>
      </c>
      <c r="O13" s="72">
        <f t="shared" si="6"/>
        <v>380.35646335324788</v>
      </c>
      <c r="P13" s="72">
        <f t="shared" si="6"/>
        <v>380.35646335324788</v>
      </c>
      <c r="Q13" s="72">
        <f t="shared" si="6"/>
        <v>380.35646335324788</v>
      </c>
      <c r="R13" s="72">
        <f t="shared" si="6"/>
        <v>380.35646335324788</v>
      </c>
      <c r="S13" s="72">
        <f t="shared" si="6"/>
        <v>380.35646335324788</v>
      </c>
      <c r="T13" s="72">
        <f t="shared" si="6"/>
        <v>380.35646335324788</v>
      </c>
      <c r="U13" s="72">
        <f t="shared" si="6"/>
        <v>380.35646335324788</v>
      </c>
      <c r="V13" s="72">
        <f t="shared" si="6"/>
        <v>380.35646335324788</v>
      </c>
      <c r="W13" s="72">
        <f t="shared" si="6"/>
        <v>380.35646335324788</v>
      </c>
      <c r="X13" s="72">
        <f t="shared" si="6"/>
        <v>380.35646335324788</v>
      </c>
      <c r="Y13" s="72">
        <f t="shared" si="6"/>
        <v>380.35646335324788</v>
      </c>
      <c r="Z13" s="72">
        <f t="shared" si="6"/>
        <v>380.35646335324788</v>
      </c>
      <c r="AA13" s="72">
        <f t="shared" si="6"/>
        <v>380.35646335324788</v>
      </c>
      <c r="AB13" s="72">
        <f t="shared" si="6"/>
        <v>380.35646335324788</v>
      </c>
      <c r="AC13" s="72">
        <f t="shared" si="6"/>
        <v>380.35646335324788</v>
      </c>
      <c r="AD13" s="72">
        <f t="shared" si="6"/>
        <v>380.35646335324788</v>
      </c>
      <c r="AE13" s="72">
        <f t="shared" si="6"/>
        <v>380.35646335324788</v>
      </c>
      <c r="AF13" s="72">
        <f t="shared" si="6"/>
        <v>380.35646335324788</v>
      </c>
      <c r="AG13" s="72">
        <f t="shared" si="6"/>
        <v>380.35646335324788</v>
      </c>
      <c r="AH13" s="72">
        <f t="shared" si="6"/>
        <v>380.35646335324788</v>
      </c>
      <c r="AI13" s="72">
        <f t="shared" si="6"/>
        <v>380.35646335324788</v>
      </c>
      <c r="AJ13" s="72">
        <f t="shared" si="6"/>
        <v>380.35646335324788</v>
      </c>
      <c r="AK13" s="72">
        <f t="shared" si="6"/>
        <v>380.35646335324788</v>
      </c>
      <c r="AL13" s="72">
        <f t="shared" si="6"/>
        <v>380.35646335324788</v>
      </c>
      <c r="AM13" s="608">
        <f>SUM(C13:AL13)</f>
        <v>13692.832680716923</v>
      </c>
      <c r="AN13" s="208"/>
      <c r="AO13" s="1">
        <f t="shared" si="4"/>
        <v>8</v>
      </c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</row>
    <row r="14" spans="1:93" x14ac:dyDescent="0.2">
      <c r="A14" s="572" t="s">
        <v>238</v>
      </c>
      <c r="B14" s="44"/>
      <c r="C14" s="254">
        <f t="shared" ref="C14:R14" si="7">SUM(C12:C13)</f>
        <v>4214.812713353248</v>
      </c>
      <c r="D14" s="254">
        <f t="shared" si="7"/>
        <v>4214.812713353248</v>
      </c>
      <c r="E14" s="254">
        <f t="shared" si="7"/>
        <v>4214.812713353248</v>
      </c>
      <c r="F14" s="254">
        <f t="shared" si="7"/>
        <v>4214.812713353248</v>
      </c>
      <c r="G14" s="254">
        <f t="shared" si="7"/>
        <v>4214.812713353248</v>
      </c>
      <c r="H14" s="254">
        <f t="shared" si="7"/>
        <v>4214.812713353248</v>
      </c>
      <c r="I14" s="254">
        <f t="shared" si="7"/>
        <v>4214.812713353248</v>
      </c>
      <c r="J14" s="254">
        <f t="shared" si="7"/>
        <v>4214.812713353248</v>
      </c>
      <c r="K14" s="254">
        <f t="shared" si="7"/>
        <v>4214.812713353248</v>
      </c>
      <c r="L14" s="254">
        <f t="shared" si="7"/>
        <v>4214.812713353248</v>
      </c>
      <c r="M14" s="254">
        <f t="shared" si="7"/>
        <v>4214.812713353248</v>
      </c>
      <c r="N14" s="254">
        <f t="shared" si="7"/>
        <v>4214.812713353248</v>
      </c>
      <c r="O14" s="254">
        <f t="shared" si="7"/>
        <v>4214.812713353248</v>
      </c>
      <c r="P14" s="254">
        <f t="shared" si="7"/>
        <v>4214.812713353248</v>
      </c>
      <c r="Q14" s="254">
        <f t="shared" si="7"/>
        <v>4214.812713353248</v>
      </c>
      <c r="R14" s="254">
        <f t="shared" si="7"/>
        <v>4214.812713353248</v>
      </c>
      <c r="S14" s="254">
        <f t="shared" ref="S14:AH14" si="8">SUM(S12:S13)</f>
        <v>4214.812713353248</v>
      </c>
      <c r="T14" s="254">
        <f t="shared" si="8"/>
        <v>4214.812713353248</v>
      </c>
      <c r="U14" s="254">
        <f t="shared" si="8"/>
        <v>4214.812713353248</v>
      </c>
      <c r="V14" s="254">
        <f t="shared" si="8"/>
        <v>4214.812713353248</v>
      </c>
      <c r="W14" s="254">
        <f t="shared" si="8"/>
        <v>4214.812713353248</v>
      </c>
      <c r="X14" s="254">
        <f t="shared" si="8"/>
        <v>4214.812713353248</v>
      </c>
      <c r="Y14" s="254">
        <f t="shared" si="8"/>
        <v>4214.812713353248</v>
      </c>
      <c r="Z14" s="254">
        <f t="shared" si="8"/>
        <v>4214.812713353248</v>
      </c>
      <c r="AA14" s="254">
        <f t="shared" si="8"/>
        <v>4214.812713353248</v>
      </c>
      <c r="AB14" s="254">
        <f t="shared" si="8"/>
        <v>4214.812713353248</v>
      </c>
      <c r="AC14" s="254">
        <f t="shared" si="8"/>
        <v>4214.812713353248</v>
      </c>
      <c r="AD14" s="254">
        <f t="shared" si="8"/>
        <v>4214.812713353248</v>
      </c>
      <c r="AE14" s="254">
        <f t="shared" si="8"/>
        <v>4214.812713353248</v>
      </c>
      <c r="AF14" s="254">
        <f t="shared" si="8"/>
        <v>4214.812713353248</v>
      </c>
      <c r="AG14" s="254">
        <f t="shared" si="8"/>
        <v>4214.812713353248</v>
      </c>
      <c r="AH14" s="254">
        <f t="shared" si="8"/>
        <v>4214.812713353248</v>
      </c>
      <c r="AI14" s="254">
        <f>SUM(AI12:AI13)</f>
        <v>4214.812713353248</v>
      </c>
      <c r="AJ14" s="254">
        <f>SUM(AJ12:AJ13)</f>
        <v>4214.812713353248</v>
      </c>
      <c r="AK14" s="254">
        <f>SUM(AK12:AK13)</f>
        <v>4214.812713353248</v>
      </c>
      <c r="AL14" s="254">
        <f>SUM(AL12:AL13)</f>
        <v>4214.812713353248</v>
      </c>
      <c r="AM14" s="252">
        <f>+SUM(AM12:AM13)</f>
        <v>151733.25768071698</v>
      </c>
      <c r="AN14" s="254">
        <f>+AM14+AM43</f>
        <v>170048.82225812957</v>
      </c>
      <c r="AO14" s="1">
        <f t="shared" si="4"/>
        <v>9</v>
      </c>
      <c r="AP14" s="253"/>
      <c r="AQ14" s="44"/>
      <c r="AR14" s="44"/>
      <c r="AS14" s="77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4"/>
      <c r="BJ14" s="254"/>
      <c r="BK14" s="254"/>
      <c r="BL14" s="254"/>
      <c r="BM14" s="254"/>
      <c r="BN14" s="254"/>
      <c r="BO14" s="254"/>
      <c r="BP14" s="254"/>
      <c r="BQ14" s="254"/>
      <c r="BR14" s="254"/>
      <c r="BS14" s="254"/>
      <c r="BT14" s="254"/>
      <c r="BU14" s="254"/>
      <c r="BV14" s="254"/>
      <c r="BW14" s="254"/>
      <c r="BX14" s="254"/>
      <c r="BY14" s="254"/>
      <c r="BZ14" s="254"/>
      <c r="CA14" s="254"/>
      <c r="CB14" s="25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</row>
    <row r="15" spans="1:93" s="346" customFormat="1" x14ac:dyDescent="0.2">
      <c r="A15" s="639" t="s">
        <v>239</v>
      </c>
      <c r="B15" s="640"/>
      <c r="C15" s="343">
        <f>SUM($C$14:C14)</f>
        <v>4214.812713353248</v>
      </c>
      <c r="D15" s="343">
        <f>SUM($C$14:D14)</f>
        <v>8429.625426706496</v>
      </c>
      <c r="E15" s="343">
        <f>SUM($C$14:E14)</f>
        <v>12644.438140059745</v>
      </c>
      <c r="F15" s="343">
        <f>SUM($C$14:F14)</f>
        <v>16859.250853412992</v>
      </c>
      <c r="G15" s="343">
        <f>SUM($C$14:G14)</f>
        <v>21074.063566766239</v>
      </c>
      <c r="H15" s="343">
        <f>SUM($C$14:H14)</f>
        <v>25288.876280119486</v>
      </c>
      <c r="I15" s="343">
        <f>SUM($C$14:I14)</f>
        <v>29503.688993472733</v>
      </c>
      <c r="J15" s="343">
        <f>SUM($C$14:J14)</f>
        <v>33718.501706825984</v>
      </c>
      <c r="K15" s="343">
        <f>SUM($C$14:K14)</f>
        <v>37933.314420179231</v>
      </c>
      <c r="L15" s="343">
        <f>SUM($C$14:L14)</f>
        <v>42148.127133532478</v>
      </c>
      <c r="M15" s="343">
        <f>SUM($C$14:M14)</f>
        <v>46362.939846885725</v>
      </c>
      <c r="N15" s="343">
        <f>SUM($C$14:N14)</f>
        <v>50577.752560238972</v>
      </c>
      <c r="O15" s="343">
        <f>SUM($C$14:O14)</f>
        <v>54792.565273592219</v>
      </c>
      <c r="P15" s="343">
        <f>SUM($C$14:P14)</f>
        <v>59007.377986945467</v>
      </c>
      <c r="Q15" s="343">
        <f>SUM($C$14:Q14)</f>
        <v>63222.190700298714</v>
      </c>
      <c r="R15" s="343">
        <f>SUM($C$14:R14)</f>
        <v>67437.003413651968</v>
      </c>
      <c r="S15" s="343">
        <f>SUM($C$14:S14)</f>
        <v>71651.816127005222</v>
      </c>
      <c r="T15" s="343">
        <f>SUM($C$14:T14)</f>
        <v>75866.628840358477</v>
      </c>
      <c r="U15" s="343">
        <f>SUM($C$14:U14)</f>
        <v>80081.441553711731</v>
      </c>
      <c r="V15" s="343">
        <f>SUM($C$14:V14)</f>
        <v>84296.254267064985</v>
      </c>
      <c r="W15" s="343">
        <f>SUM($C$14:W14)</f>
        <v>88511.06698041824</v>
      </c>
      <c r="X15" s="343">
        <f>SUM($C$14:X14)</f>
        <v>92725.879693771494</v>
      </c>
      <c r="Y15" s="343">
        <f>SUM($C$14:Y14)</f>
        <v>96940.692407124749</v>
      </c>
      <c r="Z15" s="343">
        <f>SUM($C$14:Z14)</f>
        <v>101155.505120478</v>
      </c>
      <c r="AA15" s="343">
        <f>SUM($C$14:AA14)</f>
        <v>105370.31783383126</v>
      </c>
      <c r="AB15" s="343">
        <f>SUM($C$14:AB14)</f>
        <v>109585.13054718451</v>
      </c>
      <c r="AC15" s="343">
        <f>SUM($C$14:AC14)</f>
        <v>113799.94326053777</v>
      </c>
      <c r="AD15" s="343">
        <f>SUM($C$14:AD14)</f>
        <v>118014.75597389102</v>
      </c>
      <c r="AE15" s="343">
        <f>SUM($C$14:AE14)</f>
        <v>122229.56868724427</v>
      </c>
      <c r="AF15" s="343">
        <f>SUM($C$14:AF14)</f>
        <v>126444.38140059753</v>
      </c>
      <c r="AG15" s="343">
        <f>SUM($C$14:AG14)</f>
        <v>130659.19411395078</v>
      </c>
      <c r="AH15" s="343">
        <f>SUM($C$14:AH14)</f>
        <v>134874.00682730402</v>
      </c>
      <c r="AI15" s="343">
        <f>SUM($C$14:AI14)</f>
        <v>139088.81954065728</v>
      </c>
      <c r="AJ15" s="343">
        <f>SUM($C$14:AJ14)</f>
        <v>143303.63225401053</v>
      </c>
      <c r="AK15" s="343">
        <f>SUM($C$14:AK14)</f>
        <v>147518.44496736379</v>
      </c>
      <c r="AL15" s="343">
        <f>SUM($C$14:AL14)</f>
        <v>151733.25768071704</v>
      </c>
      <c r="AM15" s="615">
        <f>+AM13+AM12</f>
        <v>151733.25768071698</v>
      </c>
      <c r="AN15" s="321"/>
      <c r="AO15" s="1">
        <f t="shared" si="4"/>
        <v>10</v>
      </c>
      <c r="AP15" s="321"/>
      <c r="AQ15" s="321"/>
      <c r="AR15" s="321"/>
      <c r="AS15" s="616"/>
      <c r="AT15" s="616"/>
      <c r="AU15" s="616"/>
      <c r="AV15" s="616"/>
      <c r="AW15" s="616"/>
      <c r="AX15" s="616"/>
      <c r="AY15" s="616"/>
      <c r="AZ15" s="616"/>
      <c r="BA15" s="616"/>
      <c r="BB15" s="616"/>
      <c r="BC15" s="616"/>
      <c r="BD15" s="616"/>
      <c r="BE15" s="616"/>
      <c r="BF15" s="616"/>
      <c r="BG15" s="616"/>
      <c r="BH15" s="616"/>
      <c r="BI15" s="616"/>
      <c r="BJ15" s="616"/>
      <c r="BK15" s="616"/>
      <c r="BL15" s="616"/>
      <c r="BM15" s="616"/>
      <c r="BN15" s="616"/>
      <c r="BO15" s="616"/>
      <c r="BP15" s="616"/>
      <c r="BQ15" s="616"/>
      <c r="BR15" s="616"/>
      <c r="BS15" s="616"/>
      <c r="BT15" s="616"/>
      <c r="BU15" s="616"/>
      <c r="BV15" s="616"/>
      <c r="BW15" s="616"/>
      <c r="BX15" s="616"/>
      <c r="BY15" s="616"/>
      <c r="BZ15" s="616"/>
      <c r="CA15" s="616"/>
      <c r="CB15" s="616"/>
      <c r="CC15" s="321"/>
      <c r="CD15" s="321"/>
      <c r="CE15" s="321"/>
      <c r="CF15" s="321"/>
      <c r="CG15" s="321"/>
      <c r="CH15" s="321"/>
      <c r="CI15" s="321"/>
      <c r="CJ15" s="321"/>
      <c r="CK15" s="321"/>
      <c r="CL15" s="321"/>
      <c r="CM15" s="321"/>
      <c r="CN15" s="321"/>
      <c r="CO15" s="321"/>
    </row>
    <row r="16" spans="1:93" s="346" customFormat="1" x14ac:dyDescent="0.2">
      <c r="A16" s="639" t="s">
        <v>240</v>
      </c>
      <c r="B16" s="321"/>
      <c r="C16" s="351">
        <f t="shared" ref="C16:AL16" si="9">+C15/($J$2+$J$3)</f>
        <v>2.7777777777777773E-2</v>
      </c>
      <c r="D16" s="351">
        <f t="shared" si="9"/>
        <v>5.5555555555555546E-2</v>
      </c>
      <c r="E16" s="351">
        <f t="shared" si="9"/>
        <v>8.3333333333333329E-2</v>
      </c>
      <c r="F16" s="351">
        <f t="shared" si="9"/>
        <v>0.11111111111111109</v>
      </c>
      <c r="G16" s="351">
        <f t="shared" si="9"/>
        <v>0.13888888888888887</v>
      </c>
      <c r="H16" s="351">
        <f t="shared" si="9"/>
        <v>0.16666666666666663</v>
      </c>
      <c r="I16" s="351">
        <f t="shared" si="9"/>
        <v>0.19444444444444439</v>
      </c>
      <c r="J16" s="351">
        <f t="shared" si="9"/>
        <v>0.22222222222222218</v>
      </c>
      <c r="K16" s="351">
        <f t="shared" si="9"/>
        <v>0.24999999999999994</v>
      </c>
      <c r="L16" s="351">
        <f t="shared" si="9"/>
        <v>0.27777777777777773</v>
      </c>
      <c r="M16" s="351">
        <f t="shared" si="9"/>
        <v>0.30555555555555547</v>
      </c>
      <c r="N16" s="351">
        <f t="shared" si="9"/>
        <v>0.33333333333333326</v>
      </c>
      <c r="O16" s="351">
        <f t="shared" si="9"/>
        <v>0.36111111111111099</v>
      </c>
      <c r="P16" s="351">
        <f t="shared" si="9"/>
        <v>0.38888888888888878</v>
      </c>
      <c r="Q16" s="351">
        <f t="shared" si="9"/>
        <v>0.41666666666666657</v>
      </c>
      <c r="R16" s="351">
        <f t="shared" si="9"/>
        <v>0.44444444444444436</v>
      </c>
      <c r="S16" s="351">
        <f t="shared" si="9"/>
        <v>0.47222222222222221</v>
      </c>
      <c r="T16" s="351">
        <f t="shared" si="9"/>
        <v>0.5</v>
      </c>
      <c r="U16" s="351">
        <f t="shared" si="9"/>
        <v>0.52777777777777779</v>
      </c>
      <c r="V16" s="351">
        <f t="shared" si="9"/>
        <v>0.55555555555555558</v>
      </c>
      <c r="W16" s="351">
        <f t="shared" si="9"/>
        <v>0.58333333333333348</v>
      </c>
      <c r="X16" s="351">
        <f t="shared" si="9"/>
        <v>0.61111111111111127</v>
      </c>
      <c r="Y16" s="351">
        <f t="shared" si="9"/>
        <v>0.63888888888888906</v>
      </c>
      <c r="Z16" s="351">
        <f t="shared" si="9"/>
        <v>0.66666666666666685</v>
      </c>
      <c r="AA16" s="351">
        <f t="shared" si="9"/>
        <v>0.69444444444444475</v>
      </c>
      <c r="AB16" s="351">
        <f t="shared" si="9"/>
        <v>0.72222222222222254</v>
      </c>
      <c r="AC16" s="351">
        <f t="shared" si="9"/>
        <v>0.75000000000000033</v>
      </c>
      <c r="AD16" s="351">
        <f t="shared" si="9"/>
        <v>0.77777777777777812</v>
      </c>
      <c r="AE16" s="351">
        <f t="shared" si="9"/>
        <v>0.80555555555555591</v>
      </c>
      <c r="AF16" s="351">
        <f t="shared" si="9"/>
        <v>0.83333333333333381</v>
      </c>
      <c r="AG16" s="351">
        <f t="shared" si="9"/>
        <v>0.8611111111111116</v>
      </c>
      <c r="AH16" s="351">
        <f t="shared" si="9"/>
        <v>0.88888888888888928</v>
      </c>
      <c r="AI16" s="351">
        <f t="shared" si="9"/>
        <v>0.91666666666666718</v>
      </c>
      <c r="AJ16" s="351">
        <f t="shared" si="9"/>
        <v>0.94444444444444497</v>
      </c>
      <c r="AK16" s="351">
        <f t="shared" si="9"/>
        <v>0.97222222222222276</v>
      </c>
      <c r="AL16" s="351">
        <f t="shared" si="9"/>
        <v>1.0000000000000007</v>
      </c>
      <c r="AM16" s="617">
        <f>+AL16</f>
        <v>1.0000000000000007</v>
      </c>
      <c r="AN16" s="321"/>
      <c r="AO16" s="1">
        <f t="shared" si="4"/>
        <v>11</v>
      </c>
      <c r="AP16" s="321"/>
      <c r="AQ16" s="321"/>
      <c r="AR16" s="321"/>
      <c r="AS16" s="343"/>
      <c r="AT16" s="343"/>
      <c r="AU16" s="343"/>
      <c r="AV16" s="343"/>
      <c r="AW16" s="343"/>
      <c r="AX16" s="343"/>
      <c r="AY16" s="343"/>
      <c r="AZ16" s="343"/>
      <c r="BA16" s="343"/>
      <c r="BB16" s="343"/>
      <c r="BC16" s="343"/>
      <c r="BD16" s="343"/>
      <c r="BE16" s="343"/>
      <c r="BF16" s="343"/>
      <c r="BG16" s="343"/>
      <c r="BH16" s="343"/>
      <c r="BI16" s="343"/>
      <c r="BJ16" s="343"/>
      <c r="BK16" s="343"/>
      <c r="BL16" s="343"/>
      <c r="BM16" s="343"/>
      <c r="BN16" s="343"/>
      <c r="BO16" s="343"/>
      <c r="BP16" s="343"/>
      <c r="BQ16" s="343"/>
      <c r="BR16" s="343"/>
      <c r="BS16" s="343"/>
      <c r="BT16" s="343"/>
      <c r="BU16" s="343"/>
      <c r="BV16" s="343"/>
      <c r="BW16" s="343"/>
      <c r="BX16" s="343"/>
      <c r="BY16" s="343"/>
      <c r="BZ16" s="343"/>
      <c r="CA16" s="343"/>
      <c r="CB16" s="343"/>
      <c r="CC16" s="321"/>
      <c r="CD16" s="321"/>
      <c r="CE16" s="321"/>
      <c r="CF16" s="321"/>
      <c r="CG16" s="321"/>
      <c r="CH16" s="321"/>
      <c r="CI16" s="321"/>
      <c r="CJ16" s="321"/>
      <c r="CK16" s="321"/>
      <c r="CL16" s="321"/>
      <c r="CM16" s="321"/>
      <c r="CN16" s="321"/>
      <c r="CO16" s="321"/>
    </row>
    <row r="17" spans="1:93" x14ac:dyDescent="0.2">
      <c r="A17" s="203"/>
      <c r="B17" s="44"/>
      <c r="C17" s="44"/>
      <c r="D17" s="44"/>
      <c r="E17" s="44"/>
      <c r="F17" s="44"/>
      <c r="G17" s="44"/>
      <c r="H17" s="44"/>
      <c r="I17" s="254"/>
      <c r="J17" s="25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250"/>
      <c r="AN17" s="44"/>
      <c r="AO17" s="1">
        <f t="shared" si="4"/>
        <v>12</v>
      </c>
      <c r="AP17" s="44"/>
      <c r="AQ17" s="44"/>
      <c r="AR17" s="44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</row>
    <row r="18" spans="1:93" x14ac:dyDescent="0.2">
      <c r="A18" s="370" t="s">
        <v>139</v>
      </c>
      <c r="B18" s="44"/>
      <c r="C18" s="77">
        <f>+Assumpt!S7-(eqamt*estidc)</f>
        <v>37933.314420179238</v>
      </c>
      <c r="D18" s="254">
        <f t="shared" ref="D18:AL18" si="10">+C18-C22</f>
        <v>36879.611241840925</v>
      </c>
      <c r="E18" s="254">
        <f t="shared" si="10"/>
        <v>35825.908063502611</v>
      </c>
      <c r="F18" s="254">
        <f t="shared" si="10"/>
        <v>34772.204885164298</v>
      </c>
      <c r="G18" s="254">
        <f t="shared" si="10"/>
        <v>33718.501706825984</v>
      </c>
      <c r="H18" s="254">
        <f t="shared" si="10"/>
        <v>32664.79852848767</v>
      </c>
      <c r="I18" s="254">
        <f t="shared" si="10"/>
        <v>31611.095350149357</v>
      </c>
      <c r="J18" s="254">
        <f t="shared" si="10"/>
        <v>30557.392171811043</v>
      </c>
      <c r="K18" s="254">
        <f t="shared" si="10"/>
        <v>29503.68899347273</v>
      </c>
      <c r="L18" s="254">
        <f t="shared" si="10"/>
        <v>28449.985815134416</v>
      </c>
      <c r="M18" s="254">
        <f t="shared" si="10"/>
        <v>27396.282636796102</v>
      </c>
      <c r="N18" s="254">
        <f t="shared" si="10"/>
        <v>26342.579458457789</v>
      </c>
      <c r="O18" s="254">
        <f t="shared" si="10"/>
        <v>25288.876280119475</v>
      </c>
      <c r="P18" s="254">
        <f t="shared" si="10"/>
        <v>24235.173101781162</v>
      </c>
      <c r="Q18" s="254">
        <f t="shared" si="10"/>
        <v>23181.469923442848</v>
      </c>
      <c r="R18" s="254">
        <f t="shared" si="10"/>
        <v>22127.766745104534</v>
      </c>
      <c r="S18" s="254">
        <f t="shared" si="10"/>
        <v>21074.063566766221</v>
      </c>
      <c r="T18" s="254">
        <f t="shared" si="10"/>
        <v>20020.360388427907</v>
      </c>
      <c r="U18" s="254">
        <f t="shared" si="10"/>
        <v>18966.657210089594</v>
      </c>
      <c r="V18" s="254">
        <f t="shared" si="10"/>
        <v>17912.95403175128</v>
      </c>
      <c r="W18" s="254">
        <f t="shared" si="10"/>
        <v>16859.250853412967</v>
      </c>
      <c r="X18" s="254">
        <f t="shared" si="10"/>
        <v>15805.547675074655</v>
      </c>
      <c r="Y18" s="254">
        <f t="shared" si="10"/>
        <v>14751.844496736343</v>
      </c>
      <c r="Z18" s="254">
        <f t="shared" si="10"/>
        <v>13698.141318398031</v>
      </c>
      <c r="AA18" s="254">
        <f t="shared" si="10"/>
        <v>12644.438140059719</v>
      </c>
      <c r="AB18" s="254">
        <f t="shared" si="10"/>
        <v>11590.734961721408</v>
      </c>
      <c r="AC18" s="254">
        <f t="shared" si="10"/>
        <v>10537.031783383096</v>
      </c>
      <c r="AD18" s="254">
        <f t="shared" si="10"/>
        <v>9483.3286050447841</v>
      </c>
      <c r="AE18" s="254">
        <f t="shared" si="10"/>
        <v>8429.6254267064724</v>
      </c>
      <c r="AF18" s="254">
        <f t="shared" si="10"/>
        <v>7375.9222483681606</v>
      </c>
      <c r="AG18" s="254">
        <f t="shared" si="10"/>
        <v>6322.2190700298488</v>
      </c>
      <c r="AH18" s="254">
        <f t="shared" si="10"/>
        <v>5268.515891691537</v>
      </c>
      <c r="AI18" s="254">
        <f t="shared" si="10"/>
        <v>4214.8127133532253</v>
      </c>
      <c r="AJ18" s="254">
        <f t="shared" si="10"/>
        <v>3161.1095350149135</v>
      </c>
      <c r="AK18" s="254">
        <f t="shared" si="10"/>
        <v>2107.4063566766017</v>
      </c>
      <c r="AL18" s="254">
        <f t="shared" si="10"/>
        <v>1053.7031783382897</v>
      </c>
      <c r="AM18" s="252"/>
      <c r="AN18" s="44"/>
      <c r="AO18" s="1">
        <f t="shared" si="4"/>
        <v>13</v>
      </c>
      <c r="AP18" s="44"/>
      <c r="AQ18" s="44"/>
      <c r="AR18" s="44"/>
      <c r="AS18" s="44"/>
      <c r="AT18" s="125"/>
      <c r="AU18" s="44"/>
      <c r="AV18" s="44"/>
      <c r="AW18" s="256"/>
      <c r="AX18" s="256"/>
      <c r="AY18" s="256"/>
      <c r="AZ18" s="44"/>
      <c r="BA18" s="256"/>
      <c r="BB18" s="256"/>
      <c r="BC18" s="256"/>
      <c r="BD18" s="44"/>
      <c r="BE18" s="256"/>
      <c r="BF18" s="256"/>
      <c r="BG18" s="256"/>
      <c r="BH18" s="256"/>
      <c r="BI18" s="44"/>
      <c r="BJ18" s="256"/>
      <c r="BK18" s="44"/>
      <c r="BL18" s="25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</row>
    <row r="19" spans="1:93" s="611" customFormat="1" hidden="1" outlineLevel="1" x14ac:dyDescent="0.2">
      <c r="A19" s="641" t="s">
        <v>241</v>
      </c>
      <c r="B19" s="642">
        <f>+drawtrigger</f>
        <v>0</v>
      </c>
      <c r="C19" s="614">
        <f>C14*eqamt</f>
        <v>1053.703178338312</v>
      </c>
      <c r="D19" s="614">
        <f t="shared" ref="D19:AL19" si="11">D14*eqamt</f>
        <v>1053.703178338312</v>
      </c>
      <c r="E19" s="614">
        <f t="shared" si="11"/>
        <v>1053.703178338312</v>
      </c>
      <c r="F19" s="614">
        <f t="shared" si="11"/>
        <v>1053.703178338312</v>
      </c>
      <c r="G19" s="614">
        <f t="shared" si="11"/>
        <v>1053.703178338312</v>
      </c>
      <c r="H19" s="614">
        <f t="shared" si="11"/>
        <v>1053.703178338312</v>
      </c>
      <c r="I19" s="614">
        <f t="shared" si="11"/>
        <v>1053.703178338312</v>
      </c>
      <c r="J19" s="614">
        <f t="shared" si="11"/>
        <v>1053.703178338312</v>
      </c>
      <c r="K19" s="614">
        <f t="shared" si="11"/>
        <v>1053.703178338312</v>
      </c>
      <c r="L19" s="614">
        <f t="shared" si="11"/>
        <v>1053.703178338312</v>
      </c>
      <c r="M19" s="614">
        <f t="shared" si="11"/>
        <v>1053.703178338312</v>
      </c>
      <c r="N19" s="614">
        <f t="shared" si="11"/>
        <v>1053.703178338312</v>
      </c>
      <c r="O19" s="614">
        <f t="shared" si="11"/>
        <v>1053.703178338312</v>
      </c>
      <c r="P19" s="614">
        <f t="shared" si="11"/>
        <v>1053.703178338312</v>
      </c>
      <c r="Q19" s="614">
        <f t="shared" si="11"/>
        <v>1053.703178338312</v>
      </c>
      <c r="R19" s="614">
        <f t="shared" si="11"/>
        <v>1053.703178338312</v>
      </c>
      <c r="S19" s="614">
        <f t="shared" si="11"/>
        <v>1053.703178338312</v>
      </c>
      <c r="T19" s="614">
        <f t="shared" si="11"/>
        <v>1053.703178338312</v>
      </c>
      <c r="U19" s="614">
        <f t="shared" si="11"/>
        <v>1053.703178338312</v>
      </c>
      <c r="V19" s="614">
        <f t="shared" si="11"/>
        <v>1053.703178338312</v>
      </c>
      <c r="W19" s="614">
        <f t="shared" si="11"/>
        <v>1053.703178338312</v>
      </c>
      <c r="X19" s="614">
        <f t="shared" si="11"/>
        <v>1053.703178338312</v>
      </c>
      <c r="Y19" s="614">
        <f t="shared" si="11"/>
        <v>1053.703178338312</v>
      </c>
      <c r="Z19" s="614">
        <f t="shared" si="11"/>
        <v>1053.703178338312</v>
      </c>
      <c r="AA19" s="614">
        <f t="shared" si="11"/>
        <v>1053.703178338312</v>
      </c>
      <c r="AB19" s="614">
        <f t="shared" si="11"/>
        <v>1053.703178338312</v>
      </c>
      <c r="AC19" s="614">
        <f t="shared" si="11"/>
        <v>1053.703178338312</v>
      </c>
      <c r="AD19" s="614">
        <f t="shared" si="11"/>
        <v>1053.703178338312</v>
      </c>
      <c r="AE19" s="614">
        <f t="shared" si="11"/>
        <v>1053.703178338312</v>
      </c>
      <c r="AF19" s="614">
        <f t="shared" si="11"/>
        <v>1053.703178338312</v>
      </c>
      <c r="AG19" s="614">
        <f t="shared" si="11"/>
        <v>1053.703178338312</v>
      </c>
      <c r="AH19" s="614">
        <f t="shared" si="11"/>
        <v>1053.703178338312</v>
      </c>
      <c r="AI19" s="614">
        <f t="shared" si="11"/>
        <v>1053.703178338312</v>
      </c>
      <c r="AJ19" s="614">
        <f t="shared" si="11"/>
        <v>1053.703178338312</v>
      </c>
      <c r="AK19" s="614">
        <f t="shared" si="11"/>
        <v>1053.703178338312</v>
      </c>
      <c r="AL19" s="614">
        <f t="shared" si="11"/>
        <v>1053.703178338312</v>
      </c>
      <c r="AM19" s="612">
        <f>+SUM(C19:AL19)</f>
        <v>37933.31442017926</v>
      </c>
      <c r="AN19" s="558"/>
      <c r="AO19" s="1">
        <f t="shared" si="4"/>
        <v>14</v>
      </c>
      <c r="AP19" s="558"/>
      <c r="AQ19" s="558"/>
      <c r="AR19" s="558"/>
      <c r="AS19" s="558"/>
      <c r="AT19" s="559"/>
      <c r="AU19" s="558"/>
      <c r="AV19" s="558"/>
      <c r="AW19" s="613"/>
      <c r="AX19" s="613"/>
      <c r="AY19" s="613"/>
      <c r="AZ19" s="558"/>
      <c r="BA19" s="613"/>
      <c r="BB19" s="613"/>
      <c r="BC19" s="613"/>
      <c r="BD19" s="558"/>
      <c r="BE19" s="613"/>
      <c r="BF19" s="613"/>
      <c r="BG19" s="613"/>
      <c r="BH19" s="613"/>
      <c r="BI19" s="558"/>
      <c r="BJ19" s="613"/>
      <c r="BK19" s="558"/>
      <c r="BL19" s="614"/>
      <c r="BM19" s="558"/>
      <c r="BN19" s="558"/>
      <c r="BO19" s="558"/>
      <c r="BP19" s="558"/>
      <c r="BQ19" s="558"/>
      <c r="BR19" s="558"/>
      <c r="BS19" s="558"/>
      <c r="BT19" s="558"/>
      <c r="BU19" s="558"/>
      <c r="BV19" s="558"/>
      <c r="BW19" s="558"/>
      <c r="BX19" s="558"/>
      <c r="BY19" s="558"/>
      <c r="BZ19" s="558"/>
      <c r="CA19" s="558"/>
      <c r="CB19" s="558"/>
      <c r="CC19" s="558"/>
      <c r="CD19" s="558"/>
      <c r="CE19" s="558"/>
      <c r="CF19" s="558"/>
      <c r="CG19" s="558"/>
      <c r="CH19" s="558"/>
      <c r="CI19" s="558"/>
      <c r="CJ19" s="558"/>
      <c r="CK19" s="558"/>
      <c r="CL19" s="558"/>
      <c r="CM19" s="558"/>
      <c r="CN19" s="558"/>
      <c r="CO19" s="558"/>
    </row>
    <row r="20" spans="1:93" s="611" customFormat="1" hidden="1" outlineLevel="1" x14ac:dyDescent="0.2">
      <c r="A20" s="641" t="s">
        <v>242</v>
      </c>
      <c r="B20" s="558"/>
      <c r="C20" s="643">
        <f>+C14</f>
        <v>4214.812713353248</v>
      </c>
      <c r="D20" s="614">
        <f t="shared" ref="D20:AL20" si="12">+D14</f>
        <v>4214.812713353248</v>
      </c>
      <c r="E20" s="614">
        <f t="shared" si="12"/>
        <v>4214.812713353248</v>
      </c>
      <c r="F20" s="614">
        <f t="shared" si="12"/>
        <v>4214.812713353248</v>
      </c>
      <c r="G20" s="614">
        <f t="shared" si="12"/>
        <v>4214.812713353248</v>
      </c>
      <c r="H20" s="614">
        <f t="shared" si="12"/>
        <v>4214.812713353248</v>
      </c>
      <c r="I20" s="614">
        <f t="shared" si="12"/>
        <v>4214.812713353248</v>
      </c>
      <c r="J20" s="614">
        <f t="shared" si="12"/>
        <v>4214.812713353248</v>
      </c>
      <c r="K20" s="614">
        <f t="shared" si="12"/>
        <v>4214.812713353248</v>
      </c>
      <c r="L20" s="614">
        <f t="shared" si="12"/>
        <v>4214.812713353248</v>
      </c>
      <c r="M20" s="614">
        <f t="shared" si="12"/>
        <v>4214.812713353248</v>
      </c>
      <c r="N20" s="614">
        <f t="shared" si="12"/>
        <v>4214.812713353248</v>
      </c>
      <c r="O20" s="614">
        <f t="shared" si="12"/>
        <v>4214.812713353248</v>
      </c>
      <c r="P20" s="614">
        <f t="shared" si="12"/>
        <v>4214.812713353248</v>
      </c>
      <c r="Q20" s="614">
        <f t="shared" si="12"/>
        <v>4214.812713353248</v>
      </c>
      <c r="R20" s="614">
        <f t="shared" si="12"/>
        <v>4214.812713353248</v>
      </c>
      <c r="S20" s="614">
        <f t="shared" si="12"/>
        <v>4214.812713353248</v>
      </c>
      <c r="T20" s="614">
        <f t="shared" si="12"/>
        <v>4214.812713353248</v>
      </c>
      <c r="U20" s="614">
        <f t="shared" si="12"/>
        <v>4214.812713353248</v>
      </c>
      <c r="V20" s="614">
        <f t="shared" si="12"/>
        <v>4214.812713353248</v>
      </c>
      <c r="W20" s="614">
        <f t="shared" si="12"/>
        <v>4214.812713353248</v>
      </c>
      <c r="X20" s="614">
        <f t="shared" si="12"/>
        <v>4214.812713353248</v>
      </c>
      <c r="Y20" s="614">
        <f t="shared" si="12"/>
        <v>4214.812713353248</v>
      </c>
      <c r="Z20" s="614">
        <f t="shared" si="12"/>
        <v>4214.812713353248</v>
      </c>
      <c r="AA20" s="614">
        <f t="shared" si="12"/>
        <v>4214.812713353248</v>
      </c>
      <c r="AB20" s="614">
        <f t="shared" si="12"/>
        <v>4214.812713353248</v>
      </c>
      <c r="AC20" s="614">
        <f t="shared" si="12"/>
        <v>4214.812713353248</v>
      </c>
      <c r="AD20" s="614">
        <f t="shared" si="12"/>
        <v>4214.812713353248</v>
      </c>
      <c r="AE20" s="614">
        <f t="shared" si="12"/>
        <v>4214.812713353248</v>
      </c>
      <c r="AF20" s="614">
        <f t="shared" si="12"/>
        <v>4214.812713353248</v>
      </c>
      <c r="AG20" s="614">
        <f t="shared" si="12"/>
        <v>4214.812713353248</v>
      </c>
      <c r="AH20" s="614">
        <f t="shared" si="12"/>
        <v>4214.812713353248</v>
      </c>
      <c r="AI20" s="614">
        <f t="shared" si="12"/>
        <v>4214.812713353248</v>
      </c>
      <c r="AJ20" s="614">
        <f t="shared" si="12"/>
        <v>4214.812713353248</v>
      </c>
      <c r="AK20" s="614">
        <f t="shared" si="12"/>
        <v>4214.812713353248</v>
      </c>
      <c r="AL20" s="614">
        <f t="shared" si="12"/>
        <v>4214.812713353248</v>
      </c>
      <c r="AM20" s="612">
        <f>+SUM(C20:AL20)</f>
        <v>151733.25768071704</v>
      </c>
      <c r="AN20" s="558"/>
      <c r="AO20" s="1">
        <f t="shared" si="4"/>
        <v>15</v>
      </c>
      <c r="AP20" s="558"/>
      <c r="AQ20" s="558"/>
      <c r="AR20" s="558"/>
      <c r="AS20" s="558"/>
      <c r="AT20" s="559"/>
      <c r="AU20" s="558"/>
      <c r="AV20" s="558"/>
      <c r="AW20" s="613"/>
      <c r="AX20" s="613"/>
      <c r="AY20" s="613"/>
      <c r="AZ20" s="558"/>
      <c r="BA20" s="613"/>
      <c r="BB20" s="613"/>
      <c r="BC20" s="613"/>
      <c r="BD20" s="558"/>
      <c r="BE20" s="613"/>
      <c r="BF20" s="613"/>
      <c r="BG20" s="613"/>
      <c r="BH20" s="613"/>
      <c r="BI20" s="558"/>
      <c r="BJ20" s="613"/>
      <c r="BK20" s="558"/>
      <c r="BL20" s="614"/>
      <c r="BM20" s="558"/>
      <c r="BN20" s="558"/>
      <c r="BO20" s="558"/>
      <c r="BP20" s="558"/>
      <c r="BQ20" s="558"/>
      <c r="BR20" s="558"/>
      <c r="BS20" s="558"/>
      <c r="BT20" s="558"/>
      <c r="BU20" s="558"/>
      <c r="BV20" s="558"/>
      <c r="BW20" s="558"/>
      <c r="BX20" s="558"/>
      <c r="BY20" s="558"/>
      <c r="BZ20" s="558"/>
      <c r="CA20" s="558"/>
      <c r="CB20" s="558"/>
      <c r="CC20" s="558"/>
      <c r="CD20" s="558"/>
      <c r="CE20" s="558"/>
      <c r="CF20" s="558"/>
      <c r="CG20" s="558"/>
      <c r="CH20" s="558"/>
      <c r="CI20" s="558"/>
      <c r="CJ20" s="558"/>
      <c r="CK20" s="558"/>
      <c r="CL20" s="558"/>
      <c r="CM20" s="558"/>
      <c r="CN20" s="558"/>
      <c r="CO20" s="558"/>
    </row>
    <row r="21" spans="1:93" s="611" customFormat="1" hidden="1" outlineLevel="1" x14ac:dyDescent="0.2">
      <c r="A21" s="641" t="s">
        <v>243</v>
      </c>
      <c r="B21" s="558"/>
      <c r="C21" s="643">
        <f>+IF(AND($J$4-C$15&lt;0,$J$4-B$15&gt;0),C$14-($J$4-B$15),IF($J$4-C$15&gt;0,0,C$14))</f>
        <v>0</v>
      </c>
      <c r="D21" s="643">
        <f t="shared" ref="D21:AL21" si="13">+IF(AND($J$4-D$15&lt;0,$J$4-C$15&gt;0),D$14-($J$4-C$15),IF($J$4-D$15&gt;0,0,D$14))</f>
        <v>0</v>
      </c>
      <c r="E21" s="643">
        <f t="shared" si="13"/>
        <v>0</v>
      </c>
      <c r="F21" s="643">
        <f t="shared" si="13"/>
        <v>0</v>
      </c>
      <c r="G21" s="643">
        <f t="shared" si="13"/>
        <v>0</v>
      </c>
      <c r="H21" s="643">
        <f t="shared" si="13"/>
        <v>0</v>
      </c>
      <c r="I21" s="643">
        <f t="shared" si="13"/>
        <v>0</v>
      </c>
      <c r="J21" s="643">
        <f t="shared" si="13"/>
        <v>0</v>
      </c>
      <c r="K21" s="643">
        <f t="shared" si="13"/>
        <v>0</v>
      </c>
      <c r="L21" s="643">
        <f t="shared" si="13"/>
        <v>0</v>
      </c>
      <c r="M21" s="643">
        <f t="shared" si="13"/>
        <v>0</v>
      </c>
      <c r="N21" s="643">
        <f t="shared" si="13"/>
        <v>0</v>
      </c>
      <c r="O21" s="643">
        <f t="shared" si="13"/>
        <v>0</v>
      </c>
      <c r="P21" s="643">
        <f t="shared" si="13"/>
        <v>0</v>
      </c>
      <c r="Q21" s="643">
        <f t="shared" si="13"/>
        <v>0</v>
      </c>
      <c r="R21" s="643">
        <f t="shared" si="13"/>
        <v>0</v>
      </c>
      <c r="S21" s="643">
        <f t="shared" si="13"/>
        <v>0</v>
      </c>
      <c r="T21" s="643">
        <f t="shared" si="13"/>
        <v>0</v>
      </c>
      <c r="U21" s="643">
        <f t="shared" si="13"/>
        <v>0</v>
      </c>
      <c r="V21" s="643">
        <f t="shared" si="13"/>
        <v>0</v>
      </c>
      <c r="W21" s="643">
        <f t="shared" si="13"/>
        <v>0</v>
      </c>
      <c r="X21" s="643">
        <f t="shared" si="13"/>
        <v>0</v>
      </c>
      <c r="Y21" s="643">
        <f t="shared" si="13"/>
        <v>0</v>
      </c>
      <c r="Z21" s="643">
        <f t="shared" si="13"/>
        <v>0</v>
      </c>
      <c r="AA21" s="643">
        <f t="shared" si="13"/>
        <v>0</v>
      </c>
      <c r="AB21" s="643">
        <f t="shared" si="13"/>
        <v>0</v>
      </c>
      <c r="AC21" s="643">
        <f t="shared" si="13"/>
        <v>0</v>
      </c>
      <c r="AD21" s="643">
        <f t="shared" si="13"/>
        <v>4214.5210367549089</v>
      </c>
      <c r="AE21" s="643">
        <f t="shared" si="13"/>
        <v>4214.812713353248</v>
      </c>
      <c r="AF21" s="643">
        <f t="shared" si="13"/>
        <v>4214.812713353248</v>
      </c>
      <c r="AG21" s="614">
        <f t="shared" si="13"/>
        <v>4214.812713353248</v>
      </c>
      <c r="AH21" s="614">
        <f t="shared" si="13"/>
        <v>4214.812713353248</v>
      </c>
      <c r="AI21" s="614">
        <f t="shared" si="13"/>
        <v>4214.812713353248</v>
      </c>
      <c r="AJ21" s="614">
        <f t="shared" si="13"/>
        <v>4214.812713353248</v>
      </c>
      <c r="AK21" s="614">
        <f t="shared" si="13"/>
        <v>4214.812713353248</v>
      </c>
      <c r="AL21" s="614">
        <f t="shared" si="13"/>
        <v>4214.812713353248</v>
      </c>
      <c r="AM21" s="612">
        <f>+SUM(C21:AL21)</f>
        <v>37933.022743580892</v>
      </c>
      <c r="AN21" s="558"/>
      <c r="AO21" s="1">
        <f t="shared" si="4"/>
        <v>16</v>
      </c>
      <c r="AP21" s="558"/>
      <c r="AQ21" s="558"/>
      <c r="AR21" s="558"/>
      <c r="AS21" s="558"/>
      <c r="AT21" s="559"/>
      <c r="AU21" s="558"/>
      <c r="AV21" s="558"/>
      <c r="AW21" s="613"/>
      <c r="AX21" s="613"/>
      <c r="AY21" s="613"/>
      <c r="AZ21" s="558"/>
      <c r="BA21" s="613"/>
      <c r="BB21" s="613"/>
      <c r="BC21" s="613"/>
      <c r="BD21" s="558"/>
      <c r="BE21" s="613"/>
      <c r="BF21" s="613"/>
      <c r="BG21" s="613"/>
      <c r="BH21" s="613"/>
      <c r="BI21" s="558"/>
      <c r="BJ21" s="613"/>
      <c r="BK21" s="558"/>
      <c r="BL21" s="614"/>
      <c r="BM21" s="558"/>
      <c r="BN21" s="558"/>
      <c r="BO21" s="558"/>
      <c r="BP21" s="558"/>
      <c r="BQ21" s="558"/>
      <c r="BR21" s="558"/>
      <c r="BS21" s="558"/>
      <c r="BT21" s="558"/>
      <c r="BU21" s="558"/>
      <c r="BV21" s="558"/>
      <c r="BW21" s="558"/>
      <c r="BX21" s="558"/>
      <c r="BY21" s="558"/>
      <c r="BZ21" s="558"/>
      <c r="CA21" s="558"/>
      <c r="CB21" s="558"/>
      <c r="CC21" s="558"/>
      <c r="CD21" s="558"/>
      <c r="CE21" s="558"/>
      <c r="CF21" s="558"/>
      <c r="CG21" s="558"/>
      <c r="CH21" s="558"/>
      <c r="CI21" s="558"/>
      <c r="CJ21" s="558"/>
      <c r="CK21" s="558"/>
      <c r="CL21" s="558"/>
      <c r="CM21" s="558"/>
      <c r="CN21" s="558"/>
      <c r="CO21" s="558"/>
    </row>
    <row r="22" spans="1:93" collapsed="1" x14ac:dyDescent="0.2">
      <c r="A22" s="568" t="s">
        <v>252</v>
      </c>
      <c r="B22" s="544"/>
      <c r="C22" s="700">
        <f>+IF($B$19=0,MIN(C$18,C19),0)+IF($B$19=1,MIN(C$18,C20),0)+IF($B$19=2,C21)</f>
        <v>1053.703178338312</v>
      </c>
      <c r="D22" s="700">
        <f t="shared" ref="D22:AL22" si="14">+IF($B$19=0,MIN(D$18,D19),0)+IF($B$19=1,MIN(D$18,D20),0)+IF($B$19=2,D21)</f>
        <v>1053.703178338312</v>
      </c>
      <c r="E22" s="700">
        <f t="shared" si="14"/>
        <v>1053.703178338312</v>
      </c>
      <c r="F22" s="700">
        <f t="shared" si="14"/>
        <v>1053.703178338312</v>
      </c>
      <c r="G22" s="700">
        <f t="shared" si="14"/>
        <v>1053.703178338312</v>
      </c>
      <c r="H22" s="700">
        <f t="shared" si="14"/>
        <v>1053.703178338312</v>
      </c>
      <c r="I22" s="700">
        <f t="shared" si="14"/>
        <v>1053.703178338312</v>
      </c>
      <c r="J22" s="700">
        <f t="shared" si="14"/>
        <v>1053.703178338312</v>
      </c>
      <c r="K22" s="700">
        <f t="shared" si="14"/>
        <v>1053.703178338312</v>
      </c>
      <c r="L22" s="700">
        <f t="shared" si="14"/>
        <v>1053.703178338312</v>
      </c>
      <c r="M22" s="700">
        <f t="shared" si="14"/>
        <v>1053.703178338312</v>
      </c>
      <c r="N22" s="700">
        <f t="shared" si="14"/>
        <v>1053.703178338312</v>
      </c>
      <c r="O22" s="700">
        <f t="shared" si="14"/>
        <v>1053.703178338312</v>
      </c>
      <c r="P22" s="700">
        <f t="shared" si="14"/>
        <v>1053.703178338312</v>
      </c>
      <c r="Q22" s="700">
        <f t="shared" si="14"/>
        <v>1053.703178338312</v>
      </c>
      <c r="R22" s="700">
        <f t="shared" si="14"/>
        <v>1053.703178338312</v>
      </c>
      <c r="S22" s="700">
        <f t="shared" si="14"/>
        <v>1053.703178338312</v>
      </c>
      <c r="T22" s="700">
        <f t="shared" si="14"/>
        <v>1053.703178338312</v>
      </c>
      <c r="U22" s="700">
        <f t="shared" si="14"/>
        <v>1053.703178338312</v>
      </c>
      <c r="V22" s="700">
        <f t="shared" si="14"/>
        <v>1053.703178338312</v>
      </c>
      <c r="W22" s="700">
        <f t="shared" si="14"/>
        <v>1053.703178338312</v>
      </c>
      <c r="X22" s="700">
        <f t="shared" si="14"/>
        <v>1053.703178338312</v>
      </c>
      <c r="Y22" s="700">
        <f t="shared" si="14"/>
        <v>1053.703178338312</v>
      </c>
      <c r="Z22" s="700">
        <f t="shared" si="14"/>
        <v>1053.703178338312</v>
      </c>
      <c r="AA22" s="700">
        <f t="shared" si="14"/>
        <v>1053.703178338312</v>
      </c>
      <c r="AB22" s="700">
        <f t="shared" si="14"/>
        <v>1053.703178338312</v>
      </c>
      <c r="AC22" s="700">
        <f t="shared" si="14"/>
        <v>1053.703178338312</v>
      </c>
      <c r="AD22" s="700">
        <f t="shared" si="14"/>
        <v>1053.703178338312</v>
      </c>
      <c r="AE22" s="700">
        <f t="shared" si="14"/>
        <v>1053.703178338312</v>
      </c>
      <c r="AF22" s="700">
        <f t="shared" si="14"/>
        <v>1053.703178338312</v>
      </c>
      <c r="AG22" s="700">
        <f t="shared" si="14"/>
        <v>1053.703178338312</v>
      </c>
      <c r="AH22" s="700">
        <f t="shared" si="14"/>
        <v>1053.703178338312</v>
      </c>
      <c r="AI22" s="700">
        <f t="shared" si="14"/>
        <v>1053.703178338312</v>
      </c>
      <c r="AJ22" s="700">
        <f t="shared" si="14"/>
        <v>1053.703178338312</v>
      </c>
      <c r="AK22" s="700">
        <f t="shared" si="14"/>
        <v>1053.703178338312</v>
      </c>
      <c r="AL22" s="700">
        <f t="shared" si="14"/>
        <v>1053.7031783382897</v>
      </c>
      <c r="AM22" s="701">
        <f>SUM(C22:AL22)</f>
        <v>37933.314420179238</v>
      </c>
      <c r="AN22" s="151">
        <f>+AM22+AM43*eqamt</f>
        <v>42512.205564532385</v>
      </c>
      <c r="AO22" s="1">
        <f t="shared" si="4"/>
        <v>17</v>
      </c>
      <c r="AP22" s="253"/>
      <c r="AQ22" s="44"/>
      <c r="AR22" s="44"/>
      <c r="AS22" s="77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4"/>
      <c r="BJ22" s="254"/>
      <c r="BK22" s="254"/>
      <c r="BL22" s="254"/>
      <c r="BM22" s="254"/>
      <c r="BN22" s="254"/>
      <c r="BO22" s="254"/>
      <c r="BP22" s="254"/>
      <c r="BQ22" s="254"/>
      <c r="BR22" s="254"/>
      <c r="BS22" s="254"/>
      <c r="BT22" s="254"/>
      <c r="BU22" s="254"/>
      <c r="BV22" s="254"/>
      <c r="BW22" s="254"/>
      <c r="BX22" s="254"/>
      <c r="BY22" s="254"/>
      <c r="BZ22" s="254"/>
      <c r="CA22" s="254"/>
      <c r="CB22" s="25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</row>
    <row r="23" spans="1:93" x14ac:dyDescent="0.2">
      <c r="A23" s="203" t="s">
        <v>140</v>
      </c>
      <c r="B23" s="44"/>
      <c r="C23" s="254">
        <f>SUM($C$22:C22)</f>
        <v>1053.703178338312</v>
      </c>
      <c r="D23" s="254">
        <f>SUM($C$22:D22)</f>
        <v>2107.406356676624</v>
      </c>
      <c r="E23" s="254">
        <f>SUM($C$22:E22)</f>
        <v>3161.1095350149362</v>
      </c>
      <c r="F23" s="254">
        <f>SUM($C$22:F22)</f>
        <v>4214.812713353248</v>
      </c>
      <c r="G23" s="254">
        <f>SUM($C$22:G22)</f>
        <v>5268.5158916915598</v>
      </c>
      <c r="H23" s="254">
        <f>SUM($C$22:H22)</f>
        <v>6322.2190700298715</v>
      </c>
      <c r="I23" s="254">
        <f>SUM($C$22:I22)</f>
        <v>7375.9222483681833</v>
      </c>
      <c r="J23" s="254">
        <f>SUM($C$22:J22)</f>
        <v>8429.625426706496</v>
      </c>
      <c r="K23" s="254">
        <f>SUM($C$22:K22)</f>
        <v>9483.3286050448078</v>
      </c>
      <c r="L23" s="254">
        <f>SUM($C$22:L22)</f>
        <v>10537.03178338312</v>
      </c>
      <c r="M23" s="254">
        <f>SUM($C$22:M22)</f>
        <v>11590.734961721431</v>
      </c>
      <c r="N23" s="254">
        <f>SUM($C$22:N22)</f>
        <v>12644.438140059743</v>
      </c>
      <c r="O23" s="254">
        <f>SUM($C$22:O22)</f>
        <v>13698.141318398055</v>
      </c>
      <c r="P23" s="254">
        <f>SUM($C$22:P22)</f>
        <v>14751.844496736367</v>
      </c>
      <c r="Q23" s="254">
        <f>SUM($C$22:Q22)</f>
        <v>15805.547675074678</v>
      </c>
      <c r="R23" s="254">
        <f>SUM($C$22:R22)</f>
        <v>16859.250853412992</v>
      </c>
      <c r="S23" s="254">
        <f>SUM($C$22:S22)</f>
        <v>17912.954031751306</v>
      </c>
      <c r="T23" s="254">
        <f>SUM($C$22:T22)</f>
        <v>18966.657210089619</v>
      </c>
      <c r="U23" s="254">
        <f>SUM($C$22:U22)</f>
        <v>20020.360388427933</v>
      </c>
      <c r="V23" s="254">
        <f>SUM($C$22:V22)</f>
        <v>21074.063566766246</v>
      </c>
      <c r="W23" s="254">
        <f>SUM($C$22:W22)</f>
        <v>22127.76674510456</v>
      </c>
      <c r="X23" s="254">
        <f>SUM($C$22:X22)</f>
        <v>23181.469923442874</v>
      </c>
      <c r="Y23" s="254">
        <f>SUM($C$22:Y22)</f>
        <v>24235.173101781187</v>
      </c>
      <c r="Z23" s="254">
        <f>SUM($C$22:Z22)</f>
        <v>25288.876280119501</v>
      </c>
      <c r="AA23" s="254">
        <f>SUM($C$22:AA22)</f>
        <v>26342.579458457814</v>
      </c>
      <c r="AB23" s="254">
        <f>SUM($C$22:AB22)</f>
        <v>27396.282636796128</v>
      </c>
      <c r="AC23" s="254">
        <f>SUM($C$22:AC22)</f>
        <v>28449.985815134442</v>
      </c>
      <c r="AD23" s="254">
        <f>SUM($C$22:AD22)</f>
        <v>29503.688993472755</v>
      </c>
      <c r="AE23" s="254">
        <f>SUM($C$22:AE22)</f>
        <v>30557.392171811069</v>
      </c>
      <c r="AF23" s="254">
        <f>SUM($C$22:AF22)</f>
        <v>31611.095350149382</v>
      </c>
      <c r="AG23" s="254">
        <f>SUM($C$22:AG22)</f>
        <v>32664.798528487696</v>
      </c>
      <c r="AH23" s="254">
        <f>SUM($C$22:AH22)</f>
        <v>33718.501706826006</v>
      </c>
      <c r="AI23" s="254">
        <f>SUM($C$22:AI22)</f>
        <v>34772.204885164319</v>
      </c>
      <c r="AJ23" s="254">
        <f>SUM($C$22:AJ22)</f>
        <v>35825.908063502633</v>
      </c>
      <c r="AK23" s="254">
        <f>SUM($C$22:AK22)</f>
        <v>36879.611241840947</v>
      </c>
      <c r="AL23" s="254">
        <f>SUM($C$22:AL22)</f>
        <v>37933.314420179238</v>
      </c>
      <c r="AM23" s="250"/>
      <c r="AN23" s="44"/>
      <c r="AO23" s="1">
        <f t="shared" si="4"/>
        <v>18</v>
      </c>
      <c r="AP23" s="44"/>
      <c r="AQ23" s="44"/>
      <c r="AR23" s="44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</row>
    <row r="24" spans="1:93" x14ac:dyDescent="0.2">
      <c r="A24" s="203"/>
      <c r="B24" s="44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250"/>
      <c r="AN24" s="44"/>
      <c r="AO24" s="1">
        <f t="shared" si="4"/>
        <v>19</v>
      </c>
      <c r="AP24" s="44"/>
      <c r="AQ24" s="44"/>
      <c r="AR24" s="4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4"/>
      <c r="BJ24" s="254"/>
      <c r="BK24" s="254"/>
      <c r="BL24" s="254"/>
      <c r="BM24" s="254"/>
      <c r="BN24" s="254"/>
      <c r="BO24" s="254"/>
      <c r="BP24" s="254"/>
      <c r="BQ24" s="254"/>
      <c r="BR24" s="254"/>
      <c r="BS24" s="254"/>
      <c r="BT24" s="254"/>
      <c r="BU24" s="254"/>
      <c r="BV24" s="254"/>
      <c r="BW24" s="254"/>
      <c r="BX24" s="254"/>
      <c r="BY24" s="254"/>
      <c r="BZ24" s="254"/>
      <c r="CA24" s="254"/>
      <c r="CB24" s="25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</row>
    <row r="25" spans="1:93" s="231" customFormat="1" x14ac:dyDescent="0.2">
      <c r="A25" s="206" t="s">
        <v>141</v>
      </c>
      <c r="B25" s="198"/>
      <c r="C25" s="267">
        <f t="shared" ref="C25:AL25" si="15">MAX(+C14-C22,0)</f>
        <v>3161.1095350149362</v>
      </c>
      <c r="D25" s="267">
        <f t="shared" si="15"/>
        <v>3161.1095350149362</v>
      </c>
      <c r="E25" s="267">
        <f t="shared" si="15"/>
        <v>3161.1095350149362</v>
      </c>
      <c r="F25" s="267">
        <f t="shared" si="15"/>
        <v>3161.1095350149362</v>
      </c>
      <c r="G25" s="267">
        <f t="shared" si="15"/>
        <v>3161.1095350149362</v>
      </c>
      <c r="H25" s="267">
        <f t="shared" si="15"/>
        <v>3161.1095350149362</v>
      </c>
      <c r="I25" s="267">
        <f t="shared" si="15"/>
        <v>3161.1095350149362</v>
      </c>
      <c r="J25" s="267">
        <f t="shared" si="15"/>
        <v>3161.1095350149362</v>
      </c>
      <c r="K25" s="267">
        <f t="shared" si="15"/>
        <v>3161.1095350149362</v>
      </c>
      <c r="L25" s="267">
        <f t="shared" si="15"/>
        <v>3161.1095350149362</v>
      </c>
      <c r="M25" s="267">
        <f t="shared" si="15"/>
        <v>3161.1095350149362</v>
      </c>
      <c r="N25" s="267">
        <f t="shared" si="15"/>
        <v>3161.1095350149362</v>
      </c>
      <c r="O25" s="267">
        <f t="shared" si="15"/>
        <v>3161.1095350149362</v>
      </c>
      <c r="P25" s="267">
        <f t="shared" si="15"/>
        <v>3161.1095350149362</v>
      </c>
      <c r="Q25" s="267">
        <f t="shared" si="15"/>
        <v>3161.1095350149362</v>
      </c>
      <c r="R25" s="267">
        <f t="shared" si="15"/>
        <v>3161.1095350149362</v>
      </c>
      <c r="S25" s="267">
        <f t="shared" si="15"/>
        <v>3161.1095350149362</v>
      </c>
      <c r="T25" s="267">
        <f t="shared" si="15"/>
        <v>3161.1095350149362</v>
      </c>
      <c r="U25" s="267">
        <f t="shared" si="15"/>
        <v>3161.1095350149362</v>
      </c>
      <c r="V25" s="267">
        <f t="shared" si="15"/>
        <v>3161.1095350149362</v>
      </c>
      <c r="W25" s="267">
        <f t="shared" si="15"/>
        <v>3161.1095350149362</v>
      </c>
      <c r="X25" s="267">
        <f t="shared" si="15"/>
        <v>3161.1095350149362</v>
      </c>
      <c r="Y25" s="267">
        <f t="shared" si="15"/>
        <v>3161.1095350149362</v>
      </c>
      <c r="Z25" s="267">
        <f t="shared" si="15"/>
        <v>3161.1095350149362</v>
      </c>
      <c r="AA25" s="267">
        <f t="shared" si="15"/>
        <v>3161.1095350149362</v>
      </c>
      <c r="AB25" s="267">
        <f t="shared" si="15"/>
        <v>3161.1095350149362</v>
      </c>
      <c r="AC25" s="267">
        <f t="shared" si="15"/>
        <v>3161.1095350149362</v>
      </c>
      <c r="AD25" s="267">
        <f t="shared" si="15"/>
        <v>3161.1095350149362</v>
      </c>
      <c r="AE25" s="267">
        <f t="shared" si="15"/>
        <v>3161.1095350149362</v>
      </c>
      <c r="AF25" s="267">
        <f t="shared" si="15"/>
        <v>3161.1095350149362</v>
      </c>
      <c r="AG25" s="267">
        <f t="shared" si="15"/>
        <v>3161.1095350149362</v>
      </c>
      <c r="AH25" s="267">
        <f t="shared" si="15"/>
        <v>3161.1095350149362</v>
      </c>
      <c r="AI25" s="267">
        <f t="shared" si="15"/>
        <v>3161.1095350149362</v>
      </c>
      <c r="AJ25" s="267">
        <f t="shared" si="15"/>
        <v>3161.1095350149362</v>
      </c>
      <c r="AK25" s="267">
        <f t="shared" si="15"/>
        <v>3161.1095350149362</v>
      </c>
      <c r="AL25" s="267">
        <f t="shared" si="15"/>
        <v>3161.1095350149581</v>
      </c>
      <c r="AM25" s="699">
        <f>SUM(C25:AL25)</f>
        <v>113799.94326053777</v>
      </c>
      <c r="AN25" s="324">
        <f>+AM25+AM43*debtamt</f>
        <v>127536.6166935972</v>
      </c>
      <c r="AO25" s="1">
        <f t="shared" si="4"/>
        <v>20</v>
      </c>
      <c r="AP25" s="198"/>
      <c r="AQ25" s="198"/>
      <c r="AR25" s="198"/>
      <c r="AS25" s="324"/>
      <c r="AT25" s="324"/>
      <c r="AU25" s="324"/>
      <c r="AV25" s="324"/>
      <c r="AW25" s="324"/>
      <c r="AX25" s="324"/>
      <c r="AY25" s="324"/>
      <c r="AZ25" s="324"/>
      <c r="BA25" s="324"/>
      <c r="BB25" s="324"/>
      <c r="BC25" s="324"/>
      <c r="BD25" s="324"/>
      <c r="BE25" s="324"/>
      <c r="BF25" s="324"/>
      <c r="BG25" s="324"/>
      <c r="BH25" s="324"/>
      <c r="BI25" s="324"/>
      <c r="BJ25" s="324"/>
      <c r="BK25" s="324"/>
      <c r="BL25" s="324"/>
      <c r="BM25" s="324"/>
      <c r="BN25" s="324"/>
      <c r="BO25" s="324"/>
      <c r="BP25" s="324"/>
      <c r="BQ25" s="324"/>
      <c r="BR25" s="324"/>
      <c r="BS25" s="324"/>
      <c r="BT25" s="324"/>
      <c r="BU25" s="324"/>
      <c r="BV25" s="324"/>
      <c r="BW25" s="324"/>
      <c r="BX25" s="324"/>
      <c r="BY25" s="324"/>
      <c r="BZ25" s="324"/>
      <c r="CA25" s="324"/>
      <c r="CB25" s="324"/>
      <c r="CC25" s="324"/>
      <c r="CD25" s="198"/>
      <c r="CE25" s="198"/>
      <c r="CF25" s="198"/>
      <c r="CG25" s="198"/>
      <c r="CH25" s="198"/>
      <c r="CI25" s="198"/>
      <c r="CJ25" s="198"/>
      <c r="CK25" s="198"/>
      <c r="CL25" s="198"/>
      <c r="CM25" s="198"/>
      <c r="CN25" s="198"/>
      <c r="CO25" s="198"/>
    </row>
    <row r="26" spans="1:93" x14ac:dyDescent="0.2">
      <c r="A26" s="20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250"/>
      <c r="AN26" s="44"/>
      <c r="AO26" s="1">
        <f t="shared" si="4"/>
        <v>21</v>
      </c>
      <c r="AP26" s="251"/>
      <c r="AQ26" s="251"/>
      <c r="AR26" s="251"/>
      <c r="AS26" s="251"/>
      <c r="AT26" s="258"/>
      <c r="AU26" s="44"/>
      <c r="AV26" s="44"/>
      <c r="AW26" s="258"/>
      <c r="AX26" s="258"/>
      <c r="AY26" s="258"/>
      <c r="AZ26" s="44"/>
      <c r="BA26" s="258"/>
      <c r="BB26" s="258"/>
      <c r="BC26" s="258"/>
      <c r="BD26" s="44"/>
      <c r="BE26" s="258"/>
      <c r="BF26" s="258"/>
      <c r="BG26" s="258"/>
      <c r="BH26" s="258"/>
      <c r="BI26" s="44"/>
      <c r="BJ26" s="258"/>
      <c r="BK26" s="44"/>
      <c r="BL26" s="254"/>
      <c r="BM26" s="254"/>
      <c r="BN26" s="251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</row>
    <row r="27" spans="1:93" s="625" customFormat="1" hidden="1" outlineLevel="1" x14ac:dyDescent="0.2">
      <c r="A27" s="644" t="s">
        <v>142</v>
      </c>
      <c r="B27" s="645">
        <v>0</v>
      </c>
      <c r="C27" s="622">
        <f>IF(C5&gt;=Assumpt!$E$49,0,IDC!C25)</f>
        <v>0</v>
      </c>
      <c r="D27" s="622">
        <f>IF(D5&gt;=Assumpt!$E$49,0,IDC!D25)</f>
        <v>0</v>
      </c>
      <c r="E27" s="622">
        <f>IF(E5&gt;=Assumpt!$E$49,0,IDC!E25)</f>
        <v>0</v>
      </c>
      <c r="F27" s="622">
        <f>IF(F5&gt;=Assumpt!$E$49,0,IDC!F25)</f>
        <v>0</v>
      </c>
      <c r="G27" s="622">
        <f>IF(G5&gt;=Assumpt!$E$49,0,IDC!G25)</f>
        <v>0</v>
      </c>
      <c r="H27" s="622">
        <f>IF(H5&gt;=Assumpt!$E$49,0,IDC!H25)</f>
        <v>0</v>
      </c>
      <c r="I27" s="622">
        <f>IF(I5&gt;=Assumpt!$E$49,0,IDC!I25)</f>
        <v>0</v>
      </c>
      <c r="J27" s="622">
        <f>IF(J5&gt;=Assumpt!$E$49,0,IDC!J25)</f>
        <v>0</v>
      </c>
      <c r="K27" s="622">
        <f>IF(K5&gt;=Assumpt!$E$49,0,IDC!K25)</f>
        <v>0</v>
      </c>
      <c r="L27" s="622">
        <f>IF(L5&gt;=Assumpt!$E$49,0,IDC!L25)</f>
        <v>0</v>
      </c>
      <c r="M27" s="622">
        <f>IF(M5&gt;=Assumpt!$E$49,0,IDC!M25)</f>
        <v>0</v>
      </c>
      <c r="N27" s="622">
        <f>IF(N5&gt;=Assumpt!$E$49,0,IDC!N25)</f>
        <v>0</v>
      </c>
      <c r="O27" s="622">
        <f>IF(O5&gt;=Assumpt!$E$49,0,IDC!O25)</f>
        <v>0</v>
      </c>
      <c r="P27" s="622">
        <f>IF(P5&gt;=Assumpt!$E$49,0,IDC!P25)</f>
        <v>0</v>
      </c>
      <c r="Q27" s="622">
        <f>IF(Q5&gt;=Assumpt!$E$49,0,IDC!Q25)</f>
        <v>0</v>
      </c>
      <c r="R27" s="622">
        <f>IF(R5&gt;=Assumpt!$E$49,0,IDC!R25)</f>
        <v>0</v>
      </c>
      <c r="S27" s="622">
        <f>IF(S5&gt;=Assumpt!$E$49,0,IDC!S25)</f>
        <v>0</v>
      </c>
      <c r="T27" s="622">
        <f>IF(T5&gt;=Assumpt!$E$49,0,IDC!T25)</f>
        <v>0</v>
      </c>
      <c r="U27" s="622">
        <f>IF(U5&gt;=Assumpt!$E$49,0,IDC!U25)</f>
        <v>0</v>
      </c>
      <c r="V27" s="622">
        <f>IF(V5&gt;=Assumpt!$E$49,0,IDC!V25)</f>
        <v>0</v>
      </c>
      <c r="W27" s="622">
        <f>IF(W5&gt;=Assumpt!$E$49,0,IDC!W25)</f>
        <v>0</v>
      </c>
      <c r="X27" s="622">
        <f>IF(X5&gt;=Assumpt!$E$49,0,IDC!X25)</f>
        <v>0</v>
      </c>
      <c r="Y27" s="622">
        <f>IF(Y5&gt;=Assumpt!$E$49,0,IDC!Y25)</f>
        <v>0</v>
      </c>
      <c r="Z27" s="622">
        <f>IF(Z5&gt;=Assumpt!$E$49,0,IDC!Z25)</f>
        <v>0</v>
      </c>
      <c r="AA27" s="622">
        <f>IF(AA5&gt;=Assumpt!$E$49,0,IDC!AA25)</f>
        <v>0</v>
      </c>
      <c r="AB27" s="622">
        <f>IF(AB5&gt;=Assumpt!$E$49,0,IDC!AB25)</f>
        <v>0</v>
      </c>
      <c r="AC27" s="622">
        <f>IF(AC5&gt;=Assumpt!$E$49,0,IDC!AC25)</f>
        <v>0</v>
      </c>
      <c r="AD27" s="622">
        <f>IF(AD5&gt;=Assumpt!$E$49,0,IDC!AD25)</f>
        <v>0</v>
      </c>
      <c r="AE27" s="622">
        <f>IF(AE5&gt;=Assumpt!$E$49,0,IDC!AE25)</f>
        <v>0</v>
      </c>
      <c r="AF27" s="622">
        <f>IF(AF5&gt;=Assumpt!$E$49,0,IDC!AF25)</f>
        <v>0</v>
      </c>
      <c r="AG27" s="622">
        <f>IF(AG5&gt;=Assumpt!$E$49,0,IDC!AG25)</f>
        <v>0</v>
      </c>
      <c r="AH27" s="622">
        <f>IF(AH5&gt;=Assumpt!$E$49,0,IDC!AH25)</f>
        <v>0</v>
      </c>
      <c r="AI27" s="622">
        <f>IF(AI5&gt;=Assumpt!$E$49,0,IDC!AI25)</f>
        <v>0</v>
      </c>
      <c r="AJ27" s="622">
        <f>IF(AJ5&gt;=Assumpt!$E$49,0,IDC!AJ25)</f>
        <v>0</v>
      </c>
      <c r="AK27" s="622">
        <f>IF(AK5&gt;=Assumpt!$E$49,0,IDC!AK25)</f>
        <v>0</v>
      </c>
      <c r="AL27" s="622">
        <f>IF(AL5&gt;=Assumpt!$E$49,0,IDC!AL25)</f>
        <v>0</v>
      </c>
      <c r="AM27" s="619">
        <f>SUM(C27:AF27)</f>
        <v>0</v>
      </c>
      <c r="AN27" s="620"/>
      <c r="AO27" s="1">
        <f t="shared" si="4"/>
        <v>22</v>
      </c>
      <c r="AP27" s="621"/>
      <c r="AQ27" s="620"/>
      <c r="AR27" s="620"/>
      <c r="AS27" s="622"/>
      <c r="AT27" s="623"/>
      <c r="AU27" s="623"/>
      <c r="AV27" s="623"/>
      <c r="AW27" s="623"/>
      <c r="AX27" s="623"/>
      <c r="AY27" s="623"/>
      <c r="AZ27" s="623"/>
      <c r="BA27" s="623"/>
      <c r="BB27" s="623"/>
      <c r="BC27" s="623"/>
      <c r="BD27" s="623"/>
      <c r="BE27" s="623"/>
      <c r="BF27" s="623"/>
      <c r="BG27" s="623"/>
      <c r="BH27" s="623"/>
      <c r="BI27" s="623"/>
      <c r="BJ27" s="623"/>
      <c r="BK27" s="623"/>
      <c r="BL27" s="623"/>
      <c r="BM27" s="623"/>
      <c r="BN27" s="623"/>
      <c r="BO27" s="623"/>
      <c r="BP27" s="623"/>
      <c r="BQ27" s="623"/>
      <c r="BR27" s="623"/>
      <c r="BS27" s="623"/>
      <c r="BT27" s="623"/>
      <c r="BU27" s="623"/>
      <c r="BV27" s="623"/>
      <c r="BW27" s="623"/>
      <c r="BX27" s="623"/>
      <c r="BY27" s="623"/>
      <c r="BZ27" s="623"/>
      <c r="CA27" s="623"/>
      <c r="CB27" s="623"/>
      <c r="CC27" s="620"/>
      <c r="CD27" s="624"/>
      <c r="CE27" s="624"/>
      <c r="CF27" s="624"/>
      <c r="CG27" s="624"/>
      <c r="CH27" s="624"/>
      <c r="CI27" s="624"/>
      <c r="CJ27" s="624"/>
      <c r="CK27" s="624"/>
      <c r="CL27" s="624"/>
      <c r="CM27" s="624"/>
      <c r="CN27" s="624"/>
      <c r="CO27" s="624"/>
    </row>
    <row r="28" spans="1:93" s="618" customFormat="1" hidden="1" outlineLevel="1" x14ac:dyDescent="0.2">
      <c r="A28" s="644" t="s">
        <v>143</v>
      </c>
      <c r="B28" s="624">
        <f>+Assumpt!P70</f>
        <v>0</v>
      </c>
      <c r="C28" s="623">
        <f>IF(C5&gt;=Assumpt!$E$49,0,SUM($C$27:C27))</f>
        <v>0</v>
      </c>
      <c r="D28" s="623">
        <f>IF(D5&gt;=Assumpt!$E$49,0,SUM($C$27:D27))</f>
        <v>0</v>
      </c>
      <c r="E28" s="623">
        <f>IF(E5&gt;=Assumpt!$E$49,0,SUM($C$27:E27))</f>
        <v>0</v>
      </c>
      <c r="F28" s="623">
        <f>IF(F5&gt;=Assumpt!$E$49,0,SUM($C$27:F27))</f>
        <v>0</v>
      </c>
      <c r="G28" s="623">
        <f>IF(G5&gt;=Assumpt!$E$49,0,SUM($C$27:G27))</f>
        <v>0</v>
      </c>
      <c r="H28" s="623">
        <f>IF(H5&gt;=Assumpt!$E$49,0,SUM($C$27:H27))</f>
        <v>0</v>
      </c>
      <c r="I28" s="623">
        <f>IF(I5&gt;=Assumpt!$E$49,0,SUM($C$27:I27))</f>
        <v>0</v>
      </c>
      <c r="J28" s="623">
        <f>IF(J5&gt;=Assumpt!$E$49,0,SUM($C$27:J27))</f>
        <v>0</v>
      </c>
      <c r="K28" s="623">
        <f>IF(K5&gt;=Assumpt!$E$49,0,SUM($C$27:K27))</f>
        <v>0</v>
      </c>
      <c r="L28" s="623">
        <f>IF(L5&gt;=Assumpt!$E$49,0,SUM($C$27:L27))</f>
        <v>0</v>
      </c>
      <c r="M28" s="623">
        <f>IF(M5&gt;=Assumpt!$E$49,0,SUM($C$27:M27))</f>
        <v>0</v>
      </c>
      <c r="N28" s="623">
        <f>IF(N5&gt;=Assumpt!$E$49,0,SUM($C$27:N27))</f>
        <v>0</v>
      </c>
      <c r="O28" s="623">
        <f>IF(O5&gt;=Assumpt!$E$49,0,SUM($C$27:O27))</f>
        <v>0</v>
      </c>
      <c r="P28" s="623">
        <f>IF(P5&gt;=Assumpt!$E$49,0,SUM($C$27:P27))</f>
        <v>0</v>
      </c>
      <c r="Q28" s="623">
        <f>IF(Q5&gt;=Assumpt!$E$49,0,SUM($C$27:Q27))</f>
        <v>0</v>
      </c>
      <c r="R28" s="623">
        <f>IF(R5&gt;=Assumpt!$E$49,0,SUM($C$27:R27))</f>
        <v>0</v>
      </c>
      <c r="S28" s="623">
        <f>IF(S5&gt;=Assumpt!$E$49,0,SUM($C$27:S27))</f>
        <v>0</v>
      </c>
      <c r="T28" s="623">
        <f>IF(T5&gt;=Assumpt!$E$49,0,SUM($C$27:T27))</f>
        <v>0</v>
      </c>
      <c r="U28" s="623">
        <f>IF(U5&gt;=Assumpt!$E$49,0,SUM($C$27:U27))</f>
        <v>0</v>
      </c>
      <c r="V28" s="623">
        <f>IF(V5&gt;=Assumpt!$E$49,0,SUM($C$27:V27))</f>
        <v>0</v>
      </c>
      <c r="W28" s="623">
        <f>IF(W5&gt;=Assumpt!$E$49,0,SUM($C$27:W27))</f>
        <v>0</v>
      </c>
      <c r="X28" s="623">
        <f>IF(X5&gt;=Assumpt!$E$49,0,SUM($C$27:X27))</f>
        <v>0</v>
      </c>
      <c r="Y28" s="623">
        <f>IF(Y5&gt;=Assumpt!$E$49,0,SUM($C$27:Y27))</f>
        <v>0</v>
      </c>
      <c r="Z28" s="623">
        <f>IF(Z5&gt;=Assumpt!$E$49,0,SUM($C$27:Z27))</f>
        <v>0</v>
      </c>
      <c r="AA28" s="623">
        <f>IF(AA5&gt;=Assumpt!$E$49,0,SUM($C$27:AA27))</f>
        <v>0</v>
      </c>
      <c r="AB28" s="623">
        <f>IF(AB5&gt;=Assumpt!$E$49,0,SUM($C$27:AB27))</f>
        <v>0</v>
      </c>
      <c r="AC28" s="623">
        <f>IF(AC5&gt;=Assumpt!$E$49,0,SUM($C$27:AC27))</f>
        <v>0</v>
      </c>
      <c r="AD28" s="623">
        <f>IF(AD5&gt;=Assumpt!$E$49,0,SUM($C$27:AD27))</f>
        <v>0</v>
      </c>
      <c r="AE28" s="623">
        <f>IF(AE5&gt;=Assumpt!$E$49,0,SUM($C$27:AE27))</f>
        <v>0</v>
      </c>
      <c r="AF28" s="623">
        <f>IF(AF5&gt;=Assumpt!$E$49,0,SUM($C$27:AF27))</f>
        <v>0</v>
      </c>
      <c r="AG28" s="623">
        <f>IF(AG5&gt;=Assumpt!$E$49,0,SUM($C$27:AG27))</f>
        <v>0</v>
      </c>
      <c r="AH28" s="623">
        <f>IF(AH5&gt;=Assumpt!$E$49,0,SUM($C$27:AH27))</f>
        <v>0</v>
      </c>
      <c r="AI28" s="623">
        <f>IF(AI5&gt;=Assumpt!$E$49,0,SUM($C$27:AI27))</f>
        <v>0</v>
      </c>
      <c r="AJ28" s="623">
        <f>IF(AJ5&gt;=Assumpt!$E$49,0,SUM($C$27:AJ27))</f>
        <v>0</v>
      </c>
      <c r="AK28" s="623">
        <f>IF(AK5&gt;=Assumpt!$E$49,0,SUM($C$27:AK27))</f>
        <v>0</v>
      </c>
      <c r="AL28" s="623">
        <f>IF(AL5&gt;=Assumpt!$E$49,0,SUM($C$27:AL27))</f>
        <v>0</v>
      </c>
      <c r="AM28" s="626"/>
      <c r="AN28" s="620"/>
      <c r="AO28" s="1">
        <f t="shared" si="4"/>
        <v>23</v>
      </c>
      <c r="AP28" s="620"/>
      <c r="AQ28" s="620"/>
      <c r="AR28" s="620"/>
      <c r="AS28" s="627"/>
      <c r="AT28" s="627"/>
      <c r="AU28" s="627"/>
      <c r="AV28" s="627"/>
      <c r="AW28" s="627"/>
      <c r="AX28" s="627"/>
      <c r="AY28" s="627"/>
      <c r="AZ28" s="627"/>
      <c r="BA28" s="627"/>
      <c r="BB28" s="627"/>
      <c r="BC28" s="627"/>
      <c r="BD28" s="627"/>
      <c r="BE28" s="627"/>
      <c r="BF28" s="627"/>
      <c r="BG28" s="627"/>
      <c r="BH28" s="627"/>
      <c r="BI28" s="627"/>
      <c r="BJ28" s="627"/>
      <c r="BK28" s="627"/>
      <c r="BL28" s="627"/>
      <c r="BM28" s="627"/>
      <c r="BN28" s="627"/>
      <c r="BO28" s="627"/>
      <c r="BP28" s="627"/>
      <c r="BQ28" s="627"/>
      <c r="BR28" s="627"/>
      <c r="BS28" s="627"/>
      <c r="BT28" s="627"/>
      <c r="BU28" s="627"/>
      <c r="BV28" s="627"/>
      <c r="BW28" s="627"/>
      <c r="BX28" s="627"/>
      <c r="BY28" s="627"/>
      <c r="BZ28" s="627"/>
      <c r="CA28" s="627"/>
      <c r="CB28" s="627"/>
      <c r="CC28" s="620"/>
      <c r="CD28" s="620"/>
      <c r="CE28" s="620"/>
      <c r="CF28" s="620"/>
      <c r="CG28" s="620"/>
      <c r="CH28" s="620"/>
      <c r="CI28" s="620"/>
      <c r="CJ28" s="620"/>
      <c r="CK28" s="620"/>
      <c r="CL28" s="620"/>
      <c r="CM28" s="620"/>
      <c r="CN28" s="620"/>
      <c r="CO28" s="620"/>
    </row>
    <row r="29" spans="1:93" s="618" customFormat="1" hidden="1" outlineLevel="1" x14ac:dyDescent="0.2">
      <c r="A29" s="644" t="s">
        <v>144</v>
      </c>
      <c r="B29" s="620"/>
      <c r="C29" s="622">
        <f>IF(C6&gt;Assumpt!$E$50,0,IF(IDC!C6&gt;Assumpt!$S$70,IDC!C28*IDC!$B$28/12,+C28*$B$27/12))</f>
        <v>0</v>
      </c>
      <c r="D29" s="622">
        <f>IF(D6&gt;Assumpt!$E$50,0,IF(IDC!D6&gt;Assumpt!$S$70,IDC!D28*IDC!$B$28/12,+D28*$B$27/12))</f>
        <v>0</v>
      </c>
      <c r="E29" s="622">
        <f>IF(E6&gt;Assumpt!$E$50,0,IF(IDC!E6&gt;Assumpt!$S$70,IDC!E28*IDC!$B$28/12,+E28*$B$27/12))</f>
        <v>0</v>
      </c>
      <c r="F29" s="622">
        <f>IF(F6&gt;Assumpt!$E$50,0,IF(IDC!F6&gt;Assumpt!$S$70,IDC!F28*IDC!$B$28/12,+F28*$B$27/12))</f>
        <v>0</v>
      </c>
      <c r="G29" s="622">
        <f>IF(G6&gt;Assumpt!$E$50,0,IF(IDC!G6&gt;Assumpt!$S$70,IDC!G28*IDC!$B$28/12,+G28*$B$27/12))</f>
        <v>0</v>
      </c>
      <c r="H29" s="622">
        <f>IF(H6&gt;Assumpt!$E$50,0,IF(IDC!H6&gt;Assumpt!$S$70,IDC!H28*IDC!$B$28/12,+H28*$B$27/12))</f>
        <v>0</v>
      </c>
      <c r="I29" s="622">
        <f>IF(I6&gt;Assumpt!$E$50,0,IF(IDC!I6&gt;Assumpt!$S$70,IDC!I28*IDC!$B$28/12,+I28*$B$27/12))</f>
        <v>0</v>
      </c>
      <c r="J29" s="622">
        <f>IF(J6&gt;Assumpt!$E$50,0,IF(IDC!J6&gt;Assumpt!$S$70,IDC!J28*IDC!$B$28/12,+J28*$B$27/12))</f>
        <v>0</v>
      </c>
      <c r="K29" s="622">
        <f>IF(K6&gt;Assumpt!$E$50,0,IF(IDC!K6&gt;Assumpt!$S$70,IDC!K28*IDC!$B$28/12,+K28*$B$27/12))</f>
        <v>0</v>
      </c>
      <c r="L29" s="622">
        <f>IF(L6&gt;Assumpt!$E$50,0,IF(IDC!L6&gt;Assumpt!$S$70,IDC!L28*IDC!$B$28/12,+L28*$B$27/12))</f>
        <v>0</v>
      </c>
      <c r="M29" s="622">
        <f>IF(M6&gt;Assumpt!$E$50,0,IF(IDC!M6&gt;Assumpt!$S$70,IDC!M28*IDC!$B$28/12,+M28*$B$27/12))</f>
        <v>0</v>
      </c>
      <c r="N29" s="622">
        <f>IF(N6&gt;Assumpt!$E$50,0,IF(IDC!N6&gt;Assumpt!$S$70,IDC!N28*IDC!$B$28/12,+N28*$B$27/12))</f>
        <v>0</v>
      </c>
      <c r="O29" s="622">
        <f>IF(O6&gt;Assumpt!$E$50,0,IF(IDC!O6&gt;Assumpt!$S$70,IDC!O28*IDC!$B$28/12,+O28*$B$27/12))</f>
        <v>0</v>
      </c>
      <c r="P29" s="622">
        <f>IF(P6&gt;Assumpt!$E$50,0,IF(IDC!P6&gt;Assumpt!$S$70,IDC!P28*IDC!$B$28/12,+P28*$B$27/12))</f>
        <v>0</v>
      </c>
      <c r="Q29" s="622">
        <f>IF(Q6&gt;Assumpt!$E$50,0,IF(IDC!Q6&gt;Assumpt!$S$70,IDC!Q28*IDC!$B$28/12,+Q28*$B$27/12))*10/31</f>
        <v>0</v>
      </c>
      <c r="R29" s="622">
        <f>IF(R6&gt;Assumpt!$E$50,0,IF(IDC!R6&gt;Assumpt!$S$70,IDC!R28*IDC!$B$28/12,+R28*$B$27/12))</f>
        <v>0</v>
      </c>
      <c r="S29" s="622">
        <f>IF(S6&gt;Assumpt!$E$50,0,IF(IDC!S6&gt;Assumpt!$S$70,IDC!S28*IDC!$B$28/12,+S28*$B$27/12))</f>
        <v>0</v>
      </c>
      <c r="T29" s="622">
        <f>IF(T6&gt;Assumpt!$E$50,0,IF(IDC!T6&gt;Assumpt!$S$70,IDC!T28*IDC!$B$28/12,+T28*$B$27/12))</f>
        <v>0</v>
      </c>
      <c r="U29" s="622">
        <f>IF(U6&gt;Assumpt!$E$50,0,IF(IDC!U6&gt;Assumpt!$S$70,IDC!U28*IDC!$B$28/12,+U28*$B$27/12))</f>
        <v>0</v>
      </c>
      <c r="V29" s="622">
        <f>IF(V6&gt;Assumpt!$E$50,0,IF(IDC!V6&gt;Assumpt!$S$70,IDC!V28*IDC!$B$28/12,+V28*$B$27/12))</f>
        <v>0</v>
      </c>
      <c r="W29" s="622">
        <f>IF(W6&gt;Assumpt!$E$50,0,IF(IDC!W6&gt;Assumpt!$S$70,IDC!W28*IDC!$B$28/12,+W28*$B$27/12))</f>
        <v>0</v>
      </c>
      <c r="X29" s="622">
        <f>IF(X6&gt;Assumpt!$E$50,0,IF(IDC!X6&gt;Assumpt!$S$70,IDC!X28*IDC!$B$28/12,+X28*$B$27/12))</f>
        <v>0</v>
      </c>
      <c r="Y29" s="622">
        <f>IF(Y6&gt;Assumpt!$E$50,0,IF(IDC!Y6&gt;Assumpt!$S$70,IDC!Y28*IDC!$B$28/12,+Y28*$B$27/12))</f>
        <v>0</v>
      </c>
      <c r="Z29" s="622">
        <f>IF(Z6&gt;Assumpt!$E$50,0,IF(IDC!Z6&gt;Assumpt!$S$70,IDC!Z28*IDC!$B$28/12,+Z28*$B$27/12))</f>
        <v>0</v>
      </c>
      <c r="AA29" s="622">
        <f>IF(AA6&gt;Assumpt!$E$50,0,IF(IDC!AA6&gt;Assumpt!$S$70,IDC!AA28*IDC!$B$28/12,+AA28*$B$27/12))</f>
        <v>0</v>
      </c>
      <c r="AB29" s="622">
        <f>IF(AB6&gt;Assumpt!$E$50,0,IF(IDC!AB6&gt;Assumpt!$S$70,IDC!AB28*IDC!$B$28/12,+AB28*$B$27/12))</f>
        <v>0</v>
      </c>
      <c r="AC29" s="622">
        <f>IF(AC6&gt;Assumpt!$E$50,0,IF(IDC!AC6&gt;Assumpt!$S$70,IDC!AC28*IDC!$B$28/12,+AC28*$B$27/12))</f>
        <v>0</v>
      </c>
      <c r="AD29" s="622">
        <f>IF(AD6&gt;Assumpt!$E$50,0,IF(IDC!AD6&gt;Assumpt!$S$70,IDC!AD28*IDC!$B$28/12,+AD28*$B$27/12))</f>
        <v>0</v>
      </c>
      <c r="AE29" s="622">
        <f>IF(AE6&gt;Assumpt!$E$50,0,IF(IDC!AE6&gt;Assumpt!$S$70,IDC!AE28*IDC!$B$28/12,+AE28*$B$27/12))</f>
        <v>0</v>
      </c>
      <c r="AF29" s="622">
        <f>IF(AF6&gt;Assumpt!$E$50,0,IF(IDC!AF6&gt;Assumpt!$S$70,IDC!AF28*IDC!$B$28/12,+AF28*$B$27/12))</f>
        <v>0</v>
      </c>
      <c r="AG29" s="622">
        <f>IF(AG6&gt;Assumpt!$E$50,0,IF(IDC!AG6&gt;Assumpt!$S$70,IDC!AG28*IDC!$B$28/12,+AG28*$B$27/12))</f>
        <v>0</v>
      </c>
      <c r="AH29" s="622">
        <f>IF(AH6&gt;Assumpt!$E$50,0,IF(IDC!AH6&gt;Assumpt!$S$70,IDC!AH28*IDC!$B$28/12,+AH28*$B$27/12))</f>
        <v>0</v>
      </c>
      <c r="AI29" s="622">
        <f>IF(AI6&gt;Assumpt!$E$50,0,IF(IDC!AI6&gt;Assumpt!$S$70,IDC!AI28*IDC!$B$28/12,+AI28*$B$27/12))</f>
        <v>0</v>
      </c>
      <c r="AJ29" s="622">
        <f>IF(AJ6&gt;Assumpt!$E$50,0,IF(IDC!AJ6&gt;Assumpt!$S$70,IDC!AJ28*IDC!$B$28/12,+AJ28*$B$27/12))</f>
        <v>0</v>
      </c>
      <c r="AK29" s="622">
        <f>IF(AK6&gt;Assumpt!$E$50,0,IF(IDC!AK6&gt;Assumpt!$S$70,IDC!AK28*IDC!$B$28/12,+AK28*$B$27/12))</f>
        <v>0</v>
      </c>
      <c r="AL29" s="622">
        <f>IF(AL6&gt;Assumpt!$E$50,0,IF(IDC!AL6&gt;Assumpt!$S$70,IDC!AL28*IDC!$B$28/12,+AL28*$B$27/12))</f>
        <v>0</v>
      </c>
      <c r="AM29" s="619">
        <f>SUM(C29:AF29)</f>
        <v>0</v>
      </c>
      <c r="AN29" s="620"/>
      <c r="AO29" s="1">
        <f t="shared" si="4"/>
        <v>24</v>
      </c>
      <c r="AP29" s="620"/>
      <c r="AQ29" s="620"/>
      <c r="AR29" s="620"/>
      <c r="AS29" s="623"/>
      <c r="AT29" s="623"/>
      <c r="AU29" s="623"/>
      <c r="AV29" s="623"/>
      <c r="AW29" s="623"/>
      <c r="AX29" s="623"/>
      <c r="AY29" s="623"/>
      <c r="AZ29" s="623"/>
      <c r="BA29" s="623"/>
      <c r="BB29" s="623"/>
      <c r="BC29" s="623"/>
      <c r="BD29" s="623"/>
      <c r="BE29" s="623"/>
      <c r="BF29" s="623"/>
      <c r="BG29" s="623"/>
      <c r="BH29" s="623"/>
      <c r="BI29" s="623"/>
      <c r="BJ29" s="623"/>
      <c r="BK29" s="623"/>
      <c r="BL29" s="623"/>
      <c r="BM29" s="623"/>
      <c r="BN29" s="623"/>
      <c r="BO29" s="623"/>
      <c r="BP29" s="623"/>
      <c r="BQ29" s="623"/>
      <c r="BR29" s="623"/>
      <c r="BS29" s="623"/>
      <c r="BT29" s="623"/>
      <c r="BU29" s="623"/>
      <c r="BV29" s="623"/>
      <c r="BW29" s="623"/>
      <c r="BX29" s="623"/>
      <c r="BY29" s="623"/>
      <c r="BZ29" s="623"/>
      <c r="CA29" s="623"/>
      <c r="CB29" s="623"/>
      <c r="CC29" s="620"/>
      <c r="CD29" s="620"/>
      <c r="CE29" s="620"/>
      <c r="CF29" s="620"/>
      <c r="CG29" s="620"/>
      <c r="CH29" s="620"/>
      <c r="CI29" s="620"/>
      <c r="CJ29" s="620"/>
      <c r="CK29" s="620"/>
      <c r="CL29" s="620"/>
      <c r="CM29" s="620"/>
      <c r="CN29" s="620"/>
      <c r="CO29" s="620"/>
    </row>
    <row r="30" spans="1:93" s="618" customFormat="1" hidden="1" outlineLevel="1" x14ac:dyDescent="0.2">
      <c r="A30" s="644"/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6"/>
      <c r="AN30" s="620"/>
      <c r="AO30" s="1">
        <f t="shared" si="4"/>
        <v>25</v>
      </c>
      <c r="AP30" s="620"/>
      <c r="AQ30" s="620"/>
      <c r="AR30" s="620"/>
      <c r="AS30" s="622"/>
      <c r="AT30" s="622"/>
      <c r="AU30" s="622"/>
      <c r="AV30" s="622"/>
      <c r="AW30" s="622"/>
      <c r="AX30" s="622"/>
      <c r="AY30" s="622"/>
      <c r="AZ30" s="622"/>
      <c r="BA30" s="622"/>
      <c r="BB30" s="622"/>
      <c r="BC30" s="622"/>
      <c r="BD30" s="622"/>
      <c r="BE30" s="622"/>
      <c r="BF30" s="622"/>
      <c r="BG30" s="622"/>
      <c r="BH30" s="622"/>
      <c r="BI30" s="622"/>
      <c r="BJ30" s="622"/>
      <c r="BK30" s="622"/>
      <c r="BL30" s="622"/>
      <c r="BM30" s="622"/>
      <c r="BN30" s="622"/>
      <c r="BO30" s="622"/>
      <c r="BP30" s="622"/>
      <c r="BQ30" s="622"/>
      <c r="BR30" s="622"/>
      <c r="BS30" s="622"/>
      <c r="BT30" s="622"/>
      <c r="BU30" s="622"/>
      <c r="BV30" s="622"/>
      <c r="BW30" s="622"/>
      <c r="BX30" s="622"/>
      <c r="BY30" s="622"/>
      <c r="BZ30" s="622"/>
      <c r="CA30" s="622"/>
      <c r="CB30" s="622"/>
      <c r="CC30" s="622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</row>
    <row r="31" spans="1:93" collapsed="1" x14ac:dyDescent="0.2">
      <c r="A31" s="702" t="s">
        <v>145</v>
      </c>
      <c r="B31" s="703">
        <f>IF(Assumpt!S6=0,0,+Assumpt!G41/Assumpt!S6)</f>
        <v>1</v>
      </c>
      <c r="C31" s="704">
        <f>+(C25-C27)*$B$31+IF(C5=Assumpt!$E$49,B28*$B$31,0)</f>
        <v>3161.1095350149362</v>
      </c>
      <c r="D31" s="704">
        <f>+(D25-D27)*$B$31+IF(D5=Assumpt!$E$49,C28*$B$31,0)</f>
        <v>3161.1095350149362</v>
      </c>
      <c r="E31" s="704">
        <f>+(E25-E27)*$B$31+IF(E5=Assumpt!$E$49,D28*$B$31,0)</f>
        <v>3161.1095350149362</v>
      </c>
      <c r="F31" s="704">
        <f>+(F25-F27)*$B$31+IF(F5=Assumpt!$E$49,E28*$B$31,0)</f>
        <v>3161.1095350149362</v>
      </c>
      <c r="G31" s="704">
        <f>+(G25-G27)*$B$31+IF(G5=Assumpt!$E$49,F28*$B$31,0)</f>
        <v>3161.1095350149362</v>
      </c>
      <c r="H31" s="704">
        <f>+(H25-H27)*$B$31+IF(H5=Assumpt!$E$49,G28*$B$31,0)</f>
        <v>3161.1095350149362</v>
      </c>
      <c r="I31" s="704">
        <f>+(I25-I27)*$B$31+IF(I5=Assumpt!$E$49,H28*$B$31,0)</f>
        <v>3161.1095350149362</v>
      </c>
      <c r="J31" s="704">
        <f>+(J25-J27)*$B$31+IF(J5=Assumpt!$E$49,I28*$B$31,0)</f>
        <v>3161.1095350149362</v>
      </c>
      <c r="K31" s="704">
        <f>+(K25-K27)*$B$31+IF(K5=Assumpt!$E$49,J28*$B$31,0)</f>
        <v>3161.1095350149362</v>
      </c>
      <c r="L31" s="704">
        <f>+(L25-L27)*$B$31+IF(L5=Assumpt!$E$49,K28*$B$31,0)</f>
        <v>3161.1095350149362</v>
      </c>
      <c r="M31" s="704">
        <f>+(M25-M27)*$B$31+IF(M5=Assumpt!$E$49,L28*$B$31,0)</f>
        <v>3161.1095350149362</v>
      </c>
      <c r="N31" s="704">
        <f>+(N25-N27)*$B$31+IF(N5=Assumpt!$E$49,M28*$B$31,0)</f>
        <v>3161.1095350149362</v>
      </c>
      <c r="O31" s="704">
        <f>+(O25-O27)*$B$31+IF(O5=Assumpt!$E$49,N28*$B$31,0)</f>
        <v>3161.1095350149362</v>
      </c>
      <c r="P31" s="704">
        <f>+(P25-P27)*$B$31+IF(P5=Assumpt!$E$49,O28*$B$31,0)</f>
        <v>3161.1095350149362</v>
      </c>
      <c r="Q31" s="704">
        <f>+(Q25-Q27)*$B$31+IF(Q5=Assumpt!$E$49,P28*$B$31,0)</f>
        <v>3161.1095350149362</v>
      </c>
      <c r="R31" s="704">
        <f>+(R25-R27)*$B$31+IF(R5=Assumpt!$E$49,Q28*$B$31,0)</f>
        <v>3161.1095350149362</v>
      </c>
      <c r="S31" s="704">
        <f>+(S25-S27)*$B$31+IF(S5=Assumpt!$E$49,R28*$B$31,0)</f>
        <v>3161.1095350149362</v>
      </c>
      <c r="T31" s="704">
        <f>+(T25-T27)*$B$31+IF(T5=Assumpt!$E$49,S28*$B$31,0)</f>
        <v>3161.1095350149362</v>
      </c>
      <c r="U31" s="704">
        <f>+(U25-U27)*$B$31+IF(U5=Assumpt!$E$49,T28*$B$31,0)</f>
        <v>3161.1095350149362</v>
      </c>
      <c r="V31" s="704">
        <f>+(V25-V27)*$B$31+IF(V5=Assumpt!$E$49,U28*$B$31,0)</f>
        <v>3161.1095350149362</v>
      </c>
      <c r="W31" s="704">
        <f>+(W25-W27)*$B$31+IF(W5=Assumpt!$E$49,V28*$B$31,0)</f>
        <v>3161.1095350149362</v>
      </c>
      <c r="X31" s="704">
        <f>+(X25-X27)*$B$31+IF(X5=Assumpt!$E$49,W28*$B$31,0)</f>
        <v>3161.1095350149362</v>
      </c>
      <c r="Y31" s="704">
        <f>+(Y25-Y27)*$B$31+IF(Y5=Assumpt!$E$49,X28*$B$31,0)</f>
        <v>3161.1095350149362</v>
      </c>
      <c r="Z31" s="704">
        <f>+(Z25-Z27)*$B$31+IF(Z5=Assumpt!$E$49,Y28*$B$31,0)</f>
        <v>3161.1095350149362</v>
      </c>
      <c r="AA31" s="704">
        <f>+(AA25-AA27)*$B$31+IF(AA5=Assumpt!$E$49,Z28*$B$31,0)</f>
        <v>3161.1095350149362</v>
      </c>
      <c r="AB31" s="704">
        <f>+(AB25-AB27)*$B$31+IF(AB5=Assumpt!$E$49,AA28*$B$31,0)</f>
        <v>3161.1095350149362</v>
      </c>
      <c r="AC31" s="704">
        <f>+(AC25-AC27)*$B$31+IF(AC5=Assumpt!$E$49,AB28*$B$31,0)</f>
        <v>3161.1095350149362</v>
      </c>
      <c r="AD31" s="704">
        <f>+(AD25-AD27)*$B$31+IF(AD5=Assumpt!$E$49,AC28*$B$31,0)</f>
        <v>3161.1095350149362</v>
      </c>
      <c r="AE31" s="704">
        <f>+(AE25-AE27)*$B$31+IF(AE5=Assumpt!$E$49,AD28*$B$31,0)</f>
        <v>3161.1095350149362</v>
      </c>
      <c r="AF31" s="704">
        <f>+(AF25-AF27)*$B$31+IF(AF5=Assumpt!$E$49,AE28*$B$31,0)</f>
        <v>3161.1095350149362</v>
      </c>
      <c r="AG31" s="704">
        <f>+(AG25-AG27)*$B$31+IF(AG5=Assumpt!$E$49,AF28*$B$31,0)</f>
        <v>3161.1095350149362</v>
      </c>
      <c r="AH31" s="704">
        <f>+(AH25-AH27)*$B$31+IF(AH5=Assumpt!$E$49,AG28*$B$31,0)</f>
        <v>3161.1095350149362</v>
      </c>
      <c r="AI31" s="704">
        <f>+(AI25-AI27)*$B$31+IF(AI5=Assumpt!$E$49,AH28*$B$31,0)</f>
        <v>3161.1095350149362</v>
      </c>
      <c r="AJ31" s="704">
        <f>+(AJ25-AJ27)*$B$31+IF(AJ5=Assumpt!$E$49,AI28*$B$31,0)</f>
        <v>3161.1095350149362</v>
      </c>
      <c r="AK31" s="704">
        <f>+(AK25-AK27)*$B$31+IF(AK5=Assumpt!$E$49,AJ28*$B$31,0)</f>
        <v>3161.1095350149362</v>
      </c>
      <c r="AL31" s="704">
        <f>+(AL25-AL27)*$B$31+IF(AL5=Assumpt!$E$49,AK28*$B$31,0)</f>
        <v>3161.1095350149581</v>
      </c>
      <c r="AM31" s="705">
        <f>SUM(C31:AL31)</f>
        <v>113799.94326053777</v>
      </c>
      <c r="AN31" s="254"/>
      <c r="AO31" s="1">
        <f t="shared" si="4"/>
        <v>26</v>
      </c>
      <c r="AP31" s="44"/>
      <c r="AQ31" s="44"/>
      <c r="AR31" s="44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25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</row>
    <row r="32" spans="1:93" x14ac:dyDescent="0.2">
      <c r="A32" s="370" t="s">
        <v>146</v>
      </c>
      <c r="B32" s="44"/>
      <c r="C32" s="77">
        <f>IF(C31=0,0,SUM($C$31:C31))</f>
        <v>3161.1095350149362</v>
      </c>
      <c r="D32" s="77">
        <f>SUM($C$31:D31)</f>
        <v>6322.2190700298725</v>
      </c>
      <c r="E32" s="77">
        <f>SUM($C$31:E31)</f>
        <v>9483.3286050448078</v>
      </c>
      <c r="F32" s="77">
        <f>SUM($C$31:F31)</f>
        <v>12644.438140059745</v>
      </c>
      <c r="G32" s="77">
        <f>SUM($C$31:G31)</f>
        <v>15805.547675074682</v>
      </c>
      <c r="H32" s="77">
        <f>SUM($C$31:H31)</f>
        <v>18966.657210089619</v>
      </c>
      <c r="I32" s="77">
        <f>SUM($C$31:I31)</f>
        <v>22127.766745104556</v>
      </c>
      <c r="J32" s="77">
        <f>SUM($C$31:J31)</f>
        <v>25288.876280119493</v>
      </c>
      <c r="K32" s="77">
        <f>SUM($C$31:K31)</f>
        <v>28449.985815134431</v>
      </c>
      <c r="L32" s="77">
        <f>SUM($C$31:L31)</f>
        <v>31611.095350149368</v>
      </c>
      <c r="M32" s="77">
        <f>SUM($C$31:M31)</f>
        <v>34772.204885164305</v>
      </c>
      <c r="N32" s="77">
        <f>SUM($C$31:N31)</f>
        <v>37933.314420179238</v>
      </c>
      <c r="O32" s="77">
        <f>SUM($C$31:O31)</f>
        <v>41094.423955194172</v>
      </c>
      <c r="P32" s="77">
        <f>SUM($C$31:P31)</f>
        <v>44255.533490209105</v>
      </c>
      <c r="Q32" s="77">
        <f>SUM($C$31:Q31)</f>
        <v>47416.643025224039</v>
      </c>
      <c r="R32" s="77">
        <f>SUM($C$31:R31)</f>
        <v>50577.752560238972</v>
      </c>
      <c r="S32" s="77">
        <f>SUM($C$31:S31)</f>
        <v>53738.862095253906</v>
      </c>
      <c r="T32" s="77">
        <f>SUM($C$31:T31)</f>
        <v>56899.971630268839</v>
      </c>
      <c r="U32" s="77">
        <f>SUM($C$31:U31)</f>
        <v>60061.081165283773</v>
      </c>
      <c r="V32" s="77">
        <f>SUM($C$31:V31)</f>
        <v>63222.190700298706</v>
      </c>
      <c r="W32" s="77">
        <f>SUM($C$31:W31)</f>
        <v>66383.30023531364</v>
      </c>
      <c r="X32" s="77">
        <f>SUM($C$31:X31)</f>
        <v>69544.409770328581</v>
      </c>
      <c r="Y32" s="77">
        <f>SUM($C$31:Y31)</f>
        <v>72705.519305343521</v>
      </c>
      <c r="Z32" s="77">
        <f>SUM($C$31:Z31)</f>
        <v>75866.628840358462</v>
      </c>
      <c r="AA32" s="77">
        <f>SUM($C$31:AA31)</f>
        <v>79027.738375373403</v>
      </c>
      <c r="AB32" s="77">
        <f>SUM($C$31:AB31)</f>
        <v>82188.847910388344</v>
      </c>
      <c r="AC32" s="77">
        <f>SUM($C$31:AC31)</f>
        <v>85349.957445403285</v>
      </c>
      <c r="AD32" s="77">
        <f>SUM($C$31:AD31)</f>
        <v>88511.066980418225</v>
      </c>
      <c r="AE32" s="77">
        <f>SUM($C$31:AE31)</f>
        <v>91672.176515433166</v>
      </c>
      <c r="AF32" s="77">
        <f>SUM($C$31:AF31)</f>
        <v>94833.286050448107</v>
      </c>
      <c r="AG32" s="77">
        <f>SUM($C$31:AG31)</f>
        <v>97994.395585463048</v>
      </c>
      <c r="AH32" s="77">
        <f>SUM($C$31:AH31)</f>
        <v>101155.50512047799</v>
      </c>
      <c r="AI32" s="77">
        <f>SUM($C$31:AI31)</f>
        <v>104316.61465549293</v>
      </c>
      <c r="AJ32" s="77">
        <f>SUM($C$31:AJ31)</f>
        <v>107477.72419050787</v>
      </c>
      <c r="AK32" s="77">
        <f>SUM($C$31:AK31)</f>
        <v>110638.83372552281</v>
      </c>
      <c r="AL32" s="77">
        <f>SUM($C$31:AL31)</f>
        <v>113799.94326053777</v>
      </c>
      <c r="AM32" s="259"/>
      <c r="AN32" s="254"/>
      <c r="AO32" s="1">
        <f t="shared" si="4"/>
        <v>27</v>
      </c>
      <c r="AP32" s="253"/>
      <c r="AQ32" s="44"/>
      <c r="AR32" s="44"/>
      <c r="AS32" s="77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4"/>
      <c r="BN32" s="254"/>
      <c r="BO32" s="254"/>
      <c r="BP32" s="254"/>
      <c r="BQ32" s="254"/>
      <c r="BR32" s="254"/>
      <c r="BS32" s="254"/>
      <c r="BT32" s="254"/>
      <c r="BU32" s="254"/>
      <c r="BV32" s="254"/>
      <c r="BW32" s="254"/>
      <c r="BX32" s="254"/>
      <c r="BY32" s="254"/>
      <c r="BZ32" s="254"/>
      <c r="CA32" s="254"/>
      <c r="CB32" s="25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</row>
    <row r="33" spans="1:93" x14ac:dyDescent="0.2">
      <c r="A33" s="370" t="s">
        <v>147</v>
      </c>
      <c r="B33" s="251">
        <f>+Assumpt!L44</f>
        <v>9.5000000000000001E-2</v>
      </c>
      <c r="C33" s="77">
        <f>+C32*$B$33/12</f>
        <v>25.025450485534915</v>
      </c>
      <c r="D33" s="77">
        <f>IF(D6&gt;=Assumpt!$E$50,0,(+D32+SUM($C$33:C33))*$B$33/12)</f>
        <v>50.249019120746972</v>
      </c>
      <c r="E33" s="77">
        <f>IF(E6&gt;=Assumpt!$E$50,0,(+E32+SUM($C$33:D33))*$B$33/12)</f>
        <v>75.672274340987798</v>
      </c>
      <c r="F33" s="77">
        <f>IF(F6&gt;=Assumpt!$E$50,0,(+F32+SUM($C$33:E33))*$B$33/12)</f>
        <v>101.29679699838887</v>
      </c>
      <c r="G33" s="77">
        <f>IF(G6&gt;=Assumpt!$E$50,0,(+G32+SUM($C$33:F33))*$B$33/12)</f>
        <v>127.12418046016103</v>
      </c>
      <c r="H33" s="77">
        <f>IF(H6&gt;=Assumpt!$E$50,0,(+H32+SUM($C$33:G33))*$B$33/12)</f>
        <v>153.15603070767222</v>
      </c>
      <c r="I33" s="77">
        <f>IF(I6&gt;=Assumpt!$E$50,0,(+I32+SUM($C$33:H33))*$B$33/12)</f>
        <v>179.39396643630957</v>
      </c>
      <c r="J33" s="77">
        <f>IF(J6&gt;=Assumpt!$E$50,0,(+J32+SUM($C$33:I33))*$B$33/12)</f>
        <v>205.8396191561319</v>
      </c>
      <c r="K33" s="77">
        <f>IF(K6&gt;=Assumpt!$E$50,0,(+K32+SUM($C$33:J33))*$B$33/12)</f>
        <v>232.49463329331957</v>
      </c>
      <c r="L33" s="77">
        <f>IF(L6&gt;=Assumpt!$E$50,0,(+L32+SUM($C$33:K33))*$B$33/12)</f>
        <v>259.36066629242657</v>
      </c>
      <c r="M33" s="77">
        <f>IF(M6&gt;=Assumpt!$E$50,0,(+M32+SUM($C$33:L33))*$B$33/12)</f>
        <v>286.43938871944323</v>
      </c>
      <c r="N33" s="77">
        <f>IF(N6&gt;=Assumpt!$E$50,0,(+N32+SUM($C$33:M33))*$B$33/12)</f>
        <v>313.73248436567366</v>
      </c>
      <c r="O33" s="77">
        <f>IF(O6&gt;=Assumpt!$E$50,0,(+O32+SUM($C$33:N33))*$B$33/12)</f>
        <v>341.24165035243686</v>
      </c>
      <c r="P33" s="77">
        <f>IF(P6&gt;=Assumpt!$E$50,0,(+P32+SUM($C$33:O33))*$B$33/12)</f>
        <v>368.96859723659514</v>
      </c>
      <c r="Q33" s="77">
        <f>IF(Q6&gt;=Assumpt!$E$50,0,(+Q32+SUM($C$33:P33))*$B$33/12)</f>
        <v>396.91504911691976</v>
      </c>
      <c r="R33" s="77">
        <f>IF(R6&gt;=Assumpt!$E$50,0,(+R32+SUM($C$33:Q33))*$B$33/12)</f>
        <v>425.08274374129695</v>
      </c>
      <c r="S33" s="77">
        <f>IF(S6&gt;=Assumpt!$E$50,0,(+S32+SUM($C$33:R33))*$B$33/12)</f>
        <v>453.4734326147838</v>
      </c>
      <c r="T33" s="77">
        <f>IF(T6&gt;=Assumpt!$E$50,0,(+T32+SUM($C$33:S33))*$B$33/12)</f>
        <v>482.08888110851905</v>
      </c>
      <c r="U33" s="77">
        <f>IF(U6&gt;=Assumpt!$E$50,0,(+U32+SUM($C$33:T33))*$B$33/12)</f>
        <v>510.9308685694964</v>
      </c>
      <c r="V33" s="77">
        <f>IF(V6&gt;=Assumpt!$E$50,0,(+V32+SUM($C$33:U33))*$B$33/12)</f>
        <v>540.0011884312064</v>
      </c>
      <c r="W33" s="77">
        <f>IF(W6&gt;=Assumpt!$E$50,0,(+W32+SUM($C$33:V33))*$B$33/12)</f>
        <v>569.30164832515504</v>
      </c>
      <c r="X33" s="77">
        <f>IF(X6&gt;=Assumpt!$E$50,0,(+X32+SUM($C$33:W33))*$B$33/12)</f>
        <v>598.8340701932641</v>
      </c>
      <c r="Y33" s="77">
        <f>IF(Y6&gt;=Assumpt!$E$50,0,(+Y32+SUM($C$33:X33))*$B$33/12)</f>
        <v>628.60029040116251</v>
      </c>
      <c r="Z33" s="77">
        <f>IF(Z6&gt;=Assumpt!$E$50,0,(+Z32+SUM($C$33:Y33))*$B$33/12)</f>
        <v>658.60215985237323</v>
      </c>
      <c r="AA33" s="77">
        <f>IF(AA6&gt;=Assumpt!$E$50,0,(+AA32+SUM($C$33:Z33))*$B$33/12)</f>
        <v>688.84154410340625</v>
      </c>
      <c r="AB33" s="77">
        <f>IF(AB6&gt;=Assumpt!$E$50,0,(+AB32+SUM($C$33:AA33))*$B$33/12)</f>
        <v>719.32032347975974</v>
      </c>
      <c r="AC33" s="77">
        <f>IF(AC6&gt;=Assumpt!$E$50,0,(+AC32+SUM($C$33:AB33))*$B$33/12)</f>
        <v>750.04039319284277</v>
      </c>
      <c r="AD33" s="77">
        <f>IF(AD6&gt;=Assumpt!$E$50,0,(+AD32+SUM($C$33:AC33))*$B$33/12)</f>
        <v>781.00366345782106</v>
      </c>
      <c r="AE33" s="77">
        <f>IF(AE6&gt;=Assumpt!$E$50,0,(+AE32+SUM($C$33:AD33))*$B$33/12)</f>
        <v>812.21205961239718</v>
      </c>
      <c r="AF33" s="77">
        <f>IF(AF6&gt;=Assumpt!$E$50,0,(+AF32+SUM($C$33:AE33))*$B$33/12)</f>
        <v>843.6675222365302</v>
      </c>
      <c r="AG33" s="77">
        <f>IF(AG6&gt;=Assumpt!$E$50,0,(+AG32+SUM($C$33:AF33))*$B$33/12)</f>
        <v>875.37200727310426</v>
      </c>
      <c r="AH33" s="77">
        <f>IF(AH6&gt;=Assumpt!$E$50,0,(+AH32+SUM($C$33:AG33))*$B$33/12)</f>
        <v>907.32748614955142</v>
      </c>
      <c r="AI33" s="77">
        <f>IF(AI6&gt;=Assumpt!$E$50,0,(+AI32+SUM($C$33:AH33))*$B$33/12)</f>
        <v>939.53594590043701</v>
      </c>
      <c r="AJ33" s="77">
        <f>IF(AJ6&gt;=Assumpt!$E$50,0,(+AJ32+SUM($C$33:AI33))*$B$33/12)</f>
        <v>971.999389291017</v>
      </c>
      <c r="AK33" s="77">
        <f>IF(AK6&gt;=Assumpt!$E$50,0,(+AK32+SUM($C$33:AJ33))*$B$33/12)</f>
        <v>1004.7198349417725</v>
      </c>
      <c r="AL33" s="77">
        <f>IF(AL6&gt;=Assumpt!$E$50,0,(+AL32+SUM($C$33:AK33))*$B$33/12)</f>
        <v>1037.69931745393</v>
      </c>
      <c r="AM33" s="252">
        <f>SUM(C33:AL33)</f>
        <v>18315.564577412577</v>
      </c>
      <c r="AN33" s="44"/>
      <c r="AO33" s="1">
        <f t="shared" si="4"/>
        <v>28</v>
      </c>
      <c r="AP33" s="44"/>
      <c r="AQ33" s="44"/>
      <c r="AR33" s="44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</row>
    <row r="34" spans="1:93" x14ac:dyDescent="0.2">
      <c r="A34" s="20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260"/>
      <c r="AN34" s="44"/>
      <c r="AO34" s="1">
        <f t="shared" si="4"/>
        <v>29</v>
      </c>
      <c r="AP34" s="44"/>
      <c r="AQ34" s="44"/>
      <c r="AR34" s="4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  <c r="BM34" s="254"/>
      <c r="BN34" s="254"/>
      <c r="BO34" s="254"/>
      <c r="BP34" s="254"/>
      <c r="BQ34" s="254"/>
      <c r="BR34" s="254"/>
      <c r="BS34" s="254"/>
      <c r="BT34" s="254"/>
      <c r="BU34" s="254"/>
      <c r="BV34" s="254"/>
      <c r="BW34" s="254"/>
      <c r="BX34" s="254"/>
      <c r="BY34" s="254"/>
      <c r="BZ34" s="254"/>
      <c r="CA34" s="254"/>
      <c r="CB34" s="25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</row>
    <row r="35" spans="1:93" s="245" customFormat="1" x14ac:dyDescent="0.2">
      <c r="A35" s="702" t="s">
        <v>148</v>
      </c>
      <c r="B35" s="703">
        <f>IF(Assumpt!S6=0,0,+Assumpt!G50/Assumpt!S6)</f>
        <v>0</v>
      </c>
      <c r="C35" s="704">
        <f>+(C25-C27)*$B$35+IF(C5=Assumpt!$E$49,B28*$B$35,0)</f>
        <v>0</v>
      </c>
      <c r="D35" s="704">
        <f>+(D25-D27)*$B$35+IF(D5=Assumpt!$E$49,C28*$B$35,0)</f>
        <v>0</v>
      </c>
      <c r="E35" s="704">
        <f>+(E25-E27)*$B$35+IF(E5=Assumpt!$E$49,D28*$B$35,0)</f>
        <v>0</v>
      </c>
      <c r="F35" s="704">
        <f>+(F25-F27)*$B$35+IF(F5=Assumpt!$E$49,E28*$B$35,0)</f>
        <v>0</v>
      </c>
      <c r="G35" s="704">
        <f>+(G25-G27)*$B$35+IF(G5=Assumpt!$E$49,F28*$B$35,0)</f>
        <v>0</v>
      </c>
      <c r="H35" s="704">
        <f>+(H25-H27)*$B$35+IF(H5=Assumpt!$E$49,G28*$B$35,0)</f>
        <v>0</v>
      </c>
      <c r="I35" s="704">
        <f>+(I25-I27)*$B$35+IF(I5=Assumpt!$E$49,H28*$B$35,0)</f>
        <v>0</v>
      </c>
      <c r="J35" s="704">
        <f>+(J25-J27)*$B$35+IF(J5=Assumpt!$E$49,I28*$B$35,0)</f>
        <v>0</v>
      </c>
      <c r="K35" s="704">
        <f>+(K25-K27)*$B$35+IF(K5=Assumpt!$E$49,J28*$B$35,0)</f>
        <v>0</v>
      </c>
      <c r="L35" s="704">
        <f>+(L25-L27)*$B$35+IF(L5=Assumpt!$E$49,K28*$B$35,0)</f>
        <v>0</v>
      </c>
      <c r="M35" s="704">
        <f>+(M25-M27)*$B$35+IF(M5=Assumpt!$E$49,L28*$B$35,0)</f>
        <v>0</v>
      </c>
      <c r="N35" s="704">
        <f>+(N25-N27)*$B$35+IF(N5=Assumpt!$E$49,M28*$B$35,0)</f>
        <v>0</v>
      </c>
      <c r="O35" s="704">
        <f>+(O25-O27)*$B$35+IF(O5=Assumpt!$E$49,N28*$B$35,0)</f>
        <v>0</v>
      </c>
      <c r="P35" s="704">
        <f>+(P25-P27)*$B$35+IF(P5=Assumpt!$E$49,O28*$B$35,0)</f>
        <v>0</v>
      </c>
      <c r="Q35" s="704">
        <f>+(Q25-Q27)*$B$35+IF(Q5=Assumpt!$E$49,P28*$B$35,0)</f>
        <v>0</v>
      </c>
      <c r="R35" s="704">
        <f>+(R25-R27)*$B$35+IF(R5=Assumpt!$E$49,Q28*$B$35,0)</f>
        <v>0</v>
      </c>
      <c r="S35" s="704">
        <f>+(S25-S27)*$B$35+IF(S5=Assumpt!$E$49,R28*$B$35,0)</f>
        <v>0</v>
      </c>
      <c r="T35" s="704">
        <f>+(T25-T27)*$B$35+IF(T5=Assumpt!$E$49,S28*$B$35,0)</f>
        <v>0</v>
      </c>
      <c r="U35" s="704">
        <f>+(U25-U27)*$B$35+IF(U5=Assumpt!$E$49,T28*$B$35,0)</f>
        <v>0</v>
      </c>
      <c r="V35" s="704">
        <f>+(V25-V27)*$B$35+IF(V5=Assumpt!$E$49,U28*$B$35,0)</f>
        <v>0</v>
      </c>
      <c r="W35" s="704">
        <f>+(W25-W27)*$B$35+IF(W5=Assumpt!$E$49,V28*$B$35,0)</f>
        <v>0</v>
      </c>
      <c r="X35" s="704">
        <f>+(X25-X27)*$B$35+IF(X5=Assumpt!$E$49,W28*$B$35,0)</f>
        <v>0</v>
      </c>
      <c r="Y35" s="704">
        <f>+(Y25-Y27)*$B$35+IF(Y5=Assumpt!$E$49,X28*$B$35,0)</f>
        <v>0</v>
      </c>
      <c r="Z35" s="704">
        <f>+(Z25-Z27)*$B$35+IF(Z5=Assumpt!$E$49,Y28*$B$35,0)</f>
        <v>0</v>
      </c>
      <c r="AA35" s="704">
        <f>+(AA25-AA27)*$B$35+IF(AA5=Assumpt!$E$49,Z28*$B$35,0)</f>
        <v>0</v>
      </c>
      <c r="AB35" s="704">
        <f>+(AB25-AB27)*$B$35+IF(AB5=Assumpt!$E$49,AA28*$B$35,0)</f>
        <v>0</v>
      </c>
      <c r="AC35" s="704">
        <f>+(AC25-AC27)*$B$35+IF(AC5=Assumpt!$E$49,AB28*$B$35,0)</f>
        <v>0</v>
      </c>
      <c r="AD35" s="704">
        <f>+(AD25-AD27)*$B$35+IF(AD5=Assumpt!$E$49,AC28*$B$35,0)</f>
        <v>0</v>
      </c>
      <c r="AE35" s="704">
        <f>+(AE25-AE27)*$B$35+IF(AE5=Assumpt!$E$49,AD28*$B$35,0)</f>
        <v>0</v>
      </c>
      <c r="AF35" s="704">
        <f>+(AF25-AF27)*$B$35+IF(AF5=Assumpt!$E$49,AE28*$B$35,0)</f>
        <v>0</v>
      </c>
      <c r="AG35" s="704">
        <f>+(AG25-AG27)*$B$35+IF(AG5=Assumpt!$E$49,AF28*$B$35,0)</f>
        <v>0</v>
      </c>
      <c r="AH35" s="704">
        <f>+(AH25-AH27)*$B$35+IF(AH5=Assumpt!$E$49,AG28*$B$35,0)</f>
        <v>0</v>
      </c>
      <c r="AI35" s="704">
        <f>+(AI25-AI27)*$B$35+IF(AI5=Assumpt!$E$49,AH28*$B$35,0)</f>
        <v>0</v>
      </c>
      <c r="AJ35" s="704">
        <f>+(AJ25-AJ27)*$B$35+IF(AJ5=Assumpt!$E$49,AI28*$B$35,0)</f>
        <v>0</v>
      </c>
      <c r="AK35" s="704">
        <f>+(AK25-AK27)*$B$35+IF(AK5=Assumpt!$E$49,AJ28*$B$35,0)</f>
        <v>0</v>
      </c>
      <c r="AL35" s="704">
        <f>+(AL25-AL27)*$B$35+IF(AL5=Assumpt!$E$49,AK28*$B$35,0)</f>
        <v>0</v>
      </c>
      <c r="AM35" s="705">
        <f>SUM(C35:AL35)</f>
        <v>0</v>
      </c>
      <c r="AN35" s="44"/>
      <c r="AO35" s="1">
        <f t="shared" si="4"/>
        <v>30</v>
      </c>
      <c r="AP35" s="44"/>
      <c r="AQ35" s="44"/>
      <c r="AR35" s="44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251"/>
      <c r="CE35" s="251"/>
      <c r="CF35" s="251"/>
      <c r="CG35" s="251"/>
      <c r="CH35" s="251"/>
      <c r="CI35" s="251"/>
      <c r="CJ35" s="251"/>
      <c r="CK35" s="251"/>
      <c r="CL35" s="251"/>
      <c r="CM35" s="251"/>
      <c r="CN35" s="251"/>
      <c r="CO35" s="251"/>
    </row>
    <row r="36" spans="1:93" s="245" customFormat="1" x14ac:dyDescent="0.2">
      <c r="A36" s="203" t="s">
        <v>149</v>
      </c>
      <c r="B36" s="251"/>
      <c r="C36" s="77">
        <f>SUM($C$35:C35)</f>
        <v>0</v>
      </c>
      <c r="D36" s="77">
        <f>SUM($C$35:D35)</f>
        <v>0</v>
      </c>
      <c r="E36" s="77">
        <f>SUM($C$35:E35)</f>
        <v>0</v>
      </c>
      <c r="F36" s="77">
        <f>SUM($C$35:F35)</f>
        <v>0</v>
      </c>
      <c r="G36" s="77">
        <f>SUM($C$35:G35)</f>
        <v>0</v>
      </c>
      <c r="H36" s="77">
        <f>SUM($C$35:H35)</f>
        <v>0</v>
      </c>
      <c r="I36" s="77">
        <f>SUM($C$35:I35)</f>
        <v>0</v>
      </c>
      <c r="J36" s="77">
        <f>SUM($C$35:J35)</f>
        <v>0</v>
      </c>
      <c r="K36" s="77">
        <f>SUM($C$35:K35)</f>
        <v>0</v>
      </c>
      <c r="L36" s="77">
        <f>SUM($C$35:L35)</f>
        <v>0</v>
      </c>
      <c r="M36" s="77">
        <f>SUM($C$35:M35)</f>
        <v>0</v>
      </c>
      <c r="N36" s="77">
        <f>SUM($C$35:N35)</f>
        <v>0</v>
      </c>
      <c r="O36" s="77">
        <f>SUM($C$35:O35)</f>
        <v>0</v>
      </c>
      <c r="P36" s="77">
        <f>SUM($C$35:P35)</f>
        <v>0</v>
      </c>
      <c r="Q36" s="77">
        <f>SUM($C$35:Q35)</f>
        <v>0</v>
      </c>
      <c r="R36" s="77">
        <f>SUM($C$35:R35)</f>
        <v>0</v>
      </c>
      <c r="S36" s="77">
        <f>SUM($C$35:S35)</f>
        <v>0</v>
      </c>
      <c r="T36" s="77">
        <f>SUM($C$35:T35)</f>
        <v>0</v>
      </c>
      <c r="U36" s="77">
        <f>SUM($C$35:U35)</f>
        <v>0</v>
      </c>
      <c r="V36" s="77">
        <f>SUM($C$35:V35)</f>
        <v>0</v>
      </c>
      <c r="W36" s="77">
        <f>SUM($C$35:W35)</f>
        <v>0</v>
      </c>
      <c r="X36" s="77">
        <f>SUM($C$35:X35)</f>
        <v>0</v>
      </c>
      <c r="Y36" s="77">
        <f>SUM($C$35:Y35)</f>
        <v>0</v>
      </c>
      <c r="Z36" s="77">
        <f>SUM($C$35:Z35)</f>
        <v>0</v>
      </c>
      <c r="AA36" s="77">
        <f>SUM($C$35:AA35)</f>
        <v>0</v>
      </c>
      <c r="AB36" s="77">
        <f>SUM($C$35:AB35)</f>
        <v>0</v>
      </c>
      <c r="AC36" s="77">
        <f>SUM($C$35:AC35)</f>
        <v>0</v>
      </c>
      <c r="AD36" s="77">
        <f>SUM($C$35:AD35)</f>
        <v>0</v>
      </c>
      <c r="AE36" s="77">
        <f>SUM($C$35:AE35)</f>
        <v>0</v>
      </c>
      <c r="AF36" s="77">
        <f>SUM($C$35:AF35)</f>
        <v>0</v>
      </c>
      <c r="AG36" s="77">
        <f>SUM($C$35:AG35)</f>
        <v>0</v>
      </c>
      <c r="AH36" s="77">
        <f>SUM($C$35:AH35)</f>
        <v>0</v>
      </c>
      <c r="AI36" s="77">
        <f>SUM($C$35:AI35)</f>
        <v>0</v>
      </c>
      <c r="AJ36" s="77">
        <f>SUM($C$35:AJ35)</f>
        <v>0</v>
      </c>
      <c r="AK36" s="77">
        <f>SUM($C$35:AK35)</f>
        <v>0</v>
      </c>
      <c r="AL36" s="77">
        <f>SUM($C$35:AL35)</f>
        <v>0</v>
      </c>
      <c r="AM36" s="261"/>
      <c r="AN36" s="44"/>
      <c r="AO36" s="1">
        <f t="shared" si="4"/>
        <v>31</v>
      </c>
      <c r="AP36" s="44"/>
      <c r="AQ36" s="44"/>
      <c r="AR36" s="44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254"/>
      <c r="CD36" s="251"/>
      <c r="CE36" s="251"/>
      <c r="CF36" s="251"/>
      <c r="CG36" s="251"/>
      <c r="CH36" s="251"/>
      <c r="CI36" s="251"/>
      <c r="CJ36" s="251"/>
      <c r="CK36" s="251"/>
      <c r="CL36" s="251"/>
      <c r="CM36" s="251"/>
      <c r="CN36" s="251"/>
      <c r="CO36" s="251"/>
    </row>
    <row r="37" spans="1:93" x14ac:dyDescent="0.2">
      <c r="A37" s="203" t="s">
        <v>150</v>
      </c>
      <c r="B37" s="251">
        <f>+Assumpt!L53</f>
        <v>0</v>
      </c>
      <c r="C37" s="77">
        <f>IF(C6&gt;Assumpt!$E$50,0,C36*$B$37/12)</f>
        <v>0</v>
      </c>
      <c r="D37" s="77">
        <f>IF(D6&gt;=Assumpt!$E$50,0,(D36+SUM($C$37:C37))*$B$37/12)</f>
        <v>0</v>
      </c>
      <c r="E37" s="77">
        <f>IF(E6&gt;=Assumpt!$E$50,0,(E36+SUM($C$37:D37))*$B$37/12)</f>
        <v>0</v>
      </c>
      <c r="F37" s="77">
        <f>IF(F6&gt;=Assumpt!$E$50,0,(F36+SUM($C$37:E37))*$B$37/12)</f>
        <v>0</v>
      </c>
      <c r="G37" s="77">
        <f>IF(G6&gt;=Assumpt!$E$50,0,(G36+SUM($C$37:F37))*$B$37/12)</f>
        <v>0</v>
      </c>
      <c r="H37" s="77">
        <f>IF(H6&gt;=Assumpt!$E$50,0,(H36+SUM($C$37:G37))*$B$37/12)</f>
        <v>0</v>
      </c>
      <c r="I37" s="77">
        <f>IF(I6&gt;=Assumpt!$E$50,0,(I36+SUM($C$37:H37))*$B$37/12)</f>
        <v>0</v>
      </c>
      <c r="J37" s="77">
        <f>IF(J6&gt;=Assumpt!$E$50,0,(J36+SUM($C$37:I37))*$B$37/12)</f>
        <v>0</v>
      </c>
      <c r="K37" s="77">
        <f>IF(K6&gt;=Assumpt!$E$50,0,(K36+SUM($C$37:J37))*$B$37/12)</f>
        <v>0</v>
      </c>
      <c r="L37" s="77">
        <f>IF(L6&gt;=Assumpt!$E$50,0,(L36+SUM($C$37:K37))*$B$37/12)</f>
        <v>0</v>
      </c>
      <c r="M37" s="77">
        <f>IF(M6&gt;=Assumpt!$E$50,0,(M36+SUM($C$37:L37))*$B$37/12)</f>
        <v>0</v>
      </c>
      <c r="N37" s="77">
        <f>IF(N6&gt;=Assumpt!$E$50,0,(N36+SUM($C$37:M37))*$B$37/12)</f>
        <v>0</v>
      </c>
      <c r="O37" s="77">
        <f>IF(O6&gt;=Assumpt!$E$50,0,(O36+SUM($C$37:N37))*$B$37/12)</f>
        <v>0</v>
      </c>
      <c r="P37" s="77">
        <f>IF(P6&gt;=Assumpt!$E$50,0,(P36+SUM($C$37:O37))*$B$37/12)</f>
        <v>0</v>
      </c>
      <c r="Q37" s="77">
        <f>IF(Q6&gt;=Assumpt!$E$50,0,(Q36+SUM($C$37:P37))*$B$37/12)</f>
        <v>0</v>
      </c>
      <c r="R37" s="77">
        <f>IF(R6&gt;=Assumpt!$E$50,0,(R36+SUM($C$37:Q37))*$B$37/12)</f>
        <v>0</v>
      </c>
      <c r="S37" s="77">
        <f>IF(S6&gt;=Assumpt!$E$50,0,(S36+SUM($C$37:R37))*$B$37/12)</f>
        <v>0</v>
      </c>
      <c r="T37" s="77">
        <f>IF(T6&gt;=Assumpt!$E$50,0,(T36+SUM($C$37:S37))*$B$37/12)</f>
        <v>0</v>
      </c>
      <c r="U37" s="77">
        <f>IF(U6&gt;=Assumpt!$E$50,0,(U36+SUM($C$37:T37))*$B$37/12)</f>
        <v>0</v>
      </c>
      <c r="V37" s="77">
        <f>IF(V6&gt;=Assumpt!$E$50,0,(V36+SUM($C$37:U37))*$B$37/12)</f>
        <v>0</v>
      </c>
      <c r="W37" s="77">
        <f>IF(W6&gt;=Assumpt!$E$50,0,(W36+SUM($C$37:V37))*$B$37/12)</f>
        <v>0</v>
      </c>
      <c r="X37" s="77">
        <f>IF(X6&gt;=Assumpt!$E$50,0,(X36+SUM($C$37:W37))*$B$37/12)</f>
        <v>0</v>
      </c>
      <c r="Y37" s="77">
        <f>IF(Y6&gt;=Assumpt!$E$50,0,(Y36+SUM($C$37:X37))*$B$37/12)</f>
        <v>0</v>
      </c>
      <c r="Z37" s="77">
        <f>IF(Z6&gt;=Assumpt!$E$50,0,(Z36+SUM($C$37:Y37))*$B$37/12)</f>
        <v>0</v>
      </c>
      <c r="AA37" s="77">
        <f>IF(AA6&gt;=Assumpt!$E$50,0,(AA36+SUM($C$37:Z37))*$B$37/12)</f>
        <v>0</v>
      </c>
      <c r="AB37" s="77">
        <f>IF(AB6&gt;=Assumpt!$E$50,0,(AB36+SUM($C$37:AA37))*$B$37/12)</f>
        <v>0</v>
      </c>
      <c r="AC37" s="77">
        <f>IF(AC6&gt;=Assumpt!$E$50,0,(AC36+SUM($C$37:AB37))*$B$37/12)</f>
        <v>0</v>
      </c>
      <c r="AD37" s="77">
        <f>IF(AD6&gt;=Assumpt!$E$50,0,(AD36+SUM($C$37:AC37))*$B$37/12)</f>
        <v>0</v>
      </c>
      <c r="AE37" s="77">
        <f>IF(AE6&gt;=Assumpt!$E$50,0,(AE36+SUM($C$37:AD37))*$B$37/12)</f>
        <v>0</v>
      </c>
      <c r="AF37" s="77">
        <f>IF(AF6&gt;=Assumpt!$E$50,0,(AF36+SUM($C$37:AE37))*$B$37/12)</f>
        <v>0</v>
      </c>
      <c r="AG37" s="77">
        <f>IF(AG6&gt;=Assumpt!$E$50,0,(AG36+SUM($C$37:AF37))*$B$37/12)</f>
        <v>0</v>
      </c>
      <c r="AH37" s="77">
        <f>IF(AH6&gt;=Assumpt!$E$50,0,(AH36+SUM($C$37:AG37))*$B$37/12)</f>
        <v>0</v>
      </c>
      <c r="AI37" s="77">
        <f>IF(AI6&gt;=Assumpt!$E$50,0,(AI36+SUM($C$37:AH37))*$B$37/12)</f>
        <v>0</v>
      </c>
      <c r="AJ37" s="77">
        <f>IF(AJ6&gt;=Assumpt!$E$50,0,(AJ36+SUM($C$37:AI37))*$B$37/12)</f>
        <v>0</v>
      </c>
      <c r="AK37" s="77">
        <f>IF(AK6&gt;=Assumpt!$E$50,0,(AK36+SUM($C$37:AJ37))*$B$37/12)</f>
        <v>0</v>
      </c>
      <c r="AL37" s="77">
        <f>IF(AL6&gt;=Assumpt!$E$50,0,(AL36+SUM($C$37:AK37))*$B$37/12)</f>
        <v>0</v>
      </c>
      <c r="AM37" s="252">
        <f>SUM(C37:AL37)</f>
        <v>0</v>
      </c>
      <c r="AN37" s="44"/>
      <c r="AO37" s="1">
        <f t="shared" si="4"/>
        <v>32</v>
      </c>
      <c r="AP37" s="253"/>
      <c r="AQ37" s="44"/>
      <c r="AR37" s="44"/>
      <c r="AS37" s="77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4"/>
      <c r="BT37" s="254"/>
      <c r="BU37" s="254"/>
      <c r="BV37" s="254"/>
      <c r="BW37" s="254"/>
      <c r="BX37" s="254"/>
      <c r="BY37" s="254"/>
      <c r="BZ37" s="254"/>
      <c r="CA37" s="254"/>
      <c r="CB37" s="25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</row>
    <row r="38" spans="1:93" x14ac:dyDescent="0.2">
      <c r="A38" s="203"/>
      <c r="B38" s="44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252"/>
      <c r="AN38" s="44"/>
      <c r="AO38" s="1">
        <f t="shared" si="4"/>
        <v>33</v>
      </c>
      <c r="AP38" s="44"/>
      <c r="AQ38" s="44"/>
      <c r="AR38" s="44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</row>
    <row r="39" spans="1:93" x14ac:dyDescent="0.2">
      <c r="A39" s="702" t="s">
        <v>151</v>
      </c>
      <c r="B39" s="703">
        <f>+Assumpt!G56</f>
        <v>0</v>
      </c>
      <c r="C39" s="704">
        <f>+(C25-C27)*$B$39+IF(C5=Assumpt!$E$49,B28*$B$39,0)</f>
        <v>0</v>
      </c>
      <c r="D39" s="704">
        <f>+(D25-D27)*$B$39+IF(D5=Assumpt!$E$49,C28*$B$39,0)</f>
        <v>0</v>
      </c>
      <c r="E39" s="704">
        <f>+(E25-E27)*$B$39+IF(E5=Assumpt!$E$49,D28*$B$39,0)</f>
        <v>0</v>
      </c>
      <c r="F39" s="704">
        <f>+(F25-F27)*$B$39+IF(F5=Assumpt!$E$49,E28*$B$39,0)</f>
        <v>0</v>
      </c>
      <c r="G39" s="704">
        <f>+(G25-G27)*$B$39+IF(G5=Assumpt!$E$49,F28*$B$39,0)</f>
        <v>0</v>
      </c>
      <c r="H39" s="704">
        <f>+(H25-H27)*$B$39+IF(H5=Assumpt!$E$49,G28*$B$39,0)</f>
        <v>0</v>
      </c>
      <c r="I39" s="704">
        <f>+(I25-I27)*$B$39+IF(I5=Assumpt!$E$49,H28*$B$39,0)</f>
        <v>0</v>
      </c>
      <c r="J39" s="704">
        <f>+(J25-J27)*$B$39+IF(J5=Assumpt!$E$49,I28*$B$39,0)</f>
        <v>0</v>
      </c>
      <c r="K39" s="704">
        <f>+(K25-K27)*$B$39+IF(K5=Assumpt!$E$49,J28*$B$39,0)</f>
        <v>0</v>
      </c>
      <c r="L39" s="704">
        <f>+(L25-L27)*$B$39+IF(L5=Assumpt!$E$49,K28*$B$39,0)</f>
        <v>0</v>
      </c>
      <c r="M39" s="704">
        <f>+(M25-M27)*$B$39+IF(M5=Assumpt!$E$49,L28*$B$39,0)</f>
        <v>0</v>
      </c>
      <c r="N39" s="704">
        <f>+(N25-N27)*$B$39+IF(N5=Assumpt!$E$49,M28*$B$39,0)</f>
        <v>0</v>
      </c>
      <c r="O39" s="704">
        <f>+(O25-O27)*$B$39+IF(O5=Assumpt!$E$49,N28*$B$39,0)</f>
        <v>0</v>
      </c>
      <c r="P39" s="704">
        <f>+(P25-P27)*$B$39+IF(P5=Assumpt!$E$49,O28*$B$39,0)</f>
        <v>0</v>
      </c>
      <c r="Q39" s="704">
        <f>+(Q25-Q27)*$B$39+IF(Q5=Assumpt!$E$49,P28*$B$39,0)</f>
        <v>0</v>
      </c>
      <c r="R39" s="704">
        <f>+(R25-R27)*$B$39+IF(R5=Assumpt!$E$49,Q28*$B$39,0)</f>
        <v>0</v>
      </c>
      <c r="S39" s="704">
        <f>+(S25-S27)*$B$39+IF(S5=Assumpt!$E$49,R28*$B$39,0)</f>
        <v>0</v>
      </c>
      <c r="T39" s="704">
        <f>+(T25-T27)*$B$39+IF(T5=Assumpt!$E$49,S28*$B$39,0)</f>
        <v>0</v>
      </c>
      <c r="U39" s="704">
        <f>+(U25-U27)*$B$39+IF(U5=Assumpt!$E$49,T28*$B$39,0)</f>
        <v>0</v>
      </c>
      <c r="V39" s="704">
        <f>+(V25-V27)*$B$39+IF(V5=Assumpt!$E$49,U28*$B$39,0)</f>
        <v>0</v>
      </c>
      <c r="W39" s="704">
        <f>+(W25-W27)*$B$39+IF(W5=Assumpt!$E$49,V28*$B$39,0)</f>
        <v>0</v>
      </c>
      <c r="X39" s="704">
        <f>+(X25-X27)*$B$39+IF(X5=Assumpt!$E$49,W28*$B$39,0)</f>
        <v>0</v>
      </c>
      <c r="Y39" s="704">
        <f>+(Y25-Y27)*$B$39+IF(Y5=Assumpt!$E$49,X28*$B$39,0)</f>
        <v>0</v>
      </c>
      <c r="Z39" s="704">
        <f>+(Z25-Z27)*$B$39+IF(Z5=Assumpt!$E$49,Y28*$B$39,0)</f>
        <v>0</v>
      </c>
      <c r="AA39" s="704">
        <f>+(AA25-AA27)*$B$39+IF(AA5=Assumpt!$E$49,Z28*$B$39,0)</f>
        <v>0</v>
      </c>
      <c r="AB39" s="704">
        <f>+(AB25-AB27)*$B$39+IF(AB5=Assumpt!$E$49,AA28*$B$39,0)</f>
        <v>0</v>
      </c>
      <c r="AC39" s="704">
        <f>+(AC25-AC27)*$B$39+IF(AC5=Assumpt!$E$49,AB28*$B$39,0)</f>
        <v>0</v>
      </c>
      <c r="AD39" s="704">
        <f>+(AD25-AD27)*$B$39+IF(AD5=Assumpt!$E$49,AC28*$B$39,0)</f>
        <v>0</v>
      </c>
      <c r="AE39" s="704">
        <f>+(AE25-AE27)*$B$39+IF(AE5=Assumpt!$E$49,AD28*$B$39,0)</f>
        <v>0</v>
      </c>
      <c r="AF39" s="704">
        <f>+(AF25-AF27)*$B$39+IF(AF5=Assumpt!$E$49,AE28*$B$39,0)</f>
        <v>0</v>
      </c>
      <c r="AG39" s="704">
        <f>+(AG25-AG27)*$B$39+IF(AG5=Assumpt!$E$49,AF28*$B$39,0)</f>
        <v>0</v>
      </c>
      <c r="AH39" s="704">
        <f>+(AH25-AH27)*$B$39+IF(AH5=Assumpt!$E$49,AG28*$B$39,0)</f>
        <v>0</v>
      </c>
      <c r="AI39" s="704">
        <f>+(AI25-AI27)*$B$39+IF(AI5=Assumpt!$E$49,AH28*$B$39,0)</f>
        <v>0</v>
      </c>
      <c r="AJ39" s="704">
        <f>+(AJ25-AJ27)*$B$39+IF(AJ5=Assumpt!$E$49,AI28*$B$39,0)</f>
        <v>0</v>
      </c>
      <c r="AK39" s="704">
        <f>+(AK25-AK27)*$B$39+IF(AK5=Assumpt!$E$49,AJ28*$B$39,0)</f>
        <v>0</v>
      </c>
      <c r="AL39" s="704">
        <f>+(AL25-AL27)*$B$39+IF(AL5=Assumpt!$E$49,AK28*$B$39,0)</f>
        <v>0</v>
      </c>
      <c r="AM39" s="705">
        <f>SUM(C39:AL39)</f>
        <v>0</v>
      </c>
      <c r="AN39" s="44"/>
      <c r="AO39" s="1">
        <f t="shared" si="4"/>
        <v>34</v>
      </c>
      <c r="AP39" s="44"/>
      <c r="AQ39" s="44"/>
      <c r="AR39" s="44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</row>
    <row r="40" spans="1:93" x14ac:dyDescent="0.2">
      <c r="A40" s="203" t="s">
        <v>152</v>
      </c>
      <c r="B40" s="44"/>
      <c r="C40" s="77">
        <f>IF(C39=0,0,SUM($C$39:C39))</f>
        <v>0</v>
      </c>
      <c r="D40" s="77">
        <f>+SUM($C$39:D39)</f>
        <v>0</v>
      </c>
      <c r="E40" s="77">
        <f>+SUM($C$39:E39)</f>
        <v>0</v>
      </c>
      <c r="F40" s="77">
        <f>+SUM($C$39:F39)</f>
        <v>0</v>
      </c>
      <c r="G40" s="77">
        <f>+SUM($C$39:G39)</f>
        <v>0</v>
      </c>
      <c r="H40" s="77">
        <f>+SUM($C$39:H39)</f>
        <v>0</v>
      </c>
      <c r="I40" s="77">
        <f>+SUM($C$39:I39)</f>
        <v>0</v>
      </c>
      <c r="J40" s="77">
        <f>+SUM($C$39:J39)</f>
        <v>0</v>
      </c>
      <c r="K40" s="77">
        <f>+SUM($C$39:K39)</f>
        <v>0</v>
      </c>
      <c r="L40" s="77">
        <f>+SUM($C$39:L39)</f>
        <v>0</v>
      </c>
      <c r="M40" s="77">
        <f>+SUM($C$39:M39)</f>
        <v>0</v>
      </c>
      <c r="N40" s="77">
        <f>+SUM($C$39:N39)</f>
        <v>0</v>
      </c>
      <c r="O40" s="77">
        <f>+SUM($C$39:O39)</f>
        <v>0</v>
      </c>
      <c r="P40" s="77">
        <f>+SUM($C$39:P39)</f>
        <v>0</v>
      </c>
      <c r="Q40" s="77">
        <f>+SUM($C$39:Q39)</f>
        <v>0</v>
      </c>
      <c r="R40" s="77">
        <f>+SUM($C$39:R39)</f>
        <v>0</v>
      </c>
      <c r="S40" s="77">
        <f>+SUM($C$39:S39)</f>
        <v>0</v>
      </c>
      <c r="T40" s="77">
        <f>+SUM($C$39:T39)</f>
        <v>0</v>
      </c>
      <c r="U40" s="77">
        <f>+SUM($C$39:U39)</f>
        <v>0</v>
      </c>
      <c r="V40" s="77">
        <f>+SUM($C$39:V39)</f>
        <v>0</v>
      </c>
      <c r="W40" s="77">
        <f>+SUM($C$39:W39)</f>
        <v>0</v>
      </c>
      <c r="X40" s="77">
        <f>+SUM($C$39:X39)</f>
        <v>0</v>
      </c>
      <c r="Y40" s="77">
        <f>+SUM($C$39:Y39)</f>
        <v>0</v>
      </c>
      <c r="Z40" s="77">
        <f>+SUM($C$39:Z39)</f>
        <v>0</v>
      </c>
      <c r="AA40" s="77">
        <f>+SUM($C$39:AA39)</f>
        <v>0</v>
      </c>
      <c r="AB40" s="77">
        <f>+SUM($C$39:AB39)</f>
        <v>0</v>
      </c>
      <c r="AC40" s="77">
        <f>+SUM($C$39:AC39)</f>
        <v>0</v>
      </c>
      <c r="AD40" s="77">
        <f>+SUM($C$39:AD39)</f>
        <v>0</v>
      </c>
      <c r="AE40" s="77">
        <f>+SUM($C$39:AE39)</f>
        <v>0</v>
      </c>
      <c r="AF40" s="77">
        <f>+SUM($C$39:AF39)</f>
        <v>0</v>
      </c>
      <c r="AG40" s="77">
        <f>+SUM($C$39:AG39)</f>
        <v>0</v>
      </c>
      <c r="AH40" s="77">
        <f>+SUM($C$39:AH39)</f>
        <v>0</v>
      </c>
      <c r="AI40" s="77">
        <f>+SUM($C$39:AI39)</f>
        <v>0</v>
      </c>
      <c r="AJ40" s="77">
        <f>+SUM($C$39:AJ39)</f>
        <v>0</v>
      </c>
      <c r="AK40" s="77">
        <f>+SUM($C$39:AK39)</f>
        <v>0</v>
      </c>
      <c r="AL40" s="77">
        <f>+SUM($C$39:AL39)</f>
        <v>0</v>
      </c>
      <c r="AM40" s="261"/>
      <c r="AN40" s="44"/>
      <c r="AO40" s="1">
        <f t="shared" si="4"/>
        <v>35</v>
      </c>
      <c r="AP40" s="44"/>
      <c r="AQ40" s="44"/>
      <c r="AR40" s="4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54"/>
      <c r="BX40" s="254"/>
      <c r="BY40" s="254"/>
      <c r="BZ40" s="254"/>
      <c r="CA40" s="254"/>
      <c r="CB40" s="25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</row>
    <row r="41" spans="1:93" x14ac:dyDescent="0.2">
      <c r="A41" s="203" t="s">
        <v>153</v>
      </c>
      <c r="B41" s="251">
        <f>+Assumpt!L62</f>
        <v>0</v>
      </c>
      <c r="C41" s="77">
        <f>IF(C6&gt;Assumpt!$E$50,0,C40*$B$41/12)</f>
        <v>0</v>
      </c>
      <c r="D41" s="77">
        <f>IF(D6&gt;=Assumpt!$E$50,0,(D40+SUM($C$41:C41))*$B$41/12)</f>
        <v>0</v>
      </c>
      <c r="E41" s="77">
        <f>IF(E6&gt;=Assumpt!$E$50,0,(E40+SUM($C$41:D41))*$B$41/12)</f>
        <v>0</v>
      </c>
      <c r="F41" s="77">
        <f>IF(F6&gt;=Assumpt!$E$50,0,(F40+SUM($C$41:E41))*$B$41/12)</f>
        <v>0</v>
      </c>
      <c r="G41" s="77">
        <f>IF(G6&gt;=Assumpt!$E$50,0,(G40+SUM($C$41:F41))*$B$41/12)</f>
        <v>0</v>
      </c>
      <c r="H41" s="77">
        <f>IF(H6&gt;=Assumpt!$E$50,0,(H40+SUM($C$41:G41))*$B$41/12)</f>
        <v>0</v>
      </c>
      <c r="I41" s="77">
        <f>IF(I6&gt;=Assumpt!$E$50,0,(I40+SUM($C$41:H41))*$B$41/12)</f>
        <v>0</v>
      </c>
      <c r="J41" s="77">
        <f>IF(J6&gt;=Assumpt!$E$50,0,(J40+SUM($C$41:I41))*$B$41/12)</f>
        <v>0</v>
      </c>
      <c r="K41" s="77">
        <f>IF(K6&gt;=Assumpt!$E$50,0,(K40+SUM($C$41:J41))*$B$41/12)</f>
        <v>0</v>
      </c>
      <c r="L41" s="77">
        <f>IF(L6&gt;=Assumpt!$E$50,0,(L40+SUM($C$41:K41))*$B$41/12)</f>
        <v>0</v>
      </c>
      <c r="M41" s="77">
        <f>IF(M6&gt;=Assumpt!$E$50,0,(M40+SUM($C$41:L41))*$B$41/12)</f>
        <v>0</v>
      </c>
      <c r="N41" s="77">
        <f>IF(N6&gt;=Assumpt!$E$50,0,(N40+SUM($C$41:M41))*$B$41/12)</f>
        <v>0</v>
      </c>
      <c r="O41" s="77">
        <f>IF(O6&gt;=Assumpt!$E$50,0,(O40+SUM($C$41:N41))*$B$41/12)</f>
        <v>0</v>
      </c>
      <c r="P41" s="77">
        <f>IF(P6&gt;=Assumpt!$E$50,0,(P40+SUM($C$41:O41))*$B$41/12)</f>
        <v>0</v>
      </c>
      <c r="Q41" s="77">
        <f>IF(Q6&gt;=Assumpt!$E$50,0,(Q40+SUM($C$41:P41))*$B$41/12)</f>
        <v>0</v>
      </c>
      <c r="R41" s="77">
        <f>IF(R6&gt;=Assumpt!$E$50,0,(R40+SUM($C$41:Q41))*$B$41/12)</f>
        <v>0</v>
      </c>
      <c r="S41" s="77">
        <f>IF(S6&gt;=Assumpt!$E$50,0,(S40+SUM($C$41:R41))*$B$41/12)</f>
        <v>0</v>
      </c>
      <c r="T41" s="77">
        <f>IF(T6&gt;=Assumpt!$E$50,0,(T40+SUM($C$41:S41))*$B$41/12)</f>
        <v>0</v>
      </c>
      <c r="U41" s="77">
        <f>IF(U6&gt;=Assumpt!$E$50,0,(U40+SUM($C$41:T41))*$B$41/12)</f>
        <v>0</v>
      </c>
      <c r="V41" s="77">
        <f>IF(V6&gt;=Assumpt!$E$50,0,(V40+SUM($C$41:U41))*$B$41/12)</f>
        <v>0</v>
      </c>
      <c r="W41" s="77">
        <f>IF(W6&gt;=Assumpt!$E$50,0,(W40+SUM($C$41:V41))*$B$41/12)</f>
        <v>0</v>
      </c>
      <c r="X41" s="77">
        <f>IF(X6&gt;=Assumpt!$E$50,0,(X40+SUM($C$41:W41))*$B$41/12)</f>
        <v>0</v>
      </c>
      <c r="Y41" s="77">
        <f>IF(Y6&gt;=Assumpt!$E$50,0,(Y40+SUM($C$41:X41))*$B$41/12)</f>
        <v>0</v>
      </c>
      <c r="Z41" s="77">
        <f>IF(Z6&gt;=Assumpt!$E$50,0,(Z40+SUM($C$41:Y41))*$B$41/12)</f>
        <v>0</v>
      </c>
      <c r="AA41" s="77">
        <f>IF(AA6&gt;=Assumpt!$E$50,0,(AA40+SUM($C$41:Z41))*$B$41/12)</f>
        <v>0</v>
      </c>
      <c r="AB41" s="77">
        <f>IF(AB6&gt;=Assumpt!$E$50,0,(AB40+SUM($C$41:AA41))*$B$41/12)</f>
        <v>0</v>
      </c>
      <c r="AC41" s="77">
        <f>IF(AC6&gt;=Assumpt!$E$50,0,(AC40+SUM($C$41:AB41))*$B$41/12)</f>
        <v>0</v>
      </c>
      <c r="AD41" s="77">
        <f>IF(AD6&gt;=Assumpt!$E$50,0,(AD40+SUM($C$41:AC41))*$B$41/12)</f>
        <v>0</v>
      </c>
      <c r="AE41" s="77">
        <f>IF(AE6&gt;=Assumpt!$E$50,0,(AE40+SUM($C$41:AD41))*$B$41/12)</f>
        <v>0</v>
      </c>
      <c r="AF41" s="77">
        <f>IF(AF6&gt;=Assumpt!$E$50,0,(AF40+SUM($C$41:AE41))*$B$41/12)</f>
        <v>0</v>
      </c>
      <c r="AG41" s="77">
        <f>IF(AG6&gt;=Assumpt!$E$50,0,(AG40+SUM($C$41:AF41))*$B$41/12)</f>
        <v>0</v>
      </c>
      <c r="AH41" s="77">
        <f>IF(AH6&gt;=Assumpt!$E$50,0,(AH40+SUM($C$41:AG41))*$B$41/12)</f>
        <v>0</v>
      </c>
      <c r="AI41" s="77">
        <f>IF(AI6&gt;=Assumpt!$E$50,0,(AI40+SUM($C$41:AH41))*$B$41/12)</f>
        <v>0</v>
      </c>
      <c r="AJ41" s="77">
        <f>IF(AJ6&gt;=Assumpt!$E$50,0,(AJ40+SUM($C$41:AI41))*$B$41/12)</f>
        <v>0</v>
      </c>
      <c r="AK41" s="77">
        <f>IF(AK6&gt;=Assumpt!$E$50,0,(AK40+SUM($C$41:AJ41))*$B$41/12)</f>
        <v>0</v>
      </c>
      <c r="AL41" s="77">
        <f>IF(AL6&gt;=Assumpt!$E$50,0,(AL40+SUM($C$41:AK41))*$B$41/12)</f>
        <v>0</v>
      </c>
      <c r="AM41" s="252">
        <f>SUM(C41:AL41)</f>
        <v>0</v>
      </c>
      <c r="AN41" s="44"/>
      <c r="AO41" s="1">
        <f t="shared" si="4"/>
        <v>36</v>
      </c>
      <c r="AP41" s="44"/>
      <c r="AQ41" s="44"/>
      <c r="AR41" s="44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25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</row>
    <row r="42" spans="1:93" x14ac:dyDescent="0.2">
      <c r="A42" s="203"/>
      <c r="B42" s="44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261"/>
      <c r="AN42" s="44"/>
      <c r="AO42" s="1">
        <f t="shared" si="4"/>
        <v>37</v>
      </c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</row>
    <row r="43" spans="1:93" s="221" customFormat="1" x14ac:dyDescent="0.2">
      <c r="A43" s="203" t="s">
        <v>154</v>
      </c>
      <c r="B43" s="44"/>
      <c r="C43" s="77">
        <f t="shared" ref="C43:AL43" si="16">+C37+C33+C29+C41</f>
        <v>25.025450485534915</v>
      </c>
      <c r="D43" s="77">
        <f t="shared" si="16"/>
        <v>50.249019120746972</v>
      </c>
      <c r="E43" s="77">
        <f t="shared" si="16"/>
        <v>75.672274340987798</v>
      </c>
      <c r="F43" s="77">
        <f t="shared" si="16"/>
        <v>101.29679699838887</v>
      </c>
      <c r="G43" s="77">
        <f t="shared" si="16"/>
        <v>127.12418046016103</v>
      </c>
      <c r="H43" s="77">
        <f t="shared" si="16"/>
        <v>153.15603070767222</v>
      </c>
      <c r="I43" s="77">
        <f t="shared" si="16"/>
        <v>179.39396643630957</v>
      </c>
      <c r="J43" s="77">
        <f t="shared" si="16"/>
        <v>205.8396191561319</v>
      </c>
      <c r="K43" s="77">
        <f t="shared" si="16"/>
        <v>232.49463329331957</v>
      </c>
      <c r="L43" s="77">
        <f t="shared" si="16"/>
        <v>259.36066629242657</v>
      </c>
      <c r="M43" s="77">
        <f t="shared" si="16"/>
        <v>286.43938871944323</v>
      </c>
      <c r="N43" s="77">
        <f t="shared" si="16"/>
        <v>313.73248436567366</v>
      </c>
      <c r="O43" s="77">
        <f t="shared" si="16"/>
        <v>341.24165035243686</v>
      </c>
      <c r="P43" s="77">
        <f t="shared" si="16"/>
        <v>368.96859723659514</v>
      </c>
      <c r="Q43" s="77">
        <f t="shared" si="16"/>
        <v>396.91504911691976</v>
      </c>
      <c r="R43" s="77">
        <f t="shared" si="16"/>
        <v>425.08274374129695</v>
      </c>
      <c r="S43" s="77">
        <f t="shared" si="16"/>
        <v>453.4734326147838</v>
      </c>
      <c r="T43" s="77">
        <f t="shared" si="16"/>
        <v>482.08888110851905</v>
      </c>
      <c r="U43" s="77">
        <f t="shared" si="16"/>
        <v>510.9308685694964</v>
      </c>
      <c r="V43" s="77">
        <f t="shared" si="16"/>
        <v>540.0011884312064</v>
      </c>
      <c r="W43" s="77">
        <f t="shared" si="16"/>
        <v>569.30164832515504</v>
      </c>
      <c r="X43" s="77">
        <f t="shared" si="16"/>
        <v>598.8340701932641</v>
      </c>
      <c r="Y43" s="77">
        <f t="shared" si="16"/>
        <v>628.60029040116251</v>
      </c>
      <c r="Z43" s="77">
        <f t="shared" si="16"/>
        <v>658.60215985237323</v>
      </c>
      <c r="AA43" s="77">
        <f t="shared" si="16"/>
        <v>688.84154410340625</v>
      </c>
      <c r="AB43" s="77">
        <f t="shared" si="16"/>
        <v>719.32032347975974</v>
      </c>
      <c r="AC43" s="77">
        <f t="shared" si="16"/>
        <v>750.04039319284277</v>
      </c>
      <c r="AD43" s="77">
        <f t="shared" si="16"/>
        <v>781.00366345782106</v>
      </c>
      <c r="AE43" s="77">
        <f t="shared" si="16"/>
        <v>812.21205961239718</v>
      </c>
      <c r="AF43" s="77">
        <f t="shared" si="16"/>
        <v>843.6675222365302</v>
      </c>
      <c r="AG43" s="77">
        <f t="shared" si="16"/>
        <v>875.37200727310426</v>
      </c>
      <c r="AH43" s="77">
        <f t="shared" si="16"/>
        <v>907.32748614955142</v>
      </c>
      <c r="AI43" s="77">
        <f t="shared" si="16"/>
        <v>939.53594590043701</v>
      </c>
      <c r="AJ43" s="77">
        <f t="shared" si="16"/>
        <v>971.999389291017</v>
      </c>
      <c r="AK43" s="77">
        <f t="shared" si="16"/>
        <v>1004.7198349417725</v>
      </c>
      <c r="AL43" s="77">
        <f t="shared" si="16"/>
        <v>1037.69931745393</v>
      </c>
      <c r="AM43" s="252">
        <f>SUM(C43:AL43)</f>
        <v>18315.564577412577</v>
      </c>
      <c r="AN43" s="44"/>
      <c r="AO43" s="1">
        <f t="shared" si="4"/>
        <v>38</v>
      </c>
      <c r="AP43" s="244"/>
      <c r="AQ43" s="44"/>
      <c r="AR43" s="44"/>
      <c r="AS43" s="77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8"/>
      <c r="CO43" s="208"/>
    </row>
    <row r="44" spans="1:93" x14ac:dyDescent="0.2">
      <c r="A44" s="20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262"/>
      <c r="AN44" s="44"/>
      <c r="AO44" s="1">
        <f t="shared" si="4"/>
        <v>39</v>
      </c>
      <c r="AP44" s="44"/>
      <c r="AQ44" s="44"/>
      <c r="AR44" s="44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</row>
    <row r="45" spans="1:93" x14ac:dyDescent="0.2">
      <c r="A45" s="206" t="s">
        <v>155</v>
      </c>
      <c r="B45" s="198"/>
      <c r="C45" s="268">
        <f>+AM43</f>
        <v>18315.564577412577</v>
      </c>
      <c r="D45" s="25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261"/>
      <c r="AN45" s="44"/>
      <c r="AO45" s="1">
        <f t="shared" si="4"/>
        <v>40</v>
      </c>
      <c r="AP45" s="44"/>
      <c r="AQ45" s="44"/>
      <c r="AR45" s="4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</row>
    <row r="46" spans="1:93" x14ac:dyDescent="0.2">
      <c r="A46" s="20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5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250"/>
      <c r="AO46" s="1">
        <f t="shared" si="4"/>
        <v>41</v>
      </c>
      <c r="AP46" s="44"/>
      <c r="AQ46" s="44"/>
      <c r="AR46" s="44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254"/>
    </row>
    <row r="47" spans="1:93" x14ac:dyDescent="0.2">
      <c r="A47" s="263" t="s">
        <v>156</v>
      </c>
      <c r="B47" s="200"/>
      <c r="C47" s="264">
        <f>IF(C16=0,0,+(C23+SUM($C$43:C43)*eqamt)/Assumpt!$S$7)</f>
        <v>2.4933051565306254E-2</v>
      </c>
      <c r="D47" s="264">
        <f>IF(D16=0,0,+(D23+SUM($C$43:D43)*eqamt)/Assumpt!$S$7)</f>
        <v>5.0014434390707914E-2</v>
      </c>
      <c r="E47" s="264">
        <f>IF(E16=0,0,+(E23+SUM($C$43:E43)*eqamt)/Assumpt!$S$7)</f>
        <v>7.52453227653474E-2</v>
      </c>
      <c r="F47" s="264">
        <f>IF(F16=0,0,+(F23+SUM($C$43:F43)*eqamt)/Assumpt!$S$7)</f>
        <v>0.10062690027482284</v>
      </c>
      <c r="G47" s="264">
        <f>IF(G16=0,0,+(G23+SUM($C$43:G43)*eqamt)/Assumpt!$S$7)</f>
        <v>0.12616035987478499</v>
      </c>
      <c r="H47" s="264">
        <f>IF(H16=0,0,+(H23+SUM($C$43:H43)*eqamt)/Assumpt!$S$7)</f>
        <v>0.15184690396511694</v>
      </c>
      <c r="I47" s="264">
        <f>IF(I16=0,0,+(I23+SUM($C$43:I43)*eqamt)/Assumpt!$S$7)</f>
        <v>0.17768774446470073</v>
      </c>
      <c r="J47" s="264">
        <f>IF(J16=0,0,+(J23+SUM($C$43:J43)*eqamt)/Assumpt!$S$7)</f>
        <v>0.2036841028867763</v>
      </c>
      <c r="K47" s="264">
        <f>IF(K16=0,0,+(K23+SUM($C$43:K43)*eqamt)/Assumpt!$S$7)</f>
        <v>0.22983721041489671</v>
      </c>
      <c r="L47" s="264">
        <f>IF(L16=0,0,+(L23+SUM($C$43:L43)*eqamt)/Assumpt!$S$7)</f>
        <v>0.25614830797948474</v>
      </c>
      <c r="M47" s="264">
        <f>IF(M16=0,0,+(M23+SUM($C$43:M43)*eqamt)/Assumpt!$S$7)</f>
        <v>0.28261864633499589</v>
      </c>
      <c r="N47" s="264">
        <f>IF(N16=0,0,+(N23+SUM($C$43:N43)*eqamt)/Assumpt!$S$7)</f>
        <v>0.30924948613769154</v>
      </c>
      <c r="O47" s="264">
        <f>IF(O16=0,0,+(O23+SUM($C$43:O43)*eqamt)/Assumpt!$S$7)</f>
        <v>0.33604209802402857</v>
      </c>
      <c r="P47" s="264">
        <f>IF(P16=0,0,+(P23+SUM($C$43:P43)*eqamt)/Assumpt!$S$7)</f>
        <v>0.36299776268966916</v>
      </c>
      <c r="Q47" s="264">
        <f>IF(Q16=0,0,+(Q23+SUM($C$43:Q43)*eqamt)/Assumpt!$S$7)</f>
        <v>0.39011777096911615</v>
      </c>
      <c r="R47" s="264">
        <f>IF(R16=0,0,+(R23+SUM($C$43:R43)*eqamt)/Assumpt!$S$7)</f>
        <v>0.41740342391597884</v>
      </c>
      <c r="S47" s="264">
        <f>IF(S16=0,0,+(S23+SUM($C$43:S43)*eqamt)/Assumpt!$S$7)</f>
        <v>0.44485603288387432</v>
      </c>
      <c r="T47" s="264">
        <f>IF(T16=0,0,+(T23+SUM($C$43:T43)*eqamt)/Assumpt!$S$7)</f>
        <v>0.47247691960796895</v>
      </c>
      <c r="U47" s="264">
        <f>IF(U16=0,0,+(U23+SUM($C$43:U43)*eqamt)/Assumpt!$S$7)</f>
        <v>0.50026741628716609</v>
      </c>
      <c r="V47" s="264">
        <f>IF(V16=0,0,+(V23+SUM($C$43:V43)*eqamt)/Assumpt!$S$7)</f>
        <v>0.5282288656669436</v>
      </c>
      <c r="W47" s="264">
        <f>IF(W16=0,0,+(W23+SUM($C$43:W43)*eqamt)/Assumpt!$S$7)</f>
        <v>0.55636262112284773</v>
      </c>
      <c r="X47" s="264">
        <f>IF(X16=0,0,+(X23+SUM($C$43:X43)*eqamt)/Assumpt!$S$7)</f>
        <v>0.58467004674464795</v>
      </c>
      <c r="Y47" s="264">
        <f>IF(Y16=0,0,+(Y23+SUM($C$43:Y43)*eqamt)/Assumpt!$S$7)</f>
        <v>0.61315251742115728</v>
      </c>
      <c r="Z47" s="264">
        <f>IF(Z16=0,0,+(Z23+SUM($C$43:Z43)*eqamt)/Assumpt!$S$7)</f>
        <v>0.64181141892572591</v>
      </c>
      <c r="AA47" s="264">
        <f>IF(AA16=0,0,+(AA23+SUM($C$43:AA43)*eqamt)/Assumpt!$S$7)</f>
        <v>0.67064814800240891</v>
      </c>
      <c r="AB47" s="264">
        <f>IF(AB16=0,0,+(AB23+SUM($C$43:AB43)*eqamt)/Assumpt!$S$7)</f>
        <v>0.69966411245281912</v>
      </c>
      <c r="AC47" s="264">
        <f>IF(AC16=0,0,+(AC23+SUM($C$43:AC43)*eqamt)/Assumpt!$S$7)</f>
        <v>0.72886073122366524</v>
      </c>
      <c r="AD47" s="264">
        <f>IF(AD16=0,0,+(AD23+SUM($C$43:AD43)*eqamt)/Assumpt!$S$7)</f>
        <v>0.75823943449498388</v>
      </c>
      <c r="AE47" s="264">
        <f>IF(AE16=0,0,+(AE23+SUM($C$43:AE43)*eqamt)/Assumpt!$S$7)</f>
        <v>0.78780166376907046</v>
      </c>
      <c r="AF47" s="264">
        <f>IF(AF16=0,0,+(AF23+SUM($C$43:AF43)*eqamt)/Assumpt!$S$7)</f>
        <v>0.81754887196011361</v>
      </c>
      <c r="AG47" s="264">
        <f>IF(AG16=0,0,+(AG23+SUM($C$43:AG43)*eqamt)/Assumpt!$S$7)</f>
        <v>0.84748252348453934</v>
      </c>
      <c r="AH47" s="264">
        <f>IF(AH16=0,0,+(AH23+SUM($C$43:AH43)*eqamt)/Assumpt!$S$7)</f>
        <v>0.87760409435206999</v>
      </c>
      <c r="AI47" s="264">
        <f>IF(AI16=0,0,+(AI23+SUM($C$43:AI43)*eqamt)/Assumpt!$S$7)</f>
        <v>0.90791507225750556</v>
      </c>
      <c r="AJ47" s="264">
        <f>IF(AJ16=0,0,+(AJ23+SUM($C$43:AJ43)*eqamt)/Assumpt!$S$7)</f>
        <v>0.93841695667322911</v>
      </c>
      <c r="AK47" s="264">
        <f>IF(AK16=0,0,+(AK23+SUM($C$43:AK43)*eqamt)/Assumpt!$S$7)</f>
        <v>0.96911125894244721</v>
      </c>
      <c r="AL47" s="264">
        <f>IF(AL16=0,0,+(AL23+SUM($C$43:AL43)*eqamt)/Assumpt!$S$7)</f>
        <v>0.99999950237316626</v>
      </c>
      <c r="AM47" s="637">
        <f>+AL47</f>
        <v>0.99999950237316626</v>
      </c>
      <c r="AO47" s="1">
        <f t="shared" si="4"/>
        <v>42</v>
      </c>
    </row>
    <row r="48" spans="1:93" x14ac:dyDescent="0.2">
      <c r="A48" s="265" t="s">
        <v>157</v>
      </c>
      <c r="B48" s="226"/>
      <c r="C48" s="266">
        <f>+((C36+C32+C28+C40)+SUM($C$43:C43)*debtamt)/estdebt</f>
        <v>2.4932994543506511E-2</v>
      </c>
      <c r="D48" s="266">
        <f>+((D36+D32+D28+D40)+SUM($C$43:D43)*debtamt)/estdebt</f>
        <v>5.0014320007875368E-2</v>
      </c>
      <c r="E48" s="266">
        <f>+((E36+E32+E28+E40)+SUM($C$43:E43)*debtamt)/estdebt</f>
        <v>7.5245150679563375E-2</v>
      </c>
      <c r="F48" s="266">
        <f>+((F36+F32+F28+F40)+SUM($C$43:F43)*debtamt)/estdebt</f>
        <v>0.10062667014146184</v>
      </c>
      <c r="G48" s="266">
        <f>+((G36+G32+G28+G40)+SUM($C$43:G43)*debtamt)/estdebt</f>
        <v>0.12616007134649326</v>
      </c>
      <c r="H48" s="266">
        <f>+((H36+H32+H28+H40)+SUM($C$43:H43)*debtamt)/estdebt</f>
        <v>0.15184655669179076</v>
      </c>
      <c r="I48" s="266">
        <f>+((I36+I32+I28+I40)+SUM($C$43:I43)*debtamt)/estdebt</f>
        <v>0.17768733809346476</v>
      </c>
      <c r="J48" s="266">
        <f>+((J36+J32+J28+J40)+SUM($C$43:J43)*debtamt)/estdebt</f>
        <v>0.20368363706196163</v>
      </c>
      <c r="K48" s="266">
        <f>+((K36+K32+K28+K40)+SUM($C$43:K43)*debtamt)/estdebt</f>
        <v>0.22983668477801866</v>
      </c>
      <c r="L48" s="266">
        <f>+((L36+L32+L28+L40)+SUM($C$43:L43)*debtamt)/estdebt</f>
        <v>0.25614772216922072</v>
      </c>
      <c r="M48" s="266">
        <f>+((M36+M32+M28+M40)+SUM($C$43:M43)*debtamt)/estdebt</f>
        <v>0.28261799998716275</v>
      </c>
      <c r="N48" s="266">
        <f>+((N36+N32+N28+N40)+SUM($C$43:N43)*debtamt)/estdebt</f>
        <v>0.30924877888522295</v>
      </c>
      <c r="O48" s="266">
        <f>+((O36+O32+O28+O40)+SUM($C$43:O43)*debtamt)/estdebt</f>
        <v>0.33604132949695242</v>
      </c>
      <c r="P48" s="266">
        <f>+((P36+P32+P28+P40)+SUM($C$43:P43)*debtamt)/estdebt</f>
        <v>0.36299693251508436</v>
      </c>
      <c r="Q48" s="266">
        <f>+((Q36+Q32+Q28+Q40)+SUM($C$43:Q43)*debtamt)/estdebt</f>
        <v>0.39011687877116941</v>
      </c>
      <c r="R48" s="266">
        <f>+((R36+R32+R28+R40)+SUM($C$43:R43)*debtamt)/estdebt</f>
        <v>0.41740246931584135</v>
      </c>
      <c r="S48" s="266">
        <f>+((S36+S32+S28+S40)+SUM($C$43:S43)*debtamt)/estdebt</f>
        <v>0.44485501549971823</v>
      </c>
      <c r="T48" s="266">
        <f>+((T36+T32+T28+T40)+SUM($C$43:T43)*debtamt)/estdebt</f>
        <v>0.47247583905494372</v>
      </c>
      <c r="U48" s="266">
        <f>+((U36+U32+U28+U40)+SUM($C$43:U43)*debtamt)/estdebt</f>
        <v>0.50026627217737429</v>
      </c>
      <c r="V48" s="266">
        <f>+((V36+V32+V28+V40)+SUM($C$43:V43)*debtamt)/estdebt</f>
        <v>0.52822765760941703</v>
      </c>
      <c r="W48" s="266">
        <f>+((W36+W32+W28+W40)+SUM($C$43:W43)*debtamt)/estdebt</f>
        <v>0.55636134872352305</v>
      </c>
      <c r="X48" s="266">
        <f>+((X36+X32+X28+X40)+SUM($C$43:X43)*debtamt)/estdebt</f>
        <v>0.58466870960634199</v>
      </c>
      <c r="Y48" s="266">
        <f>+((Y36+Y32+Y28+Y40)+SUM($C$43:Y43)*debtamt)/estdebt</f>
        <v>0.61315111514354292</v>
      </c>
      <c r="Z48" s="266">
        <f>+((Z36+Z32+Z28+Z40)+SUM($C$43:Z43)*debtamt)/estdebt</f>
        <v>0.64180995110530614</v>
      </c>
      <c r="AA48" s="266">
        <f>+((AA36+AA32+AA28+AA40)+SUM($C$43:AA43)*debtamt)/estdebt</f>
        <v>0.67064661423249305</v>
      </c>
      <c r="AB48" s="266">
        <f>+((AB36+AB32+AB28+AB40)+SUM($C$43:AB43)*debtamt)/estdebt</f>
        <v>0.69966251232349641</v>
      </c>
      <c r="AC48" s="266">
        <f>+((AC36+AC32+AC28+AC40)+SUM($C$43:AC43)*debtamt)/estdebt</f>
        <v>0.72885906432177971</v>
      </c>
      <c r="AD48" s="266">
        <f>+((AD36+AD32+AD28+AD40)+SUM($C$43:AD43)*debtamt)/estdebt</f>
        <v>0.75823770040410898</v>
      </c>
      <c r="AE48" s="266">
        <f>+((AE36+AE32+AE28+AE40)+SUM($C$43:AE43)*debtamt)/estdebt</f>
        <v>0.78779986206948305</v>
      </c>
      <c r="AF48" s="266">
        <f>+((AF36+AF32+AF28+AF40)+SUM($C$43:AF43)*debtamt)/estdebt</f>
        <v>0.81754700222876753</v>
      </c>
      <c r="AG48" s="266">
        <f>+((AG36+AG32+AG28+AG40)+SUM($C$43:AG43)*debtamt)/estdebt</f>
        <v>0.84748058529503922</v>
      </c>
      <c r="AH48" s="266">
        <f>+((AH36+AH32+AH28+AH40)+SUM($C$43:AH43)*debtamt)/estdebt</f>
        <v>0.87760208727464528</v>
      </c>
      <c r="AI48" s="266">
        <f>+((AI36+AI32+AI28+AI40)+SUM($C$43:AI43)*debtamt)/estdebt</f>
        <v>0.90791299585898255</v>
      </c>
      <c r="AJ48" s="266">
        <f>+((AJ36+AJ32+AJ28+AJ40)+SUM($C$43:AJ43)*debtamt)/estdebt</f>
        <v>0.93841481051700559</v>
      </c>
      <c r="AK48" s="266">
        <f>+((AK36+AK32+AK28+AK40)+SUM($C$43:AK43)*debtamt)/estdebt</f>
        <v>0.9691090425884642</v>
      </c>
      <c r="AL48" s="266">
        <f>+((AL36+AL32+AL28+AL40)+SUM($C$43:AL43)*debtamt)/estdebt</f>
        <v>0.99999721537788155</v>
      </c>
      <c r="AM48" s="646">
        <f>+AL48</f>
        <v>0.99999721537788155</v>
      </c>
      <c r="AO48" s="1">
        <f t="shared" si="4"/>
        <v>43</v>
      </c>
      <c r="AP48" s="244"/>
      <c r="AQ48" s="44"/>
      <c r="AR48" s="44"/>
      <c r="AS48" s="77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</row>
    <row r="49" spans="1:93" ht="13.5" thickBot="1" x14ac:dyDescent="0.25">
      <c r="A49" s="198"/>
      <c r="B49" s="267"/>
      <c r="C49" s="268"/>
      <c r="D49" s="254"/>
      <c r="E49" s="44"/>
      <c r="F49" s="44"/>
      <c r="G49" s="269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44"/>
      <c r="AP49" s="44"/>
      <c r="AQ49" s="44"/>
      <c r="AR49" s="44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</row>
    <row r="50" spans="1:93" s="44" customFormat="1" ht="15.75" x14ac:dyDescent="0.25">
      <c r="A50" s="588" t="str">
        <f>+A1</f>
        <v>Panama Regas Terminal</v>
      </c>
      <c r="B50" s="589"/>
      <c r="C50" s="589"/>
      <c r="D50" s="590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</row>
    <row r="51" spans="1:93" s="44" customFormat="1" ht="15.75" x14ac:dyDescent="0.25">
      <c r="A51" s="591" t="str">
        <f>+A2</f>
        <v>Enron International</v>
      </c>
      <c r="B51" s="558"/>
      <c r="C51" s="558"/>
      <c r="D51" s="592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254"/>
    </row>
    <row r="52" spans="1:93" s="44" customFormat="1" ht="16.5" thickBot="1" x14ac:dyDescent="0.3">
      <c r="A52" s="587" t="s">
        <v>217</v>
      </c>
      <c r="B52" s="64"/>
      <c r="C52" s="64"/>
      <c r="D52" s="146"/>
      <c r="BD52" s="210"/>
    </row>
    <row r="53" spans="1:93" s="44" customFormat="1" ht="15.75" x14ac:dyDescent="0.25">
      <c r="A53" s="628"/>
      <c r="BD53" s="210"/>
    </row>
    <row r="54" spans="1:93" x14ac:dyDescent="0.2">
      <c r="A54" s="547" t="s">
        <v>132</v>
      </c>
      <c r="B54" s="535"/>
      <c r="C54" s="602">
        <f>+C5</f>
        <v>1</v>
      </c>
      <c r="D54" s="602">
        <f t="shared" ref="D54:V55" si="17">+D5</f>
        <v>2</v>
      </c>
      <c r="E54" s="602">
        <f t="shared" si="17"/>
        <v>3</v>
      </c>
      <c r="F54" s="602">
        <f t="shared" si="17"/>
        <v>4</v>
      </c>
      <c r="G54" s="602">
        <f t="shared" si="17"/>
        <v>5</v>
      </c>
      <c r="H54" s="602">
        <f t="shared" si="17"/>
        <v>6</v>
      </c>
      <c r="I54" s="602">
        <f t="shared" si="17"/>
        <v>7</v>
      </c>
      <c r="J54" s="602">
        <f t="shared" si="17"/>
        <v>8</v>
      </c>
      <c r="K54" s="602">
        <f t="shared" si="17"/>
        <v>9</v>
      </c>
      <c r="L54" s="602">
        <f t="shared" si="17"/>
        <v>10</v>
      </c>
      <c r="M54" s="602">
        <f t="shared" si="17"/>
        <v>11</v>
      </c>
      <c r="N54" s="602">
        <f t="shared" si="17"/>
        <v>12</v>
      </c>
      <c r="O54" s="602">
        <f t="shared" si="17"/>
        <v>13</v>
      </c>
      <c r="P54" s="602">
        <f t="shared" si="17"/>
        <v>14</v>
      </c>
      <c r="Q54" s="602">
        <f t="shared" si="17"/>
        <v>15</v>
      </c>
      <c r="R54" s="602">
        <f t="shared" si="17"/>
        <v>16</v>
      </c>
      <c r="S54" s="602">
        <f t="shared" si="17"/>
        <v>17</v>
      </c>
      <c r="T54" s="602">
        <f t="shared" si="17"/>
        <v>18</v>
      </c>
      <c r="U54" s="602">
        <f t="shared" si="17"/>
        <v>19</v>
      </c>
      <c r="V54" s="602">
        <f t="shared" si="17"/>
        <v>20</v>
      </c>
      <c r="W54" s="602">
        <f t="shared" ref="W54:AL55" si="18">+W5</f>
        <v>21</v>
      </c>
      <c r="X54" s="602">
        <f t="shared" si="18"/>
        <v>22</v>
      </c>
      <c r="Y54" s="602">
        <f t="shared" si="18"/>
        <v>23</v>
      </c>
      <c r="Z54" s="602">
        <f t="shared" si="18"/>
        <v>24</v>
      </c>
      <c r="AA54" s="602">
        <f t="shared" si="18"/>
        <v>25</v>
      </c>
      <c r="AB54" s="602">
        <f t="shared" si="18"/>
        <v>26</v>
      </c>
      <c r="AC54" s="602">
        <f t="shared" si="18"/>
        <v>27</v>
      </c>
      <c r="AD54" s="602">
        <f t="shared" si="18"/>
        <v>28</v>
      </c>
      <c r="AE54" s="602">
        <f t="shared" si="18"/>
        <v>29</v>
      </c>
      <c r="AF54" s="602">
        <f t="shared" si="18"/>
        <v>30</v>
      </c>
      <c r="AG54" s="602">
        <f t="shared" si="18"/>
        <v>31</v>
      </c>
      <c r="AH54" s="602">
        <f t="shared" si="18"/>
        <v>32</v>
      </c>
      <c r="AI54" s="602">
        <f t="shared" si="18"/>
        <v>33</v>
      </c>
      <c r="AJ54" s="602">
        <f t="shared" si="18"/>
        <v>34</v>
      </c>
      <c r="AK54" s="602">
        <f t="shared" si="18"/>
        <v>35</v>
      </c>
      <c r="AL54" s="602">
        <f t="shared" si="18"/>
        <v>36</v>
      </c>
      <c r="AM54" s="606"/>
      <c r="AP54" s="44"/>
      <c r="AQ54" s="44"/>
      <c r="AR54" s="44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  <c r="BN54" s="243"/>
      <c r="BO54" s="243"/>
      <c r="BP54" s="243"/>
      <c r="BQ54" s="243"/>
      <c r="BR54" s="243"/>
      <c r="BS54" s="243"/>
      <c r="BT54" s="243"/>
      <c r="BU54" s="243"/>
      <c r="BV54" s="243"/>
      <c r="BW54" s="243"/>
      <c r="BX54" s="243"/>
      <c r="BY54" s="243"/>
      <c r="BZ54" s="243"/>
      <c r="CA54" s="243"/>
      <c r="CB54" s="243"/>
      <c r="CC54" s="44"/>
      <c r="CD54" s="44"/>
      <c r="CE54" s="44"/>
      <c r="CF54" s="44"/>
      <c r="CG54" s="44"/>
      <c r="CH54" s="44"/>
      <c r="CI54" s="44"/>
    </row>
    <row r="55" spans="1:93" s="231" customFormat="1" x14ac:dyDescent="0.2">
      <c r="A55" s="629" t="s">
        <v>133</v>
      </c>
      <c r="B55" s="579"/>
      <c r="C55" s="604">
        <f>+C6</f>
        <v>36526</v>
      </c>
      <c r="D55" s="604">
        <f t="shared" si="17"/>
        <v>36557</v>
      </c>
      <c r="E55" s="604">
        <f t="shared" si="17"/>
        <v>36586</v>
      </c>
      <c r="F55" s="604">
        <f t="shared" si="17"/>
        <v>36617</v>
      </c>
      <c r="G55" s="604">
        <f t="shared" si="17"/>
        <v>36647</v>
      </c>
      <c r="H55" s="604">
        <f t="shared" si="17"/>
        <v>36678</v>
      </c>
      <c r="I55" s="604">
        <f t="shared" si="17"/>
        <v>36708</v>
      </c>
      <c r="J55" s="604">
        <f t="shared" si="17"/>
        <v>36739</v>
      </c>
      <c r="K55" s="604">
        <f t="shared" si="17"/>
        <v>36770</v>
      </c>
      <c r="L55" s="604">
        <f t="shared" si="17"/>
        <v>36800</v>
      </c>
      <c r="M55" s="604">
        <f t="shared" si="17"/>
        <v>36831</v>
      </c>
      <c r="N55" s="604">
        <f t="shared" si="17"/>
        <v>36861</v>
      </c>
      <c r="O55" s="604">
        <f t="shared" si="17"/>
        <v>36892</v>
      </c>
      <c r="P55" s="604">
        <f t="shared" si="17"/>
        <v>36923</v>
      </c>
      <c r="Q55" s="604">
        <f t="shared" si="17"/>
        <v>36951</v>
      </c>
      <c r="R55" s="604">
        <f t="shared" si="17"/>
        <v>36982</v>
      </c>
      <c r="S55" s="604">
        <f t="shared" si="17"/>
        <v>37012</v>
      </c>
      <c r="T55" s="604">
        <f t="shared" si="17"/>
        <v>37043</v>
      </c>
      <c r="U55" s="604">
        <f t="shared" si="17"/>
        <v>37073</v>
      </c>
      <c r="V55" s="604">
        <f t="shared" si="17"/>
        <v>37104</v>
      </c>
      <c r="W55" s="604">
        <f t="shared" si="18"/>
        <v>37135</v>
      </c>
      <c r="X55" s="604">
        <f t="shared" si="18"/>
        <v>37165</v>
      </c>
      <c r="Y55" s="604">
        <f t="shared" si="18"/>
        <v>37196</v>
      </c>
      <c r="Z55" s="604">
        <f t="shared" si="18"/>
        <v>37226</v>
      </c>
      <c r="AA55" s="604">
        <f t="shared" si="18"/>
        <v>37257</v>
      </c>
      <c r="AB55" s="604">
        <f t="shared" si="18"/>
        <v>37288</v>
      </c>
      <c r="AC55" s="604">
        <f t="shared" si="18"/>
        <v>37316</v>
      </c>
      <c r="AD55" s="604">
        <f t="shared" si="18"/>
        <v>37347</v>
      </c>
      <c r="AE55" s="604">
        <f t="shared" si="18"/>
        <v>37377</v>
      </c>
      <c r="AF55" s="604">
        <f t="shared" si="18"/>
        <v>37408</v>
      </c>
      <c r="AG55" s="604">
        <f t="shared" si="18"/>
        <v>37438</v>
      </c>
      <c r="AH55" s="604">
        <f t="shared" si="18"/>
        <v>37469</v>
      </c>
      <c r="AI55" s="604">
        <f t="shared" si="18"/>
        <v>37500</v>
      </c>
      <c r="AJ55" s="604">
        <f t="shared" si="18"/>
        <v>37530</v>
      </c>
      <c r="AK55" s="604">
        <f t="shared" si="18"/>
        <v>37561</v>
      </c>
      <c r="AL55" s="604">
        <f t="shared" si="18"/>
        <v>37591</v>
      </c>
      <c r="AM55" s="607" t="s">
        <v>134</v>
      </c>
      <c r="AN55" s="198"/>
      <c r="AO55" s="198"/>
      <c r="AP55" s="198"/>
      <c r="AQ55" s="198"/>
      <c r="AR55" s="198"/>
      <c r="AS55" s="605"/>
      <c r="AT55" s="605"/>
      <c r="AU55" s="605"/>
      <c r="AV55" s="605"/>
      <c r="AW55" s="605"/>
      <c r="AX55" s="605"/>
      <c r="AY55" s="605"/>
      <c r="AZ55" s="605"/>
      <c r="BA55" s="605"/>
      <c r="BB55" s="605"/>
      <c r="BC55" s="605"/>
      <c r="BD55" s="605"/>
      <c r="BE55" s="605"/>
      <c r="BF55" s="605"/>
      <c r="BG55" s="605"/>
      <c r="BH55" s="605"/>
      <c r="BI55" s="605"/>
      <c r="BJ55" s="605"/>
      <c r="BK55" s="605"/>
      <c r="BL55" s="605"/>
      <c r="BM55" s="605"/>
      <c r="BN55" s="605"/>
      <c r="BO55" s="605"/>
      <c r="BP55" s="605"/>
      <c r="BQ55" s="605"/>
      <c r="BR55" s="605"/>
      <c r="BS55" s="605"/>
      <c r="BT55" s="605"/>
      <c r="BU55" s="605"/>
      <c r="BV55" s="605"/>
      <c r="BW55" s="605"/>
      <c r="BX55" s="605"/>
      <c r="BY55" s="605"/>
      <c r="BZ55" s="605"/>
      <c r="CA55" s="605"/>
      <c r="CB55" s="605"/>
      <c r="CC55" s="198"/>
      <c r="CD55" s="198"/>
      <c r="CE55" s="198"/>
      <c r="CF55" s="198"/>
      <c r="CG55" s="198"/>
      <c r="CH55" s="198"/>
      <c r="CI55" s="198"/>
      <c r="CJ55" s="198"/>
      <c r="CK55" s="198"/>
      <c r="CL55" s="198"/>
      <c r="CM55" s="198"/>
      <c r="CN55" s="198"/>
      <c r="CO55" s="198"/>
    </row>
    <row r="56" spans="1:93" x14ac:dyDescent="0.2">
      <c r="A56" s="20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250"/>
      <c r="AP56" s="44"/>
      <c r="AQ56" s="44"/>
      <c r="AR56" s="4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4"/>
      <c r="BJ56" s="254"/>
      <c r="BK56" s="254"/>
      <c r="BL56" s="254"/>
      <c r="BM56" s="254"/>
      <c r="BN56" s="254"/>
      <c r="BO56" s="254"/>
      <c r="BP56" s="254"/>
      <c r="BQ56" s="254"/>
      <c r="BR56" s="254"/>
      <c r="BS56" s="254"/>
      <c r="BT56" s="254"/>
      <c r="BU56" s="254"/>
      <c r="BV56" s="254"/>
      <c r="BW56" s="254"/>
      <c r="BX56" s="254"/>
      <c r="BY56" s="254"/>
      <c r="BZ56" s="254"/>
      <c r="CA56" s="254"/>
      <c r="CB56" s="254"/>
    </row>
    <row r="57" spans="1:93" x14ac:dyDescent="0.2">
      <c r="A57" s="630" t="s">
        <v>249</v>
      </c>
      <c r="B57" s="631">
        <f>+cfee1</f>
        <v>5.0000000000000001E-3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250"/>
      <c r="AP57" s="44"/>
      <c r="AQ57" s="44"/>
      <c r="AR57" s="4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</row>
    <row r="58" spans="1:93" x14ac:dyDescent="0.2">
      <c r="A58" s="630" t="s">
        <v>247</v>
      </c>
      <c r="B58" s="631">
        <f>cfee2</f>
        <v>5.0000000000000001E-3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250"/>
      <c r="AP58" s="44"/>
      <c r="AQ58" s="44"/>
      <c r="AR58" s="4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4"/>
      <c r="BJ58" s="254"/>
      <c r="BK58" s="254"/>
      <c r="BL58" s="254"/>
      <c r="BM58" s="254"/>
      <c r="BN58" s="254"/>
      <c r="BO58" s="254"/>
      <c r="BP58" s="254"/>
      <c r="BQ58" s="254"/>
      <c r="BR58" s="254"/>
      <c r="BS58" s="254"/>
      <c r="BT58" s="254"/>
      <c r="BU58" s="254"/>
      <c r="BV58" s="254"/>
      <c r="BW58" s="254"/>
      <c r="BX58" s="254"/>
      <c r="BY58" s="254"/>
      <c r="BZ58" s="254"/>
      <c r="CA58" s="254"/>
      <c r="CB58" s="254"/>
    </row>
    <row r="59" spans="1:93" x14ac:dyDescent="0.2">
      <c r="A59" s="633" t="s">
        <v>248</v>
      </c>
      <c r="B59" s="634">
        <f>cfee3</f>
        <v>5.0000000000000001E-3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250"/>
      <c r="AP59" s="44"/>
      <c r="AQ59" s="44"/>
      <c r="AR59" s="44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254"/>
    </row>
    <row r="60" spans="1:93" x14ac:dyDescent="0.2">
      <c r="A60" s="706" t="s">
        <v>258</v>
      </c>
      <c r="B60" s="631"/>
      <c r="C60" s="635">
        <f>IF(SUM(C$32,C$36,C$40)=0,0,($B$57*C$32+$B$58*C$36+$B$59*C$40)/SUM(C$32,C$36,C$40))</f>
        <v>5.0000000000000001E-3</v>
      </c>
      <c r="D60" s="635">
        <f t="shared" ref="D60:AL60" si="19">IF(SUM(D$32,D$36,D$40)=0,0,($B$57*D$32+$B$58*D$36+$B$59*D$40)/SUM(D$32,D$36,D$40))</f>
        <v>5.0000000000000001E-3</v>
      </c>
      <c r="E60" s="635">
        <f t="shared" si="19"/>
        <v>5.0000000000000001E-3</v>
      </c>
      <c r="F60" s="635">
        <f t="shared" si="19"/>
        <v>5.0000000000000001E-3</v>
      </c>
      <c r="G60" s="635">
        <f t="shared" si="19"/>
        <v>5.0000000000000001E-3</v>
      </c>
      <c r="H60" s="635">
        <f t="shared" si="19"/>
        <v>5.0000000000000001E-3</v>
      </c>
      <c r="I60" s="635">
        <f t="shared" si="19"/>
        <v>5.0000000000000001E-3</v>
      </c>
      <c r="J60" s="635">
        <f t="shared" si="19"/>
        <v>5.0000000000000001E-3</v>
      </c>
      <c r="K60" s="635">
        <f t="shared" si="19"/>
        <v>5.0000000000000001E-3</v>
      </c>
      <c r="L60" s="635">
        <f t="shared" si="19"/>
        <v>5.0000000000000001E-3</v>
      </c>
      <c r="M60" s="635">
        <f t="shared" si="19"/>
        <v>5.0000000000000001E-3</v>
      </c>
      <c r="N60" s="635">
        <f t="shared" si="19"/>
        <v>5.0000000000000001E-3</v>
      </c>
      <c r="O60" s="635">
        <f t="shared" si="19"/>
        <v>5.0000000000000001E-3</v>
      </c>
      <c r="P60" s="635">
        <f t="shared" si="19"/>
        <v>5.0000000000000001E-3</v>
      </c>
      <c r="Q60" s="635">
        <f t="shared" si="19"/>
        <v>5.0000000000000001E-3</v>
      </c>
      <c r="R60" s="635">
        <f t="shared" si="19"/>
        <v>5.0000000000000001E-3</v>
      </c>
      <c r="S60" s="635">
        <f t="shared" si="19"/>
        <v>5.0000000000000001E-3</v>
      </c>
      <c r="T60" s="635">
        <f t="shared" si="19"/>
        <v>5.0000000000000001E-3</v>
      </c>
      <c r="U60" s="635">
        <f t="shared" si="19"/>
        <v>5.0000000000000001E-3</v>
      </c>
      <c r="V60" s="635">
        <f t="shared" si="19"/>
        <v>5.0000000000000001E-3</v>
      </c>
      <c r="W60" s="635">
        <f t="shared" si="19"/>
        <v>5.0000000000000001E-3</v>
      </c>
      <c r="X60" s="635">
        <f t="shared" si="19"/>
        <v>5.0000000000000001E-3</v>
      </c>
      <c r="Y60" s="635">
        <f t="shared" si="19"/>
        <v>5.0000000000000001E-3</v>
      </c>
      <c r="Z60" s="635">
        <f t="shared" si="19"/>
        <v>5.0000000000000001E-3</v>
      </c>
      <c r="AA60" s="635">
        <f t="shared" si="19"/>
        <v>5.0000000000000001E-3</v>
      </c>
      <c r="AB60" s="635">
        <f t="shared" si="19"/>
        <v>5.0000000000000001E-3</v>
      </c>
      <c r="AC60" s="635">
        <f t="shared" si="19"/>
        <v>5.0000000000000001E-3</v>
      </c>
      <c r="AD60" s="635">
        <f t="shared" si="19"/>
        <v>5.0000000000000001E-3</v>
      </c>
      <c r="AE60" s="635">
        <f t="shared" si="19"/>
        <v>5.0000000000000001E-3</v>
      </c>
      <c r="AF60" s="635">
        <f t="shared" si="19"/>
        <v>5.0000000000000001E-3</v>
      </c>
      <c r="AG60" s="635">
        <f t="shared" si="19"/>
        <v>5.0000000000000001E-3</v>
      </c>
      <c r="AH60" s="635">
        <f t="shared" si="19"/>
        <v>5.0000000000000001E-3</v>
      </c>
      <c r="AI60" s="635">
        <f t="shared" si="19"/>
        <v>5.0000000000000001E-3</v>
      </c>
      <c r="AJ60" s="635">
        <f t="shared" si="19"/>
        <v>5.0000000000000001E-3</v>
      </c>
      <c r="AK60" s="635">
        <f t="shared" si="19"/>
        <v>5.0000000000000001E-3</v>
      </c>
      <c r="AL60" s="635">
        <f t="shared" si="19"/>
        <v>5.0000000000000001E-3</v>
      </c>
      <c r="AM60" s="250"/>
      <c r="AP60" s="44"/>
      <c r="AQ60" s="44"/>
      <c r="AR60" s="44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254"/>
    </row>
    <row r="61" spans="1:93" x14ac:dyDescent="0.2">
      <c r="A61" s="20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250"/>
    </row>
    <row r="62" spans="1:93" s="83" customFormat="1" x14ac:dyDescent="0.2">
      <c r="A62" s="357" t="s">
        <v>158</v>
      </c>
      <c r="B62" s="77"/>
      <c r="C62" s="632">
        <v>0</v>
      </c>
      <c r="D62" s="77">
        <f t="shared" ref="D62:S62" si="20">+C65</f>
        <v>124356.80153639241</v>
      </c>
      <c r="E62" s="77">
        <f t="shared" si="20"/>
        <v>121158.00523703691</v>
      </c>
      <c r="F62" s="77">
        <f t="shared" si="20"/>
        <v>117940.14149626624</v>
      </c>
      <c r="G62" s="77">
        <f t="shared" si="20"/>
        <v>114703.05936350251</v>
      </c>
      <c r="H62" s="77">
        <f t="shared" si="20"/>
        <v>111446.60669314246</v>
      </c>
      <c r="I62" s="77">
        <f t="shared" si="20"/>
        <v>108170.63013509677</v>
      </c>
      <c r="J62" s="77">
        <f t="shared" si="20"/>
        <v>104874.9751252546</v>
      </c>
      <c r="K62" s="77">
        <f t="shared" si="20"/>
        <v>101559.48587587256</v>
      </c>
      <c r="L62" s="77">
        <f t="shared" si="20"/>
        <v>98224.005365887628</v>
      </c>
      <c r="M62" s="77">
        <f t="shared" si="20"/>
        <v>94868.375331153366</v>
      </c>
      <c r="N62" s="77">
        <f t="shared" si="20"/>
        <v>91492.436254598841</v>
      </c>
      <c r="O62" s="77">
        <f t="shared" si="20"/>
        <v>88096.027356309642</v>
      </c>
      <c r="P62" s="77">
        <f t="shared" si="20"/>
        <v>84678.986583530379</v>
      </c>
      <c r="Q62" s="77">
        <f t="shared" si="20"/>
        <v>81241.150600587993</v>
      </c>
      <c r="R62" s="77">
        <f t="shared" si="20"/>
        <v>77782.35477873536</v>
      </c>
      <c r="S62" s="77">
        <f t="shared" si="20"/>
        <v>74302.433185914444</v>
      </c>
      <c r="T62" s="77">
        <f t="shared" ref="T62:AI62" si="21">+S65</f>
        <v>70801.218576438419</v>
      </c>
      <c r="U62" s="77">
        <f t="shared" si="21"/>
        <v>67278.542380592087</v>
      </c>
      <c r="V62" s="77">
        <f t="shared" si="21"/>
        <v>63734.234694150029</v>
      </c>
      <c r="W62" s="77">
        <f t="shared" si="21"/>
        <v>60168.124267811691</v>
      </c>
      <c r="X62" s="77">
        <f t="shared" si="21"/>
        <v>56580.038496552886</v>
      </c>
      <c r="Y62" s="77">
        <f t="shared" si="21"/>
        <v>52969.803408893</v>
      </c>
      <c r="Z62" s="77">
        <f t="shared" si="21"/>
        <v>49337.243656077189</v>
      </c>
      <c r="AA62" s="77">
        <f t="shared" si="21"/>
        <v>45682.182501172974</v>
      </c>
      <c r="AB62" s="77">
        <f t="shared" si="21"/>
        <v>42004.441808080483</v>
      </c>
      <c r="AC62" s="77">
        <f t="shared" si="21"/>
        <v>38303.842030455729</v>
      </c>
      <c r="AD62" s="77">
        <f t="shared" si="21"/>
        <v>34580.202200546162</v>
      </c>
      <c r="AE62" s="77">
        <f t="shared" si="21"/>
        <v>30833.339917937861</v>
      </c>
      <c r="AF62" s="77">
        <f t="shared" si="21"/>
        <v>27063.071338213627</v>
      </c>
      <c r="AG62" s="77">
        <f t="shared" si="21"/>
        <v>23269.211161521293</v>
      </c>
      <c r="AH62" s="77">
        <f t="shared" si="21"/>
        <v>19451.572621051528</v>
      </c>
      <c r="AI62" s="77">
        <f t="shared" si="21"/>
        <v>15609.967471424428</v>
      </c>
      <c r="AJ62" s="77">
        <f>+AI65</f>
        <v>11744.205976984165</v>
      </c>
      <c r="AK62" s="77">
        <f>+AJ65</f>
        <v>7854.0969000009663</v>
      </c>
      <c r="AL62" s="77">
        <f>+AK65</f>
        <v>3939.4474887797005</v>
      </c>
      <c r="AM62" s="259">
        <f>SUM(C62:AL62)</f>
        <v>2316100.2618159666</v>
      </c>
      <c r="AP62" s="67"/>
      <c r="AQ62" s="77"/>
      <c r="AR62" s="77"/>
      <c r="AS62" s="77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</row>
    <row r="63" spans="1:93" s="83" customFormat="1" x14ac:dyDescent="0.2">
      <c r="A63" s="357" t="s">
        <v>159</v>
      </c>
      <c r="B63" s="77"/>
      <c r="C63" s="77">
        <f>IF(C54=pdmon,Assumpt!$S$6,0)</f>
        <v>127536.68015927149</v>
      </c>
      <c r="D63" s="77">
        <f>IF(D54=pdmon,Assumpt!$S$6,0)</f>
        <v>0</v>
      </c>
      <c r="E63" s="77">
        <f>IF(E54=pdmon,Assumpt!$S$6,0)</f>
        <v>0</v>
      </c>
      <c r="F63" s="77">
        <f>IF(F54=pdmon,Assumpt!$S$6,0)</f>
        <v>0</v>
      </c>
      <c r="G63" s="77">
        <f>IF(G54=pdmon,Assumpt!$S$6,0)</f>
        <v>0</v>
      </c>
      <c r="H63" s="77">
        <f>IF(H54=pdmon,Assumpt!$S$6,0)</f>
        <v>0</v>
      </c>
      <c r="I63" s="77">
        <f>IF(I54=pdmon,Assumpt!$S$6,0)</f>
        <v>0</v>
      </c>
      <c r="J63" s="77">
        <f>IF(J54=pdmon,Assumpt!$S$6,0)</f>
        <v>0</v>
      </c>
      <c r="K63" s="77">
        <f>IF(K54=pdmon,Assumpt!$S$6,0)</f>
        <v>0</v>
      </c>
      <c r="L63" s="77">
        <f>IF(L54=pdmon,Assumpt!$S$6,0)</f>
        <v>0</v>
      </c>
      <c r="M63" s="77">
        <f>IF(M54=pdmon,Assumpt!$S$6,0)</f>
        <v>0</v>
      </c>
      <c r="N63" s="77">
        <f>IF(N54=pdmon,Assumpt!$S$6,0)</f>
        <v>0</v>
      </c>
      <c r="O63" s="77">
        <f>IF(O54=pdmon,Assumpt!$S$6,0)</f>
        <v>0</v>
      </c>
      <c r="P63" s="77">
        <f>IF(P54=pdmon,Assumpt!$S$6,0)</f>
        <v>0</v>
      </c>
      <c r="Q63" s="77">
        <f>IF(Q54=pdmon,Assumpt!$S$6,0)</f>
        <v>0</v>
      </c>
      <c r="R63" s="77">
        <f>IF(R54=pdmon,Assumpt!$S$6,0)</f>
        <v>0</v>
      </c>
      <c r="S63" s="77">
        <f>IF(S54=pdmon,Assumpt!$S$6,0)</f>
        <v>0</v>
      </c>
      <c r="T63" s="77">
        <f>IF(T54=pdmon,Assumpt!$S$6,0)</f>
        <v>0</v>
      </c>
      <c r="U63" s="77">
        <f>IF(U54=pdmon,Assumpt!$S$6,0)</f>
        <v>0</v>
      </c>
      <c r="V63" s="77">
        <f>IF(V54=pdmon,Assumpt!$S$6,0)</f>
        <v>0</v>
      </c>
      <c r="W63" s="77">
        <f>IF(W54=pdmon,Assumpt!$S$6,0)</f>
        <v>0</v>
      </c>
      <c r="X63" s="77">
        <f>IF(X54=pdmon,Assumpt!$S$6,0)</f>
        <v>0</v>
      </c>
      <c r="Y63" s="77">
        <f>IF(Y54=pdmon,Assumpt!$S$6,0)</f>
        <v>0</v>
      </c>
      <c r="Z63" s="77">
        <f>IF(Z54=pdmon,Assumpt!$S$6,0)</f>
        <v>0</v>
      </c>
      <c r="AA63" s="77">
        <f>IF(AA54=pdmon,Assumpt!$S$6,0)</f>
        <v>0</v>
      </c>
      <c r="AB63" s="77">
        <f>IF(AB54=pdmon,Assumpt!$S$6,0)</f>
        <v>0</v>
      </c>
      <c r="AC63" s="77">
        <f>IF(AC54=pdmon,Assumpt!$S$6,0)</f>
        <v>0</v>
      </c>
      <c r="AD63" s="77">
        <f>IF(AD54=pdmon,Assumpt!$S$6,0)</f>
        <v>0</v>
      </c>
      <c r="AE63" s="77">
        <f>IF(AE54=pdmon,Assumpt!$S$6,0)</f>
        <v>0</v>
      </c>
      <c r="AF63" s="77">
        <f>IF(AF54=pdmon,Assumpt!$S$6,0)</f>
        <v>0</v>
      </c>
      <c r="AG63" s="77">
        <f>IF(AG54=pdmon,Assumpt!$S$6,0)</f>
        <v>0</v>
      </c>
      <c r="AH63" s="77">
        <f>IF(AH54=pdmon,Assumpt!$S$6,0)</f>
        <v>0</v>
      </c>
      <c r="AI63" s="77">
        <f>IF(AI54=pdmon,Assumpt!$S$6,0)</f>
        <v>0</v>
      </c>
      <c r="AJ63" s="77">
        <f>IF(AJ54=pdmon,Assumpt!$S$6,0)</f>
        <v>0</v>
      </c>
      <c r="AK63" s="77">
        <f>IF(AK54=pdmon,Assumpt!$S$6,0)</f>
        <v>0</v>
      </c>
      <c r="AL63" s="77">
        <f>IF(AL54=pdmon,Assumpt!$S$6,0)</f>
        <v>0</v>
      </c>
      <c r="AM63" s="259">
        <f>SUM(C63:AL63)</f>
        <v>127536.68015927149</v>
      </c>
      <c r="AP63" s="77"/>
      <c r="AQ63" s="77"/>
      <c r="AR63" s="77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93" s="436" customFormat="1" x14ac:dyDescent="0.2">
      <c r="A64" s="357" t="s">
        <v>160</v>
      </c>
      <c r="B64" s="72"/>
      <c r="C64" s="72">
        <f>IF(C54&lt;pdmon,0,IF(C54=pdmon,-C28-C32-C36-C40-(SUM($C$43:C43)*debtamt),-C27-C31-C35-C39-(C43*debtamt)))</f>
        <v>-3179.8786228790873</v>
      </c>
      <c r="D64" s="72">
        <f>IF(D54&lt;pdmon,0,IF(D54=pdmon,-D28-D32-D36-D40-(SUM($C$43:D43)*debtamt),-D27-D31-D35-D39-(D43*debtamt)))</f>
        <v>-3198.7962993554966</v>
      </c>
      <c r="E64" s="72">
        <f>IF(E54&lt;pdmon,0,IF(E54=pdmon,-E28-E32-E36-E40-(SUM($C$43:E43)*debtamt),-E27-E31-E35-E39-(E43*debtamt)))</f>
        <v>-3217.8637407706769</v>
      </c>
      <c r="F64" s="72">
        <f>IF(F54&lt;pdmon,0,IF(F54=pdmon,-F28-F32-F36-F40-(SUM($C$43:F43)*debtamt),-F27-F31-F35-F39-(F43*debtamt)))</f>
        <v>-3237.0821327637277</v>
      </c>
      <c r="G64" s="72">
        <f>IF(G54&lt;pdmon,0,IF(G54=pdmon,-G28-G32-G36-G40-(SUM($C$43:G43)*debtamt),-G27-G31-G35-G39-(G43*debtamt)))</f>
        <v>-3256.4526703600568</v>
      </c>
      <c r="H64" s="72">
        <f>IF(H54&lt;pdmon,0,IF(H54=pdmon,-H28-H32-H36-H40-(SUM($C$43:H43)*debtamt),-H27-H31-H35-H39-(H43*debtamt)))</f>
        <v>-3275.9765580456906</v>
      </c>
      <c r="I64" s="72">
        <f>IF(I54&lt;pdmon,0,IF(I54=pdmon,-I28-I32-I36-I40-(SUM($C$43:I43)*debtamt),-I27-I31-I35-I39-(I43*debtamt)))</f>
        <v>-3295.6550098421685</v>
      </c>
      <c r="J64" s="72">
        <f>IF(J54&lt;pdmon,0,IF(J54=pdmon,-J28-J32-J36-J40-(SUM($C$43:J43)*debtamt),-J27-J31-J35-J39-(J43*debtamt)))</f>
        <v>-3315.4892493820353</v>
      </c>
      <c r="K64" s="72">
        <f>IF(K54&lt;pdmon,0,IF(K54=pdmon,-K28-K32-K36-K40-(SUM($C$43:K43)*debtamt),-K27-K31-K35-K39-(K43*debtamt)))</f>
        <v>-3335.4805099849259</v>
      </c>
      <c r="L64" s="72">
        <f>IF(L54&lt;pdmon,0,IF(L54=pdmon,-L28-L32-L36-L40-(SUM($C$43:L43)*debtamt),-L27-L31-L35-L39-(L43*debtamt)))</f>
        <v>-3355.6300347342562</v>
      </c>
      <c r="M64" s="72">
        <f>IF(M54&lt;pdmon,0,IF(M54=pdmon,-M28-M32-M36-M40-(SUM($C$43:M43)*debtamt),-M27-M31-M35-M39-(M43*debtamt)))</f>
        <v>-3375.9390765545186</v>
      </c>
      <c r="N64" s="72">
        <f>IF(N54&lt;pdmon,0,IF(N54=pdmon,-N28-N32-N36-N40-(SUM($C$43:N43)*debtamt),-N27-N31-N35-N39-(N43*debtamt)))</f>
        <v>-3396.4088982891917</v>
      </c>
      <c r="O64" s="72">
        <f>IF(O54&lt;pdmon,0,IF(O54=pdmon,-O28-O32-O36-O40-(SUM($C$43:O43)*debtamt),-O27-O31-O35-O39-(O43*debtamt)))</f>
        <v>-3417.040772779264</v>
      </c>
      <c r="P64" s="72">
        <f>IF(P54&lt;pdmon,0,IF(P54=pdmon,-P28-P32-P36-P40-(SUM($C$43:P43)*debtamt),-P27-P31-P35-P39-(P43*debtamt)))</f>
        <v>-3437.8359829423825</v>
      </c>
      <c r="Q64" s="72">
        <f>IF(Q54&lt;pdmon,0,IF(Q54=pdmon,-Q28-Q32-Q36-Q40-(SUM($C$43:Q43)*debtamt),-Q27-Q31-Q35-Q39-(Q43*debtamt)))</f>
        <v>-3458.795821852626</v>
      </c>
      <c r="R64" s="72">
        <f>IF(R54&lt;pdmon,0,IF(R54=pdmon,-R28-R32-R36-R40-(SUM($C$43:R43)*debtamt),-R27-R31-R35-R39-(R43*debtamt)))</f>
        <v>-3479.9215928209087</v>
      </c>
      <c r="S64" s="72">
        <f>IF(S54&lt;pdmon,0,IF(S54=pdmon,-S28-S32-S36-S40-(SUM($C$43:S43)*debtamt),-S27-S31-S35-S39-(S43*debtamt)))</f>
        <v>-3501.2146094760242</v>
      </c>
      <c r="T64" s="72">
        <f>IF(T54&lt;pdmon,0,IF(T54=pdmon,-T28-T32-T36-T40-(SUM($C$43:T43)*debtamt),-T27-T31-T35-T39-(T43*debtamt)))</f>
        <v>-3522.6761958463258</v>
      </c>
      <c r="U64" s="72">
        <f>IF(U54&lt;pdmon,0,IF(U54=pdmon,-U28-U32-U36-U40-(SUM($C$43:U43)*debtamt),-U27-U31-U35-U39-(U43*debtamt)))</f>
        <v>-3544.3076864420586</v>
      </c>
      <c r="V64" s="72">
        <f>IF(V54&lt;pdmon,0,IF(V54=pdmon,-V28-V32-V36-V40-(SUM($C$43:V43)*debtamt),-V27-V31-V35-V39-(V43*debtamt)))</f>
        <v>-3566.1104263383409</v>
      </c>
      <c r="W64" s="72">
        <f>IF(W54&lt;pdmon,0,IF(W54=pdmon,-W28-W32-W36-W40-(SUM($C$43:W43)*debtamt),-W27-W31-W35-W39-(W43*debtamt)))</f>
        <v>-3588.0857712588027</v>
      </c>
      <c r="X64" s="72">
        <f>IF(X54&lt;pdmon,0,IF(X54=pdmon,-X28-X32-X36-X40-(SUM($C$43:X43)*debtamt),-X27-X31-X35-X39-(X43*debtamt)))</f>
        <v>-3610.2350876598844</v>
      </c>
      <c r="Y64" s="72">
        <f>IF(Y54&lt;pdmon,0,IF(Y54=pdmon,-Y28-Y32-Y36-Y40-(SUM($C$43:Y43)*debtamt),-Y27-Y31-Y35-Y39-(Y43*debtamt)))</f>
        <v>-3632.5597528158082</v>
      </c>
      <c r="Z64" s="72">
        <f>IF(Z54&lt;pdmon,0,IF(Z54=pdmon,-Z28-Z32-Z36-Z40-(SUM($C$43:Z43)*debtamt),-Z27-Z31-Z35-Z39-(Z43*debtamt)))</f>
        <v>-3655.061154904216</v>
      </c>
      <c r="AA64" s="72">
        <f>IF(AA54&lt;pdmon,0,IF(AA54=pdmon,-AA28-AA32-AA36-AA40-(SUM($C$43:AA43)*debtamt),-AA27-AA31-AA35-AA39-(AA43*debtamt)))</f>
        <v>-3677.7406930924908</v>
      </c>
      <c r="AB64" s="72">
        <f>IF(AB54&lt;pdmon,0,IF(AB54=pdmon,-AB28-AB32-AB36-AB40-(SUM($C$43:AB43)*debtamt),-AB27-AB31-AB35-AB39-(AB43*debtamt)))</f>
        <v>-3700.5997776247559</v>
      </c>
      <c r="AC64" s="72">
        <f>IF(AC54&lt;pdmon,0,IF(AC54=pdmon,-AC28-AC32-AC36-AC40-(SUM($C$43:AC43)*debtamt),-AC27-AC31-AC35-AC39-(AC43*debtamt)))</f>
        <v>-3723.6398299095681</v>
      </c>
      <c r="AD64" s="72">
        <f>IF(AD54&lt;pdmon,0,IF(AD54=pdmon,-AD28-AD32-AD36-AD40-(SUM($C$43:AD43)*debtamt),-AD27-AD31-AD35-AD39-(AD43*debtamt)))</f>
        <v>-3746.8622826083019</v>
      </c>
      <c r="AE64" s="72">
        <f>IF(AE54&lt;pdmon,0,IF(AE54=pdmon,-AE28-AE32-AE36-AE40-(SUM($C$43:AE43)*debtamt),-AE27-AE31-AE35-AE39-(AE43*debtamt)))</f>
        <v>-3770.2685797242339</v>
      </c>
      <c r="AF64" s="72">
        <f>IF(AF54&lt;pdmon,0,IF(AF54=pdmon,-AF28-AF32-AF36-AF40-(SUM($C$43:AF43)*debtamt),-AF27-AF31-AF35-AF39-(AF43*debtamt)))</f>
        <v>-3793.8601766923339</v>
      </c>
      <c r="AG64" s="72">
        <f>IF(AG54&lt;pdmon,0,IF(AG54=pdmon,-AG28-AG32-AG36-AG40-(SUM($C$43:AG43)*debtamt),-AG27-AG31-AG35-AG39-(AG43*debtamt)))</f>
        <v>-3817.6385404697644</v>
      </c>
      <c r="AH64" s="72">
        <f>IF(AH54&lt;pdmon,0,IF(AH54=pdmon,-AH28-AH32-AH36-AH40-(SUM($C$43:AH43)*debtamt),-AH27-AH31-AH35-AH39-(AH43*debtamt)))</f>
        <v>-3841.6051496270998</v>
      </c>
      <c r="AI64" s="72">
        <f>IF(AI54&lt;pdmon,0,IF(AI54=pdmon,-AI28-AI32-AI36-AI40-(SUM($C$43:AI43)*debtamt),-AI27-AI31-AI35-AI39-(AI43*debtamt)))</f>
        <v>-3865.761494440264</v>
      </c>
      <c r="AJ64" s="72">
        <f>IF(AJ54&lt;pdmon,0,IF(AJ54=pdmon,-AJ28-AJ32-AJ36-AJ40-(SUM($C$43:AJ43)*debtamt),-AJ27-AJ31-AJ35-AJ39-(AJ43*debtamt)))</f>
        <v>-3890.109076983199</v>
      </c>
      <c r="AK64" s="72">
        <f>IF(AK54&lt;pdmon,0,IF(AK54=pdmon,-AK28-AK32-AK36-AK40-(SUM($C$43:AK43)*debtamt),-AK27-AK31-AK35-AK39-(AK43*debtamt)))</f>
        <v>-3914.6494112212658</v>
      </c>
      <c r="AL64" s="72">
        <f>IF(AL54&lt;pdmon,0,IF(AL54=pdmon,-AL28-AL32-AL36-AL40-(SUM($C$43:AL43)*debtamt),-AL27-AL31-AL35-AL39-(AL43*debtamt)))</f>
        <v>-3939.3840231054055</v>
      </c>
      <c r="AM64" s="262">
        <f>SUM(C64:AL64)</f>
        <v>-127536.61669359714</v>
      </c>
      <c r="AN64" s="83"/>
      <c r="AO64" s="83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</row>
    <row r="65" spans="1:81" s="83" customFormat="1" x14ac:dyDescent="0.2">
      <c r="A65" s="357" t="s">
        <v>161</v>
      </c>
      <c r="B65" s="77"/>
      <c r="C65" s="77">
        <f t="shared" ref="C65:L65" si="22">SUM(C62:C64)</f>
        <v>124356.80153639241</v>
      </c>
      <c r="D65" s="77">
        <f t="shared" si="22"/>
        <v>121158.00523703691</v>
      </c>
      <c r="E65" s="77">
        <f t="shared" si="22"/>
        <v>117940.14149626624</v>
      </c>
      <c r="F65" s="77">
        <f t="shared" si="22"/>
        <v>114703.05936350251</v>
      </c>
      <c r="G65" s="77">
        <f t="shared" si="22"/>
        <v>111446.60669314246</v>
      </c>
      <c r="H65" s="77">
        <f t="shared" si="22"/>
        <v>108170.63013509677</v>
      </c>
      <c r="I65" s="77">
        <f t="shared" si="22"/>
        <v>104874.9751252546</v>
      </c>
      <c r="J65" s="77">
        <f t="shared" si="22"/>
        <v>101559.48587587256</v>
      </c>
      <c r="K65" s="77">
        <f t="shared" si="22"/>
        <v>98224.005365887628</v>
      </c>
      <c r="L65" s="77">
        <f t="shared" si="22"/>
        <v>94868.375331153366</v>
      </c>
      <c r="M65" s="77">
        <f t="shared" ref="M65:AB65" si="23">SUM(M62:M64)</f>
        <v>91492.436254598841</v>
      </c>
      <c r="N65" s="77">
        <f t="shared" si="23"/>
        <v>88096.027356309642</v>
      </c>
      <c r="O65" s="77">
        <f t="shared" si="23"/>
        <v>84678.986583530379</v>
      </c>
      <c r="P65" s="77">
        <f t="shared" si="23"/>
        <v>81241.150600587993</v>
      </c>
      <c r="Q65" s="77">
        <f t="shared" si="23"/>
        <v>77782.35477873536</v>
      </c>
      <c r="R65" s="77">
        <f t="shared" si="23"/>
        <v>74302.433185914444</v>
      </c>
      <c r="S65" s="77">
        <f t="shared" si="23"/>
        <v>70801.218576438419</v>
      </c>
      <c r="T65" s="77">
        <f t="shared" si="23"/>
        <v>67278.542380592087</v>
      </c>
      <c r="U65" s="77">
        <f t="shared" si="23"/>
        <v>63734.234694150029</v>
      </c>
      <c r="V65" s="77">
        <f t="shared" si="23"/>
        <v>60168.124267811691</v>
      </c>
      <c r="W65" s="77">
        <f t="shared" si="23"/>
        <v>56580.038496552886</v>
      </c>
      <c r="X65" s="77">
        <f t="shared" si="23"/>
        <v>52969.803408893</v>
      </c>
      <c r="Y65" s="77">
        <f t="shared" si="23"/>
        <v>49337.243656077189</v>
      </c>
      <c r="Z65" s="77">
        <f t="shared" si="23"/>
        <v>45682.182501172974</v>
      </c>
      <c r="AA65" s="77">
        <f t="shared" si="23"/>
        <v>42004.441808080483</v>
      </c>
      <c r="AB65" s="77">
        <f t="shared" si="23"/>
        <v>38303.842030455729</v>
      </c>
      <c r="AC65" s="77">
        <f t="shared" ref="AC65:AL65" si="24">SUM(AC62:AC64)</f>
        <v>34580.202200546162</v>
      </c>
      <c r="AD65" s="77">
        <f t="shared" si="24"/>
        <v>30833.339917937861</v>
      </c>
      <c r="AE65" s="77">
        <f t="shared" si="24"/>
        <v>27063.071338213627</v>
      </c>
      <c r="AF65" s="77">
        <f t="shared" si="24"/>
        <v>23269.211161521293</v>
      </c>
      <c r="AG65" s="77">
        <f t="shared" si="24"/>
        <v>19451.572621051528</v>
      </c>
      <c r="AH65" s="77">
        <f t="shared" si="24"/>
        <v>15609.967471424428</v>
      </c>
      <c r="AI65" s="77">
        <f t="shared" si="24"/>
        <v>11744.205976984165</v>
      </c>
      <c r="AJ65" s="77">
        <f t="shared" si="24"/>
        <v>7854.0969000009663</v>
      </c>
      <c r="AK65" s="77">
        <f t="shared" si="24"/>
        <v>3939.4474887797005</v>
      </c>
      <c r="AL65" s="77">
        <f t="shared" si="24"/>
        <v>6.3465674295002827E-2</v>
      </c>
      <c r="AM65" s="259">
        <f>SUM(C65:AL65)</f>
        <v>2316100.325281641</v>
      </c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</row>
    <row r="66" spans="1:81" s="83" customFormat="1" x14ac:dyDescent="0.2">
      <c r="A66" s="35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259">
        <f>SUM(C66:AF66)</f>
        <v>0</v>
      </c>
    </row>
    <row r="67" spans="1:81" s="83" customFormat="1" x14ac:dyDescent="0.2">
      <c r="A67" s="357" t="s">
        <v>162</v>
      </c>
      <c r="B67" s="77"/>
      <c r="C67" s="77">
        <f t="shared" ref="C67:L67" si="25">IF(AVERAGE(C62,C65)&lt;0,0,AVERAGE(C62,C65))</f>
        <v>62178.400768196203</v>
      </c>
      <c r="D67" s="77">
        <f t="shared" si="25"/>
        <v>122757.40338671466</v>
      </c>
      <c r="E67" s="77">
        <f t="shared" si="25"/>
        <v>119549.07336665157</v>
      </c>
      <c r="F67" s="77">
        <f t="shared" si="25"/>
        <v>116321.60042988438</v>
      </c>
      <c r="G67" s="77">
        <f t="shared" si="25"/>
        <v>113074.83302832249</v>
      </c>
      <c r="H67" s="77">
        <f t="shared" si="25"/>
        <v>109808.61841411961</v>
      </c>
      <c r="I67" s="77">
        <f t="shared" si="25"/>
        <v>106522.80263017569</v>
      </c>
      <c r="J67" s="77">
        <f t="shared" si="25"/>
        <v>103217.23050056357</v>
      </c>
      <c r="K67" s="77">
        <f t="shared" si="25"/>
        <v>99891.745620880101</v>
      </c>
      <c r="L67" s="77">
        <f t="shared" si="25"/>
        <v>96546.190348520497</v>
      </c>
      <c r="M67" s="77">
        <f t="shared" ref="M67:AB67" si="26">IF(AVERAGE(M62,M65)&lt;0,0,AVERAGE(M62,M65))</f>
        <v>93180.405792876103</v>
      </c>
      <c r="N67" s="77">
        <f t="shared" si="26"/>
        <v>89794.231805454241</v>
      </c>
      <c r="O67" s="77">
        <f t="shared" si="26"/>
        <v>86387.50696992001</v>
      </c>
      <c r="P67" s="77">
        <f t="shared" si="26"/>
        <v>82960.068592059193</v>
      </c>
      <c r="Q67" s="77">
        <f t="shared" si="26"/>
        <v>79511.752689661676</v>
      </c>
      <c r="R67" s="77">
        <f t="shared" si="26"/>
        <v>76042.393982324895</v>
      </c>
      <c r="S67" s="77">
        <f t="shared" si="26"/>
        <v>72551.825881176424</v>
      </c>
      <c r="T67" s="77">
        <f t="shared" si="26"/>
        <v>69039.880478515261</v>
      </c>
      <c r="U67" s="77">
        <f t="shared" si="26"/>
        <v>65506.388537371058</v>
      </c>
      <c r="V67" s="77">
        <f t="shared" si="26"/>
        <v>61951.179480980863</v>
      </c>
      <c r="W67" s="77">
        <f t="shared" si="26"/>
        <v>58374.081382182289</v>
      </c>
      <c r="X67" s="77">
        <f t="shared" si="26"/>
        <v>54774.92095272294</v>
      </c>
      <c r="Y67" s="77">
        <f t="shared" si="26"/>
        <v>51153.523532485095</v>
      </c>
      <c r="Z67" s="77">
        <f t="shared" si="26"/>
        <v>47509.713078625078</v>
      </c>
      <c r="AA67" s="77">
        <f t="shared" si="26"/>
        <v>43843.312154626728</v>
      </c>
      <c r="AB67" s="77">
        <f t="shared" si="26"/>
        <v>40154.141919268106</v>
      </c>
      <c r="AC67" s="77">
        <f t="shared" ref="AC67:AL67" si="27">IF(AVERAGE(AC62,AC65)&lt;0,0,AVERAGE(AC62,AC65))</f>
        <v>36442.022115500949</v>
      </c>
      <c r="AD67" s="77">
        <f t="shared" si="27"/>
        <v>32706.771059242012</v>
      </c>
      <c r="AE67" s="77">
        <f t="shared" si="27"/>
        <v>28948.205628075746</v>
      </c>
      <c r="AF67" s="77">
        <f t="shared" si="27"/>
        <v>25166.141249867462</v>
      </c>
      <c r="AG67" s="77">
        <f t="shared" si="27"/>
        <v>21360.39189128641</v>
      </c>
      <c r="AH67" s="77">
        <f t="shared" si="27"/>
        <v>17530.77004623798</v>
      </c>
      <c r="AI67" s="77">
        <f t="shared" si="27"/>
        <v>13677.086724204297</v>
      </c>
      <c r="AJ67" s="77">
        <f t="shared" si="27"/>
        <v>9799.1514384925649</v>
      </c>
      <c r="AK67" s="77">
        <f t="shared" si="27"/>
        <v>5896.7721943903334</v>
      </c>
      <c r="AL67" s="77">
        <f t="shared" si="27"/>
        <v>1969.7554772269978</v>
      </c>
      <c r="AM67" s="259">
        <f>SUM(C67:AL67)</f>
        <v>2316100.2935488028</v>
      </c>
      <c r="AP67" s="67"/>
      <c r="AQ67" s="77"/>
      <c r="AR67" s="77"/>
      <c r="AS67" s="77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</row>
    <row r="68" spans="1:81" s="83" customFormat="1" x14ac:dyDescent="0.2">
      <c r="A68" s="360" t="s">
        <v>217</v>
      </c>
      <c r="B68" s="77"/>
      <c r="C68" s="77">
        <f>+C67*C$60/12</f>
        <v>25.907666986748421</v>
      </c>
      <c r="D68" s="77">
        <f t="shared" ref="D68:AL68" si="28">+D67*D$60/12</f>
        <v>51.148918077797781</v>
      </c>
      <c r="E68" s="77">
        <f t="shared" si="28"/>
        <v>49.812113902771493</v>
      </c>
      <c r="F68" s="77">
        <f t="shared" si="28"/>
        <v>48.467333512451823</v>
      </c>
      <c r="G68" s="77">
        <f t="shared" si="28"/>
        <v>47.114513761801042</v>
      </c>
      <c r="H68" s="77">
        <f t="shared" si="28"/>
        <v>45.753591005883173</v>
      </c>
      <c r="I68" s="77">
        <f t="shared" si="28"/>
        <v>44.384501095906536</v>
      </c>
      <c r="J68" s="77">
        <f t="shared" si="28"/>
        <v>43.00717937523482</v>
      </c>
      <c r="K68" s="77">
        <f t="shared" si="28"/>
        <v>41.621560675366709</v>
      </c>
      <c r="L68" s="77">
        <f t="shared" si="28"/>
        <v>40.227579311883538</v>
      </c>
      <c r="M68" s="77">
        <f t="shared" si="28"/>
        <v>38.825169080365043</v>
      </c>
      <c r="N68" s="77">
        <f t="shared" si="28"/>
        <v>37.414263252272598</v>
      </c>
      <c r="O68" s="77">
        <f t="shared" si="28"/>
        <v>35.994794570800003</v>
      </c>
      <c r="P68" s="77">
        <f t="shared" si="28"/>
        <v>34.566695246691332</v>
      </c>
      <c r="Q68" s="77">
        <f t="shared" si="28"/>
        <v>33.129896954025703</v>
      </c>
      <c r="R68" s="77">
        <f t="shared" si="28"/>
        <v>31.684330825968704</v>
      </c>
      <c r="S68" s="77">
        <f t="shared" si="28"/>
        <v>30.229927450490177</v>
      </c>
      <c r="T68" s="77">
        <f t="shared" si="28"/>
        <v>28.766616866048025</v>
      </c>
      <c r="U68" s="77">
        <f t="shared" si="28"/>
        <v>27.294328557237943</v>
      </c>
      <c r="V68" s="77">
        <f t="shared" si="28"/>
        <v>25.812991450408692</v>
      </c>
      <c r="W68" s="77">
        <f t="shared" si="28"/>
        <v>24.322533909242622</v>
      </c>
      <c r="X68" s="77">
        <f t="shared" si="28"/>
        <v>22.822883730301225</v>
      </c>
      <c r="Y68" s="77">
        <f t="shared" si="28"/>
        <v>21.313968138535454</v>
      </c>
      <c r="Z68" s="77">
        <f t="shared" si="28"/>
        <v>19.795713782760448</v>
      </c>
      <c r="AA68" s="77">
        <f t="shared" si="28"/>
        <v>18.268046731094469</v>
      </c>
      <c r="AB68" s="77">
        <f t="shared" si="28"/>
        <v>16.730892466361713</v>
      </c>
      <c r="AC68" s="77">
        <f t="shared" si="28"/>
        <v>15.18417588145873</v>
      </c>
      <c r="AD68" s="77">
        <f t="shared" si="28"/>
        <v>13.627821274684171</v>
      </c>
      <c r="AE68" s="77">
        <f t="shared" si="28"/>
        <v>12.061752345031563</v>
      </c>
      <c r="AF68" s="77">
        <f t="shared" si="28"/>
        <v>10.485892187444776</v>
      </c>
      <c r="AG68" s="77">
        <f t="shared" si="28"/>
        <v>8.9001632880360049</v>
      </c>
      <c r="AH68" s="77">
        <f t="shared" si="28"/>
        <v>7.3044875192658258</v>
      </c>
      <c r="AI68" s="77">
        <f t="shared" si="28"/>
        <v>5.6987861350851245</v>
      </c>
      <c r="AJ68" s="77">
        <f t="shared" si="28"/>
        <v>4.0829797660385685</v>
      </c>
      <c r="AK68" s="77">
        <f t="shared" si="28"/>
        <v>2.4569884143293055</v>
      </c>
      <c r="AL68" s="77">
        <f t="shared" si="28"/>
        <v>0.82073144884458238</v>
      </c>
      <c r="AM68" s="259">
        <f>SUM(C68:AL68)</f>
        <v>965.04178897866814</v>
      </c>
      <c r="AP68" s="77"/>
      <c r="AQ68" s="77"/>
      <c r="AR68" s="77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</row>
    <row r="69" spans="1:81" x14ac:dyDescent="0.2">
      <c r="A69" s="203"/>
      <c r="B69" s="44"/>
      <c r="C69" s="44"/>
      <c r="D69" s="44"/>
      <c r="E69" s="44"/>
      <c r="F69" s="44"/>
      <c r="G69" s="44"/>
      <c r="H69" s="210"/>
      <c r="I69" s="210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250"/>
      <c r="AP69" s="44"/>
      <c r="AQ69" s="44"/>
      <c r="AR69" s="4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4"/>
      <c r="BJ69" s="254"/>
      <c r="BK69" s="254"/>
      <c r="BL69" s="254"/>
      <c r="BM69" s="254"/>
      <c r="BN69" s="254"/>
      <c r="BO69" s="254"/>
      <c r="BP69" s="254"/>
      <c r="BQ69" s="254"/>
      <c r="BR69" s="254"/>
      <c r="BS69" s="254"/>
      <c r="BT69" s="254"/>
      <c r="BU69" s="254"/>
      <c r="BV69" s="254"/>
      <c r="BW69" s="254"/>
      <c r="BX69" s="254"/>
      <c r="BY69" s="254"/>
      <c r="BZ69" s="254"/>
      <c r="CA69" s="254"/>
      <c r="CB69" s="254"/>
    </row>
    <row r="70" spans="1:81" x14ac:dyDescent="0.2">
      <c r="A70" s="337" t="s">
        <v>250</v>
      </c>
      <c r="B70" s="271">
        <f>SUM(C68:AL68)</f>
        <v>965.04178897866814</v>
      </c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72"/>
      <c r="AP70" s="44"/>
      <c r="AQ70" s="44"/>
      <c r="AR70" s="44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254"/>
    </row>
    <row r="72" spans="1:81" x14ac:dyDescent="0.2">
      <c r="A72" s="44"/>
      <c r="B72" s="44"/>
      <c r="C72" s="44"/>
      <c r="D72" s="44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P72" s="244"/>
      <c r="AQ72" s="44"/>
      <c r="AR72" s="44"/>
      <c r="AS72" s="77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</row>
    <row r="73" spans="1:81" s="274" customFormat="1" x14ac:dyDescent="0.2">
      <c r="A73" s="156"/>
      <c r="B73" s="156"/>
      <c r="C73" s="156"/>
      <c r="D73" s="156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73"/>
      <c r="AG73" s="273"/>
      <c r="AH73" s="273"/>
      <c r="AI73" s="273"/>
      <c r="AJ73" s="273"/>
      <c r="AK73" s="273"/>
      <c r="AL73" s="273"/>
      <c r="AM73" s="273"/>
      <c r="AN73" s="19"/>
      <c r="AO73" s="19"/>
      <c r="AP73" s="44"/>
      <c r="AQ73" s="44"/>
      <c r="AR73" s="44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</row>
    <row r="74" spans="1:81" x14ac:dyDescent="0.2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P74" s="44"/>
      <c r="AQ74" s="44"/>
      <c r="AR74" s="4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4"/>
      <c r="BJ74" s="254"/>
      <c r="BK74" s="254"/>
      <c r="BL74" s="254"/>
      <c r="BM74" s="254"/>
      <c r="BN74" s="254"/>
      <c r="BO74" s="254"/>
      <c r="BP74" s="254"/>
      <c r="BQ74" s="254"/>
      <c r="BR74" s="254"/>
      <c r="BS74" s="254"/>
      <c r="BT74" s="254"/>
      <c r="BU74" s="254"/>
      <c r="BV74" s="254"/>
      <c r="BW74" s="254"/>
      <c r="BX74" s="254"/>
      <c r="BY74" s="254"/>
      <c r="BZ74" s="254"/>
      <c r="CA74" s="254"/>
      <c r="CB74" s="254"/>
    </row>
    <row r="75" spans="1:81" x14ac:dyDescent="0.2">
      <c r="A75" s="44"/>
      <c r="B75" s="44"/>
      <c r="C75" s="44"/>
      <c r="D75" s="4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P75" s="44"/>
      <c r="AQ75" s="44"/>
      <c r="AR75" s="44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254"/>
    </row>
    <row r="76" spans="1:81" ht="15" x14ac:dyDescent="0.35">
      <c r="A76" s="44"/>
      <c r="B76" s="44"/>
      <c r="C76" s="44"/>
      <c r="D76" s="44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</row>
    <row r="77" spans="1:81" x14ac:dyDescent="0.2">
      <c r="A77" s="44"/>
      <c r="B77" s="44"/>
      <c r="C77" s="44"/>
      <c r="D77" s="4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</row>
    <row r="78" spans="1:81" x14ac:dyDescent="0.2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81" x14ac:dyDescent="0.2">
      <c r="A79" s="44"/>
      <c r="B79" s="25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81" x14ac:dyDescent="0.2">
      <c r="A80" s="44"/>
      <c r="B80" s="25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x14ac:dyDescent="0.2">
      <c r="A81" s="44"/>
      <c r="B81" s="25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x14ac:dyDescent="0.2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x14ac:dyDescent="0.2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x14ac:dyDescent="0.2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x14ac:dyDescent="0.2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x14ac:dyDescent="0.2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x14ac:dyDescent="0.2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</row>
    <row r="88" spans="1:39" x14ac:dyDescent="0.2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</row>
    <row r="89" spans="1:39" ht="15.75" x14ac:dyDescent="0.25">
      <c r="A89" s="276"/>
      <c r="B89" s="156"/>
      <c r="C89" s="156"/>
      <c r="D89" s="156"/>
      <c r="E89" s="69"/>
      <c r="F89" s="69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</row>
    <row r="90" spans="1:39" ht="15.75" x14ac:dyDescent="0.25">
      <c r="A90" s="276"/>
      <c r="B90" s="156"/>
      <c r="C90" s="156"/>
      <c r="D90" s="156"/>
      <c r="E90" s="69"/>
      <c r="F90" s="69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</row>
    <row r="91" spans="1:39" ht="15.75" x14ac:dyDescent="0.25">
      <c r="A91" s="276"/>
      <c r="B91" s="156"/>
      <c r="C91" s="156"/>
      <c r="D91" s="156"/>
      <c r="E91" s="69"/>
      <c r="F91" s="69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</row>
    <row r="92" spans="1:39" x14ac:dyDescent="0.2">
      <c r="A92" s="156"/>
      <c r="B92" s="156"/>
      <c r="C92" s="156"/>
      <c r="D92" s="156"/>
      <c r="E92" s="69"/>
      <c r="F92" s="69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</row>
    <row r="93" spans="1:39" x14ac:dyDescent="0.2">
      <c r="A93" s="156"/>
      <c r="B93" s="277"/>
      <c r="C93" s="277"/>
      <c r="D93" s="156"/>
      <c r="E93" s="69"/>
      <c r="F93" s="69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</row>
    <row r="94" spans="1:39" x14ac:dyDescent="0.2">
      <c r="A94" s="156"/>
      <c r="B94" s="278"/>
      <c r="C94" s="278"/>
      <c r="D94" s="279"/>
      <c r="E94" s="156"/>
      <c r="F94" s="69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</row>
    <row r="95" spans="1:39" x14ac:dyDescent="0.2">
      <c r="A95" s="156"/>
      <c r="B95" s="156"/>
      <c r="C95" s="280"/>
      <c r="D95" s="15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</row>
    <row r="96" spans="1:39" x14ac:dyDescent="0.2">
      <c r="A96" s="156"/>
      <c r="B96" s="156"/>
      <c r="C96" s="69"/>
      <c r="D96" s="156"/>
      <c r="E96" s="156"/>
      <c r="F96" s="280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280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</row>
    <row r="97" spans="1:39" x14ac:dyDescent="0.2">
      <c r="A97" s="156"/>
      <c r="B97" s="156"/>
      <c r="C97" s="280"/>
      <c r="D97" s="156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</row>
    <row r="98" spans="1:39" x14ac:dyDescent="0.2">
      <c r="A98" s="281"/>
      <c r="B98" s="156"/>
      <c r="C98" s="156"/>
      <c r="D98" s="156"/>
      <c r="E98" s="282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  <c r="AD98" s="283"/>
      <c r="AE98" s="283"/>
      <c r="AF98" s="283"/>
      <c r="AG98" s="283"/>
      <c r="AH98" s="283"/>
      <c r="AI98" s="283"/>
      <c r="AJ98" s="283"/>
      <c r="AK98" s="283"/>
      <c r="AL98" s="283"/>
      <c r="AM98" s="283"/>
    </row>
    <row r="99" spans="1:39" x14ac:dyDescent="0.2">
      <c r="A99" s="156"/>
      <c r="B99" s="156"/>
      <c r="C99" s="156"/>
      <c r="D99" s="156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  <c r="AB99" s="284"/>
      <c r="AC99" s="284"/>
      <c r="AD99" s="284"/>
      <c r="AE99" s="284"/>
      <c r="AF99" s="284"/>
      <c r="AG99" s="284"/>
      <c r="AH99" s="284"/>
      <c r="AI99" s="284"/>
      <c r="AJ99" s="284"/>
      <c r="AK99" s="284"/>
      <c r="AL99" s="284"/>
      <c r="AM99" s="284"/>
    </row>
    <row r="100" spans="1:39" x14ac:dyDescent="0.2">
      <c r="A100" s="285"/>
      <c r="B100" s="286"/>
      <c r="C100" s="286"/>
      <c r="D100" s="28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</row>
    <row r="101" spans="1:39" x14ac:dyDescent="0.2">
      <c r="A101" s="156"/>
      <c r="B101" s="156"/>
      <c r="C101" s="156"/>
      <c r="D101" s="156"/>
      <c r="E101" s="287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  <c r="AD101" s="283"/>
      <c r="AE101" s="283"/>
      <c r="AF101" s="283"/>
      <c r="AG101" s="283"/>
      <c r="AH101" s="283"/>
      <c r="AI101" s="283"/>
      <c r="AJ101" s="283"/>
      <c r="AK101" s="283"/>
      <c r="AL101" s="283"/>
      <c r="AM101" s="283"/>
    </row>
    <row r="102" spans="1:39" x14ac:dyDescent="0.2">
      <c r="A102" s="156"/>
      <c r="B102" s="156"/>
      <c r="C102" s="156"/>
      <c r="D102" s="156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</row>
    <row r="103" spans="1:39" x14ac:dyDescent="0.2">
      <c r="A103" s="156"/>
      <c r="B103" s="286"/>
      <c r="C103" s="286"/>
      <c r="D103" s="289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  <c r="AI103" s="290"/>
      <c r="AJ103" s="290"/>
      <c r="AK103" s="290"/>
      <c r="AL103" s="290"/>
      <c r="AM103" s="290"/>
    </row>
    <row r="104" spans="1:39" x14ac:dyDescent="0.2">
      <c r="A104" s="156"/>
      <c r="B104" s="156"/>
      <c r="C104" s="156"/>
      <c r="D104" s="156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</row>
    <row r="105" spans="1:39" x14ac:dyDescent="0.2">
      <c r="A105" s="156"/>
      <c r="B105" s="156"/>
      <c r="C105" s="156"/>
      <c r="D105" s="156"/>
      <c r="E105" s="69"/>
      <c r="F105" s="69"/>
      <c r="G105" s="156"/>
      <c r="H105" s="156"/>
      <c r="I105" s="156"/>
      <c r="J105" s="291"/>
      <c r="K105" s="291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</row>
    <row r="106" spans="1:39" x14ac:dyDescent="0.2">
      <c r="A106" s="292"/>
      <c r="B106" s="156"/>
      <c r="C106" s="156"/>
      <c r="D106" s="156"/>
      <c r="E106" s="293"/>
      <c r="F106" s="293"/>
      <c r="G106" s="156"/>
      <c r="H106" s="156"/>
      <c r="I106" s="156"/>
      <c r="J106" s="156"/>
      <c r="K106" s="291"/>
      <c r="L106" s="279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</row>
    <row r="107" spans="1:39" x14ac:dyDescent="0.2">
      <c r="A107" s="156"/>
      <c r="B107" s="156"/>
      <c r="C107" s="156"/>
      <c r="D107" s="156"/>
      <c r="E107" s="159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</row>
    <row r="108" spans="1:39" x14ac:dyDescent="0.2">
      <c r="A108" s="156"/>
      <c r="B108" s="156"/>
      <c r="C108" s="156"/>
      <c r="D108" s="279"/>
      <c r="E108" s="278"/>
      <c r="F108" s="278"/>
      <c r="G108" s="278"/>
      <c r="H108" s="278"/>
      <c r="I108" s="278"/>
      <c r="J108" s="294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</row>
    <row r="109" spans="1:39" ht="15" x14ac:dyDescent="0.35">
      <c r="A109" s="156"/>
      <c r="B109" s="156"/>
      <c r="C109" s="156"/>
      <c r="D109" s="156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</row>
    <row r="110" spans="1:39" x14ac:dyDescent="0.2">
      <c r="A110" s="296"/>
      <c r="B110" s="156"/>
      <c r="C110" s="156"/>
      <c r="D110" s="156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</row>
    <row r="111" spans="1:39" x14ac:dyDescent="0.2">
      <c r="A111" s="281"/>
      <c r="B111" s="156"/>
      <c r="C111" s="156"/>
      <c r="D111" s="156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</row>
    <row r="112" spans="1:39" x14ac:dyDescent="0.2">
      <c r="A112" s="297"/>
      <c r="B112" s="280"/>
      <c r="C112" s="280"/>
      <c r="D112" s="280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</row>
    <row r="113" spans="1:39" x14ac:dyDescent="0.2">
      <c r="A113" s="281"/>
      <c r="B113" s="156"/>
      <c r="C113" s="156"/>
      <c r="D113" s="156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</row>
    <row r="114" spans="1:39" x14ac:dyDescent="0.2">
      <c r="A114" s="298"/>
      <c r="B114" s="156"/>
      <c r="C114" s="156"/>
      <c r="D114" s="156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99"/>
      <c r="AB114" s="299"/>
      <c r="AC114" s="299"/>
      <c r="AD114" s="299"/>
      <c r="AE114" s="299"/>
      <c r="AF114" s="299"/>
      <c r="AG114" s="299"/>
      <c r="AH114" s="299"/>
      <c r="AI114" s="299"/>
      <c r="AJ114" s="299"/>
      <c r="AK114" s="299"/>
      <c r="AL114" s="299"/>
      <c r="AM114" s="299"/>
    </row>
    <row r="115" spans="1:39" x14ac:dyDescent="0.2">
      <c r="A115" s="296"/>
      <c r="B115" s="156"/>
      <c r="C115" s="156"/>
      <c r="D115" s="156"/>
      <c r="E115" s="300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</row>
    <row r="116" spans="1:39" x14ac:dyDescent="0.2">
      <c r="A116" s="281"/>
      <c r="B116" s="156"/>
      <c r="C116" s="156"/>
      <c r="D116" s="156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</row>
    <row r="117" spans="1:39" ht="15" x14ac:dyDescent="0.35">
      <c r="A117" s="296"/>
      <c r="B117" s="156"/>
      <c r="C117" s="156"/>
      <c r="D117" s="156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  <c r="AI117" s="301"/>
      <c r="AJ117" s="301"/>
      <c r="AK117" s="301"/>
      <c r="AL117" s="301"/>
      <c r="AM117" s="301"/>
    </row>
    <row r="118" spans="1:39" x14ac:dyDescent="0.2">
      <c r="A118" s="281"/>
      <c r="B118" s="156"/>
      <c r="C118" s="156"/>
      <c r="D118" s="156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</row>
    <row r="119" spans="1:39" x14ac:dyDescent="0.2">
      <c r="A119" s="281"/>
      <c r="B119" s="156"/>
      <c r="C119" s="156"/>
      <c r="D119" s="156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</row>
    <row r="120" spans="1:39" x14ac:dyDescent="0.2">
      <c r="A120" s="297"/>
      <c r="B120" s="280"/>
      <c r="C120" s="280"/>
      <c r="D120" s="280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</row>
    <row r="121" spans="1:39" x14ac:dyDescent="0.2">
      <c r="A121" s="297"/>
      <c r="B121" s="280"/>
      <c r="C121" s="280"/>
      <c r="D121" s="280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</row>
    <row r="122" spans="1:39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279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</row>
    <row r="123" spans="1:39" x14ac:dyDescent="0.2">
      <c r="A123" s="281"/>
      <c r="B123" s="156"/>
      <c r="C123" s="156"/>
      <c r="D123" s="156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</row>
    <row r="124" spans="1:39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</row>
    <row r="125" spans="1:39" x14ac:dyDescent="0.2">
      <c r="A125" s="302"/>
      <c r="B125" s="303"/>
      <c r="C125" s="304"/>
      <c r="D125" s="291"/>
      <c r="E125" s="156"/>
      <c r="F125" s="156"/>
      <c r="G125" s="305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  <c r="AC125" s="3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156"/>
    </row>
    <row r="126" spans="1:39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</row>
    <row r="127" spans="1:39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</row>
    <row r="128" spans="1:39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</row>
    <row r="129" spans="1:39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</row>
    <row r="130" spans="1:39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</row>
    <row r="131" spans="1:39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</row>
    <row r="132" spans="1:39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</row>
    <row r="133" spans="1:39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</row>
    <row r="134" spans="1:39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</row>
    <row r="135" spans="1:39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</row>
    <row r="136" spans="1:39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</row>
    <row r="137" spans="1:39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</row>
    <row r="138" spans="1:39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</row>
    <row r="139" spans="1:39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</row>
    <row r="140" spans="1:39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</row>
    <row r="141" spans="1:39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</row>
    <row r="142" spans="1:39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</row>
    <row r="143" spans="1:39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</row>
    <row r="144" spans="1:39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</row>
  </sheetData>
  <customSheetViews>
    <customSheetView guid="{247772DF-F62B-11D1-9A7E-3C9971000000}" showGridLines="0" fitToPage="1" showRuler="0">
      <selection sqref="A1:AI64"/>
      <pageMargins left="0.75" right="0.75" top="1" bottom="1" header="0.5" footer="0.5"/>
      <pageSetup scale="54" orientation="landscape" horizontalDpi="4294967292" verticalDpi="4294967292" r:id="rId1"/>
      <headerFooter alignWithMargins="0">
        <oddHeader>&amp;L&amp;D&amp;C&amp;"Britannic Bold,Bold Italic"CONFIDENTIAL&amp;R&amp;T</oddHeader>
        <oddFooter>&amp;CPage 7</oddFooter>
      </headerFooter>
    </customSheetView>
  </customSheetViews>
  <printOptions gridLinesSet="0"/>
  <pageMargins left="0.75" right="0.75" top="0.75" bottom="0.75" header="0.5" footer="0.5"/>
  <pageSetup scale="42" fitToWidth="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 macro="[0]!idcpr">
                <anchor moveWithCells="1" sizeWithCells="1">
                  <from>
                    <xdr:col>36</xdr:col>
                    <xdr:colOff>66675</xdr:colOff>
                    <xdr:row>0</xdr:row>
                    <xdr:rowOff>0</xdr:rowOff>
                  </from>
                  <to>
                    <xdr:col>38</xdr:col>
                    <xdr:colOff>66675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DI87"/>
  <sheetViews>
    <sheetView showGridLines="0" topLeftCell="A78" zoomScale="80" zoomScaleNormal="80" workbookViewId="0">
      <selection activeCell="E87" sqref="E87"/>
    </sheetView>
  </sheetViews>
  <sheetFormatPr defaultRowHeight="12.75" outlineLevelCol="1" x14ac:dyDescent="0.2"/>
  <cols>
    <col min="1" max="1" width="13.6640625" style="19" customWidth="1"/>
    <col min="2" max="2" width="9.33203125" style="19"/>
    <col min="3" max="4" width="14.6640625" style="19" customWidth="1"/>
    <col min="5" max="16" width="12" style="19" customWidth="1"/>
    <col min="17" max="25" width="12" style="44" customWidth="1"/>
    <col min="26" max="26" width="12" style="44" customWidth="1" outlineLevel="1"/>
    <col min="27" max="31" width="12" style="19" customWidth="1" outlineLevel="1"/>
    <col min="32" max="32" width="13.5" style="19" customWidth="1"/>
    <col min="33" max="33" width="10.5" style="19" customWidth="1"/>
    <col min="34" max="16384" width="9.33203125" style="19"/>
  </cols>
  <sheetData>
    <row r="1" spans="1:113" ht="15.75" x14ac:dyDescent="0.25">
      <c r="A1" s="588" t="str">
        <f>+Assumpt!A1</f>
        <v>Panama Regas Terminal</v>
      </c>
      <c r="B1" s="589"/>
      <c r="C1" s="589"/>
      <c r="D1" s="589"/>
      <c r="E1" s="590"/>
    </row>
    <row r="2" spans="1:113" ht="15.75" x14ac:dyDescent="0.25">
      <c r="A2" s="591" t="str">
        <f>+Assumpt!A2</f>
        <v>Enron International</v>
      </c>
      <c r="B2" s="558"/>
      <c r="C2" s="558"/>
      <c r="D2" s="558"/>
      <c r="E2" s="592"/>
    </row>
    <row r="3" spans="1:113" ht="16.5" thickBot="1" x14ac:dyDescent="0.3">
      <c r="A3" s="587" t="s">
        <v>317</v>
      </c>
      <c r="B3" s="64"/>
      <c r="C3" s="64"/>
      <c r="D3" s="64"/>
      <c r="E3" s="146"/>
    </row>
    <row r="4" spans="1:113" ht="15.75" x14ac:dyDescent="0.25">
      <c r="A4" s="307"/>
    </row>
    <row r="5" spans="1:113" s="231" customFormat="1" x14ac:dyDescent="0.2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113" x14ac:dyDescent="0.2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f>+CF!Q6</f>
        <v>12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113" x14ac:dyDescent="0.2">
      <c r="A7" s="549" t="str">
        <f>+CF!A7</f>
        <v>Contract Year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113" x14ac:dyDescent="0.2">
      <c r="B8" s="44"/>
      <c r="C8" s="44"/>
      <c r="D8" s="44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</row>
    <row r="9" spans="1:113" x14ac:dyDescent="0.2">
      <c r="A9" s="325" t="s">
        <v>101</v>
      </c>
      <c r="B9" s="200"/>
      <c r="C9" s="200"/>
      <c r="D9" s="200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83"/>
      <c r="AG9" s="53"/>
      <c r="AH9" s="53"/>
      <c r="AI9" s="53"/>
      <c r="AJ9" s="53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</row>
    <row r="10" spans="1:113" x14ac:dyDescent="0.2">
      <c r="A10" s="756" t="s">
        <v>273</v>
      </c>
      <c r="B10" s="44"/>
      <c r="C10" s="44"/>
      <c r="D10" s="44"/>
      <c r="E10" s="77">
        <f>+Assumpt!$J$30</f>
        <v>168782.79392706894</v>
      </c>
      <c r="F10" s="77">
        <f>+E12</f>
        <v>164563.22407889221</v>
      </c>
      <c r="G10" s="77">
        <f t="shared" ref="G10:AE10" si="0">+F12</f>
        <v>160343.65423071547</v>
      </c>
      <c r="H10" s="77">
        <f t="shared" si="0"/>
        <v>156124.08438253874</v>
      </c>
      <c r="I10" s="77">
        <f t="shared" si="0"/>
        <v>151904.51453436201</v>
      </c>
      <c r="J10" s="77">
        <f t="shared" si="0"/>
        <v>147684.94468618528</v>
      </c>
      <c r="K10" s="77">
        <f t="shared" si="0"/>
        <v>143465.37483800855</v>
      </c>
      <c r="L10" s="77">
        <f t="shared" si="0"/>
        <v>139245.80498983181</v>
      </c>
      <c r="M10" s="77">
        <f t="shared" si="0"/>
        <v>135026.23514165508</v>
      </c>
      <c r="N10" s="77">
        <f t="shared" si="0"/>
        <v>130806.66529347836</v>
      </c>
      <c r="O10" s="77">
        <f t="shared" si="0"/>
        <v>126587.09544530165</v>
      </c>
      <c r="P10" s="77">
        <f t="shared" si="0"/>
        <v>122367.52559712493</v>
      </c>
      <c r="Q10" s="77">
        <f t="shared" si="0"/>
        <v>118147.95574894821</v>
      </c>
      <c r="R10" s="77">
        <f t="shared" si="0"/>
        <v>113928.38590077149</v>
      </c>
      <c r="S10" s="77">
        <f t="shared" si="0"/>
        <v>109708.81605259478</v>
      </c>
      <c r="T10" s="77">
        <f t="shared" si="0"/>
        <v>105489.24620441806</v>
      </c>
      <c r="U10" s="77">
        <f t="shared" si="0"/>
        <v>105489.24620441806</v>
      </c>
      <c r="V10" s="77">
        <f t="shared" si="0"/>
        <v>105489.24620441806</v>
      </c>
      <c r="W10" s="77">
        <f t="shared" si="0"/>
        <v>105489.24620441806</v>
      </c>
      <c r="X10" s="77">
        <f t="shared" si="0"/>
        <v>105489.24620441806</v>
      </c>
      <c r="Y10" s="77">
        <f t="shared" si="0"/>
        <v>105489.24620441806</v>
      </c>
      <c r="Z10" s="77">
        <f t="shared" si="0"/>
        <v>105489.24620441806</v>
      </c>
      <c r="AA10" s="77">
        <f t="shared" si="0"/>
        <v>105489.24620441806</v>
      </c>
      <c r="AB10" s="77">
        <f t="shared" si="0"/>
        <v>105489.24620441806</v>
      </c>
      <c r="AC10" s="77">
        <f t="shared" si="0"/>
        <v>105489.24620441806</v>
      </c>
      <c r="AD10" s="77">
        <f t="shared" si="0"/>
        <v>105489.24620441806</v>
      </c>
      <c r="AE10" s="77">
        <f t="shared" si="0"/>
        <v>105489.24620441806</v>
      </c>
      <c r="AF10" s="259">
        <f>+E10</f>
        <v>168782.79392706894</v>
      </c>
      <c r="AG10" s="404"/>
      <c r="AH10" s="404"/>
      <c r="AI10" s="404"/>
      <c r="AJ10" s="40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</row>
    <row r="11" spans="1:113" s="221" customFormat="1" x14ac:dyDescent="0.2">
      <c r="A11" s="753" t="s">
        <v>102</v>
      </c>
      <c r="B11" s="208"/>
      <c r="C11" s="208"/>
      <c r="D11" s="208"/>
      <c r="E11" s="72">
        <f>-E$6/(Assumpt!$K$30*12)*$E$10</f>
        <v>-4219.569848176724</v>
      </c>
      <c r="F11" s="72">
        <f>-F$6/(Assumpt!$K$30*12)*$E$10</f>
        <v>-4219.569848176724</v>
      </c>
      <c r="G11" s="72">
        <f>-G$6/(Assumpt!$K$30*12)*$E$10</f>
        <v>-4219.569848176724</v>
      </c>
      <c r="H11" s="72">
        <f>-H$6/(Assumpt!$K$30*12)*$E$10</f>
        <v>-4219.569848176724</v>
      </c>
      <c r="I11" s="72">
        <f>-I$6/(Assumpt!$K$30*12)*$E$10</f>
        <v>-4219.569848176724</v>
      </c>
      <c r="J11" s="72">
        <f>-J$6/(Assumpt!$K$30*12)*$E$10</f>
        <v>-4219.569848176724</v>
      </c>
      <c r="K11" s="72">
        <f>-K$6/(Assumpt!$K$30*12)*$E$10</f>
        <v>-4219.569848176724</v>
      </c>
      <c r="L11" s="72">
        <f>-L$6/(Assumpt!$K$30*12)*$E$10</f>
        <v>-4219.569848176724</v>
      </c>
      <c r="M11" s="72">
        <f>-M$6/(Assumpt!$K$30*12)*$E$10</f>
        <v>-4219.569848176724</v>
      </c>
      <c r="N11" s="72">
        <f>-N$6/(Assumpt!$K$30*12)*$E$10</f>
        <v>-4219.569848176724</v>
      </c>
      <c r="O11" s="72">
        <f>-O$6/(Assumpt!$K$30*12)*$E$10</f>
        <v>-4219.569848176724</v>
      </c>
      <c r="P11" s="72">
        <f>-P$6/(Assumpt!$K$30*12)*$E$10</f>
        <v>-4219.569848176724</v>
      </c>
      <c r="Q11" s="72">
        <f>-Q$6/(Assumpt!$K$30*12)*$E$10</f>
        <v>-4219.569848176724</v>
      </c>
      <c r="R11" s="72">
        <f>-R$6/(Assumpt!$K$30*12)*$E$10</f>
        <v>-4219.569848176724</v>
      </c>
      <c r="S11" s="72">
        <f>-S$6/(Assumpt!$K$30*12)*$E$10</f>
        <v>-4219.569848176724</v>
      </c>
      <c r="T11" s="72">
        <f>-T$6/(Assumpt!$K$30*12)*$E$10</f>
        <v>0</v>
      </c>
      <c r="U11" s="72">
        <f>-U$6/(Assumpt!$K$30*12)*$E$10</f>
        <v>0</v>
      </c>
      <c r="V11" s="72">
        <f>-V$6/(Assumpt!$K$30*12)*$E$10</f>
        <v>0</v>
      </c>
      <c r="W11" s="72">
        <f>-W$6/(Assumpt!$K$30*12)*$E$10</f>
        <v>0</v>
      </c>
      <c r="X11" s="72">
        <f>-X$6/(Assumpt!$K$30*12)*$E$10</f>
        <v>0</v>
      </c>
      <c r="Y11" s="72">
        <f>-Y$6/(Assumpt!$K$30*12)*$E$10</f>
        <v>0</v>
      </c>
      <c r="Z11" s="72">
        <f>-Z$6/(Assumpt!$K$30*12)*$E$10</f>
        <v>0</v>
      </c>
      <c r="AA11" s="72">
        <f>-AA$6/(Assumpt!$K$30*12)*$E$10</f>
        <v>0</v>
      </c>
      <c r="AB11" s="72">
        <f>-AB$6/(Assumpt!$K$30*12)*$E$10</f>
        <v>0</v>
      </c>
      <c r="AC11" s="72">
        <f>-AC$6/(Assumpt!$K$30*12)*$E$10</f>
        <v>0</v>
      </c>
      <c r="AD11" s="72">
        <f>-AD$6/(Assumpt!$K$30*12)*$E$10</f>
        <v>0</v>
      </c>
      <c r="AE11" s="72">
        <f>-AE$6/(Assumpt!$K$30*12)*$E$10</f>
        <v>0</v>
      </c>
      <c r="AF11" s="262">
        <f>+SUM(E11:AE11)</f>
        <v>-63293.547722650866</v>
      </c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x14ac:dyDescent="0.2">
      <c r="A12" s="225" t="s">
        <v>103</v>
      </c>
      <c r="B12" s="226"/>
      <c r="C12" s="226"/>
      <c r="D12" s="226"/>
      <c r="E12" s="410">
        <f t="shared" ref="E12:AF12" si="1">+SUM(E10:E11)</f>
        <v>164563.22407889221</v>
      </c>
      <c r="F12" s="410">
        <f t="shared" si="1"/>
        <v>160343.65423071547</v>
      </c>
      <c r="G12" s="410">
        <f t="shared" si="1"/>
        <v>156124.08438253874</v>
      </c>
      <c r="H12" s="410">
        <f t="shared" si="1"/>
        <v>151904.51453436201</v>
      </c>
      <c r="I12" s="410">
        <f t="shared" si="1"/>
        <v>147684.94468618528</v>
      </c>
      <c r="J12" s="410">
        <f t="shared" si="1"/>
        <v>143465.37483800855</v>
      </c>
      <c r="K12" s="410">
        <f t="shared" si="1"/>
        <v>139245.80498983181</v>
      </c>
      <c r="L12" s="410">
        <f t="shared" si="1"/>
        <v>135026.23514165508</v>
      </c>
      <c r="M12" s="410">
        <f t="shared" si="1"/>
        <v>130806.66529347836</v>
      </c>
      <c r="N12" s="410">
        <f t="shared" si="1"/>
        <v>126587.09544530165</v>
      </c>
      <c r="O12" s="410">
        <f t="shared" si="1"/>
        <v>122367.52559712493</v>
      </c>
      <c r="P12" s="410">
        <f t="shared" si="1"/>
        <v>118147.95574894821</v>
      </c>
      <c r="Q12" s="410">
        <f t="shared" si="1"/>
        <v>113928.38590077149</v>
      </c>
      <c r="R12" s="410">
        <f t="shared" si="1"/>
        <v>109708.81605259478</v>
      </c>
      <c r="S12" s="410">
        <f t="shared" si="1"/>
        <v>105489.24620441806</v>
      </c>
      <c r="T12" s="410">
        <f t="shared" si="1"/>
        <v>105489.24620441806</v>
      </c>
      <c r="U12" s="410">
        <f t="shared" si="1"/>
        <v>105489.24620441806</v>
      </c>
      <c r="V12" s="410">
        <f t="shared" si="1"/>
        <v>105489.24620441806</v>
      </c>
      <c r="W12" s="410">
        <f t="shared" si="1"/>
        <v>105489.24620441806</v>
      </c>
      <c r="X12" s="410">
        <f t="shared" si="1"/>
        <v>105489.24620441806</v>
      </c>
      <c r="Y12" s="410">
        <f t="shared" si="1"/>
        <v>105489.24620441806</v>
      </c>
      <c r="Z12" s="410">
        <f t="shared" si="1"/>
        <v>105489.24620441806</v>
      </c>
      <c r="AA12" s="410">
        <f t="shared" si="1"/>
        <v>105489.24620441806</v>
      </c>
      <c r="AB12" s="410">
        <f t="shared" si="1"/>
        <v>105489.24620441806</v>
      </c>
      <c r="AC12" s="410">
        <f t="shared" si="1"/>
        <v>105489.24620441806</v>
      </c>
      <c r="AD12" s="410">
        <f t="shared" si="1"/>
        <v>105489.24620441806</v>
      </c>
      <c r="AE12" s="410">
        <f t="shared" si="1"/>
        <v>105489.24620441806</v>
      </c>
      <c r="AF12" s="782">
        <f t="shared" si="1"/>
        <v>105489.24620441807</v>
      </c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</row>
    <row r="13" spans="1:113" s="231" customFormat="1" ht="15" x14ac:dyDescent="0.35">
      <c r="A13" s="206"/>
      <c r="B13" s="198"/>
      <c r="C13" s="198"/>
      <c r="D13" s="198"/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784"/>
      <c r="AG13" s="355"/>
      <c r="AH13" s="355"/>
      <c r="AI13" s="355"/>
      <c r="AJ13" s="355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8"/>
      <c r="DE13" s="198"/>
      <c r="DF13" s="198"/>
      <c r="DG13" s="198"/>
      <c r="DH13" s="198"/>
      <c r="DI13" s="198"/>
    </row>
    <row r="14" spans="1:113" x14ac:dyDescent="0.2">
      <c r="A14" s="325" t="s">
        <v>104</v>
      </c>
      <c r="B14" s="200"/>
      <c r="C14" s="200"/>
      <c r="D14" s="200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718"/>
      <c r="AG14" s="53"/>
      <c r="AH14" s="53"/>
      <c r="AI14" s="53"/>
      <c r="AJ14" s="53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</row>
    <row r="15" spans="1:113" x14ac:dyDescent="0.2">
      <c r="A15" s="756" t="s">
        <v>273</v>
      </c>
      <c r="B15" s="44"/>
      <c r="C15" s="44"/>
      <c r="D15" s="44"/>
      <c r="E15" s="77">
        <f>+Assumpt!$J$31</f>
        <v>168782.79392706894</v>
      </c>
      <c r="F15" s="77">
        <f>+E17</f>
        <v>160343.6542307155</v>
      </c>
      <c r="G15" s="77">
        <f t="shared" ref="G15:AE15" si="2">+F17</f>
        <v>151904.51453436207</v>
      </c>
      <c r="H15" s="77">
        <f t="shared" si="2"/>
        <v>143465.37483800863</v>
      </c>
      <c r="I15" s="77">
        <f t="shared" si="2"/>
        <v>135026.2351416552</v>
      </c>
      <c r="J15" s="77">
        <f t="shared" si="2"/>
        <v>126587.09544530175</v>
      </c>
      <c r="K15" s="77">
        <f t="shared" si="2"/>
        <v>118147.9557489483</v>
      </c>
      <c r="L15" s="77">
        <f t="shared" si="2"/>
        <v>109708.81605259485</v>
      </c>
      <c r="M15" s="77">
        <f t="shared" si="2"/>
        <v>101269.6763562414</v>
      </c>
      <c r="N15" s="77">
        <f t="shared" si="2"/>
        <v>92830.536659887948</v>
      </c>
      <c r="O15" s="77">
        <f t="shared" si="2"/>
        <v>84391.396963534498</v>
      </c>
      <c r="P15" s="77">
        <f t="shared" si="2"/>
        <v>75952.257267181049</v>
      </c>
      <c r="Q15" s="77">
        <f t="shared" si="2"/>
        <v>67513.117570827599</v>
      </c>
      <c r="R15" s="77">
        <f t="shared" si="2"/>
        <v>59073.977874474149</v>
      </c>
      <c r="S15" s="77">
        <f t="shared" si="2"/>
        <v>50634.838178120699</v>
      </c>
      <c r="T15" s="77">
        <f t="shared" si="2"/>
        <v>42195.698481767249</v>
      </c>
      <c r="U15" s="77">
        <f t="shared" si="2"/>
        <v>42195.698481767249</v>
      </c>
      <c r="V15" s="77">
        <f t="shared" si="2"/>
        <v>42195.698481767249</v>
      </c>
      <c r="W15" s="77">
        <f t="shared" si="2"/>
        <v>42195.698481767249</v>
      </c>
      <c r="X15" s="77">
        <f t="shared" si="2"/>
        <v>42195.698481767249</v>
      </c>
      <c r="Y15" s="77">
        <f t="shared" si="2"/>
        <v>42195.698481767249</v>
      </c>
      <c r="Z15" s="77">
        <f t="shared" si="2"/>
        <v>42195.698481767249</v>
      </c>
      <c r="AA15" s="77">
        <f t="shared" si="2"/>
        <v>42195.698481767249</v>
      </c>
      <c r="AB15" s="77">
        <f t="shared" si="2"/>
        <v>42195.698481767249</v>
      </c>
      <c r="AC15" s="77">
        <f t="shared" si="2"/>
        <v>42195.698481767249</v>
      </c>
      <c r="AD15" s="77">
        <f t="shared" si="2"/>
        <v>42195.698481767249</v>
      </c>
      <c r="AE15" s="77">
        <f t="shared" si="2"/>
        <v>42195.698481767249</v>
      </c>
      <c r="AF15" s="259">
        <f>+E15</f>
        <v>168782.79392706894</v>
      </c>
      <c r="AG15" s="404"/>
      <c r="AH15" s="404"/>
      <c r="AI15" s="404"/>
      <c r="AJ15" s="40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</row>
    <row r="16" spans="1:113" s="221" customFormat="1" x14ac:dyDescent="0.2">
      <c r="A16" s="753" t="s">
        <v>102</v>
      </c>
      <c r="B16" s="208"/>
      <c r="C16" s="208"/>
      <c r="D16" s="208"/>
      <c r="E16" s="72">
        <f>-E$6/(Assumpt!$K$31*12)*$E$15</f>
        <v>-8439.139696353448</v>
      </c>
      <c r="F16" s="72">
        <f>-F$6/(Assumpt!$K$31*12)*$E$15</f>
        <v>-8439.139696353448</v>
      </c>
      <c r="G16" s="72">
        <f>-G$6/(Assumpt!$K$31*12)*$E$15</f>
        <v>-8439.139696353448</v>
      </c>
      <c r="H16" s="72">
        <f>-H$6/(Assumpt!$K$31*12)*$E$15</f>
        <v>-8439.139696353448</v>
      </c>
      <c r="I16" s="72">
        <f>-I$6/(Assumpt!$K$31*12)*$E$15</f>
        <v>-8439.139696353448</v>
      </c>
      <c r="J16" s="72">
        <f>-J$6/(Assumpt!$K$31*12)*$E$15</f>
        <v>-8439.139696353448</v>
      </c>
      <c r="K16" s="72">
        <f>-K$6/(Assumpt!$K$31*12)*$E$15</f>
        <v>-8439.139696353448</v>
      </c>
      <c r="L16" s="72">
        <f>-L$6/(Assumpt!$K$31*12)*$E$15</f>
        <v>-8439.139696353448</v>
      </c>
      <c r="M16" s="72">
        <f>-M$6/(Assumpt!$K$31*12)*$E$15</f>
        <v>-8439.139696353448</v>
      </c>
      <c r="N16" s="72">
        <f>-N$6/(Assumpt!$K$31*12)*$E$15</f>
        <v>-8439.139696353448</v>
      </c>
      <c r="O16" s="72">
        <f>-O$6/(Assumpt!$K$31*12)*$E$15</f>
        <v>-8439.139696353448</v>
      </c>
      <c r="P16" s="72">
        <f>-P$6/(Assumpt!$K$31*12)*$E$15</f>
        <v>-8439.139696353448</v>
      </c>
      <c r="Q16" s="72">
        <f>-Q$6/(Assumpt!$K$31*12)*$E$15</f>
        <v>-8439.139696353448</v>
      </c>
      <c r="R16" s="72">
        <f>-R$6/(Assumpt!$K$31*12)*$E$15</f>
        <v>-8439.139696353448</v>
      </c>
      <c r="S16" s="72">
        <f>-S$6/(Assumpt!$K$31*12)*$E$15</f>
        <v>-8439.139696353448</v>
      </c>
      <c r="T16" s="72">
        <f>-T$6/(Assumpt!$K$31*12)*$E$15</f>
        <v>0</v>
      </c>
      <c r="U16" s="72">
        <f>-U$6/(Assumpt!$K$31*12)*$E$15</f>
        <v>0</v>
      </c>
      <c r="V16" s="72">
        <f>-V$6/(Assumpt!$K$31*12)*$E$15</f>
        <v>0</v>
      </c>
      <c r="W16" s="72">
        <f>-W$6/(Assumpt!$K$31*12)*$E$15</f>
        <v>0</v>
      </c>
      <c r="X16" s="72">
        <f>-X$6/(Assumpt!$K$31*12)*$E$15</f>
        <v>0</v>
      </c>
      <c r="Y16" s="72">
        <f>-Y$6/(Assumpt!$K$31*12)*$E$15</f>
        <v>0</v>
      </c>
      <c r="Z16" s="72">
        <f>-Z$6/(Assumpt!$K$31*12)*$E$15</f>
        <v>0</v>
      </c>
      <c r="AA16" s="72">
        <f>-AA$6/(Assumpt!$K$31*12)*$E$15</f>
        <v>0</v>
      </c>
      <c r="AB16" s="72">
        <f>-AB$6/(Assumpt!$K$31*12)*$E$15</f>
        <v>0</v>
      </c>
      <c r="AC16" s="72">
        <f>-AC$6/(Assumpt!$K$31*12)*$E$15</f>
        <v>0</v>
      </c>
      <c r="AD16" s="72">
        <f>-AD$6/(Assumpt!$K$31*12)*$E$15</f>
        <v>0</v>
      </c>
      <c r="AE16" s="72">
        <f>-AE$6/(Assumpt!$K$31*12)*$E$15</f>
        <v>0</v>
      </c>
      <c r="AF16" s="262">
        <f>+SUM(E16:AE16)</f>
        <v>-126587.09544530173</v>
      </c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x14ac:dyDescent="0.2">
      <c r="A17" s="225" t="s">
        <v>103</v>
      </c>
      <c r="B17" s="226"/>
      <c r="C17" s="226"/>
      <c r="D17" s="226"/>
      <c r="E17" s="410">
        <f>+SUM(E15:E16)</f>
        <v>160343.6542307155</v>
      </c>
      <c r="F17" s="410">
        <f t="shared" ref="F17:AE17" si="3">+SUM(F15:F16)</f>
        <v>151904.51453436207</v>
      </c>
      <c r="G17" s="410">
        <f t="shared" si="3"/>
        <v>143465.37483800863</v>
      </c>
      <c r="H17" s="410">
        <f t="shared" si="3"/>
        <v>135026.2351416552</v>
      </c>
      <c r="I17" s="410">
        <f t="shared" si="3"/>
        <v>126587.09544530175</v>
      </c>
      <c r="J17" s="410">
        <f t="shared" si="3"/>
        <v>118147.9557489483</v>
      </c>
      <c r="K17" s="410">
        <f t="shared" si="3"/>
        <v>109708.81605259485</v>
      </c>
      <c r="L17" s="410">
        <f t="shared" si="3"/>
        <v>101269.6763562414</v>
      </c>
      <c r="M17" s="410">
        <f t="shared" si="3"/>
        <v>92830.536659887948</v>
      </c>
      <c r="N17" s="410">
        <f t="shared" si="3"/>
        <v>84391.396963534498</v>
      </c>
      <c r="O17" s="410">
        <f t="shared" si="3"/>
        <v>75952.257267181049</v>
      </c>
      <c r="P17" s="410">
        <f t="shared" si="3"/>
        <v>67513.117570827599</v>
      </c>
      <c r="Q17" s="410">
        <f t="shared" si="3"/>
        <v>59073.977874474149</v>
      </c>
      <c r="R17" s="410">
        <f t="shared" si="3"/>
        <v>50634.838178120699</v>
      </c>
      <c r="S17" s="410">
        <f t="shared" si="3"/>
        <v>42195.698481767249</v>
      </c>
      <c r="T17" s="410">
        <f t="shared" si="3"/>
        <v>42195.698481767249</v>
      </c>
      <c r="U17" s="410">
        <f t="shared" si="3"/>
        <v>42195.698481767249</v>
      </c>
      <c r="V17" s="410">
        <f t="shared" si="3"/>
        <v>42195.698481767249</v>
      </c>
      <c r="W17" s="410">
        <f t="shared" si="3"/>
        <v>42195.698481767249</v>
      </c>
      <c r="X17" s="410">
        <f t="shared" si="3"/>
        <v>42195.698481767249</v>
      </c>
      <c r="Y17" s="410">
        <f t="shared" si="3"/>
        <v>42195.698481767249</v>
      </c>
      <c r="Z17" s="410">
        <f t="shared" si="3"/>
        <v>42195.698481767249</v>
      </c>
      <c r="AA17" s="410">
        <f t="shared" si="3"/>
        <v>42195.698481767249</v>
      </c>
      <c r="AB17" s="410">
        <f t="shared" si="3"/>
        <v>42195.698481767249</v>
      </c>
      <c r="AC17" s="410">
        <f t="shared" si="3"/>
        <v>42195.698481767249</v>
      </c>
      <c r="AD17" s="410">
        <f t="shared" si="3"/>
        <v>42195.698481767249</v>
      </c>
      <c r="AE17" s="410">
        <f t="shared" si="3"/>
        <v>42195.698481767249</v>
      </c>
      <c r="AF17" s="782">
        <f>+SUM(AF15:AF16)</f>
        <v>42195.698481767206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</row>
    <row r="18" spans="1:113" s="44" customFormat="1" x14ac:dyDescent="0.2"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</row>
    <row r="19" spans="1:113" x14ac:dyDescent="0.2">
      <c r="A19" s="794" t="s">
        <v>292</v>
      </c>
      <c r="B19" s="200"/>
      <c r="C19" s="200"/>
      <c r="D19" s="200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03"/>
      <c r="AB19" s="403"/>
      <c r="AC19" s="403"/>
      <c r="AD19" s="403"/>
      <c r="AE19" s="403"/>
      <c r="AF19" s="718"/>
      <c r="AG19" s="77"/>
      <c r="AH19" s="77"/>
      <c r="AI19" s="77"/>
      <c r="AJ19" s="77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</row>
    <row r="20" spans="1:113" x14ac:dyDescent="0.2">
      <c r="A20" s="203" t="s">
        <v>285</v>
      </c>
      <c r="B20" s="44"/>
      <c r="C20" s="44"/>
      <c r="D20" s="44"/>
      <c r="E20" s="77">
        <f>CF!E47</f>
        <v>7400.198830629246</v>
      </c>
      <c r="F20" s="77">
        <f>CF!F47</f>
        <v>7696.9266537338008</v>
      </c>
      <c r="G20" s="77">
        <f>CF!G47</f>
        <v>24850.721038835632</v>
      </c>
      <c r="H20" s="77">
        <f>CF!H47</f>
        <v>26470.201472241246</v>
      </c>
      <c r="I20" s="77">
        <f>CF!I47</f>
        <v>27172.343490289182</v>
      </c>
      <c r="J20" s="77">
        <f>CF!J47</f>
        <v>28433.537627367346</v>
      </c>
      <c r="K20" s="77">
        <f>CF!K47</f>
        <v>29259.698003493322</v>
      </c>
      <c r="L20" s="77">
        <f>CF!L47</f>
        <v>63589.067946755633</v>
      </c>
      <c r="M20" s="77">
        <f>CF!M47</f>
        <v>69645.507010156405</v>
      </c>
      <c r="N20" s="77">
        <f>CF!N47</f>
        <v>71674.908244282939</v>
      </c>
      <c r="O20" s="77">
        <f>CF!O47</f>
        <v>73926.045282321676</v>
      </c>
      <c r="P20" s="77">
        <f>CF!P47</f>
        <v>77037.419606700583</v>
      </c>
      <c r="Q20" s="77">
        <f>CF!Q47</f>
        <v>78578.90799883462</v>
      </c>
      <c r="R20" s="77">
        <f>CF!R47</f>
        <v>80151.226158811303</v>
      </c>
      <c r="S20" s="77">
        <f>CF!S47</f>
        <v>81754.990681987532</v>
      </c>
      <c r="T20" s="77">
        <f>CF!T47</f>
        <v>0</v>
      </c>
      <c r="U20" s="77">
        <f>CF!U47</f>
        <v>0</v>
      </c>
      <c r="V20" s="77">
        <f>CF!V47</f>
        <v>0</v>
      </c>
      <c r="W20" s="77">
        <f>CF!W47</f>
        <v>0</v>
      </c>
      <c r="X20" s="77">
        <f>CF!X47</f>
        <v>0</v>
      </c>
      <c r="Y20" s="77">
        <f>CF!Y47</f>
        <v>0</v>
      </c>
      <c r="Z20" s="77">
        <f>CF!Z47</f>
        <v>0</v>
      </c>
      <c r="AA20" s="77">
        <f>CF!AA47</f>
        <v>0</v>
      </c>
      <c r="AB20" s="77">
        <f>CF!AB47</f>
        <v>0</v>
      </c>
      <c r="AC20" s="77">
        <f>CF!AC47</f>
        <v>0</v>
      </c>
      <c r="AD20" s="77">
        <f>CF!AD47</f>
        <v>0</v>
      </c>
      <c r="AE20" s="77">
        <f>CF!AE47</f>
        <v>0</v>
      </c>
      <c r="AF20" s="259">
        <f t="shared" ref="AF20:AF27" si="4">+SUM(E20:AE20)</f>
        <v>747641.70004644035</v>
      </c>
      <c r="AG20" s="77"/>
      <c r="AH20" s="77"/>
      <c r="AI20" s="77"/>
      <c r="AJ20" s="77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</row>
    <row r="21" spans="1:113" s="83" customFormat="1" x14ac:dyDescent="0.2">
      <c r="A21" s="785" t="s">
        <v>107</v>
      </c>
      <c r="B21" s="77"/>
      <c r="C21" s="77"/>
      <c r="D21" s="77"/>
      <c r="E21" s="77">
        <f>CF!E49</f>
        <v>-12115.984615130792</v>
      </c>
      <c r="F21" s="77">
        <f>CF!F49</f>
        <v>-11953.942667125337</v>
      </c>
      <c r="G21" s="77">
        <f>CF!G49</f>
        <v>-11274.621297837295</v>
      </c>
      <c r="H21" s="77">
        <f>CF!H49</f>
        <v>-10529.231679627432</v>
      </c>
      <c r="I21" s="77">
        <f>CF!I49</f>
        <v>-9711.3482623615473</v>
      </c>
      <c r="J21" s="77">
        <f>CF!J49</f>
        <v>-8813.9205709951966</v>
      </c>
      <c r="K21" s="77">
        <f>CF!K49</f>
        <v>-7829.2124277203975</v>
      </c>
      <c r="L21" s="77">
        <f>CF!L49</f>
        <v>-6748.7352630862297</v>
      </c>
      <c r="M21" s="77">
        <f>CF!M49</f>
        <v>-5563.1749412091103</v>
      </c>
      <c r="N21" s="77">
        <f>CF!N49</f>
        <v>-4262.3114682774285</v>
      </c>
      <c r="O21" s="77">
        <f>CF!O49</f>
        <v>-2834.9308922064356</v>
      </c>
      <c r="P21" s="77">
        <f>CF!P49</f>
        <v>-1268.7286339839379</v>
      </c>
      <c r="Q21" s="77">
        <f>CF!Q49</f>
        <v>0</v>
      </c>
      <c r="R21" s="77">
        <f>CF!R49</f>
        <v>0</v>
      </c>
      <c r="S21" s="77">
        <f>CF!S49</f>
        <v>0</v>
      </c>
      <c r="T21" s="77">
        <f>CF!T49</f>
        <v>0</v>
      </c>
      <c r="U21" s="77">
        <f>CF!U49</f>
        <v>0</v>
      </c>
      <c r="V21" s="77">
        <f>CF!V49</f>
        <v>0</v>
      </c>
      <c r="W21" s="77">
        <f>CF!W49</f>
        <v>0</v>
      </c>
      <c r="X21" s="77">
        <f>CF!X49</f>
        <v>0</v>
      </c>
      <c r="Y21" s="77">
        <f>CF!Y49</f>
        <v>0</v>
      </c>
      <c r="Z21" s="77">
        <f>CF!Z49</f>
        <v>0</v>
      </c>
      <c r="AA21" s="77">
        <f>CF!AA49</f>
        <v>0</v>
      </c>
      <c r="AB21" s="77">
        <f>CF!AB49</f>
        <v>0</v>
      </c>
      <c r="AC21" s="77">
        <f>CF!AC49</f>
        <v>0</v>
      </c>
      <c r="AD21" s="77">
        <f>CF!AD49</f>
        <v>0</v>
      </c>
      <c r="AE21" s="77">
        <f>CF!AE49</f>
        <v>0</v>
      </c>
      <c r="AF21" s="259">
        <f t="shared" si="4"/>
        <v>-92906.142719561147</v>
      </c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</row>
    <row r="22" spans="1:113" s="83" customFormat="1" x14ac:dyDescent="0.2">
      <c r="A22" s="786" t="s">
        <v>286</v>
      </c>
      <c r="B22" s="77"/>
      <c r="C22" s="77"/>
      <c r="D22" s="77"/>
      <c r="E22" s="77">
        <f>CF!E50</f>
        <v>-773.36072011473129</v>
      </c>
      <c r="F22" s="77">
        <f>CF!F50</f>
        <v>-763.01761705055333</v>
      </c>
      <c r="G22" s="77">
        <f>CF!G50</f>
        <v>-719.65667858535926</v>
      </c>
      <c r="H22" s="77">
        <f>CF!H50</f>
        <v>-672.07861784855947</v>
      </c>
      <c r="I22" s="77">
        <f>CF!I50</f>
        <v>-619.87329334222636</v>
      </c>
      <c r="J22" s="77">
        <f>CF!J50</f>
        <v>-562.59067474437416</v>
      </c>
      <c r="K22" s="77">
        <f>CF!K50</f>
        <v>-499.73696347151468</v>
      </c>
      <c r="L22" s="77">
        <f>CF!L50</f>
        <v>-430.7703359416742</v>
      </c>
      <c r="M22" s="77">
        <f>CF!M50</f>
        <v>-355.09627284313467</v>
      </c>
      <c r="N22" s="77">
        <f>CF!N50</f>
        <v>-272.06243414536777</v>
      </c>
      <c r="O22" s="77">
        <f>CF!O50</f>
        <v>-180.95303567275118</v>
      </c>
      <c r="P22" s="77">
        <f>CF!P50</f>
        <v>-80.982678764932203</v>
      </c>
      <c r="Q22" s="77">
        <f>CF!Q50</f>
        <v>0</v>
      </c>
      <c r="R22" s="77">
        <f>CF!R50</f>
        <v>0</v>
      </c>
      <c r="S22" s="77">
        <f>CF!S50</f>
        <v>0</v>
      </c>
      <c r="T22" s="77">
        <f>CF!T50</f>
        <v>0</v>
      </c>
      <c r="U22" s="77">
        <f>CF!U50</f>
        <v>0</v>
      </c>
      <c r="V22" s="77">
        <f>CF!V50</f>
        <v>0</v>
      </c>
      <c r="W22" s="77">
        <f>CF!W50</f>
        <v>0</v>
      </c>
      <c r="X22" s="77">
        <f>CF!X50</f>
        <v>0</v>
      </c>
      <c r="Y22" s="77">
        <f>CF!Y50</f>
        <v>0</v>
      </c>
      <c r="Z22" s="77">
        <f>CF!Z50</f>
        <v>0</v>
      </c>
      <c r="AA22" s="77">
        <f>CF!AA50</f>
        <v>0</v>
      </c>
      <c r="AB22" s="77">
        <f>CF!AB50</f>
        <v>0</v>
      </c>
      <c r="AC22" s="77">
        <f>CF!AC50</f>
        <v>0</v>
      </c>
      <c r="AD22" s="77">
        <f>CF!AD50</f>
        <v>0</v>
      </c>
      <c r="AE22" s="77">
        <f>CF!AE50</f>
        <v>0</v>
      </c>
      <c r="AF22" s="259">
        <f t="shared" si="4"/>
        <v>-5930.1793225251795</v>
      </c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</row>
    <row r="23" spans="1:113" s="83" customFormat="1" x14ac:dyDescent="0.2">
      <c r="A23" s="785" t="s">
        <v>394</v>
      </c>
      <c r="B23" s="77"/>
      <c r="C23" s="77"/>
      <c r="D23" s="77"/>
      <c r="E23" s="77">
        <f>-E87</f>
        <v>0</v>
      </c>
      <c r="F23" s="77">
        <f t="shared" ref="F23:AE23" si="5">-F87</f>
        <v>-20</v>
      </c>
      <c r="G23" s="77">
        <f t="shared" si="5"/>
        <v>-20</v>
      </c>
      <c r="H23" s="77">
        <f t="shared" si="5"/>
        <v>-20</v>
      </c>
      <c r="I23" s="77">
        <f t="shared" si="5"/>
        <v>-20</v>
      </c>
      <c r="J23" s="77">
        <f t="shared" si="5"/>
        <v>-20</v>
      </c>
      <c r="K23" s="77">
        <f t="shared" si="5"/>
        <v>-20</v>
      </c>
      <c r="L23" s="77">
        <f t="shared" si="5"/>
        <v>-20</v>
      </c>
      <c r="M23" s="77">
        <f t="shared" si="5"/>
        <v>-20</v>
      </c>
      <c r="N23" s="77">
        <f t="shared" si="5"/>
        <v>-20</v>
      </c>
      <c r="O23" s="77">
        <f t="shared" si="5"/>
        <v>-20</v>
      </c>
      <c r="P23" s="77">
        <f t="shared" si="5"/>
        <v>-20</v>
      </c>
      <c r="Q23" s="77">
        <f t="shared" si="5"/>
        <v>-20</v>
      </c>
      <c r="R23" s="77">
        <f t="shared" si="5"/>
        <v>-20</v>
      </c>
      <c r="S23" s="77">
        <f t="shared" si="5"/>
        <v>-20</v>
      </c>
      <c r="T23" s="77">
        <f t="shared" si="5"/>
        <v>0</v>
      </c>
      <c r="U23" s="77">
        <f t="shared" si="5"/>
        <v>0</v>
      </c>
      <c r="V23" s="77">
        <f t="shared" si="5"/>
        <v>0</v>
      </c>
      <c r="W23" s="77">
        <f t="shared" si="5"/>
        <v>0</v>
      </c>
      <c r="X23" s="77">
        <f t="shared" si="5"/>
        <v>0</v>
      </c>
      <c r="Y23" s="77">
        <f t="shared" si="5"/>
        <v>0</v>
      </c>
      <c r="Z23" s="77">
        <f t="shared" si="5"/>
        <v>0</v>
      </c>
      <c r="AA23" s="77">
        <f t="shared" si="5"/>
        <v>0</v>
      </c>
      <c r="AB23" s="77">
        <f t="shared" si="5"/>
        <v>0</v>
      </c>
      <c r="AC23" s="77">
        <f t="shared" si="5"/>
        <v>0</v>
      </c>
      <c r="AD23" s="77">
        <f t="shared" si="5"/>
        <v>0</v>
      </c>
      <c r="AE23" s="77">
        <f t="shared" si="5"/>
        <v>0</v>
      </c>
      <c r="AF23" s="259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</row>
    <row r="24" spans="1:113" s="221" customFormat="1" x14ac:dyDescent="0.2">
      <c r="A24" s="795" t="s">
        <v>293</v>
      </c>
      <c r="B24" s="208"/>
      <c r="C24" s="208"/>
      <c r="D24" s="208"/>
      <c r="E24" s="72">
        <f>+E11</f>
        <v>-4219.569848176724</v>
      </c>
      <c r="F24" s="72">
        <f t="shared" ref="F24:AE24" si="6">+F11</f>
        <v>-4219.569848176724</v>
      </c>
      <c r="G24" s="72">
        <f t="shared" si="6"/>
        <v>-4219.569848176724</v>
      </c>
      <c r="H24" s="72">
        <f t="shared" si="6"/>
        <v>-4219.569848176724</v>
      </c>
      <c r="I24" s="72">
        <f t="shared" si="6"/>
        <v>-4219.569848176724</v>
      </c>
      <c r="J24" s="72">
        <f t="shared" si="6"/>
        <v>-4219.569848176724</v>
      </c>
      <c r="K24" s="72">
        <f t="shared" si="6"/>
        <v>-4219.569848176724</v>
      </c>
      <c r="L24" s="72">
        <f t="shared" si="6"/>
        <v>-4219.569848176724</v>
      </c>
      <c r="M24" s="72">
        <f t="shared" si="6"/>
        <v>-4219.569848176724</v>
      </c>
      <c r="N24" s="72">
        <f t="shared" si="6"/>
        <v>-4219.569848176724</v>
      </c>
      <c r="O24" s="72">
        <f t="shared" si="6"/>
        <v>-4219.569848176724</v>
      </c>
      <c r="P24" s="72">
        <f t="shared" si="6"/>
        <v>-4219.569848176724</v>
      </c>
      <c r="Q24" s="72">
        <f t="shared" si="6"/>
        <v>-4219.569848176724</v>
      </c>
      <c r="R24" s="72">
        <f t="shared" si="6"/>
        <v>-4219.569848176724</v>
      </c>
      <c r="S24" s="72">
        <f t="shared" si="6"/>
        <v>-4219.569848176724</v>
      </c>
      <c r="T24" s="72">
        <f t="shared" si="6"/>
        <v>0</v>
      </c>
      <c r="U24" s="72">
        <f t="shared" si="6"/>
        <v>0</v>
      </c>
      <c r="V24" s="72">
        <f t="shared" si="6"/>
        <v>0</v>
      </c>
      <c r="W24" s="72">
        <f t="shared" si="6"/>
        <v>0</v>
      </c>
      <c r="X24" s="72">
        <f t="shared" si="6"/>
        <v>0</v>
      </c>
      <c r="Y24" s="72">
        <f t="shared" si="6"/>
        <v>0</v>
      </c>
      <c r="Z24" s="72">
        <f t="shared" si="6"/>
        <v>0</v>
      </c>
      <c r="AA24" s="72">
        <f t="shared" si="6"/>
        <v>0</v>
      </c>
      <c r="AB24" s="72">
        <f t="shared" si="6"/>
        <v>0</v>
      </c>
      <c r="AC24" s="72">
        <f t="shared" si="6"/>
        <v>0</v>
      </c>
      <c r="AD24" s="72">
        <f t="shared" si="6"/>
        <v>0</v>
      </c>
      <c r="AE24" s="72">
        <f t="shared" si="6"/>
        <v>0</v>
      </c>
      <c r="AF24" s="262">
        <f t="shared" si="4"/>
        <v>-63293.547722650866</v>
      </c>
      <c r="AG24" s="72"/>
      <c r="AH24" s="72"/>
      <c r="AI24" s="72"/>
      <c r="AJ24" s="72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x14ac:dyDescent="0.2">
      <c r="A25" s="785" t="s">
        <v>109</v>
      </c>
      <c r="B25" s="44"/>
      <c r="C25" s="44"/>
      <c r="D25" s="44"/>
      <c r="E25" s="77">
        <f t="shared" ref="E25:AE25" si="7">SUM(E20:E24)</f>
        <v>-9708.7163527930024</v>
      </c>
      <c r="F25" s="77">
        <f t="shared" si="7"/>
        <v>-9259.6034786188138</v>
      </c>
      <c r="G25" s="77">
        <f t="shared" si="7"/>
        <v>8616.8732142362533</v>
      </c>
      <c r="H25" s="77">
        <f t="shared" si="7"/>
        <v>11029.321326588532</v>
      </c>
      <c r="I25" s="77">
        <f t="shared" si="7"/>
        <v>12601.552086408683</v>
      </c>
      <c r="J25" s="77">
        <f t="shared" si="7"/>
        <v>14817.456533451052</v>
      </c>
      <c r="K25" s="77">
        <f t="shared" si="7"/>
        <v>16691.178764124685</v>
      </c>
      <c r="L25" s="77">
        <f t="shared" si="7"/>
        <v>52169.992499551001</v>
      </c>
      <c r="M25" s="77">
        <f t="shared" si="7"/>
        <v>59487.665947927439</v>
      </c>
      <c r="N25" s="77">
        <f t="shared" si="7"/>
        <v>62900.964493683416</v>
      </c>
      <c r="O25" s="77">
        <f t="shared" si="7"/>
        <v>66670.591506265773</v>
      </c>
      <c r="P25" s="77">
        <f t="shared" si="7"/>
        <v>71448.138445774995</v>
      </c>
      <c r="Q25" s="77">
        <f t="shared" si="7"/>
        <v>74339.338150657903</v>
      </c>
      <c r="R25" s="77">
        <f t="shared" si="7"/>
        <v>75911.656310634586</v>
      </c>
      <c r="S25" s="77">
        <f t="shared" si="7"/>
        <v>77515.420833810815</v>
      </c>
      <c r="T25" s="77">
        <f t="shared" si="7"/>
        <v>0</v>
      </c>
      <c r="U25" s="77">
        <f t="shared" si="7"/>
        <v>0</v>
      </c>
      <c r="V25" s="77">
        <f t="shared" si="7"/>
        <v>0</v>
      </c>
      <c r="W25" s="77">
        <f t="shared" si="7"/>
        <v>0</v>
      </c>
      <c r="X25" s="77">
        <f t="shared" si="7"/>
        <v>0</v>
      </c>
      <c r="Y25" s="77">
        <f t="shared" si="7"/>
        <v>0</v>
      </c>
      <c r="Z25" s="77">
        <f t="shared" si="7"/>
        <v>0</v>
      </c>
      <c r="AA25" s="77">
        <f t="shared" si="7"/>
        <v>0</v>
      </c>
      <c r="AB25" s="77">
        <f t="shared" si="7"/>
        <v>0</v>
      </c>
      <c r="AC25" s="77">
        <f t="shared" si="7"/>
        <v>0</v>
      </c>
      <c r="AD25" s="77">
        <f t="shared" si="7"/>
        <v>0</v>
      </c>
      <c r="AE25" s="205">
        <f t="shared" si="7"/>
        <v>0</v>
      </c>
      <c r="AF25" s="259">
        <f t="shared" si="4"/>
        <v>585231.83028170327</v>
      </c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</row>
    <row r="26" spans="1:113" s="221" customFormat="1" x14ac:dyDescent="0.2">
      <c r="A26" s="885" t="s">
        <v>110</v>
      </c>
      <c r="B26" s="208"/>
      <c r="C26" s="208"/>
      <c r="D26" s="208"/>
      <c r="E26" s="72">
        <f>+E39</f>
        <v>0</v>
      </c>
      <c r="F26" s="72">
        <f t="shared" ref="F26:AE26" si="8">+F39</f>
        <v>0</v>
      </c>
      <c r="G26" s="72">
        <f t="shared" si="8"/>
        <v>-4308.4366071181266</v>
      </c>
      <c r="H26" s="72">
        <f t="shared" si="8"/>
        <v>-5514.6606632942658</v>
      </c>
      <c r="I26" s="72">
        <f t="shared" si="8"/>
        <v>-6300.7760432043415</v>
      </c>
      <c r="J26" s="72">
        <f t="shared" si="8"/>
        <v>-2844.4465177950824</v>
      </c>
      <c r="K26" s="72">
        <f t="shared" si="8"/>
        <v>0</v>
      </c>
      <c r="L26" s="72">
        <f t="shared" si="8"/>
        <v>0</v>
      </c>
      <c r="M26" s="72">
        <f t="shared" si="8"/>
        <v>0</v>
      </c>
      <c r="N26" s="72">
        <f t="shared" si="8"/>
        <v>0</v>
      </c>
      <c r="O26" s="72">
        <f t="shared" si="8"/>
        <v>0</v>
      </c>
      <c r="P26" s="72">
        <f t="shared" si="8"/>
        <v>0</v>
      </c>
      <c r="Q26" s="72">
        <f t="shared" si="8"/>
        <v>0</v>
      </c>
      <c r="R26" s="72">
        <f t="shared" si="8"/>
        <v>0</v>
      </c>
      <c r="S26" s="72">
        <f t="shared" si="8"/>
        <v>0</v>
      </c>
      <c r="T26" s="72">
        <f t="shared" si="8"/>
        <v>0</v>
      </c>
      <c r="U26" s="72">
        <f t="shared" si="8"/>
        <v>0</v>
      </c>
      <c r="V26" s="72">
        <f t="shared" si="8"/>
        <v>0</v>
      </c>
      <c r="W26" s="72">
        <f t="shared" si="8"/>
        <v>0</v>
      </c>
      <c r="X26" s="72">
        <f t="shared" si="8"/>
        <v>0</v>
      </c>
      <c r="Y26" s="72">
        <f t="shared" si="8"/>
        <v>0</v>
      </c>
      <c r="Z26" s="72">
        <f t="shared" si="8"/>
        <v>0</v>
      </c>
      <c r="AA26" s="72">
        <f t="shared" si="8"/>
        <v>0</v>
      </c>
      <c r="AB26" s="72">
        <f t="shared" si="8"/>
        <v>0</v>
      </c>
      <c r="AC26" s="72">
        <f t="shared" si="8"/>
        <v>0</v>
      </c>
      <c r="AD26" s="72">
        <f t="shared" si="8"/>
        <v>0</v>
      </c>
      <c r="AE26" s="407">
        <f t="shared" si="8"/>
        <v>0</v>
      </c>
      <c r="AF26" s="262">
        <f t="shared" si="4"/>
        <v>-18968.319831411816</v>
      </c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x14ac:dyDescent="0.2">
      <c r="A27" s="788" t="s">
        <v>111</v>
      </c>
      <c r="B27" s="44"/>
      <c r="C27" s="44"/>
      <c r="D27" s="44"/>
      <c r="E27" s="77">
        <f t="shared" ref="E27:AE27" si="9">+SUM(E25:E26)</f>
        <v>-9708.7163527930024</v>
      </c>
      <c r="F27" s="77">
        <f t="shared" si="9"/>
        <v>-9259.6034786188138</v>
      </c>
      <c r="G27" s="77">
        <f t="shared" si="9"/>
        <v>4308.4366071181266</v>
      </c>
      <c r="H27" s="77">
        <f t="shared" si="9"/>
        <v>5514.6606632942658</v>
      </c>
      <c r="I27" s="77">
        <f t="shared" si="9"/>
        <v>6300.7760432043415</v>
      </c>
      <c r="J27" s="77">
        <f t="shared" si="9"/>
        <v>11973.010015655969</v>
      </c>
      <c r="K27" s="77">
        <f t="shared" si="9"/>
        <v>16691.178764124685</v>
      </c>
      <c r="L27" s="77">
        <f t="shared" si="9"/>
        <v>52169.992499551001</v>
      </c>
      <c r="M27" s="77">
        <f t="shared" si="9"/>
        <v>59487.665947927439</v>
      </c>
      <c r="N27" s="77">
        <f t="shared" si="9"/>
        <v>62900.964493683416</v>
      </c>
      <c r="O27" s="77">
        <f t="shared" si="9"/>
        <v>66670.591506265773</v>
      </c>
      <c r="P27" s="77">
        <f t="shared" si="9"/>
        <v>71448.138445774995</v>
      </c>
      <c r="Q27" s="77">
        <f t="shared" si="9"/>
        <v>74339.338150657903</v>
      </c>
      <c r="R27" s="77">
        <f t="shared" si="9"/>
        <v>75911.656310634586</v>
      </c>
      <c r="S27" s="77">
        <f t="shared" si="9"/>
        <v>77515.420833810815</v>
      </c>
      <c r="T27" s="77">
        <f t="shared" si="9"/>
        <v>0</v>
      </c>
      <c r="U27" s="77">
        <f t="shared" si="9"/>
        <v>0</v>
      </c>
      <c r="V27" s="77">
        <f t="shared" si="9"/>
        <v>0</v>
      </c>
      <c r="W27" s="77">
        <f t="shared" si="9"/>
        <v>0</v>
      </c>
      <c r="X27" s="77">
        <f t="shared" si="9"/>
        <v>0</v>
      </c>
      <c r="Y27" s="77">
        <f t="shared" si="9"/>
        <v>0</v>
      </c>
      <c r="Z27" s="77">
        <f t="shared" si="9"/>
        <v>0</v>
      </c>
      <c r="AA27" s="77">
        <f t="shared" si="9"/>
        <v>0</v>
      </c>
      <c r="AB27" s="77">
        <f t="shared" si="9"/>
        <v>0</v>
      </c>
      <c r="AC27" s="77">
        <f t="shared" si="9"/>
        <v>0</v>
      </c>
      <c r="AD27" s="77">
        <f t="shared" si="9"/>
        <v>0</v>
      </c>
      <c r="AE27" s="77">
        <f t="shared" si="9"/>
        <v>0</v>
      </c>
      <c r="AF27" s="259">
        <f t="shared" si="4"/>
        <v>566263.51045029145</v>
      </c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</row>
    <row r="28" spans="1:113" x14ac:dyDescent="0.2">
      <c r="A28" s="370"/>
      <c r="B28" s="44"/>
      <c r="C28" s="44"/>
      <c r="D28" s="44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259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</row>
    <row r="29" spans="1:113" x14ac:dyDescent="0.2">
      <c r="A29" s="756" t="s">
        <v>287</v>
      </c>
      <c r="B29" s="44"/>
      <c r="C29" s="251"/>
      <c r="D29" s="251"/>
      <c r="E29" s="248">
        <f>+Assumpt!$L$11</f>
        <v>0.3</v>
      </c>
      <c r="F29" s="248">
        <f>+Assumpt!$L$11</f>
        <v>0.3</v>
      </c>
      <c r="G29" s="248">
        <f>+Assumpt!$L$11</f>
        <v>0.3</v>
      </c>
      <c r="H29" s="248">
        <f>+Assumpt!$L$11</f>
        <v>0.3</v>
      </c>
      <c r="I29" s="248">
        <f>+Assumpt!$L$11</f>
        <v>0.3</v>
      </c>
      <c r="J29" s="248">
        <f>+Assumpt!$L$11</f>
        <v>0.3</v>
      </c>
      <c r="K29" s="248">
        <f>+Assumpt!$L$11</f>
        <v>0.3</v>
      </c>
      <c r="L29" s="248">
        <f>+Assumpt!$L$11</f>
        <v>0.3</v>
      </c>
      <c r="M29" s="248">
        <f>+Assumpt!$L$11</f>
        <v>0.3</v>
      </c>
      <c r="N29" s="248">
        <f>+Assumpt!$L$11</f>
        <v>0.3</v>
      </c>
      <c r="O29" s="248">
        <f>+Assumpt!$L$11</f>
        <v>0.3</v>
      </c>
      <c r="P29" s="248">
        <f>+Assumpt!$L$11</f>
        <v>0.3</v>
      </c>
      <c r="Q29" s="248">
        <f>+Assumpt!$L$11</f>
        <v>0.3</v>
      </c>
      <c r="R29" s="248">
        <f>+Assumpt!$L$11</f>
        <v>0.3</v>
      </c>
      <c r="S29" s="248">
        <f>+Assumpt!$L$11</f>
        <v>0.3</v>
      </c>
      <c r="T29" s="248">
        <f>+Assumpt!$L$11</f>
        <v>0.3</v>
      </c>
      <c r="U29" s="248">
        <f>+Assumpt!$L$11</f>
        <v>0.3</v>
      </c>
      <c r="V29" s="248">
        <f>+Assumpt!$L$11</f>
        <v>0.3</v>
      </c>
      <c r="W29" s="248">
        <f>+Assumpt!$L$11</f>
        <v>0.3</v>
      </c>
      <c r="X29" s="248">
        <f>+Assumpt!$L$11</f>
        <v>0.3</v>
      </c>
      <c r="Y29" s="248">
        <f>+Assumpt!$L$11</f>
        <v>0.3</v>
      </c>
      <c r="Z29" s="248">
        <f>+Assumpt!$L$11</f>
        <v>0.3</v>
      </c>
      <c r="AA29" s="248">
        <f>+Assumpt!$L$11</f>
        <v>0.3</v>
      </c>
      <c r="AB29" s="248">
        <f>+Assumpt!$L$11</f>
        <v>0.3</v>
      </c>
      <c r="AC29" s="248">
        <f>+Assumpt!$L$11</f>
        <v>0.3</v>
      </c>
      <c r="AD29" s="248">
        <f>+Assumpt!$L$11</f>
        <v>0.3</v>
      </c>
      <c r="AE29" s="409">
        <f>+Assumpt!$L$11</f>
        <v>0.3</v>
      </c>
      <c r="AF29" s="781"/>
      <c r="AG29" s="77"/>
      <c r="AH29" s="77"/>
      <c r="AI29" s="77"/>
      <c r="AJ29" s="77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</row>
    <row r="30" spans="1:113" s="198" customFormat="1" x14ac:dyDescent="0.2">
      <c r="A30" s="334" t="s">
        <v>288</v>
      </c>
      <c r="C30" s="881"/>
      <c r="D30" s="881"/>
      <c r="E30" s="324">
        <f t="shared" ref="E30:AE30" si="10">MAX(+E29*E27,0)</f>
        <v>0</v>
      </c>
      <c r="F30" s="324">
        <f t="shared" si="10"/>
        <v>0</v>
      </c>
      <c r="G30" s="324">
        <f t="shared" si="10"/>
        <v>1292.5309821354379</v>
      </c>
      <c r="H30" s="324">
        <f t="shared" si="10"/>
        <v>1654.3981989882798</v>
      </c>
      <c r="I30" s="324">
        <f t="shared" si="10"/>
        <v>1890.2328129613024</v>
      </c>
      <c r="J30" s="324">
        <f t="shared" si="10"/>
        <v>3591.9030046967905</v>
      </c>
      <c r="K30" s="324">
        <f t="shared" si="10"/>
        <v>5007.3536292374056</v>
      </c>
      <c r="L30" s="324">
        <f t="shared" si="10"/>
        <v>15650.997749865299</v>
      </c>
      <c r="M30" s="324">
        <f t="shared" si="10"/>
        <v>17846.299784378232</v>
      </c>
      <c r="N30" s="324">
        <f t="shared" si="10"/>
        <v>18870.289348105023</v>
      </c>
      <c r="O30" s="324">
        <f t="shared" si="10"/>
        <v>20001.177451879732</v>
      </c>
      <c r="P30" s="324">
        <f t="shared" si="10"/>
        <v>21434.441533732497</v>
      </c>
      <c r="Q30" s="324">
        <f t="shared" si="10"/>
        <v>22301.801445197369</v>
      </c>
      <c r="R30" s="324">
        <f t="shared" si="10"/>
        <v>22773.496893190375</v>
      </c>
      <c r="S30" s="324">
        <f t="shared" si="10"/>
        <v>23254.626250143243</v>
      </c>
      <c r="T30" s="324">
        <f t="shared" si="10"/>
        <v>0</v>
      </c>
      <c r="U30" s="324">
        <f t="shared" si="10"/>
        <v>0</v>
      </c>
      <c r="V30" s="324">
        <f t="shared" si="10"/>
        <v>0</v>
      </c>
      <c r="W30" s="324">
        <f t="shared" si="10"/>
        <v>0</v>
      </c>
      <c r="X30" s="324">
        <f t="shared" si="10"/>
        <v>0</v>
      </c>
      <c r="Y30" s="324">
        <f t="shared" si="10"/>
        <v>0</v>
      </c>
      <c r="Z30" s="324">
        <f t="shared" si="10"/>
        <v>0</v>
      </c>
      <c r="AA30" s="324">
        <f t="shared" si="10"/>
        <v>0</v>
      </c>
      <c r="AB30" s="324">
        <f t="shared" si="10"/>
        <v>0</v>
      </c>
      <c r="AC30" s="324">
        <f t="shared" si="10"/>
        <v>0</v>
      </c>
      <c r="AD30" s="324">
        <f t="shared" si="10"/>
        <v>0</v>
      </c>
      <c r="AE30" s="324">
        <f t="shared" si="10"/>
        <v>0</v>
      </c>
      <c r="AF30" s="359">
        <f>+SUM(E30:AE30)</f>
        <v>175569.549084511</v>
      </c>
      <c r="AG30" s="324"/>
      <c r="AH30" s="324"/>
      <c r="AI30" s="324"/>
      <c r="AJ30" s="324"/>
    </row>
    <row r="31" spans="1:113" s="231" customFormat="1" x14ac:dyDescent="0.2">
      <c r="A31" s="334"/>
      <c r="B31" s="198"/>
      <c r="C31" s="881"/>
      <c r="D31" s="881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59"/>
      <c r="AG31" s="324"/>
      <c r="AH31" s="324"/>
      <c r="AI31" s="324"/>
      <c r="AJ31" s="324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</row>
    <row r="32" spans="1:113" s="231" customFormat="1" x14ac:dyDescent="0.2">
      <c r="A32" s="756" t="s">
        <v>369</v>
      </c>
      <c r="B32" s="198"/>
      <c r="C32" s="881"/>
      <c r="D32" s="881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59"/>
      <c r="AG32" s="324"/>
      <c r="AH32" s="324"/>
      <c r="AI32" s="324"/>
      <c r="AJ32" s="324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</row>
    <row r="33" spans="1:113" x14ac:dyDescent="0.2">
      <c r="A33" s="785" t="s">
        <v>362</v>
      </c>
      <c r="B33" s="44"/>
      <c r="C33" s="251"/>
      <c r="D33" s="251"/>
      <c r="E33" s="632">
        <v>0</v>
      </c>
      <c r="F33" s="77">
        <f t="shared" ref="F33:K33" si="11">+E41</f>
        <v>9708.7163527930024</v>
      </c>
      <c r="G33" s="77">
        <f t="shared" si="11"/>
        <v>18968.319831411816</v>
      </c>
      <c r="H33" s="77">
        <f t="shared" si="11"/>
        <v>14659.88322429369</v>
      </c>
      <c r="I33" s="77">
        <f t="shared" si="11"/>
        <v>9145.2225609994239</v>
      </c>
      <c r="J33" s="77">
        <f t="shared" si="11"/>
        <v>2844.4465177950824</v>
      </c>
      <c r="K33" s="77">
        <f t="shared" si="11"/>
        <v>0</v>
      </c>
      <c r="L33" s="77">
        <f t="shared" ref="L33:AE33" si="12">+K41</f>
        <v>0</v>
      </c>
      <c r="M33" s="77">
        <f t="shared" si="12"/>
        <v>0</v>
      </c>
      <c r="N33" s="77">
        <f t="shared" si="12"/>
        <v>0</v>
      </c>
      <c r="O33" s="77">
        <f t="shared" si="12"/>
        <v>0</v>
      </c>
      <c r="P33" s="77">
        <f t="shared" si="12"/>
        <v>0</v>
      </c>
      <c r="Q33" s="77">
        <f t="shared" si="12"/>
        <v>0</v>
      </c>
      <c r="R33" s="77">
        <f t="shared" si="12"/>
        <v>0</v>
      </c>
      <c r="S33" s="77">
        <f t="shared" si="12"/>
        <v>0</v>
      </c>
      <c r="T33" s="77">
        <f t="shared" si="12"/>
        <v>0</v>
      </c>
      <c r="U33" s="77">
        <f t="shared" si="12"/>
        <v>0</v>
      </c>
      <c r="V33" s="77">
        <f t="shared" si="12"/>
        <v>0</v>
      </c>
      <c r="W33" s="77">
        <f t="shared" si="12"/>
        <v>0</v>
      </c>
      <c r="X33" s="77">
        <f t="shared" si="12"/>
        <v>0</v>
      </c>
      <c r="Y33" s="77">
        <f t="shared" si="12"/>
        <v>0</v>
      </c>
      <c r="Z33" s="77">
        <f t="shared" si="12"/>
        <v>0</v>
      </c>
      <c r="AA33" s="77">
        <f t="shared" si="12"/>
        <v>0</v>
      </c>
      <c r="AB33" s="77">
        <f t="shared" si="12"/>
        <v>0</v>
      </c>
      <c r="AC33" s="77">
        <f t="shared" si="12"/>
        <v>0</v>
      </c>
      <c r="AD33" s="77">
        <f t="shared" si="12"/>
        <v>0</v>
      </c>
      <c r="AE33" s="77">
        <f t="shared" si="12"/>
        <v>0</v>
      </c>
      <c r="AF33" s="259"/>
      <c r="AG33" s="77"/>
      <c r="AH33" s="77"/>
      <c r="AI33" s="77"/>
      <c r="AJ33" s="77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</row>
    <row r="34" spans="1:113" s="221" customFormat="1" x14ac:dyDescent="0.2">
      <c r="A34" s="787" t="s">
        <v>364</v>
      </c>
      <c r="B34" s="208"/>
      <c r="C34" s="406"/>
      <c r="D34" s="406"/>
      <c r="E34" s="711">
        <v>0</v>
      </c>
      <c r="F34" s="711">
        <v>0</v>
      </c>
      <c r="G34" s="711">
        <v>0</v>
      </c>
      <c r="H34" s="711">
        <v>0</v>
      </c>
      <c r="I34" s="711">
        <v>0</v>
      </c>
      <c r="J34" s="711">
        <v>0</v>
      </c>
      <c r="K34" s="72">
        <f>MIN(-SUM($E40:E40,$F39:J39)-SUM($E34:J34),0)</f>
        <v>0</v>
      </c>
      <c r="L34" s="72">
        <f>MIN(-SUM($E40:F40,$F39:K39)-SUM($E34:K34),0)</f>
        <v>0</v>
      </c>
      <c r="M34" s="72">
        <f>MIN(-SUM($E40:G40,$F39:L39)-SUM($E34:L34),0)</f>
        <v>0</v>
      </c>
      <c r="N34" s="72">
        <f>MIN(-SUM($E40:H40,$F39:M39)-SUM($E34:M34),0)</f>
        <v>0</v>
      </c>
      <c r="O34" s="72">
        <f>MIN(-SUM($E40:I40,$F39:N39)-SUM($E34:N34),0)</f>
        <v>0</v>
      </c>
      <c r="P34" s="72">
        <f>MIN(-SUM($E40:J40,$F39:O39)-SUM($E34:O34),0)</f>
        <v>0</v>
      </c>
      <c r="Q34" s="72">
        <f>MIN(-SUM($E40:K40,$F39:P39)-SUM($E34:P34),0)</f>
        <v>0</v>
      </c>
      <c r="R34" s="72">
        <f>MIN(-SUM($E40:L40,$F39:Q39)-SUM($E34:Q34),0)</f>
        <v>0</v>
      </c>
      <c r="S34" s="72">
        <f>MIN(-SUM($E40:M40,$F39:R39)-SUM($E34:R34),0)</f>
        <v>0</v>
      </c>
      <c r="T34" s="72">
        <f>MIN(-SUM($E40:N40,$F39:S39)-SUM($E34:S34),0)</f>
        <v>0</v>
      </c>
      <c r="U34" s="72">
        <f>MIN(-SUM($E40:O40,$F39:T39)-SUM($E34:T34),0)</f>
        <v>0</v>
      </c>
      <c r="V34" s="72">
        <f>MIN(-SUM($E40:P40,$F39:U39)-SUM($E34:U34),0)</f>
        <v>0</v>
      </c>
      <c r="W34" s="72">
        <f>MIN(-SUM($E40:Q40,$F39:V39)-SUM($E34:V34),0)</f>
        <v>0</v>
      </c>
      <c r="X34" s="72">
        <f>MIN(-SUM($E40:R40,$F39:W39)-SUM($E34:W34),0)</f>
        <v>0</v>
      </c>
      <c r="Y34" s="72">
        <f>MIN(-SUM($E40:S40,$F39:X39)-SUM($E34:X34),0)</f>
        <v>0</v>
      </c>
      <c r="Z34" s="72">
        <f>MIN(-SUM($E40:T40,$F39:Y39)-SUM($E34:Y34),0)</f>
        <v>0</v>
      </c>
      <c r="AA34" s="72">
        <f>MIN(-SUM($E40:U40,$F39:Z39)-SUM($E34:Z34),0)</f>
        <v>0</v>
      </c>
      <c r="AB34" s="72">
        <f>MIN(-SUM($E40:V40,$F39:AA39)-SUM($E34:AA34),0)</f>
        <v>0</v>
      </c>
      <c r="AC34" s="72">
        <f>MIN(-SUM($E40:W40,$F39:AB39)-SUM($E34:AB34),0)</f>
        <v>0</v>
      </c>
      <c r="AD34" s="72">
        <f>MIN(-SUM($E40:X40,$F39:AC39)-SUM($E34:AC34),0)</f>
        <v>0</v>
      </c>
      <c r="AE34" s="72">
        <f>MIN(-SUM($E40:Y40,$F39:AD39)-SUM($E34:AD34),0)</f>
        <v>0</v>
      </c>
      <c r="AF34" s="262">
        <f>+SUM(E34:AE34)</f>
        <v>0</v>
      </c>
      <c r="AG34" s="72"/>
      <c r="AH34" s="72"/>
      <c r="AI34" s="72"/>
      <c r="AJ34" s="72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x14ac:dyDescent="0.2">
      <c r="A35" s="785" t="s">
        <v>365</v>
      </c>
      <c r="B35" s="44"/>
      <c r="C35" s="251"/>
      <c r="D35" s="251"/>
      <c r="E35" s="77">
        <f t="shared" ref="E35:AE35" si="13">+SUM(E33:E34)</f>
        <v>0</v>
      </c>
      <c r="F35" s="77">
        <f t="shared" si="13"/>
        <v>9708.7163527930024</v>
      </c>
      <c r="G35" s="77">
        <f t="shared" si="13"/>
        <v>18968.319831411816</v>
      </c>
      <c r="H35" s="77">
        <f t="shared" si="13"/>
        <v>14659.88322429369</v>
      </c>
      <c r="I35" s="77">
        <f t="shared" si="13"/>
        <v>9145.2225609994239</v>
      </c>
      <c r="J35" s="77">
        <f t="shared" si="13"/>
        <v>2844.4465177950824</v>
      </c>
      <c r="K35" s="77">
        <f t="shared" si="13"/>
        <v>0</v>
      </c>
      <c r="L35" s="77">
        <f t="shared" si="13"/>
        <v>0</v>
      </c>
      <c r="M35" s="77">
        <f t="shared" si="13"/>
        <v>0</v>
      </c>
      <c r="N35" s="77">
        <f t="shared" si="13"/>
        <v>0</v>
      </c>
      <c r="O35" s="77">
        <f t="shared" si="13"/>
        <v>0</v>
      </c>
      <c r="P35" s="77">
        <f t="shared" si="13"/>
        <v>0</v>
      </c>
      <c r="Q35" s="77">
        <f t="shared" si="13"/>
        <v>0</v>
      </c>
      <c r="R35" s="77">
        <f t="shared" si="13"/>
        <v>0</v>
      </c>
      <c r="S35" s="77">
        <f t="shared" si="13"/>
        <v>0</v>
      </c>
      <c r="T35" s="77">
        <f t="shared" si="13"/>
        <v>0</v>
      </c>
      <c r="U35" s="77">
        <f t="shared" si="13"/>
        <v>0</v>
      </c>
      <c r="V35" s="77">
        <f t="shared" si="13"/>
        <v>0</v>
      </c>
      <c r="W35" s="77">
        <f t="shared" si="13"/>
        <v>0</v>
      </c>
      <c r="X35" s="77">
        <f t="shared" si="13"/>
        <v>0</v>
      </c>
      <c r="Y35" s="77">
        <f t="shared" si="13"/>
        <v>0</v>
      </c>
      <c r="Z35" s="77">
        <f t="shared" si="13"/>
        <v>0</v>
      </c>
      <c r="AA35" s="77">
        <f t="shared" si="13"/>
        <v>0</v>
      </c>
      <c r="AB35" s="77">
        <f t="shared" si="13"/>
        <v>0</v>
      </c>
      <c r="AC35" s="77">
        <f t="shared" si="13"/>
        <v>0</v>
      </c>
      <c r="AD35" s="77">
        <f t="shared" si="13"/>
        <v>0</v>
      </c>
      <c r="AE35" s="77">
        <f t="shared" si="13"/>
        <v>0</v>
      </c>
      <c r="AF35" s="259"/>
      <c r="AG35" s="77"/>
      <c r="AH35" s="77"/>
      <c r="AI35" s="77"/>
      <c r="AJ35" s="77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</row>
    <row r="36" spans="1:113" x14ac:dyDescent="0.2">
      <c r="A36" s="882" t="s">
        <v>367</v>
      </c>
      <c r="B36" s="44"/>
      <c r="C36" s="251"/>
      <c r="D36" s="251"/>
      <c r="E36" s="77">
        <f>IF(E25&lt;0,0,E35*0.2)</f>
        <v>0</v>
      </c>
      <c r="F36" s="77">
        <f t="shared" ref="F36:K36" si="14">IF(F25&lt;0,0,F35*0.2)</f>
        <v>0</v>
      </c>
      <c r="G36" s="77">
        <f t="shared" si="14"/>
        <v>3793.6639662823636</v>
      </c>
      <c r="H36" s="77">
        <f t="shared" si="14"/>
        <v>2931.9766448587379</v>
      </c>
      <c r="I36" s="77">
        <f t="shared" si="14"/>
        <v>1829.0445121998848</v>
      </c>
      <c r="J36" s="77">
        <f t="shared" si="14"/>
        <v>568.88930355901653</v>
      </c>
      <c r="K36" s="77">
        <f t="shared" si="14"/>
        <v>0</v>
      </c>
      <c r="L36" s="77">
        <f t="shared" ref="L36:AE36" si="15">IF(L25&lt;0,0,L35*0.2)</f>
        <v>0</v>
      </c>
      <c r="M36" s="77">
        <f t="shared" si="15"/>
        <v>0</v>
      </c>
      <c r="N36" s="77">
        <f t="shared" si="15"/>
        <v>0</v>
      </c>
      <c r="O36" s="77">
        <f t="shared" si="15"/>
        <v>0</v>
      </c>
      <c r="P36" s="77">
        <f t="shared" si="15"/>
        <v>0</v>
      </c>
      <c r="Q36" s="77">
        <f t="shared" si="15"/>
        <v>0</v>
      </c>
      <c r="R36" s="77">
        <f t="shared" si="15"/>
        <v>0</v>
      </c>
      <c r="S36" s="77">
        <f t="shared" si="15"/>
        <v>0</v>
      </c>
      <c r="T36" s="77">
        <f t="shared" si="15"/>
        <v>0</v>
      </c>
      <c r="U36" s="77">
        <f t="shared" si="15"/>
        <v>0</v>
      </c>
      <c r="V36" s="77">
        <f t="shared" si="15"/>
        <v>0</v>
      </c>
      <c r="W36" s="77">
        <f t="shared" si="15"/>
        <v>0</v>
      </c>
      <c r="X36" s="77">
        <f t="shared" si="15"/>
        <v>0</v>
      </c>
      <c r="Y36" s="77">
        <f t="shared" si="15"/>
        <v>0</v>
      </c>
      <c r="Z36" s="77">
        <f t="shared" si="15"/>
        <v>0</v>
      </c>
      <c r="AA36" s="77">
        <f t="shared" si="15"/>
        <v>0</v>
      </c>
      <c r="AB36" s="77">
        <f t="shared" si="15"/>
        <v>0</v>
      </c>
      <c r="AC36" s="77">
        <f t="shared" si="15"/>
        <v>0</v>
      </c>
      <c r="AD36" s="77">
        <f t="shared" si="15"/>
        <v>0</v>
      </c>
      <c r="AE36" s="77">
        <f t="shared" si="15"/>
        <v>0</v>
      </c>
      <c r="AF36" s="259"/>
      <c r="AG36" s="77"/>
      <c r="AH36" s="77"/>
      <c r="AI36" s="77"/>
      <c r="AJ36" s="77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</row>
    <row r="37" spans="1:113" x14ac:dyDescent="0.2">
      <c r="A37" s="882" t="s">
        <v>368</v>
      </c>
      <c r="B37" s="44"/>
      <c r="C37" s="251"/>
      <c r="D37" s="251"/>
      <c r="E37" s="77">
        <f>IF(E25&lt;0,0,E25*0.5)</f>
        <v>0</v>
      </c>
      <c r="F37" s="77">
        <f t="shared" ref="F37:K37" si="16">IF(F25&lt;0,0,F25*0.5)</f>
        <v>0</v>
      </c>
      <c r="G37" s="77">
        <f t="shared" si="16"/>
        <v>4308.4366071181266</v>
      </c>
      <c r="H37" s="77">
        <f t="shared" si="16"/>
        <v>5514.6606632942658</v>
      </c>
      <c r="I37" s="77">
        <f t="shared" si="16"/>
        <v>6300.7760432043415</v>
      </c>
      <c r="J37" s="77">
        <f t="shared" si="16"/>
        <v>7408.7282667255258</v>
      </c>
      <c r="K37" s="77">
        <f t="shared" si="16"/>
        <v>8345.5893820623423</v>
      </c>
      <c r="L37" s="77">
        <f t="shared" ref="L37:AE37" si="17">IF(L25&lt;0,0,L25*0.5)</f>
        <v>26084.9962497755</v>
      </c>
      <c r="M37" s="77">
        <f t="shared" si="17"/>
        <v>29743.832973963719</v>
      </c>
      <c r="N37" s="77">
        <f t="shared" si="17"/>
        <v>31450.482246841708</v>
      </c>
      <c r="O37" s="77">
        <f t="shared" si="17"/>
        <v>33335.295753132887</v>
      </c>
      <c r="P37" s="77">
        <f t="shared" si="17"/>
        <v>35724.069222887498</v>
      </c>
      <c r="Q37" s="77">
        <f t="shared" si="17"/>
        <v>37169.669075328951</v>
      </c>
      <c r="R37" s="77">
        <f t="shared" si="17"/>
        <v>37955.828155317293</v>
      </c>
      <c r="S37" s="77">
        <f t="shared" si="17"/>
        <v>38757.710416905407</v>
      </c>
      <c r="T37" s="77">
        <f t="shared" si="17"/>
        <v>0</v>
      </c>
      <c r="U37" s="77">
        <f t="shared" si="17"/>
        <v>0</v>
      </c>
      <c r="V37" s="77">
        <f t="shared" si="17"/>
        <v>0</v>
      </c>
      <c r="W37" s="77">
        <f t="shared" si="17"/>
        <v>0</v>
      </c>
      <c r="X37" s="77">
        <f t="shared" si="17"/>
        <v>0</v>
      </c>
      <c r="Y37" s="77">
        <f t="shared" si="17"/>
        <v>0</v>
      </c>
      <c r="Z37" s="77">
        <f t="shared" si="17"/>
        <v>0</v>
      </c>
      <c r="AA37" s="77">
        <f t="shared" si="17"/>
        <v>0</v>
      </c>
      <c r="AB37" s="77">
        <f t="shared" si="17"/>
        <v>0</v>
      </c>
      <c r="AC37" s="77">
        <f t="shared" si="17"/>
        <v>0</v>
      </c>
      <c r="AD37" s="77">
        <f t="shared" si="17"/>
        <v>0</v>
      </c>
      <c r="AE37" s="77">
        <f t="shared" si="17"/>
        <v>0</v>
      </c>
      <c r="AF37" s="259"/>
      <c r="AG37" s="77"/>
      <c r="AH37" s="77"/>
      <c r="AI37" s="77"/>
      <c r="AJ37" s="77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</row>
    <row r="38" spans="1:113" x14ac:dyDescent="0.2">
      <c r="A38" s="882"/>
      <c r="B38" s="44"/>
      <c r="C38" s="251"/>
      <c r="D38" s="251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259"/>
      <c r="AG38" s="77"/>
      <c r="AH38" s="77"/>
      <c r="AI38" s="77"/>
      <c r="AJ38" s="77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</row>
    <row r="39" spans="1:113" x14ac:dyDescent="0.2">
      <c r="A39" s="786" t="s">
        <v>370</v>
      </c>
      <c r="B39" s="44"/>
      <c r="C39" s="251"/>
      <c r="D39" s="251"/>
      <c r="E39" s="632">
        <v>0</v>
      </c>
      <c r="F39" s="77">
        <f t="shared" ref="F39:K39" si="18">+IF(F25&lt;0,0,-MIN(MAX(F36,F37),F35))</f>
        <v>0</v>
      </c>
      <c r="G39" s="77">
        <f t="shared" si="18"/>
        <v>-4308.4366071181266</v>
      </c>
      <c r="H39" s="77">
        <f t="shared" si="18"/>
        <v>-5514.6606632942658</v>
      </c>
      <c r="I39" s="77">
        <f t="shared" si="18"/>
        <v>-6300.7760432043415</v>
      </c>
      <c r="J39" s="77">
        <f t="shared" si="18"/>
        <v>-2844.4465177950824</v>
      </c>
      <c r="K39" s="77">
        <f t="shared" si="18"/>
        <v>0</v>
      </c>
      <c r="L39" s="77">
        <f t="shared" ref="L39:AE39" si="19">+IF(L25&lt;0,0,-MIN(MAX(L36,L37),L35))</f>
        <v>0</v>
      </c>
      <c r="M39" s="77">
        <f t="shared" si="19"/>
        <v>0</v>
      </c>
      <c r="N39" s="77">
        <f t="shared" si="19"/>
        <v>0</v>
      </c>
      <c r="O39" s="77">
        <f t="shared" si="19"/>
        <v>0</v>
      </c>
      <c r="P39" s="77">
        <f t="shared" si="19"/>
        <v>0</v>
      </c>
      <c r="Q39" s="77">
        <f t="shared" si="19"/>
        <v>0</v>
      </c>
      <c r="R39" s="77">
        <f t="shared" si="19"/>
        <v>0</v>
      </c>
      <c r="S39" s="77">
        <f t="shared" si="19"/>
        <v>0</v>
      </c>
      <c r="T39" s="77">
        <f t="shared" si="19"/>
        <v>0</v>
      </c>
      <c r="U39" s="77">
        <f t="shared" si="19"/>
        <v>0</v>
      </c>
      <c r="V39" s="77">
        <f t="shared" si="19"/>
        <v>0</v>
      </c>
      <c r="W39" s="77">
        <f t="shared" si="19"/>
        <v>0</v>
      </c>
      <c r="X39" s="77">
        <f t="shared" si="19"/>
        <v>0</v>
      </c>
      <c r="Y39" s="77">
        <f t="shared" si="19"/>
        <v>0</v>
      </c>
      <c r="Z39" s="77">
        <f t="shared" si="19"/>
        <v>0</v>
      </c>
      <c r="AA39" s="77">
        <f t="shared" si="19"/>
        <v>0</v>
      </c>
      <c r="AB39" s="77">
        <f t="shared" si="19"/>
        <v>0</v>
      </c>
      <c r="AC39" s="77">
        <f t="shared" si="19"/>
        <v>0</v>
      </c>
      <c r="AD39" s="77">
        <f t="shared" si="19"/>
        <v>0</v>
      </c>
      <c r="AE39" s="77">
        <f t="shared" si="19"/>
        <v>0</v>
      </c>
      <c r="AF39" s="259">
        <f>+SUM(E39:AE39)</f>
        <v>-18968.319831411816</v>
      </c>
      <c r="AG39" s="77"/>
      <c r="AH39" s="77"/>
      <c r="AI39" s="77"/>
      <c r="AJ39" s="77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</row>
    <row r="40" spans="1:113" s="221" customFormat="1" x14ac:dyDescent="0.2">
      <c r="A40" s="787" t="s">
        <v>363</v>
      </c>
      <c r="B40" s="208"/>
      <c r="C40" s="406"/>
      <c r="D40" s="406"/>
      <c r="E40" s="72">
        <f t="shared" ref="E40:K40" si="20">MAX(-E25,0)</f>
        <v>9708.7163527930024</v>
      </c>
      <c r="F40" s="72">
        <f t="shared" si="20"/>
        <v>9259.6034786188138</v>
      </c>
      <c r="G40" s="72">
        <f t="shared" si="20"/>
        <v>0</v>
      </c>
      <c r="H40" s="72">
        <f t="shared" si="20"/>
        <v>0</v>
      </c>
      <c r="I40" s="72">
        <f t="shared" si="20"/>
        <v>0</v>
      </c>
      <c r="J40" s="72">
        <f t="shared" si="20"/>
        <v>0</v>
      </c>
      <c r="K40" s="72">
        <f t="shared" si="20"/>
        <v>0</v>
      </c>
      <c r="L40" s="72">
        <f t="shared" ref="L40:AE40" si="21">MAX(-L25,0)</f>
        <v>0</v>
      </c>
      <c r="M40" s="72">
        <f t="shared" si="21"/>
        <v>0</v>
      </c>
      <c r="N40" s="72">
        <f t="shared" si="21"/>
        <v>0</v>
      </c>
      <c r="O40" s="72">
        <f t="shared" si="21"/>
        <v>0</v>
      </c>
      <c r="P40" s="72">
        <f t="shared" si="21"/>
        <v>0</v>
      </c>
      <c r="Q40" s="72">
        <f t="shared" si="21"/>
        <v>0</v>
      </c>
      <c r="R40" s="72">
        <f t="shared" si="21"/>
        <v>0</v>
      </c>
      <c r="S40" s="72">
        <f t="shared" si="21"/>
        <v>0</v>
      </c>
      <c r="T40" s="72">
        <f t="shared" si="21"/>
        <v>0</v>
      </c>
      <c r="U40" s="72">
        <f t="shared" si="21"/>
        <v>0</v>
      </c>
      <c r="V40" s="72">
        <f t="shared" si="21"/>
        <v>0</v>
      </c>
      <c r="W40" s="72">
        <f t="shared" si="21"/>
        <v>0</v>
      </c>
      <c r="X40" s="72">
        <f t="shared" si="21"/>
        <v>0</v>
      </c>
      <c r="Y40" s="72">
        <f t="shared" si="21"/>
        <v>0</v>
      </c>
      <c r="Z40" s="72">
        <f t="shared" si="21"/>
        <v>0</v>
      </c>
      <c r="AA40" s="72">
        <f t="shared" si="21"/>
        <v>0</v>
      </c>
      <c r="AB40" s="72">
        <f t="shared" si="21"/>
        <v>0</v>
      </c>
      <c r="AC40" s="72">
        <f t="shared" si="21"/>
        <v>0</v>
      </c>
      <c r="AD40" s="72">
        <f t="shared" si="21"/>
        <v>0</v>
      </c>
      <c r="AE40" s="72">
        <f t="shared" si="21"/>
        <v>0</v>
      </c>
      <c r="AF40" s="262">
        <f>+SUM(E40:AE40)</f>
        <v>18968.319831411816</v>
      </c>
      <c r="AG40" s="72"/>
      <c r="AH40" s="72"/>
      <c r="AI40" s="72"/>
      <c r="AJ40" s="72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</row>
    <row r="41" spans="1:113" x14ac:dyDescent="0.2">
      <c r="A41" s="883" t="s">
        <v>366</v>
      </c>
      <c r="B41" s="226"/>
      <c r="C41" s="884"/>
      <c r="D41" s="884"/>
      <c r="E41" s="410">
        <f t="shared" ref="E41:AE41" si="22">+E35+SUM(E39:E40)</f>
        <v>9708.7163527930024</v>
      </c>
      <c r="F41" s="410">
        <f t="shared" si="22"/>
        <v>18968.319831411816</v>
      </c>
      <c r="G41" s="410">
        <f t="shared" si="22"/>
        <v>14659.88322429369</v>
      </c>
      <c r="H41" s="410">
        <f t="shared" si="22"/>
        <v>9145.2225609994239</v>
      </c>
      <c r="I41" s="410">
        <f t="shared" si="22"/>
        <v>2844.4465177950824</v>
      </c>
      <c r="J41" s="410">
        <f t="shared" si="22"/>
        <v>0</v>
      </c>
      <c r="K41" s="410">
        <f t="shared" si="22"/>
        <v>0</v>
      </c>
      <c r="L41" s="410">
        <f t="shared" si="22"/>
        <v>0</v>
      </c>
      <c r="M41" s="410">
        <f t="shared" si="22"/>
        <v>0</v>
      </c>
      <c r="N41" s="410">
        <f t="shared" si="22"/>
        <v>0</v>
      </c>
      <c r="O41" s="410">
        <f t="shared" si="22"/>
        <v>0</v>
      </c>
      <c r="P41" s="410">
        <f t="shared" si="22"/>
        <v>0</v>
      </c>
      <c r="Q41" s="410">
        <f t="shared" si="22"/>
        <v>0</v>
      </c>
      <c r="R41" s="410">
        <f t="shared" si="22"/>
        <v>0</v>
      </c>
      <c r="S41" s="410">
        <f t="shared" si="22"/>
        <v>0</v>
      </c>
      <c r="T41" s="410">
        <f t="shared" si="22"/>
        <v>0</v>
      </c>
      <c r="U41" s="410">
        <f t="shared" si="22"/>
        <v>0</v>
      </c>
      <c r="V41" s="410">
        <f t="shared" si="22"/>
        <v>0</v>
      </c>
      <c r="W41" s="410">
        <f t="shared" si="22"/>
        <v>0</v>
      </c>
      <c r="X41" s="410">
        <f t="shared" si="22"/>
        <v>0</v>
      </c>
      <c r="Y41" s="410">
        <f t="shared" si="22"/>
        <v>0</v>
      </c>
      <c r="Z41" s="410">
        <f t="shared" si="22"/>
        <v>0</v>
      </c>
      <c r="AA41" s="410">
        <f t="shared" si="22"/>
        <v>0</v>
      </c>
      <c r="AB41" s="410">
        <f t="shared" si="22"/>
        <v>0</v>
      </c>
      <c r="AC41" s="410">
        <f t="shared" si="22"/>
        <v>0</v>
      </c>
      <c r="AD41" s="410">
        <f t="shared" si="22"/>
        <v>0</v>
      </c>
      <c r="AE41" s="410">
        <f t="shared" si="22"/>
        <v>0</v>
      </c>
      <c r="AF41" s="782"/>
      <c r="AG41" s="77"/>
      <c r="AH41" s="77"/>
      <c r="AI41" s="77"/>
      <c r="AJ41" s="77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</row>
    <row r="43" spans="1:113" x14ac:dyDescent="0.2">
      <c r="A43" s="794" t="s">
        <v>291</v>
      </c>
      <c r="B43" s="200"/>
      <c r="C43" s="200"/>
      <c r="D43" s="200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718"/>
      <c r="AG43" s="77"/>
      <c r="AH43" s="77"/>
      <c r="AI43" s="77"/>
      <c r="AJ43" s="77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</row>
    <row r="44" spans="1:113" x14ac:dyDescent="0.2">
      <c r="A44" s="203" t="s">
        <v>285</v>
      </c>
      <c r="B44" s="44"/>
      <c r="C44" s="44"/>
      <c r="D44" s="44"/>
      <c r="E44" s="77">
        <f>CF!E47</f>
        <v>7400.198830629246</v>
      </c>
      <c r="F44" s="77">
        <f>CF!F47</f>
        <v>7696.9266537338008</v>
      </c>
      <c r="G44" s="77">
        <f>CF!G47</f>
        <v>24850.721038835632</v>
      </c>
      <c r="H44" s="77">
        <f>CF!H47</f>
        <v>26470.201472241246</v>
      </c>
      <c r="I44" s="77">
        <f>CF!I47</f>
        <v>27172.343490289182</v>
      </c>
      <c r="J44" s="77">
        <f>CF!J47</f>
        <v>28433.537627367346</v>
      </c>
      <c r="K44" s="77">
        <f>CF!K47</f>
        <v>29259.698003493322</v>
      </c>
      <c r="L44" s="77">
        <f>CF!L47</f>
        <v>63589.067946755633</v>
      </c>
      <c r="M44" s="77">
        <f>CF!M47</f>
        <v>69645.507010156405</v>
      </c>
      <c r="N44" s="77">
        <f>CF!N47</f>
        <v>71674.908244282939</v>
      </c>
      <c r="O44" s="77">
        <f>CF!O47</f>
        <v>73926.045282321676</v>
      </c>
      <c r="P44" s="77">
        <f>CF!P47</f>
        <v>77037.419606700583</v>
      </c>
      <c r="Q44" s="77">
        <f>CF!Q47</f>
        <v>78578.90799883462</v>
      </c>
      <c r="R44" s="77">
        <f>CF!R47</f>
        <v>80151.226158811303</v>
      </c>
      <c r="S44" s="77">
        <f>CF!S47</f>
        <v>81754.990681987532</v>
      </c>
      <c r="T44" s="77">
        <f>CF!T47</f>
        <v>0</v>
      </c>
      <c r="U44" s="77">
        <f>CF!U47</f>
        <v>0</v>
      </c>
      <c r="V44" s="77">
        <f>CF!V47</f>
        <v>0</v>
      </c>
      <c r="W44" s="77">
        <f>CF!W47</f>
        <v>0</v>
      </c>
      <c r="X44" s="77">
        <f>CF!X47</f>
        <v>0</v>
      </c>
      <c r="Y44" s="77">
        <f>CF!Y47</f>
        <v>0</v>
      </c>
      <c r="Z44" s="77">
        <f>CF!Z47</f>
        <v>0</v>
      </c>
      <c r="AA44" s="77">
        <f>CF!AA47</f>
        <v>0</v>
      </c>
      <c r="AB44" s="77">
        <f>CF!AB47</f>
        <v>0</v>
      </c>
      <c r="AC44" s="77">
        <f>CF!AC47</f>
        <v>0</v>
      </c>
      <c r="AD44" s="77">
        <f>CF!AD47</f>
        <v>0</v>
      </c>
      <c r="AE44" s="77">
        <f>CF!AE47</f>
        <v>0</v>
      </c>
      <c r="AF44" s="259">
        <f t="shared" ref="AF44:AF51" si="23">+SUM(E44:AE44)</f>
        <v>747641.70004644035</v>
      </c>
      <c r="AG44" s="77"/>
      <c r="AH44" s="77"/>
      <c r="AI44" s="77"/>
      <c r="AJ44" s="77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</row>
    <row r="45" spans="1:113" s="83" customFormat="1" x14ac:dyDescent="0.2">
      <c r="A45" s="785" t="s">
        <v>107</v>
      </c>
      <c r="B45" s="77"/>
      <c r="C45" s="77"/>
      <c r="D45" s="77"/>
      <c r="E45" s="77">
        <f>CF!E49</f>
        <v>-12115.984615130792</v>
      </c>
      <c r="F45" s="77">
        <f>CF!F49</f>
        <v>-11953.942667125337</v>
      </c>
      <c r="G45" s="77">
        <f>CF!G49</f>
        <v>-11274.621297837295</v>
      </c>
      <c r="H45" s="77">
        <f>CF!H49</f>
        <v>-10529.231679627432</v>
      </c>
      <c r="I45" s="77">
        <f>CF!I49</f>
        <v>-9711.3482623615473</v>
      </c>
      <c r="J45" s="77">
        <f>CF!J49</f>
        <v>-8813.9205709951966</v>
      </c>
      <c r="K45" s="77">
        <f>CF!K49</f>
        <v>-7829.2124277203975</v>
      </c>
      <c r="L45" s="77">
        <f>CF!L49</f>
        <v>-6748.7352630862297</v>
      </c>
      <c r="M45" s="77">
        <f>CF!M49</f>
        <v>-5563.1749412091103</v>
      </c>
      <c r="N45" s="77">
        <f>CF!N49</f>
        <v>-4262.3114682774285</v>
      </c>
      <c r="O45" s="77">
        <f>CF!O49</f>
        <v>-2834.9308922064356</v>
      </c>
      <c r="P45" s="77">
        <f>CF!P49</f>
        <v>-1268.7286339839379</v>
      </c>
      <c r="Q45" s="77">
        <f>CF!Q49</f>
        <v>0</v>
      </c>
      <c r="R45" s="77">
        <f>CF!R49</f>
        <v>0</v>
      </c>
      <c r="S45" s="77">
        <f>CF!S49</f>
        <v>0</v>
      </c>
      <c r="T45" s="77">
        <f>CF!T49</f>
        <v>0</v>
      </c>
      <c r="U45" s="77">
        <f>CF!U49</f>
        <v>0</v>
      </c>
      <c r="V45" s="77">
        <f>CF!V49</f>
        <v>0</v>
      </c>
      <c r="W45" s="77">
        <f>CF!W49</f>
        <v>0</v>
      </c>
      <c r="X45" s="77">
        <f>CF!X49</f>
        <v>0</v>
      </c>
      <c r="Y45" s="77">
        <f>CF!Y49</f>
        <v>0</v>
      </c>
      <c r="Z45" s="77">
        <f>CF!Z49</f>
        <v>0</v>
      </c>
      <c r="AA45" s="77">
        <f>CF!AA49</f>
        <v>0</v>
      </c>
      <c r="AB45" s="77">
        <f>CF!AB49</f>
        <v>0</v>
      </c>
      <c r="AC45" s="77">
        <f>CF!AC49</f>
        <v>0</v>
      </c>
      <c r="AD45" s="77">
        <f>CF!AD49</f>
        <v>0</v>
      </c>
      <c r="AE45" s="77">
        <f>CF!AE49</f>
        <v>0</v>
      </c>
      <c r="AF45" s="259">
        <f t="shared" si="23"/>
        <v>-92906.142719561147</v>
      </c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</row>
    <row r="46" spans="1:113" s="83" customFormat="1" x14ac:dyDescent="0.2">
      <c r="A46" s="786" t="s">
        <v>286</v>
      </c>
      <c r="B46" s="77"/>
      <c r="C46" s="77"/>
      <c r="D46" s="77"/>
      <c r="E46" s="77">
        <f>CF!E50</f>
        <v>-773.36072011473129</v>
      </c>
      <c r="F46" s="77">
        <f>CF!F50</f>
        <v>-763.01761705055333</v>
      </c>
      <c r="G46" s="77">
        <f>CF!G50</f>
        <v>-719.65667858535926</v>
      </c>
      <c r="H46" s="77">
        <f>CF!H50</f>
        <v>-672.07861784855947</v>
      </c>
      <c r="I46" s="77">
        <f>CF!I50</f>
        <v>-619.87329334222636</v>
      </c>
      <c r="J46" s="77">
        <f>CF!J50</f>
        <v>-562.59067474437416</v>
      </c>
      <c r="K46" s="77">
        <f>CF!K50</f>
        <v>-499.73696347151468</v>
      </c>
      <c r="L46" s="77">
        <f>CF!L50</f>
        <v>-430.7703359416742</v>
      </c>
      <c r="M46" s="77">
        <f>CF!M50</f>
        <v>-355.09627284313467</v>
      </c>
      <c r="N46" s="77">
        <f>CF!N50</f>
        <v>-272.06243414536777</v>
      </c>
      <c r="O46" s="77">
        <f>CF!O50</f>
        <v>-180.95303567275118</v>
      </c>
      <c r="P46" s="77">
        <f>CF!P50</f>
        <v>-80.982678764932203</v>
      </c>
      <c r="Q46" s="77">
        <f>CF!Q50</f>
        <v>0</v>
      </c>
      <c r="R46" s="77">
        <f>CF!R50</f>
        <v>0</v>
      </c>
      <c r="S46" s="77">
        <f>CF!S50</f>
        <v>0</v>
      </c>
      <c r="T46" s="77">
        <f>CF!T50</f>
        <v>0</v>
      </c>
      <c r="U46" s="77">
        <f>CF!U50</f>
        <v>0</v>
      </c>
      <c r="V46" s="77">
        <f>CF!V50</f>
        <v>0</v>
      </c>
      <c r="W46" s="77">
        <f>CF!W50</f>
        <v>0</v>
      </c>
      <c r="X46" s="77">
        <f>CF!X50</f>
        <v>0</v>
      </c>
      <c r="Y46" s="77">
        <f>CF!Y50</f>
        <v>0</v>
      </c>
      <c r="Z46" s="77">
        <f>CF!Z50</f>
        <v>0</v>
      </c>
      <c r="AA46" s="77">
        <f>CF!AA50</f>
        <v>0</v>
      </c>
      <c r="AB46" s="77">
        <f>CF!AB50</f>
        <v>0</v>
      </c>
      <c r="AC46" s="77">
        <f>CF!AC50</f>
        <v>0</v>
      </c>
      <c r="AD46" s="77">
        <f>CF!AD50</f>
        <v>0</v>
      </c>
      <c r="AE46" s="77">
        <f>CF!AE50</f>
        <v>0</v>
      </c>
      <c r="AF46" s="259">
        <f t="shared" si="23"/>
        <v>-5930.1793225251795</v>
      </c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</row>
    <row r="47" spans="1:113" s="83" customFormat="1" x14ac:dyDescent="0.2">
      <c r="A47" s="785" t="s">
        <v>394</v>
      </c>
      <c r="B47" s="77"/>
      <c r="C47" s="77"/>
      <c r="D47" s="77"/>
      <c r="E47" s="77">
        <f>-E87</f>
        <v>0</v>
      </c>
      <c r="F47" s="77">
        <f t="shared" ref="F47:AE47" si="24">-F87</f>
        <v>-20</v>
      </c>
      <c r="G47" s="77">
        <f t="shared" si="24"/>
        <v>-20</v>
      </c>
      <c r="H47" s="77">
        <f t="shared" si="24"/>
        <v>-20</v>
      </c>
      <c r="I47" s="77">
        <f t="shared" si="24"/>
        <v>-20</v>
      </c>
      <c r="J47" s="77">
        <f t="shared" si="24"/>
        <v>-20</v>
      </c>
      <c r="K47" s="77">
        <f t="shared" si="24"/>
        <v>-20</v>
      </c>
      <c r="L47" s="77">
        <f t="shared" si="24"/>
        <v>-20</v>
      </c>
      <c r="M47" s="77">
        <f t="shared" si="24"/>
        <v>-20</v>
      </c>
      <c r="N47" s="77">
        <f t="shared" si="24"/>
        <v>-20</v>
      </c>
      <c r="O47" s="77">
        <f t="shared" si="24"/>
        <v>-20</v>
      </c>
      <c r="P47" s="77">
        <f t="shared" si="24"/>
        <v>-20</v>
      </c>
      <c r="Q47" s="77">
        <f t="shared" si="24"/>
        <v>-20</v>
      </c>
      <c r="R47" s="77">
        <f t="shared" si="24"/>
        <v>-20</v>
      </c>
      <c r="S47" s="77">
        <f t="shared" si="24"/>
        <v>-20</v>
      </c>
      <c r="T47" s="77">
        <f t="shared" si="24"/>
        <v>0</v>
      </c>
      <c r="U47" s="77">
        <f t="shared" si="24"/>
        <v>0</v>
      </c>
      <c r="V47" s="77">
        <f t="shared" si="24"/>
        <v>0</v>
      </c>
      <c r="W47" s="77">
        <f t="shared" si="24"/>
        <v>0</v>
      </c>
      <c r="X47" s="77">
        <f t="shared" si="24"/>
        <v>0</v>
      </c>
      <c r="Y47" s="77">
        <f t="shared" si="24"/>
        <v>0</v>
      </c>
      <c r="Z47" s="77">
        <f t="shared" si="24"/>
        <v>0</v>
      </c>
      <c r="AA47" s="77">
        <f t="shared" si="24"/>
        <v>0</v>
      </c>
      <c r="AB47" s="77">
        <f t="shared" si="24"/>
        <v>0</v>
      </c>
      <c r="AC47" s="77">
        <f t="shared" si="24"/>
        <v>0</v>
      </c>
      <c r="AD47" s="77">
        <f t="shared" si="24"/>
        <v>0</v>
      </c>
      <c r="AE47" s="77">
        <f t="shared" si="24"/>
        <v>0</v>
      </c>
      <c r="AF47" s="25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</row>
    <row r="48" spans="1:113" s="221" customFormat="1" x14ac:dyDescent="0.2">
      <c r="A48" s="787" t="s">
        <v>108</v>
      </c>
      <c r="B48" s="208"/>
      <c r="C48" s="208"/>
      <c r="D48" s="208"/>
      <c r="E48" s="72">
        <f>E16</f>
        <v>-8439.139696353448</v>
      </c>
      <c r="F48" s="72">
        <f t="shared" ref="F48:AE48" si="25">F16</f>
        <v>-8439.139696353448</v>
      </c>
      <c r="G48" s="72">
        <f t="shared" si="25"/>
        <v>-8439.139696353448</v>
      </c>
      <c r="H48" s="72">
        <f t="shared" si="25"/>
        <v>-8439.139696353448</v>
      </c>
      <c r="I48" s="72">
        <f t="shared" si="25"/>
        <v>-8439.139696353448</v>
      </c>
      <c r="J48" s="72">
        <f t="shared" si="25"/>
        <v>-8439.139696353448</v>
      </c>
      <c r="K48" s="72">
        <f t="shared" si="25"/>
        <v>-8439.139696353448</v>
      </c>
      <c r="L48" s="72">
        <f t="shared" si="25"/>
        <v>-8439.139696353448</v>
      </c>
      <c r="M48" s="72">
        <f t="shared" si="25"/>
        <v>-8439.139696353448</v>
      </c>
      <c r="N48" s="72">
        <f t="shared" si="25"/>
        <v>-8439.139696353448</v>
      </c>
      <c r="O48" s="72">
        <f t="shared" si="25"/>
        <v>-8439.139696353448</v>
      </c>
      <c r="P48" s="72">
        <f t="shared" si="25"/>
        <v>-8439.139696353448</v>
      </c>
      <c r="Q48" s="72">
        <f t="shared" si="25"/>
        <v>-8439.139696353448</v>
      </c>
      <c r="R48" s="72">
        <f t="shared" si="25"/>
        <v>-8439.139696353448</v>
      </c>
      <c r="S48" s="72">
        <f t="shared" si="25"/>
        <v>-8439.139696353448</v>
      </c>
      <c r="T48" s="72">
        <f t="shared" si="25"/>
        <v>0</v>
      </c>
      <c r="U48" s="72">
        <f t="shared" si="25"/>
        <v>0</v>
      </c>
      <c r="V48" s="72">
        <f t="shared" si="25"/>
        <v>0</v>
      </c>
      <c r="W48" s="72">
        <f t="shared" si="25"/>
        <v>0</v>
      </c>
      <c r="X48" s="72">
        <f t="shared" si="25"/>
        <v>0</v>
      </c>
      <c r="Y48" s="72">
        <f t="shared" si="25"/>
        <v>0</v>
      </c>
      <c r="Z48" s="72">
        <f t="shared" si="25"/>
        <v>0</v>
      </c>
      <c r="AA48" s="72">
        <f t="shared" si="25"/>
        <v>0</v>
      </c>
      <c r="AB48" s="72">
        <f t="shared" si="25"/>
        <v>0</v>
      </c>
      <c r="AC48" s="72">
        <f t="shared" si="25"/>
        <v>0</v>
      </c>
      <c r="AD48" s="72">
        <f t="shared" si="25"/>
        <v>0</v>
      </c>
      <c r="AE48" s="72">
        <f t="shared" si="25"/>
        <v>0</v>
      </c>
      <c r="AF48" s="262">
        <f t="shared" si="23"/>
        <v>-126587.09544530173</v>
      </c>
      <c r="AG48" s="72"/>
      <c r="AH48" s="72"/>
      <c r="AI48" s="72"/>
      <c r="AJ48" s="72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</row>
    <row r="49" spans="1:113" x14ac:dyDescent="0.2">
      <c r="A49" s="785" t="s">
        <v>109</v>
      </c>
      <c r="B49" s="44"/>
      <c r="C49" s="44"/>
      <c r="D49" s="44"/>
      <c r="E49" s="77">
        <f>SUM(E44:E48)</f>
        <v>-13928.286200969726</v>
      </c>
      <c r="F49" s="77">
        <f>SUM(F44:F48)</f>
        <v>-13479.173326795537</v>
      </c>
      <c r="G49" s="77">
        <f t="shared" ref="G49:V49" si="26">SUM(G44:G48)</f>
        <v>4397.3033660595302</v>
      </c>
      <c r="H49" s="77">
        <f t="shared" si="26"/>
        <v>6809.7514784118066</v>
      </c>
      <c r="I49" s="77">
        <f t="shared" si="26"/>
        <v>8381.9822382319599</v>
      </c>
      <c r="J49" s="77">
        <f t="shared" si="26"/>
        <v>10597.886685274329</v>
      </c>
      <c r="K49" s="77">
        <f t="shared" si="26"/>
        <v>12471.608915947962</v>
      </c>
      <c r="L49" s="77">
        <f t="shared" si="26"/>
        <v>47950.422651374276</v>
      </c>
      <c r="M49" s="77">
        <f t="shared" si="26"/>
        <v>55268.096099750714</v>
      </c>
      <c r="N49" s="77">
        <f t="shared" si="26"/>
        <v>58681.394645506691</v>
      </c>
      <c r="O49" s="77">
        <f t="shared" si="26"/>
        <v>62451.021658089041</v>
      </c>
      <c r="P49" s="77">
        <f t="shared" si="26"/>
        <v>67228.568597598263</v>
      </c>
      <c r="Q49" s="77">
        <f t="shared" si="26"/>
        <v>70119.76830248117</v>
      </c>
      <c r="R49" s="77">
        <f t="shared" si="26"/>
        <v>71692.086462457853</v>
      </c>
      <c r="S49" s="77">
        <f t="shared" si="26"/>
        <v>73295.850985634082</v>
      </c>
      <c r="T49" s="77">
        <f t="shared" si="26"/>
        <v>0</v>
      </c>
      <c r="U49" s="77">
        <f t="shared" si="26"/>
        <v>0</v>
      </c>
      <c r="V49" s="77">
        <f t="shared" si="26"/>
        <v>0</v>
      </c>
      <c r="W49" s="77">
        <f t="shared" ref="W49:AE49" si="27">SUM(W44:W48)</f>
        <v>0</v>
      </c>
      <c r="X49" s="77">
        <f t="shared" si="27"/>
        <v>0</v>
      </c>
      <c r="Y49" s="77">
        <f t="shared" si="27"/>
        <v>0</v>
      </c>
      <c r="Z49" s="77">
        <f t="shared" si="27"/>
        <v>0</v>
      </c>
      <c r="AA49" s="77">
        <f t="shared" si="27"/>
        <v>0</v>
      </c>
      <c r="AB49" s="77">
        <f t="shared" si="27"/>
        <v>0</v>
      </c>
      <c r="AC49" s="77">
        <f t="shared" si="27"/>
        <v>0</v>
      </c>
      <c r="AD49" s="77">
        <f t="shared" si="27"/>
        <v>0</v>
      </c>
      <c r="AE49" s="77">
        <f t="shared" si="27"/>
        <v>0</v>
      </c>
      <c r="AF49" s="259">
        <f t="shared" si="23"/>
        <v>521938.2825590524</v>
      </c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</row>
    <row r="50" spans="1:113" s="221" customFormat="1" x14ac:dyDescent="0.2">
      <c r="A50" s="885" t="s">
        <v>110</v>
      </c>
      <c r="B50" s="208"/>
      <c r="C50" s="208"/>
      <c r="D50" s="208"/>
      <c r="E50" s="72">
        <f>+E63</f>
        <v>0</v>
      </c>
      <c r="F50" s="72">
        <f t="shared" ref="F50:AE50" si="28">+F63</f>
        <v>0</v>
      </c>
      <c r="G50" s="72">
        <f t="shared" si="28"/>
        <v>-5481.4919055530527</v>
      </c>
      <c r="H50" s="72">
        <f t="shared" si="28"/>
        <v>-4385.1935244424421</v>
      </c>
      <c r="I50" s="72">
        <f t="shared" si="28"/>
        <v>-4190.9911191159799</v>
      </c>
      <c r="J50" s="72">
        <f t="shared" si="28"/>
        <v>-5298.9433426371643</v>
      </c>
      <c r="K50" s="72">
        <f t="shared" si="28"/>
        <v>-6235.8044579739808</v>
      </c>
      <c r="L50" s="72">
        <f t="shared" si="28"/>
        <v>0</v>
      </c>
      <c r="M50" s="72">
        <f t="shared" si="28"/>
        <v>0</v>
      </c>
      <c r="N50" s="72">
        <f t="shared" si="28"/>
        <v>0</v>
      </c>
      <c r="O50" s="72">
        <f t="shared" si="28"/>
        <v>0</v>
      </c>
      <c r="P50" s="72">
        <f t="shared" si="28"/>
        <v>0</v>
      </c>
      <c r="Q50" s="72">
        <f t="shared" si="28"/>
        <v>0</v>
      </c>
      <c r="R50" s="72">
        <f t="shared" si="28"/>
        <v>0</v>
      </c>
      <c r="S50" s="72">
        <f t="shared" si="28"/>
        <v>0</v>
      </c>
      <c r="T50" s="72">
        <f t="shared" si="28"/>
        <v>0</v>
      </c>
      <c r="U50" s="72">
        <f t="shared" si="28"/>
        <v>0</v>
      </c>
      <c r="V50" s="72">
        <f t="shared" si="28"/>
        <v>0</v>
      </c>
      <c r="W50" s="72">
        <f t="shared" si="28"/>
        <v>0</v>
      </c>
      <c r="X50" s="72">
        <f t="shared" si="28"/>
        <v>0</v>
      </c>
      <c r="Y50" s="72">
        <f t="shared" si="28"/>
        <v>0</v>
      </c>
      <c r="Z50" s="72">
        <f t="shared" si="28"/>
        <v>0</v>
      </c>
      <c r="AA50" s="72">
        <f t="shared" si="28"/>
        <v>0</v>
      </c>
      <c r="AB50" s="72">
        <f t="shared" si="28"/>
        <v>0</v>
      </c>
      <c r="AC50" s="72">
        <f t="shared" si="28"/>
        <v>0</v>
      </c>
      <c r="AD50" s="72">
        <f t="shared" si="28"/>
        <v>0</v>
      </c>
      <c r="AE50" s="72">
        <f t="shared" si="28"/>
        <v>0</v>
      </c>
      <c r="AF50" s="262">
        <f t="shared" si="23"/>
        <v>-25592.42434972262</v>
      </c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</row>
    <row r="51" spans="1:113" x14ac:dyDescent="0.2">
      <c r="A51" s="788" t="s">
        <v>111</v>
      </c>
      <c r="B51" s="44"/>
      <c r="C51" s="44"/>
      <c r="D51" s="44"/>
      <c r="E51" s="77">
        <f>+SUM(E49:E50)</f>
        <v>-13928.286200969726</v>
      </c>
      <c r="F51" s="77">
        <f t="shared" ref="F51:AE51" si="29">+SUM(F49:F50)</f>
        <v>-13479.173326795537</v>
      </c>
      <c r="G51" s="77">
        <f t="shared" si="29"/>
        <v>-1084.1885394935225</v>
      </c>
      <c r="H51" s="77">
        <f t="shared" si="29"/>
        <v>2424.5579539693645</v>
      </c>
      <c r="I51" s="77">
        <f t="shared" si="29"/>
        <v>4190.9911191159799</v>
      </c>
      <c r="J51" s="77">
        <f t="shared" si="29"/>
        <v>5298.9433426371643</v>
      </c>
      <c r="K51" s="77">
        <f t="shared" si="29"/>
        <v>6235.8044579739808</v>
      </c>
      <c r="L51" s="77">
        <f t="shared" si="29"/>
        <v>47950.422651374276</v>
      </c>
      <c r="M51" s="77">
        <f t="shared" si="29"/>
        <v>55268.096099750714</v>
      </c>
      <c r="N51" s="77">
        <f t="shared" si="29"/>
        <v>58681.394645506691</v>
      </c>
      <c r="O51" s="77">
        <f t="shared" si="29"/>
        <v>62451.021658089041</v>
      </c>
      <c r="P51" s="77">
        <f t="shared" si="29"/>
        <v>67228.568597598263</v>
      </c>
      <c r="Q51" s="77">
        <f t="shared" si="29"/>
        <v>70119.76830248117</v>
      </c>
      <c r="R51" s="77">
        <f t="shared" si="29"/>
        <v>71692.086462457853</v>
      </c>
      <c r="S51" s="77">
        <f t="shared" si="29"/>
        <v>73295.850985634082</v>
      </c>
      <c r="T51" s="77">
        <f t="shared" si="29"/>
        <v>0</v>
      </c>
      <c r="U51" s="77">
        <f t="shared" si="29"/>
        <v>0</v>
      </c>
      <c r="V51" s="77">
        <f t="shared" si="29"/>
        <v>0</v>
      </c>
      <c r="W51" s="77">
        <f t="shared" si="29"/>
        <v>0</v>
      </c>
      <c r="X51" s="77">
        <f t="shared" si="29"/>
        <v>0</v>
      </c>
      <c r="Y51" s="77">
        <f t="shared" si="29"/>
        <v>0</v>
      </c>
      <c r="Z51" s="77">
        <f t="shared" si="29"/>
        <v>0</v>
      </c>
      <c r="AA51" s="77">
        <f t="shared" si="29"/>
        <v>0</v>
      </c>
      <c r="AB51" s="77">
        <f t="shared" si="29"/>
        <v>0</v>
      </c>
      <c r="AC51" s="77">
        <f t="shared" si="29"/>
        <v>0</v>
      </c>
      <c r="AD51" s="77">
        <f t="shared" si="29"/>
        <v>0</v>
      </c>
      <c r="AE51" s="77">
        <f t="shared" si="29"/>
        <v>0</v>
      </c>
      <c r="AF51" s="259">
        <f t="shared" si="23"/>
        <v>496345.85820932977</v>
      </c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</row>
    <row r="52" spans="1:113" x14ac:dyDescent="0.2">
      <c r="A52" s="370"/>
      <c r="B52" s="44"/>
      <c r="C52" s="44"/>
      <c r="D52" s="44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259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</row>
    <row r="53" spans="1:113" x14ac:dyDescent="0.2">
      <c r="A53" s="756" t="s">
        <v>287</v>
      </c>
      <c r="B53" s="44"/>
      <c r="C53" s="251"/>
      <c r="D53" s="251"/>
      <c r="E53" s="248">
        <f>+Assumpt!$L$11</f>
        <v>0.3</v>
      </c>
      <c r="F53" s="248">
        <f>+Assumpt!$L$11</f>
        <v>0.3</v>
      </c>
      <c r="G53" s="248">
        <f>+Assumpt!$L$11</f>
        <v>0.3</v>
      </c>
      <c r="H53" s="248">
        <f>+Assumpt!$L$11</f>
        <v>0.3</v>
      </c>
      <c r="I53" s="248">
        <f>+Assumpt!$L$11</f>
        <v>0.3</v>
      </c>
      <c r="J53" s="248">
        <f>+Assumpt!$L$11</f>
        <v>0.3</v>
      </c>
      <c r="K53" s="248">
        <f>+Assumpt!$L$11</f>
        <v>0.3</v>
      </c>
      <c r="L53" s="248">
        <f>+Assumpt!$L$11</f>
        <v>0.3</v>
      </c>
      <c r="M53" s="248">
        <f>+Assumpt!$L$11</f>
        <v>0.3</v>
      </c>
      <c r="N53" s="248">
        <f>+Assumpt!$L$11</f>
        <v>0.3</v>
      </c>
      <c r="O53" s="248">
        <f>+Assumpt!$L$11</f>
        <v>0.3</v>
      </c>
      <c r="P53" s="248">
        <f>+Assumpt!$L$11</f>
        <v>0.3</v>
      </c>
      <c r="Q53" s="248">
        <f>+Assumpt!$L$11</f>
        <v>0.3</v>
      </c>
      <c r="R53" s="248">
        <f>+Assumpt!$L$11</f>
        <v>0.3</v>
      </c>
      <c r="S53" s="248">
        <f>+Assumpt!$L$11</f>
        <v>0.3</v>
      </c>
      <c r="T53" s="248">
        <f>+Assumpt!$L$11</f>
        <v>0.3</v>
      </c>
      <c r="U53" s="248">
        <f>+Assumpt!$L$11</f>
        <v>0.3</v>
      </c>
      <c r="V53" s="248">
        <f>+Assumpt!$L$11</f>
        <v>0.3</v>
      </c>
      <c r="W53" s="248">
        <f>+Assumpt!$L$11</f>
        <v>0.3</v>
      </c>
      <c r="X53" s="248">
        <f>+Assumpt!$L$11</f>
        <v>0.3</v>
      </c>
      <c r="Y53" s="248">
        <f>+Assumpt!$L$11</f>
        <v>0.3</v>
      </c>
      <c r="Z53" s="248">
        <f>+Assumpt!$L$11</f>
        <v>0.3</v>
      </c>
      <c r="AA53" s="248">
        <f>+Assumpt!$L$11</f>
        <v>0.3</v>
      </c>
      <c r="AB53" s="248">
        <f>+Assumpt!$L$11</f>
        <v>0.3</v>
      </c>
      <c r="AC53" s="248">
        <f>+Assumpt!$L$11</f>
        <v>0.3</v>
      </c>
      <c r="AD53" s="248">
        <f>+Assumpt!$L$11</f>
        <v>0.3</v>
      </c>
      <c r="AE53" s="248">
        <f>+Assumpt!$L$11</f>
        <v>0.3</v>
      </c>
      <c r="AF53" s="781"/>
      <c r="AG53" s="77"/>
      <c r="AH53" s="77"/>
      <c r="AI53" s="77"/>
      <c r="AJ53" s="77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</row>
    <row r="54" spans="1:113" s="231" customFormat="1" x14ac:dyDescent="0.2">
      <c r="A54" s="334" t="s">
        <v>288</v>
      </c>
      <c r="B54" s="198"/>
      <c r="C54" s="881"/>
      <c r="D54" s="881"/>
      <c r="E54" s="324">
        <f>MAX(+E53*E51,0)</f>
        <v>0</v>
      </c>
      <c r="F54" s="324">
        <f t="shared" ref="F54:U54" si="30">MAX(+F53*F51,0)</f>
        <v>0</v>
      </c>
      <c r="G54" s="324">
        <f t="shared" si="30"/>
        <v>0</v>
      </c>
      <c r="H54" s="324">
        <f t="shared" si="30"/>
        <v>727.36738619080927</v>
      </c>
      <c r="I54" s="324">
        <f t="shared" si="30"/>
        <v>1257.2973357347939</v>
      </c>
      <c r="J54" s="324">
        <f t="shared" si="30"/>
        <v>1589.6830027911492</v>
      </c>
      <c r="K54" s="324">
        <f t="shared" si="30"/>
        <v>1870.7413373921941</v>
      </c>
      <c r="L54" s="324">
        <f t="shared" si="30"/>
        <v>14385.126795412283</v>
      </c>
      <c r="M54" s="324">
        <f t="shared" si="30"/>
        <v>16580.428829925215</v>
      </c>
      <c r="N54" s="324">
        <f t="shared" si="30"/>
        <v>17604.418393652006</v>
      </c>
      <c r="O54" s="324">
        <f t="shared" si="30"/>
        <v>18735.306497426711</v>
      </c>
      <c r="P54" s="324">
        <f t="shared" si="30"/>
        <v>20168.57057927948</v>
      </c>
      <c r="Q54" s="324">
        <f t="shared" si="30"/>
        <v>21035.930490744351</v>
      </c>
      <c r="R54" s="324">
        <f t="shared" si="30"/>
        <v>21507.625938737354</v>
      </c>
      <c r="S54" s="324">
        <f t="shared" si="30"/>
        <v>21988.755295690225</v>
      </c>
      <c r="T54" s="324">
        <f t="shared" si="30"/>
        <v>0</v>
      </c>
      <c r="U54" s="324">
        <f t="shared" si="30"/>
        <v>0</v>
      </c>
      <c r="V54" s="324">
        <f t="shared" ref="V54:AE54" si="31">MAX(+V53*V51,0)</f>
        <v>0</v>
      </c>
      <c r="W54" s="324">
        <f t="shared" si="31"/>
        <v>0</v>
      </c>
      <c r="X54" s="324">
        <f t="shared" si="31"/>
        <v>0</v>
      </c>
      <c r="Y54" s="324">
        <f t="shared" si="31"/>
        <v>0</v>
      </c>
      <c r="Z54" s="324">
        <f t="shared" si="31"/>
        <v>0</v>
      </c>
      <c r="AA54" s="324">
        <f t="shared" si="31"/>
        <v>0</v>
      </c>
      <c r="AB54" s="324">
        <f t="shared" si="31"/>
        <v>0</v>
      </c>
      <c r="AC54" s="324">
        <f t="shared" si="31"/>
        <v>0</v>
      </c>
      <c r="AD54" s="324">
        <f t="shared" si="31"/>
        <v>0</v>
      </c>
      <c r="AE54" s="324">
        <f t="shared" si="31"/>
        <v>0</v>
      </c>
      <c r="AF54" s="359">
        <f>+SUM(E54:AE54)</f>
        <v>157451.25188297659</v>
      </c>
      <c r="AG54" s="324"/>
      <c r="AH54" s="324"/>
      <c r="AI54" s="324"/>
      <c r="AJ54" s="324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198"/>
      <c r="CC54" s="198"/>
      <c r="CD54" s="198"/>
      <c r="CE54" s="198"/>
      <c r="CF54" s="198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198"/>
      <c r="CS54" s="198"/>
      <c r="CT54" s="198"/>
      <c r="CU54" s="198"/>
      <c r="CV54" s="198"/>
      <c r="CW54" s="198"/>
      <c r="CX54" s="198"/>
      <c r="CY54" s="198"/>
      <c r="CZ54" s="198"/>
      <c r="DA54" s="198"/>
      <c r="DB54" s="198"/>
      <c r="DC54" s="198"/>
      <c r="DD54" s="198"/>
      <c r="DE54" s="198"/>
      <c r="DF54" s="198"/>
      <c r="DG54" s="198"/>
      <c r="DH54" s="198"/>
      <c r="DI54" s="198"/>
    </row>
    <row r="55" spans="1:113" x14ac:dyDescent="0.2">
      <c r="A55" s="20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AA55" s="44"/>
      <c r="AB55" s="44"/>
      <c r="AC55" s="44"/>
      <c r="AD55" s="44"/>
      <c r="AE55" s="44"/>
      <c r="AF55" s="250"/>
    </row>
    <row r="56" spans="1:113" s="231" customFormat="1" x14ac:dyDescent="0.2">
      <c r="A56" s="756" t="s">
        <v>369</v>
      </c>
      <c r="B56" s="198"/>
      <c r="C56" s="881"/>
      <c r="D56" s="881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59"/>
      <c r="AG56" s="324"/>
      <c r="AH56" s="324"/>
      <c r="AI56" s="324"/>
      <c r="AJ56" s="324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198"/>
      <c r="CC56" s="198"/>
      <c r="CD56" s="198"/>
      <c r="CE56" s="198"/>
      <c r="CF56" s="198"/>
      <c r="CG56" s="198"/>
      <c r="CH56" s="198"/>
      <c r="CI56" s="198"/>
      <c r="CJ56" s="198"/>
      <c r="CK56" s="198"/>
      <c r="CL56" s="198"/>
      <c r="CM56" s="198"/>
      <c r="CN56" s="198"/>
      <c r="CO56" s="198"/>
      <c r="CP56" s="198"/>
      <c r="CQ56" s="198"/>
      <c r="CR56" s="198"/>
      <c r="CS56" s="198"/>
      <c r="CT56" s="198"/>
      <c r="CU56" s="198"/>
      <c r="CV56" s="198"/>
      <c r="CW56" s="198"/>
      <c r="CX56" s="198"/>
      <c r="CY56" s="198"/>
      <c r="CZ56" s="198"/>
      <c r="DA56" s="198"/>
      <c r="DB56" s="198"/>
      <c r="DC56" s="198"/>
      <c r="DD56" s="198"/>
      <c r="DE56" s="198"/>
      <c r="DF56" s="198"/>
      <c r="DG56" s="198"/>
      <c r="DH56" s="198"/>
      <c r="DI56" s="198"/>
    </row>
    <row r="57" spans="1:113" x14ac:dyDescent="0.2">
      <c r="A57" s="785" t="s">
        <v>362</v>
      </c>
      <c r="B57" s="44"/>
      <c r="C57" s="251"/>
      <c r="D57" s="251"/>
      <c r="E57" s="632">
        <v>0</v>
      </c>
      <c r="F57" s="77">
        <f>+E65</f>
        <v>13928.286200969726</v>
      </c>
      <c r="G57" s="77">
        <f t="shared" ref="G57:AE57" si="32">+F65</f>
        <v>27407.459527765262</v>
      </c>
      <c r="H57" s="77">
        <f t="shared" si="32"/>
        <v>21925.967622212211</v>
      </c>
      <c r="I57" s="77">
        <f t="shared" si="32"/>
        <v>17540.774097769769</v>
      </c>
      <c r="J57" s="77">
        <f t="shared" si="32"/>
        <v>13349.782978653788</v>
      </c>
      <c r="K57" s="77">
        <f t="shared" si="32"/>
        <v>8050.8396360166234</v>
      </c>
      <c r="L57" s="77">
        <f t="shared" si="32"/>
        <v>1815.0351780426427</v>
      </c>
      <c r="M57" s="77">
        <f t="shared" si="32"/>
        <v>0</v>
      </c>
      <c r="N57" s="77">
        <f t="shared" si="32"/>
        <v>0</v>
      </c>
      <c r="O57" s="77">
        <f t="shared" si="32"/>
        <v>0</v>
      </c>
      <c r="P57" s="77">
        <f t="shared" si="32"/>
        <v>0</v>
      </c>
      <c r="Q57" s="77">
        <f t="shared" si="32"/>
        <v>0</v>
      </c>
      <c r="R57" s="77">
        <f t="shared" si="32"/>
        <v>0</v>
      </c>
      <c r="S57" s="77">
        <f t="shared" si="32"/>
        <v>0</v>
      </c>
      <c r="T57" s="77">
        <f t="shared" si="32"/>
        <v>0</v>
      </c>
      <c r="U57" s="77">
        <f t="shared" si="32"/>
        <v>0</v>
      </c>
      <c r="V57" s="77">
        <f t="shared" si="32"/>
        <v>0</v>
      </c>
      <c r="W57" s="77">
        <f t="shared" si="32"/>
        <v>0</v>
      </c>
      <c r="X57" s="77">
        <f t="shared" si="32"/>
        <v>0</v>
      </c>
      <c r="Y57" s="77">
        <f t="shared" si="32"/>
        <v>0</v>
      </c>
      <c r="Z57" s="77">
        <f t="shared" si="32"/>
        <v>0</v>
      </c>
      <c r="AA57" s="77">
        <f t="shared" si="32"/>
        <v>0</v>
      </c>
      <c r="AB57" s="77">
        <f t="shared" si="32"/>
        <v>0</v>
      </c>
      <c r="AC57" s="77">
        <f t="shared" si="32"/>
        <v>0</v>
      </c>
      <c r="AD57" s="77">
        <f t="shared" si="32"/>
        <v>0</v>
      </c>
      <c r="AE57" s="77">
        <f t="shared" si="32"/>
        <v>0</v>
      </c>
      <c r="AF57" s="259"/>
      <c r="AG57" s="77"/>
      <c r="AH57" s="77"/>
      <c r="AI57" s="77"/>
      <c r="AJ57" s="77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</row>
    <row r="58" spans="1:113" s="221" customFormat="1" x14ac:dyDescent="0.2">
      <c r="A58" s="787" t="s">
        <v>364</v>
      </c>
      <c r="B58" s="208"/>
      <c r="C58" s="406"/>
      <c r="D58" s="406"/>
      <c r="E58" s="711">
        <v>0</v>
      </c>
      <c r="F58" s="711">
        <v>0</v>
      </c>
      <c r="G58" s="711">
        <v>0</v>
      </c>
      <c r="H58" s="711">
        <v>0</v>
      </c>
      <c r="I58" s="711">
        <v>0</v>
      </c>
      <c r="J58" s="711">
        <v>0</v>
      </c>
      <c r="K58" s="72">
        <f>MIN(-SUM($E64:E64,$F63:J63)-SUM($E58:J58),0)</f>
        <v>0</v>
      </c>
      <c r="L58" s="72">
        <f>MIN(-SUM($E64:F64,$F63:K63)-SUM($E58:K58),0)</f>
        <v>-1815.0351780426427</v>
      </c>
      <c r="M58" s="72">
        <f>MIN(-SUM($E64:G64,$F63:L63)-SUM($E58:L58),0)</f>
        <v>0</v>
      </c>
      <c r="N58" s="72">
        <f>MIN(-SUM($E64:H64,$F63:M63)-SUM($E58:M58),0)</f>
        <v>0</v>
      </c>
      <c r="O58" s="72">
        <f>MIN(-SUM($E64:I64,$F63:N63)-SUM($E58:N58),0)</f>
        <v>0</v>
      </c>
      <c r="P58" s="72">
        <f>MIN(-SUM($E64:J64,$F63:O63)-SUM($E58:O58),0)</f>
        <v>0</v>
      </c>
      <c r="Q58" s="72">
        <f>MIN(-SUM($E64:K64,$F63:P63)-SUM($E58:P58),0)</f>
        <v>0</v>
      </c>
      <c r="R58" s="72">
        <f>MIN(-SUM($E64:L64,$F63:Q63)-SUM($E58:Q58),0)</f>
        <v>0</v>
      </c>
      <c r="S58" s="72">
        <f>MIN(-SUM($E64:M64,$F63:R63)-SUM($E58:R58),0)</f>
        <v>0</v>
      </c>
      <c r="T58" s="72">
        <f>MIN(-SUM($E64:N64,$F63:S63)-SUM($E58:S58),0)</f>
        <v>0</v>
      </c>
      <c r="U58" s="72">
        <f>MIN(-SUM($E64:O64,$F63:T63)-SUM($E58:T58),0)</f>
        <v>0</v>
      </c>
      <c r="V58" s="72">
        <f>MIN(-SUM($E64:P64,$F63:U63)-SUM($E58:U58),0)</f>
        <v>0</v>
      </c>
      <c r="W58" s="72">
        <f>MIN(-SUM($E64:Q64,$F63:V63)-SUM($E58:V58),0)</f>
        <v>0</v>
      </c>
      <c r="X58" s="72">
        <f>MIN(-SUM($E64:R64,$F63:W63)-SUM($E58:W58),0)</f>
        <v>0</v>
      </c>
      <c r="Y58" s="72">
        <f>MIN(-SUM($E64:S64,$F63:X63)-SUM($E58:X58),0)</f>
        <v>0</v>
      </c>
      <c r="Z58" s="72">
        <f>MIN(-SUM($E64:T64,$F63:Y63)-SUM($E58:Y58),0)</f>
        <v>0</v>
      </c>
      <c r="AA58" s="72">
        <f>MIN(-SUM($E64:U64,$F63:Z63)-SUM($E58:Z58),0)</f>
        <v>0</v>
      </c>
      <c r="AB58" s="72">
        <f>MIN(-SUM($E64:V64,$F63:AA63)-SUM($E58:AA58),0)</f>
        <v>0</v>
      </c>
      <c r="AC58" s="72">
        <f>MIN(-SUM($E64:W64,$F63:AB63)-SUM($E58:AB58),0)</f>
        <v>0</v>
      </c>
      <c r="AD58" s="72">
        <f>MIN(-SUM($E64:X64,$F63:AC63)-SUM($E58:AC58),0)</f>
        <v>0</v>
      </c>
      <c r="AE58" s="72">
        <f>MIN(-SUM($E64:Y64,$F63:AD63)-SUM($E58:AD58),0)</f>
        <v>0</v>
      </c>
      <c r="AF58" s="262">
        <f>+SUM(E58:AE58)</f>
        <v>-1815.0351780426427</v>
      </c>
      <c r="AG58" s="72"/>
      <c r="AH58" s="72"/>
      <c r="AI58" s="72"/>
      <c r="AJ58" s="72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8"/>
      <c r="DG58" s="208"/>
      <c r="DH58" s="208"/>
      <c r="DI58" s="208"/>
    </row>
    <row r="59" spans="1:113" x14ac:dyDescent="0.2">
      <c r="A59" s="785" t="s">
        <v>365</v>
      </c>
      <c r="B59" s="44"/>
      <c r="C59" s="251"/>
      <c r="D59" s="251"/>
      <c r="E59" s="77">
        <f t="shared" ref="E59:AE59" si="33">+SUM(E57:E58)</f>
        <v>0</v>
      </c>
      <c r="F59" s="77">
        <f t="shared" si="33"/>
        <v>13928.286200969726</v>
      </c>
      <c r="G59" s="77">
        <f t="shared" si="33"/>
        <v>27407.459527765262</v>
      </c>
      <c r="H59" s="77">
        <f t="shared" si="33"/>
        <v>21925.967622212211</v>
      </c>
      <c r="I59" s="77">
        <f t="shared" si="33"/>
        <v>17540.774097769769</v>
      </c>
      <c r="J59" s="77">
        <f t="shared" si="33"/>
        <v>13349.782978653788</v>
      </c>
      <c r="K59" s="77">
        <f t="shared" si="33"/>
        <v>8050.8396360166234</v>
      </c>
      <c r="L59" s="77">
        <f t="shared" si="33"/>
        <v>0</v>
      </c>
      <c r="M59" s="77">
        <f t="shared" si="33"/>
        <v>0</v>
      </c>
      <c r="N59" s="77">
        <f t="shared" si="33"/>
        <v>0</v>
      </c>
      <c r="O59" s="77">
        <f t="shared" si="33"/>
        <v>0</v>
      </c>
      <c r="P59" s="77">
        <f t="shared" si="33"/>
        <v>0</v>
      </c>
      <c r="Q59" s="77">
        <f t="shared" si="33"/>
        <v>0</v>
      </c>
      <c r="R59" s="77">
        <f t="shared" si="33"/>
        <v>0</v>
      </c>
      <c r="S59" s="77">
        <f t="shared" si="33"/>
        <v>0</v>
      </c>
      <c r="T59" s="77">
        <f t="shared" si="33"/>
        <v>0</v>
      </c>
      <c r="U59" s="77">
        <f t="shared" si="33"/>
        <v>0</v>
      </c>
      <c r="V59" s="77">
        <f t="shared" si="33"/>
        <v>0</v>
      </c>
      <c r="W59" s="77">
        <f t="shared" si="33"/>
        <v>0</v>
      </c>
      <c r="X59" s="77">
        <f t="shared" si="33"/>
        <v>0</v>
      </c>
      <c r="Y59" s="77">
        <f t="shared" si="33"/>
        <v>0</v>
      </c>
      <c r="Z59" s="77">
        <f t="shared" si="33"/>
        <v>0</v>
      </c>
      <c r="AA59" s="77">
        <f t="shared" si="33"/>
        <v>0</v>
      </c>
      <c r="AB59" s="77">
        <f t="shared" si="33"/>
        <v>0</v>
      </c>
      <c r="AC59" s="77">
        <f t="shared" si="33"/>
        <v>0</v>
      </c>
      <c r="AD59" s="77">
        <f t="shared" si="33"/>
        <v>0</v>
      </c>
      <c r="AE59" s="77">
        <f t="shared" si="33"/>
        <v>0</v>
      </c>
      <c r="AF59" s="259"/>
      <c r="AG59" s="77"/>
      <c r="AH59" s="77"/>
      <c r="AI59" s="77"/>
      <c r="AJ59" s="77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</row>
    <row r="60" spans="1:113" x14ac:dyDescent="0.2">
      <c r="A60" s="882" t="s">
        <v>367</v>
      </c>
      <c r="B60" s="44"/>
      <c r="C60" s="251"/>
      <c r="D60" s="251"/>
      <c r="E60" s="77">
        <f t="shared" ref="E60:AE60" si="34">IF(E49&lt;0,0,E59*0.2)</f>
        <v>0</v>
      </c>
      <c r="F60" s="77">
        <f t="shared" si="34"/>
        <v>0</v>
      </c>
      <c r="G60" s="77">
        <f t="shared" si="34"/>
        <v>5481.4919055530527</v>
      </c>
      <c r="H60" s="77">
        <f t="shared" si="34"/>
        <v>4385.1935244424421</v>
      </c>
      <c r="I60" s="77">
        <f t="shared" si="34"/>
        <v>3508.154819553954</v>
      </c>
      <c r="J60" s="77">
        <f t="shared" si="34"/>
        <v>2669.9565957307577</v>
      </c>
      <c r="K60" s="77">
        <f t="shared" si="34"/>
        <v>1610.1679272033248</v>
      </c>
      <c r="L60" s="77">
        <f t="shared" si="34"/>
        <v>0</v>
      </c>
      <c r="M60" s="77">
        <f t="shared" si="34"/>
        <v>0</v>
      </c>
      <c r="N60" s="77">
        <f t="shared" si="34"/>
        <v>0</v>
      </c>
      <c r="O60" s="77">
        <f t="shared" si="34"/>
        <v>0</v>
      </c>
      <c r="P60" s="77">
        <f t="shared" si="34"/>
        <v>0</v>
      </c>
      <c r="Q60" s="77">
        <f t="shared" si="34"/>
        <v>0</v>
      </c>
      <c r="R60" s="77">
        <f t="shared" si="34"/>
        <v>0</v>
      </c>
      <c r="S60" s="77">
        <f t="shared" si="34"/>
        <v>0</v>
      </c>
      <c r="T60" s="77">
        <f t="shared" si="34"/>
        <v>0</v>
      </c>
      <c r="U60" s="77">
        <f t="shared" si="34"/>
        <v>0</v>
      </c>
      <c r="V60" s="77">
        <f t="shared" si="34"/>
        <v>0</v>
      </c>
      <c r="W60" s="77">
        <f t="shared" si="34"/>
        <v>0</v>
      </c>
      <c r="X60" s="77">
        <f t="shared" si="34"/>
        <v>0</v>
      </c>
      <c r="Y60" s="77">
        <f t="shared" si="34"/>
        <v>0</v>
      </c>
      <c r="Z60" s="77">
        <f t="shared" si="34"/>
        <v>0</v>
      </c>
      <c r="AA60" s="77">
        <f t="shared" si="34"/>
        <v>0</v>
      </c>
      <c r="AB60" s="77">
        <f t="shared" si="34"/>
        <v>0</v>
      </c>
      <c r="AC60" s="77">
        <f t="shared" si="34"/>
        <v>0</v>
      </c>
      <c r="AD60" s="77">
        <f t="shared" si="34"/>
        <v>0</v>
      </c>
      <c r="AE60" s="77">
        <f t="shared" si="34"/>
        <v>0</v>
      </c>
      <c r="AF60" s="259"/>
      <c r="AG60" s="77"/>
      <c r="AH60" s="77"/>
      <c r="AI60" s="77"/>
      <c r="AJ60" s="77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</row>
    <row r="61" spans="1:113" x14ac:dyDescent="0.2">
      <c r="A61" s="882" t="s">
        <v>368</v>
      </c>
      <c r="B61" s="44"/>
      <c r="C61" s="251"/>
      <c r="D61" s="251"/>
      <c r="E61" s="77">
        <f>IF(E49&lt;0,0,E49*0.5)</f>
        <v>0</v>
      </c>
      <c r="F61" s="77">
        <f t="shared" ref="F61:AE61" si="35">IF(F49&lt;0,0,F49*0.5)</f>
        <v>0</v>
      </c>
      <c r="G61" s="77">
        <f t="shared" si="35"/>
        <v>2198.6516830297651</v>
      </c>
      <c r="H61" s="77">
        <f t="shared" si="35"/>
        <v>3404.8757392059033</v>
      </c>
      <c r="I61" s="77">
        <f t="shared" si="35"/>
        <v>4190.9911191159799</v>
      </c>
      <c r="J61" s="77">
        <f t="shared" si="35"/>
        <v>5298.9433426371643</v>
      </c>
      <c r="K61" s="77">
        <f t="shared" si="35"/>
        <v>6235.8044579739808</v>
      </c>
      <c r="L61" s="77">
        <f t="shared" si="35"/>
        <v>23975.211325687138</v>
      </c>
      <c r="M61" s="77">
        <f t="shared" si="35"/>
        <v>27634.048049875357</v>
      </c>
      <c r="N61" s="77">
        <f t="shared" si="35"/>
        <v>29340.697322753345</v>
      </c>
      <c r="O61" s="77">
        <f t="shared" si="35"/>
        <v>31225.510829044521</v>
      </c>
      <c r="P61" s="77">
        <f t="shared" si="35"/>
        <v>33614.284298799132</v>
      </c>
      <c r="Q61" s="77">
        <f t="shared" si="35"/>
        <v>35059.884151240585</v>
      </c>
      <c r="R61" s="77">
        <f t="shared" si="35"/>
        <v>35846.043231228927</v>
      </c>
      <c r="S61" s="77">
        <f t="shared" si="35"/>
        <v>36647.925492817041</v>
      </c>
      <c r="T61" s="77">
        <f t="shared" si="35"/>
        <v>0</v>
      </c>
      <c r="U61" s="77">
        <f t="shared" si="35"/>
        <v>0</v>
      </c>
      <c r="V61" s="77">
        <f t="shared" si="35"/>
        <v>0</v>
      </c>
      <c r="W61" s="77">
        <f t="shared" si="35"/>
        <v>0</v>
      </c>
      <c r="X61" s="77">
        <f t="shared" si="35"/>
        <v>0</v>
      </c>
      <c r="Y61" s="77">
        <f t="shared" si="35"/>
        <v>0</v>
      </c>
      <c r="Z61" s="77">
        <f t="shared" si="35"/>
        <v>0</v>
      </c>
      <c r="AA61" s="77">
        <f t="shared" si="35"/>
        <v>0</v>
      </c>
      <c r="AB61" s="77">
        <f t="shared" si="35"/>
        <v>0</v>
      </c>
      <c r="AC61" s="77">
        <f t="shared" si="35"/>
        <v>0</v>
      </c>
      <c r="AD61" s="77">
        <f t="shared" si="35"/>
        <v>0</v>
      </c>
      <c r="AE61" s="77">
        <f t="shared" si="35"/>
        <v>0</v>
      </c>
      <c r="AF61" s="259"/>
      <c r="AG61" s="77"/>
      <c r="AH61" s="77"/>
      <c r="AI61" s="77"/>
      <c r="AJ61" s="77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</row>
    <row r="62" spans="1:113" x14ac:dyDescent="0.2">
      <c r="A62" s="882"/>
      <c r="B62" s="44"/>
      <c r="C62" s="251"/>
      <c r="D62" s="251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259"/>
      <c r="AG62" s="77"/>
      <c r="AH62" s="77"/>
      <c r="AI62" s="77"/>
      <c r="AJ62" s="77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</row>
    <row r="63" spans="1:113" x14ac:dyDescent="0.2">
      <c r="A63" s="786" t="s">
        <v>370</v>
      </c>
      <c r="B63" s="44"/>
      <c r="C63" s="251"/>
      <c r="D63" s="251"/>
      <c r="E63" s="632">
        <v>0</v>
      </c>
      <c r="F63" s="77">
        <f t="shared" ref="F63:AE63" si="36">+IF(F49&lt;0,0,-MIN(MAX(F60,F61),F59))</f>
        <v>0</v>
      </c>
      <c r="G63" s="77">
        <f t="shared" si="36"/>
        <v>-5481.4919055530527</v>
      </c>
      <c r="H63" s="77">
        <f t="shared" si="36"/>
        <v>-4385.1935244424421</v>
      </c>
      <c r="I63" s="77">
        <f t="shared" si="36"/>
        <v>-4190.9911191159799</v>
      </c>
      <c r="J63" s="77">
        <f t="shared" si="36"/>
        <v>-5298.9433426371643</v>
      </c>
      <c r="K63" s="77">
        <f t="shared" si="36"/>
        <v>-6235.8044579739808</v>
      </c>
      <c r="L63" s="77">
        <f t="shared" si="36"/>
        <v>0</v>
      </c>
      <c r="M63" s="77">
        <f t="shared" si="36"/>
        <v>0</v>
      </c>
      <c r="N63" s="77">
        <f t="shared" si="36"/>
        <v>0</v>
      </c>
      <c r="O63" s="77">
        <f t="shared" si="36"/>
        <v>0</v>
      </c>
      <c r="P63" s="77">
        <f t="shared" si="36"/>
        <v>0</v>
      </c>
      <c r="Q63" s="77">
        <f t="shared" si="36"/>
        <v>0</v>
      </c>
      <c r="R63" s="77">
        <f t="shared" si="36"/>
        <v>0</v>
      </c>
      <c r="S63" s="77">
        <f t="shared" si="36"/>
        <v>0</v>
      </c>
      <c r="T63" s="77">
        <f t="shared" si="36"/>
        <v>0</v>
      </c>
      <c r="U63" s="77">
        <f t="shared" si="36"/>
        <v>0</v>
      </c>
      <c r="V63" s="77">
        <f t="shared" si="36"/>
        <v>0</v>
      </c>
      <c r="W63" s="77">
        <f t="shared" si="36"/>
        <v>0</v>
      </c>
      <c r="X63" s="77">
        <f t="shared" si="36"/>
        <v>0</v>
      </c>
      <c r="Y63" s="77">
        <f t="shared" si="36"/>
        <v>0</v>
      </c>
      <c r="Z63" s="77">
        <f t="shared" si="36"/>
        <v>0</v>
      </c>
      <c r="AA63" s="77">
        <f t="shared" si="36"/>
        <v>0</v>
      </c>
      <c r="AB63" s="77">
        <f t="shared" si="36"/>
        <v>0</v>
      </c>
      <c r="AC63" s="77">
        <f t="shared" si="36"/>
        <v>0</v>
      </c>
      <c r="AD63" s="77">
        <f t="shared" si="36"/>
        <v>0</v>
      </c>
      <c r="AE63" s="77">
        <f t="shared" si="36"/>
        <v>0</v>
      </c>
      <c r="AF63" s="259">
        <f>+SUM(E63:AE63)</f>
        <v>-25592.42434972262</v>
      </c>
      <c r="AG63" s="77"/>
      <c r="AH63" s="77"/>
      <c r="AI63" s="77"/>
      <c r="AJ63" s="77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</row>
    <row r="64" spans="1:113" s="221" customFormat="1" x14ac:dyDescent="0.2">
      <c r="A64" s="787" t="s">
        <v>363</v>
      </c>
      <c r="B64" s="208"/>
      <c r="C64" s="406"/>
      <c r="D64" s="406"/>
      <c r="E64" s="72">
        <f>MAX(-E49,0)</f>
        <v>13928.286200969726</v>
      </c>
      <c r="F64" s="72">
        <f t="shared" ref="F64:AE64" si="37">MAX(-F49,0)</f>
        <v>13479.173326795537</v>
      </c>
      <c r="G64" s="72">
        <f t="shared" si="37"/>
        <v>0</v>
      </c>
      <c r="H64" s="72">
        <f t="shared" si="37"/>
        <v>0</v>
      </c>
      <c r="I64" s="72">
        <f t="shared" si="37"/>
        <v>0</v>
      </c>
      <c r="J64" s="72">
        <f t="shared" si="37"/>
        <v>0</v>
      </c>
      <c r="K64" s="72">
        <f t="shared" si="37"/>
        <v>0</v>
      </c>
      <c r="L64" s="72">
        <f t="shared" si="37"/>
        <v>0</v>
      </c>
      <c r="M64" s="72">
        <f t="shared" si="37"/>
        <v>0</v>
      </c>
      <c r="N64" s="72">
        <f t="shared" si="37"/>
        <v>0</v>
      </c>
      <c r="O64" s="72">
        <f t="shared" si="37"/>
        <v>0</v>
      </c>
      <c r="P64" s="72">
        <f t="shared" si="37"/>
        <v>0</v>
      </c>
      <c r="Q64" s="72">
        <f t="shared" si="37"/>
        <v>0</v>
      </c>
      <c r="R64" s="72">
        <f t="shared" si="37"/>
        <v>0</v>
      </c>
      <c r="S64" s="72">
        <f t="shared" si="37"/>
        <v>0</v>
      </c>
      <c r="T64" s="72">
        <f t="shared" si="37"/>
        <v>0</v>
      </c>
      <c r="U64" s="72">
        <f t="shared" si="37"/>
        <v>0</v>
      </c>
      <c r="V64" s="72">
        <f t="shared" si="37"/>
        <v>0</v>
      </c>
      <c r="W64" s="72">
        <f t="shared" si="37"/>
        <v>0</v>
      </c>
      <c r="X64" s="72">
        <f t="shared" si="37"/>
        <v>0</v>
      </c>
      <c r="Y64" s="72">
        <f t="shared" si="37"/>
        <v>0</v>
      </c>
      <c r="Z64" s="72">
        <f t="shared" si="37"/>
        <v>0</v>
      </c>
      <c r="AA64" s="72">
        <f t="shared" si="37"/>
        <v>0</v>
      </c>
      <c r="AB64" s="72">
        <f t="shared" si="37"/>
        <v>0</v>
      </c>
      <c r="AC64" s="72">
        <f t="shared" si="37"/>
        <v>0</v>
      </c>
      <c r="AD64" s="72">
        <f t="shared" si="37"/>
        <v>0</v>
      </c>
      <c r="AE64" s="72">
        <f t="shared" si="37"/>
        <v>0</v>
      </c>
      <c r="AF64" s="262">
        <f>+SUM(E64:AE64)</f>
        <v>27407.459527765262</v>
      </c>
      <c r="AG64" s="72"/>
      <c r="AH64" s="72"/>
      <c r="AI64" s="72"/>
      <c r="AJ64" s="72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/>
      <c r="CS64" s="208"/>
      <c r="CT64" s="208"/>
      <c r="CU64" s="208"/>
      <c r="CV64" s="208"/>
      <c r="CW64" s="208"/>
      <c r="CX64" s="208"/>
      <c r="CY64" s="208"/>
      <c r="CZ64" s="208"/>
      <c r="DA64" s="208"/>
      <c r="DB64" s="208"/>
      <c r="DC64" s="208"/>
      <c r="DD64" s="208"/>
      <c r="DE64" s="208"/>
      <c r="DF64" s="208"/>
      <c r="DG64" s="208"/>
      <c r="DH64" s="208"/>
      <c r="DI64" s="208"/>
    </row>
    <row r="65" spans="1:113" x14ac:dyDescent="0.2">
      <c r="A65" s="883" t="s">
        <v>366</v>
      </c>
      <c r="B65" s="226"/>
      <c r="C65" s="884"/>
      <c r="D65" s="884"/>
      <c r="E65" s="410">
        <f t="shared" ref="E65:AE65" si="38">+E59+SUM(E63:E64)</f>
        <v>13928.286200969726</v>
      </c>
      <c r="F65" s="410">
        <f t="shared" si="38"/>
        <v>27407.459527765262</v>
      </c>
      <c r="G65" s="410">
        <f t="shared" si="38"/>
        <v>21925.967622212211</v>
      </c>
      <c r="H65" s="410">
        <f t="shared" si="38"/>
        <v>17540.774097769769</v>
      </c>
      <c r="I65" s="410">
        <f t="shared" si="38"/>
        <v>13349.782978653788</v>
      </c>
      <c r="J65" s="410">
        <f t="shared" si="38"/>
        <v>8050.8396360166234</v>
      </c>
      <c r="K65" s="410">
        <f t="shared" si="38"/>
        <v>1815.0351780426427</v>
      </c>
      <c r="L65" s="410">
        <f t="shared" si="38"/>
        <v>0</v>
      </c>
      <c r="M65" s="410">
        <f t="shared" si="38"/>
        <v>0</v>
      </c>
      <c r="N65" s="410">
        <f t="shared" si="38"/>
        <v>0</v>
      </c>
      <c r="O65" s="410">
        <f t="shared" si="38"/>
        <v>0</v>
      </c>
      <c r="P65" s="410">
        <f t="shared" si="38"/>
        <v>0</v>
      </c>
      <c r="Q65" s="410">
        <f t="shared" si="38"/>
        <v>0</v>
      </c>
      <c r="R65" s="410">
        <f t="shared" si="38"/>
        <v>0</v>
      </c>
      <c r="S65" s="410">
        <f t="shared" si="38"/>
        <v>0</v>
      </c>
      <c r="T65" s="410">
        <f t="shared" si="38"/>
        <v>0</v>
      </c>
      <c r="U65" s="410">
        <f t="shared" si="38"/>
        <v>0</v>
      </c>
      <c r="V65" s="410">
        <f t="shared" si="38"/>
        <v>0</v>
      </c>
      <c r="W65" s="410">
        <f t="shared" si="38"/>
        <v>0</v>
      </c>
      <c r="X65" s="410">
        <f t="shared" si="38"/>
        <v>0</v>
      </c>
      <c r="Y65" s="410">
        <f t="shared" si="38"/>
        <v>0</v>
      </c>
      <c r="Z65" s="410">
        <f t="shared" si="38"/>
        <v>0</v>
      </c>
      <c r="AA65" s="410">
        <f t="shared" si="38"/>
        <v>0</v>
      </c>
      <c r="AB65" s="410">
        <f t="shared" si="38"/>
        <v>0</v>
      </c>
      <c r="AC65" s="410">
        <f t="shared" si="38"/>
        <v>0</v>
      </c>
      <c r="AD65" s="410">
        <f t="shared" si="38"/>
        <v>0</v>
      </c>
      <c r="AE65" s="410">
        <f t="shared" si="38"/>
        <v>0</v>
      </c>
      <c r="AF65" s="782"/>
      <c r="AG65" s="77"/>
      <c r="AH65" s="77"/>
      <c r="AI65" s="77"/>
      <c r="AJ65" s="77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</row>
    <row r="67" spans="1:113" x14ac:dyDescent="0.2">
      <c r="A67" s="794" t="s">
        <v>311</v>
      </c>
      <c r="B67" s="200"/>
      <c r="C67" s="200"/>
      <c r="D67" s="200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718"/>
      <c r="AG67" s="77"/>
      <c r="AH67" s="77"/>
      <c r="AI67" s="77"/>
      <c r="AJ67" s="77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</row>
    <row r="68" spans="1:113" s="83" customFormat="1" x14ac:dyDescent="0.2">
      <c r="A68" s="805" t="s">
        <v>307</v>
      </c>
      <c r="B68" s="77"/>
      <c r="C68" s="77"/>
      <c r="D68" s="804"/>
      <c r="E68" s="77">
        <f>+CF!E64</f>
        <v>-5489.1465046162775</v>
      </c>
      <c r="F68" s="77">
        <f>+CF!F64</f>
        <v>-12024.894441835102</v>
      </c>
      <c r="G68" s="77">
        <f>+CF!G64</f>
        <v>5172.2608817319233</v>
      </c>
      <c r="H68" s="77">
        <f>+CF!H64</f>
        <v>6111.9519896835282</v>
      </c>
      <c r="I68" s="77">
        <f>+CF!I64</f>
        <v>6336.3693826938106</v>
      </c>
      <c r="J68" s="77">
        <f>+CF!J64</f>
        <v>7322.4604713134759</v>
      </c>
      <c r="K68" s="77">
        <f>+CF!K64</f>
        <v>7930.4162241112645</v>
      </c>
      <c r="L68" s="77">
        <f>+CF!L64</f>
        <v>29814.367336883326</v>
      </c>
      <c r="M68" s="77">
        <f>+CF!M64</f>
        <v>33751.178428869709</v>
      </c>
      <c r="N68" s="77">
        <f>+CF!N64</f>
        <v>34839.623937967219</v>
      </c>
      <c r="O68" s="77">
        <f>+CF!O64</f>
        <v>36050.982270703869</v>
      </c>
      <c r="P68" s="77">
        <f>+CF!P64</f>
        <v>37829.06287013783</v>
      </c>
      <c r="Q68" s="77">
        <f>+CF!Q64</f>
        <v>57522.977508090269</v>
      </c>
      <c r="R68" s="77">
        <f>+CF!R64</f>
        <v>58623.600220073946</v>
      </c>
      <c r="S68" s="77">
        <f>+CF!S64</f>
        <v>59746.23538629731</v>
      </c>
      <c r="T68" s="77">
        <f>+CF!T64</f>
        <v>0</v>
      </c>
      <c r="U68" s="77">
        <f>+CF!U64</f>
        <v>0</v>
      </c>
      <c r="V68" s="77">
        <f>+CF!V64</f>
        <v>0</v>
      </c>
      <c r="W68" s="77">
        <f>+CF!W64</f>
        <v>0</v>
      </c>
      <c r="X68" s="77">
        <f>+CF!X64</f>
        <v>0</v>
      </c>
      <c r="Y68" s="77">
        <f>+CF!Y64</f>
        <v>0</v>
      </c>
      <c r="Z68" s="77">
        <f>+CF!Z64</f>
        <v>0</v>
      </c>
      <c r="AA68" s="77">
        <f>+CF!AA64</f>
        <v>0</v>
      </c>
      <c r="AB68" s="77">
        <f>+CF!AB64</f>
        <v>0</v>
      </c>
      <c r="AC68" s="77">
        <f>+CF!AC64</f>
        <v>0</v>
      </c>
      <c r="AD68" s="77">
        <f>+CF!AD64</f>
        <v>0</v>
      </c>
      <c r="AE68" s="77">
        <f>+CF!AE64</f>
        <v>0</v>
      </c>
      <c r="AF68" s="259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</row>
    <row r="69" spans="1:113" s="83" customFormat="1" x14ac:dyDescent="0.2">
      <c r="A69" s="806" t="s">
        <v>379</v>
      </c>
      <c r="B69" s="77"/>
      <c r="C69" s="77"/>
      <c r="D69" s="804">
        <f>+Assumpt!$L$16</f>
        <v>0.1</v>
      </c>
      <c r="E69" s="77">
        <f t="shared" ref="E69:Q69" si="39">MAX(0,E68*$D$69)</f>
        <v>0</v>
      </c>
      <c r="F69" s="77">
        <f t="shared" si="39"/>
        <v>0</v>
      </c>
      <c r="G69" s="77">
        <f t="shared" si="39"/>
        <v>517.22608817319235</v>
      </c>
      <c r="H69" s="77">
        <f t="shared" si="39"/>
        <v>611.19519896835288</v>
      </c>
      <c r="I69" s="77">
        <f t="shared" si="39"/>
        <v>633.63693826938106</v>
      </c>
      <c r="J69" s="77">
        <f t="shared" si="39"/>
        <v>732.24604713134761</v>
      </c>
      <c r="K69" s="77">
        <f t="shared" si="39"/>
        <v>793.04162241112647</v>
      </c>
      <c r="L69" s="77">
        <f t="shared" si="39"/>
        <v>2981.4367336883329</v>
      </c>
      <c r="M69" s="77">
        <f t="shared" si="39"/>
        <v>3375.1178428869712</v>
      </c>
      <c r="N69" s="77">
        <f t="shared" si="39"/>
        <v>3483.9623937967222</v>
      </c>
      <c r="O69" s="77">
        <f t="shared" si="39"/>
        <v>3605.0982270703871</v>
      </c>
      <c r="P69" s="77">
        <f t="shared" si="39"/>
        <v>3782.9062870137832</v>
      </c>
      <c r="Q69" s="77">
        <f t="shared" si="39"/>
        <v>5752.2977508090271</v>
      </c>
      <c r="R69" s="77">
        <f t="shared" ref="R69:AE69" si="40">MAX(0,R68*$D$69)</f>
        <v>5862.3600220073949</v>
      </c>
      <c r="S69" s="77">
        <f t="shared" si="40"/>
        <v>5974.6235386297312</v>
      </c>
      <c r="T69" s="77">
        <f t="shared" si="40"/>
        <v>0</v>
      </c>
      <c r="U69" s="77">
        <f t="shared" si="40"/>
        <v>0</v>
      </c>
      <c r="V69" s="77">
        <f t="shared" si="40"/>
        <v>0</v>
      </c>
      <c r="W69" s="77">
        <f t="shared" si="40"/>
        <v>0</v>
      </c>
      <c r="X69" s="77">
        <f t="shared" si="40"/>
        <v>0</v>
      </c>
      <c r="Y69" s="77">
        <f t="shared" si="40"/>
        <v>0</v>
      </c>
      <c r="Z69" s="77">
        <f t="shared" si="40"/>
        <v>0</v>
      </c>
      <c r="AA69" s="77">
        <f t="shared" si="40"/>
        <v>0</v>
      </c>
      <c r="AB69" s="77">
        <f t="shared" si="40"/>
        <v>0</v>
      </c>
      <c r="AC69" s="77">
        <f t="shared" si="40"/>
        <v>0</v>
      </c>
      <c r="AD69" s="77">
        <f t="shared" si="40"/>
        <v>0</v>
      </c>
      <c r="AE69" s="77">
        <f t="shared" si="40"/>
        <v>0</v>
      </c>
      <c r="AF69" s="259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</row>
    <row r="70" spans="1:113" s="436" customFormat="1" x14ac:dyDescent="0.2">
      <c r="A70" s="891" t="s">
        <v>380</v>
      </c>
      <c r="B70" s="72"/>
      <c r="C70" s="72"/>
      <c r="D70" s="892"/>
      <c r="E70" s="72">
        <f>-MIN(SUM($D78:D78)+SUM($D70:D70),E69)</f>
        <v>0</v>
      </c>
      <c r="F70" s="72">
        <f>-MIN(SUM($D78:E78)+SUM($D70:E70),F69)</f>
        <v>0</v>
      </c>
      <c r="G70" s="72">
        <f>-MIN(SUM($D78:F78)+SUM($D70:F70),G69)</f>
        <v>0</v>
      </c>
      <c r="H70" s="72">
        <f>-MIN(SUM($D78:G78)+SUM($D70:G70),H69)</f>
        <v>0</v>
      </c>
      <c r="I70" s="72">
        <f>-MIN(SUM($D78:H78)+SUM($D70:H70),I69)</f>
        <v>0</v>
      </c>
      <c r="J70" s="72">
        <f>-MIN(SUM($D78:I78)+SUM($D70:I70),J69)</f>
        <v>0</v>
      </c>
      <c r="K70" s="72">
        <f>-MIN(SUM($D78:J78)+SUM($D70:J70),K69)</f>
        <v>0</v>
      </c>
      <c r="L70" s="72">
        <f>-MIN(SUM($D78:K78)+SUM($D70:K70),L69)</f>
        <v>0</v>
      </c>
      <c r="M70" s="72">
        <f>-MIN(SUM($D78:L78)+SUM($D70:L70),M69)</f>
        <v>0</v>
      </c>
      <c r="N70" s="72">
        <f>-MIN(SUM($D78:M78)+SUM($D70:M70),N69)</f>
        <v>0</v>
      </c>
      <c r="O70" s="72">
        <f>-MIN(SUM($D78:N78)+SUM($D70:N70),O69)</f>
        <v>0</v>
      </c>
      <c r="P70" s="72">
        <f>-MIN(SUM($D78:O78)+SUM($D70:O70),P69)</f>
        <v>0</v>
      </c>
      <c r="Q70" s="72">
        <f>-MIN(SUM($D78:P78)+SUM($D70:P70),Q69)</f>
        <v>0</v>
      </c>
      <c r="R70" s="72">
        <f>-MIN(SUM($D78:Q78)+SUM($D70:Q70),R69)</f>
        <v>0</v>
      </c>
      <c r="S70" s="72">
        <f>-MIN(SUM($D78:R78)+SUM($D70:R70),S69)</f>
        <v>0</v>
      </c>
      <c r="T70" s="72">
        <f>-MIN(SUM($D78:S78)+SUM($D70:S70),T69)</f>
        <v>0</v>
      </c>
      <c r="U70" s="72">
        <f>-MIN(SUM($D78:T78)+SUM($D70:T70),U69)</f>
        <v>0</v>
      </c>
      <c r="V70" s="72">
        <f>-MIN(SUM($D78:U78)+SUM($D70:U70),V69)</f>
        <v>0</v>
      </c>
      <c r="W70" s="72">
        <f>-MIN(SUM($D78:V78)+SUM($D70:V70),W69)</f>
        <v>0</v>
      </c>
      <c r="X70" s="72">
        <f>-MIN(SUM($D78:W78)+SUM($D70:W70),X69)</f>
        <v>0</v>
      </c>
      <c r="Y70" s="72">
        <f>-MIN(SUM($D78:X78)+SUM($D70:X70),Y69)</f>
        <v>0</v>
      </c>
      <c r="Z70" s="72">
        <f>-MIN(SUM($D78:Y78)+SUM($D70:Y70),Z69)</f>
        <v>0</v>
      </c>
      <c r="AA70" s="72">
        <f>-MIN(SUM($D78:Z78)+SUM($D70:Z70),AA69)</f>
        <v>0</v>
      </c>
      <c r="AB70" s="72">
        <f>-MIN(SUM($D78:AA78)+SUM($D70:AA70),AB69)</f>
        <v>0</v>
      </c>
      <c r="AC70" s="72">
        <f>-MIN(SUM($D78:AB78)+SUM($D70:AB70),AC69)</f>
        <v>0</v>
      </c>
      <c r="AD70" s="72">
        <f>-MIN(SUM($D78:AC78)+SUM($D70:AC70),AD69)</f>
        <v>0</v>
      </c>
      <c r="AE70" s="72">
        <f>-MIN(SUM($D78:AD78)+SUM($D70:AD70),AE69)</f>
        <v>0</v>
      </c>
      <c r="AF70" s="262">
        <f>+SUM(E70:AE70)</f>
        <v>0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</row>
    <row r="71" spans="1:113" s="83" customFormat="1" x14ac:dyDescent="0.2">
      <c r="A71" s="806" t="s">
        <v>381</v>
      </c>
      <c r="B71" s="77"/>
      <c r="C71" s="77"/>
      <c r="E71" s="77">
        <f>+SUM(E69:E70)</f>
        <v>0</v>
      </c>
      <c r="F71" s="77">
        <f t="shared" ref="F71:AE71" si="41">+SUM(F69:F70)</f>
        <v>0</v>
      </c>
      <c r="G71" s="77">
        <f t="shared" si="41"/>
        <v>517.22608817319235</v>
      </c>
      <c r="H71" s="77">
        <f t="shared" si="41"/>
        <v>611.19519896835288</v>
      </c>
      <c r="I71" s="77">
        <f t="shared" si="41"/>
        <v>633.63693826938106</v>
      </c>
      <c r="J71" s="77">
        <f t="shared" si="41"/>
        <v>732.24604713134761</v>
      </c>
      <c r="K71" s="77">
        <f t="shared" si="41"/>
        <v>793.04162241112647</v>
      </c>
      <c r="L71" s="77">
        <f t="shared" si="41"/>
        <v>2981.4367336883329</v>
      </c>
      <c r="M71" s="77">
        <f t="shared" si="41"/>
        <v>3375.1178428869712</v>
      </c>
      <c r="N71" s="77">
        <f t="shared" si="41"/>
        <v>3483.9623937967222</v>
      </c>
      <c r="O71" s="77">
        <f t="shared" si="41"/>
        <v>3605.0982270703871</v>
      </c>
      <c r="P71" s="77">
        <f t="shared" si="41"/>
        <v>3782.9062870137832</v>
      </c>
      <c r="Q71" s="77">
        <f t="shared" si="41"/>
        <v>5752.2977508090271</v>
      </c>
      <c r="R71" s="77">
        <f t="shared" si="41"/>
        <v>5862.3600220073949</v>
      </c>
      <c r="S71" s="77">
        <f t="shared" si="41"/>
        <v>5974.6235386297312</v>
      </c>
      <c r="T71" s="77">
        <f t="shared" si="41"/>
        <v>0</v>
      </c>
      <c r="U71" s="77">
        <f t="shared" si="41"/>
        <v>0</v>
      </c>
      <c r="V71" s="77">
        <f t="shared" si="41"/>
        <v>0</v>
      </c>
      <c r="W71" s="77">
        <f t="shared" si="41"/>
        <v>0</v>
      </c>
      <c r="X71" s="77">
        <f t="shared" si="41"/>
        <v>0</v>
      </c>
      <c r="Y71" s="77">
        <f t="shared" si="41"/>
        <v>0</v>
      </c>
      <c r="Z71" s="77">
        <f t="shared" si="41"/>
        <v>0</v>
      </c>
      <c r="AA71" s="77">
        <f t="shared" si="41"/>
        <v>0</v>
      </c>
      <c r="AB71" s="77">
        <f t="shared" si="41"/>
        <v>0</v>
      </c>
      <c r="AC71" s="77">
        <f t="shared" si="41"/>
        <v>0</v>
      </c>
      <c r="AD71" s="77">
        <f t="shared" si="41"/>
        <v>0</v>
      </c>
      <c r="AE71" s="77">
        <f t="shared" si="41"/>
        <v>0</v>
      </c>
      <c r="AF71" s="259">
        <f>+SUM(E71:AE71)</f>
        <v>38105.148690855749</v>
      </c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</row>
    <row r="72" spans="1:113" s="83" customFormat="1" x14ac:dyDescent="0.2">
      <c r="A72" s="806"/>
      <c r="B72" s="77"/>
      <c r="C72" s="77"/>
      <c r="D72" s="80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259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</row>
    <row r="73" spans="1:113" x14ac:dyDescent="0.2">
      <c r="A73" s="203" t="s">
        <v>305</v>
      </c>
      <c r="B73" s="44"/>
      <c r="C73" s="44"/>
      <c r="D73" s="44"/>
      <c r="E73" s="77">
        <f>+E25-E30</f>
        <v>-9708.7163527930024</v>
      </c>
      <c r="F73" s="77">
        <f>+F25-F30</f>
        <v>-9259.6034786188138</v>
      </c>
      <c r="G73" s="77">
        <f>+G25-G30</f>
        <v>7324.3422321008156</v>
      </c>
      <c r="H73" s="77">
        <f>+H25-H30</f>
        <v>9374.923127600252</v>
      </c>
      <c r="I73" s="77">
        <f t="shared" ref="I73:AE73" si="42">+I25-I30</f>
        <v>10711.319273447381</v>
      </c>
      <c r="J73" s="77">
        <f t="shared" si="42"/>
        <v>11225.553528754261</v>
      </c>
      <c r="K73" s="77">
        <f t="shared" si="42"/>
        <v>11683.82513488728</v>
      </c>
      <c r="L73" s="77">
        <f t="shared" si="42"/>
        <v>36518.994749685706</v>
      </c>
      <c r="M73" s="77">
        <f t="shared" si="42"/>
        <v>41641.366163549203</v>
      </c>
      <c r="N73" s="77">
        <f t="shared" si="42"/>
        <v>44030.675145578396</v>
      </c>
      <c r="O73" s="77">
        <f t="shared" si="42"/>
        <v>46669.414054386041</v>
      </c>
      <c r="P73" s="77">
        <f t="shared" si="42"/>
        <v>50013.696912042498</v>
      </c>
      <c r="Q73" s="77">
        <f t="shared" si="42"/>
        <v>52037.53670546053</v>
      </c>
      <c r="R73" s="77">
        <f t="shared" si="42"/>
        <v>53138.159417444214</v>
      </c>
      <c r="S73" s="77">
        <f t="shared" si="42"/>
        <v>54260.794583667572</v>
      </c>
      <c r="T73" s="77">
        <f t="shared" si="42"/>
        <v>0</v>
      </c>
      <c r="U73" s="77">
        <f t="shared" si="42"/>
        <v>0</v>
      </c>
      <c r="V73" s="77">
        <f t="shared" si="42"/>
        <v>0</v>
      </c>
      <c r="W73" s="77">
        <f t="shared" si="42"/>
        <v>0</v>
      </c>
      <c r="X73" s="77">
        <f t="shared" si="42"/>
        <v>0</v>
      </c>
      <c r="Y73" s="77">
        <f t="shared" si="42"/>
        <v>0</v>
      </c>
      <c r="Z73" s="77">
        <f t="shared" si="42"/>
        <v>0</v>
      </c>
      <c r="AA73" s="77">
        <f t="shared" si="42"/>
        <v>0</v>
      </c>
      <c r="AB73" s="77">
        <f t="shared" si="42"/>
        <v>0</v>
      </c>
      <c r="AC73" s="77">
        <f t="shared" si="42"/>
        <v>0</v>
      </c>
      <c r="AD73" s="77">
        <f t="shared" si="42"/>
        <v>0</v>
      </c>
      <c r="AE73" s="77">
        <f t="shared" si="42"/>
        <v>0</v>
      </c>
      <c r="AF73" s="259">
        <f>+SUM(E73:AE73)</f>
        <v>409662.28119719232</v>
      </c>
      <c r="AG73" s="77"/>
      <c r="AH73" s="77"/>
      <c r="AI73" s="77"/>
      <c r="AJ73" s="77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</row>
    <row r="74" spans="1:113" s="83" customFormat="1" x14ac:dyDescent="0.2">
      <c r="A74" s="807" t="s">
        <v>308</v>
      </c>
      <c r="B74" s="77"/>
      <c r="C74" s="77"/>
      <c r="D74" s="804">
        <f>+Assumpt!$L$17</f>
        <v>0.4</v>
      </c>
      <c r="E74" s="77">
        <f>MAX($D$74*E73,0)</f>
        <v>0</v>
      </c>
      <c r="F74" s="77">
        <f t="shared" ref="F74:AE74" si="43">MAX($D$74*F73,0)</f>
        <v>0</v>
      </c>
      <c r="G74" s="77">
        <f t="shared" si="43"/>
        <v>2929.7368928403266</v>
      </c>
      <c r="H74" s="77">
        <f t="shared" si="43"/>
        <v>3749.969251040101</v>
      </c>
      <c r="I74" s="77">
        <f t="shared" si="43"/>
        <v>4284.5277093789527</v>
      </c>
      <c r="J74" s="77">
        <f t="shared" si="43"/>
        <v>4490.2214115017041</v>
      </c>
      <c r="K74" s="77">
        <f t="shared" si="43"/>
        <v>4673.5300539549125</v>
      </c>
      <c r="L74" s="77">
        <f t="shared" si="43"/>
        <v>14607.597899874283</v>
      </c>
      <c r="M74" s="77">
        <f t="shared" si="43"/>
        <v>16656.54646541968</v>
      </c>
      <c r="N74" s="77">
        <f t="shared" si="43"/>
        <v>17612.270058231359</v>
      </c>
      <c r="O74" s="77">
        <f t="shared" si="43"/>
        <v>18667.765621754417</v>
      </c>
      <c r="P74" s="77">
        <f t="shared" si="43"/>
        <v>20005.478764817002</v>
      </c>
      <c r="Q74" s="77">
        <f t="shared" si="43"/>
        <v>20815.014682184214</v>
      </c>
      <c r="R74" s="77">
        <f t="shared" si="43"/>
        <v>21255.263766977689</v>
      </c>
      <c r="S74" s="77">
        <f t="shared" si="43"/>
        <v>21704.31783346703</v>
      </c>
      <c r="T74" s="77">
        <f t="shared" si="43"/>
        <v>0</v>
      </c>
      <c r="U74" s="77">
        <f t="shared" si="43"/>
        <v>0</v>
      </c>
      <c r="V74" s="77">
        <f t="shared" si="43"/>
        <v>0</v>
      </c>
      <c r="W74" s="77">
        <f t="shared" si="43"/>
        <v>0</v>
      </c>
      <c r="X74" s="77">
        <f t="shared" si="43"/>
        <v>0</v>
      </c>
      <c r="Y74" s="77">
        <f t="shared" si="43"/>
        <v>0</v>
      </c>
      <c r="Z74" s="77">
        <f t="shared" si="43"/>
        <v>0</v>
      </c>
      <c r="AA74" s="77">
        <f t="shared" si="43"/>
        <v>0</v>
      </c>
      <c r="AB74" s="77">
        <f t="shared" si="43"/>
        <v>0</v>
      </c>
      <c r="AC74" s="77">
        <f t="shared" si="43"/>
        <v>0</v>
      </c>
      <c r="AD74" s="77">
        <f t="shared" si="43"/>
        <v>0</v>
      </c>
      <c r="AE74" s="77">
        <f t="shared" si="43"/>
        <v>0</v>
      </c>
      <c r="AF74" s="259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</row>
    <row r="75" spans="1:113" s="83" customFormat="1" x14ac:dyDescent="0.2">
      <c r="A75" s="807"/>
      <c r="B75" s="77"/>
      <c r="C75" s="77"/>
      <c r="D75" s="80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259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</row>
    <row r="76" spans="1:113" s="83" customFormat="1" x14ac:dyDescent="0.2">
      <c r="A76" s="809" t="s">
        <v>309</v>
      </c>
      <c r="B76" s="77"/>
      <c r="C76" s="77"/>
      <c r="D76" s="804"/>
      <c r="E76" s="77">
        <f>+MAX(E74-MAX(E68,0),0)</f>
        <v>0</v>
      </c>
      <c r="F76" s="77">
        <f t="shared" ref="F76:AE76" si="44">+MAX(F74-MAX(F68,0),0)</f>
        <v>0</v>
      </c>
      <c r="G76" s="77">
        <f t="shared" si="44"/>
        <v>0</v>
      </c>
      <c r="H76" s="77">
        <f t="shared" si="44"/>
        <v>0</v>
      </c>
      <c r="I76" s="77">
        <f t="shared" si="44"/>
        <v>0</v>
      </c>
      <c r="J76" s="77">
        <f t="shared" si="44"/>
        <v>0</v>
      </c>
      <c r="K76" s="77">
        <f t="shared" si="44"/>
        <v>0</v>
      </c>
      <c r="L76" s="77">
        <f t="shared" si="44"/>
        <v>0</v>
      </c>
      <c r="M76" s="77">
        <f t="shared" si="44"/>
        <v>0</v>
      </c>
      <c r="N76" s="77">
        <f t="shared" si="44"/>
        <v>0</v>
      </c>
      <c r="O76" s="77">
        <f t="shared" si="44"/>
        <v>0</v>
      </c>
      <c r="P76" s="77">
        <f t="shared" si="44"/>
        <v>0</v>
      </c>
      <c r="Q76" s="77">
        <f t="shared" si="44"/>
        <v>0</v>
      </c>
      <c r="R76" s="77">
        <f t="shared" si="44"/>
        <v>0</v>
      </c>
      <c r="S76" s="77">
        <f t="shared" si="44"/>
        <v>0</v>
      </c>
      <c r="T76" s="77">
        <f t="shared" si="44"/>
        <v>0</v>
      </c>
      <c r="U76" s="77">
        <f t="shared" si="44"/>
        <v>0</v>
      </c>
      <c r="V76" s="77">
        <f t="shared" si="44"/>
        <v>0</v>
      </c>
      <c r="W76" s="77">
        <f t="shared" si="44"/>
        <v>0</v>
      </c>
      <c r="X76" s="77">
        <f t="shared" si="44"/>
        <v>0</v>
      </c>
      <c r="Y76" s="77">
        <f t="shared" si="44"/>
        <v>0</v>
      </c>
      <c r="Z76" s="77">
        <f t="shared" si="44"/>
        <v>0</v>
      </c>
      <c r="AA76" s="77">
        <f t="shared" si="44"/>
        <v>0</v>
      </c>
      <c r="AB76" s="77">
        <f t="shared" si="44"/>
        <v>0</v>
      </c>
      <c r="AC76" s="77">
        <f t="shared" si="44"/>
        <v>0</v>
      </c>
      <c r="AD76" s="77">
        <f t="shared" si="44"/>
        <v>0</v>
      </c>
      <c r="AE76" s="77">
        <f t="shared" si="44"/>
        <v>0</v>
      </c>
      <c r="AF76" s="259">
        <f>+SUM(E76:AE76)</f>
        <v>0</v>
      </c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</row>
    <row r="77" spans="1:113" x14ac:dyDescent="0.2">
      <c r="A77" s="808" t="s">
        <v>312</v>
      </c>
      <c r="B77" s="44"/>
      <c r="C77" s="251"/>
      <c r="D77" s="251"/>
      <c r="E77" s="248">
        <f>+Assumpt!$L$18</f>
        <v>0.1</v>
      </c>
      <c r="F77" s="248">
        <f>+Assumpt!$L$18</f>
        <v>0.1</v>
      </c>
      <c r="G77" s="248">
        <f>+Assumpt!$L$18</f>
        <v>0.1</v>
      </c>
      <c r="H77" s="248">
        <f>+Assumpt!$L$18</f>
        <v>0.1</v>
      </c>
      <c r="I77" s="248">
        <f>+Assumpt!$L$18</f>
        <v>0.1</v>
      </c>
      <c r="J77" s="248">
        <f>+Assumpt!$L$18</f>
        <v>0.1</v>
      </c>
      <c r="K77" s="248">
        <f>+Assumpt!$L$18</f>
        <v>0.1</v>
      </c>
      <c r="L77" s="248">
        <f>+Assumpt!$L$18</f>
        <v>0.1</v>
      </c>
      <c r="M77" s="248">
        <f>+Assumpt!$L$18</f>
        <v>0.1</v>
      </c>
      <c r="N77" s="248">
        <f>+Assumpt!$L$18</f>
        <v>0.1</v>
      </c>
      <c r="O77" s="248">
        <f>+Assumpt!$L$18</f>
        <v>0.1</v>
      </c>
      <c r="P77" s="248">
        <f>+Assumpt!$L$18</f>
        <v>0.1</v>
      </c>
      <c r="Q77" s="248">
        <f>+Assumpt!$L$18</f>
        <v>0.1</v>
      </c>
      <c r="R77" s="248">
        <f>+Assumpt!$L$18</f>
        <v>0.1</v>
      </c>
      <c r="S77" s="248">
        <f>+Assumpt!$L$18</f>
        <v>0.1</v>
      </c>
      <c r="T77" s="248">
        <f>+Assumpt!$L$18</f>
        <v>0.1</v>
      </c>
      <c r="U77" s="248">
        <f>+Assumpt!$L$18</f>
        <v>0.1</v>
      </c>
      <c r="V77" s="248">
        <f>+Assumpt!$L$18</f>
        <v>0.1</v>
      </c>
      <c r="W77" s="248">
        <f>+Assumpt!$L$18</f>
        <v>0.1</v>
      </c>
      <c r="X77" s="248">
        <f>+Assumpt!$L$18</f>
        <v>0.1</v>
      </c>
      <c r="Y77" s="248">
        <f>+Assumpt!$L$18</f>
        <v>0.1</v>
      </c>
      <c r="Z77" s="248">
        <f>+Assumpt!$L$18</f>
        <v>0.1</v>
      </c>
      <c r="AA77" s="248">
        <f>+Assumpt!$L$18</f>
        <v>0.1</v>
      </c>
      <c r="AB77" s="248">
        <f>+Assumpt!$L$18</f>
        <v>0.1</v>
      </c>
      <c r="AC77" s="248">
        <f>+Assumpt!$L$18</f>
        <v>0.1</v>
      </c>
      <c r="AD77" s="248">
        <f>+Assumpt!$L$18</f>
        <v>0.1</v>
      </c>
      <c r="AE77" s="409">
        <f>+Assumpt!$L$18</f>
        <v>0.1</v>
      </c>
      <c r="AF77" s="781"/>
      <c r="AG77" s="77"/>
      <c r="AH77" s="77"/>
      <c r="AI77" s="77"/>
      <c r="AJ77" s="77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</row>
    <row r="78" spans="1:113" x14ac:dyDescent="0.2">
      <c r="A78" s="807" t="s">
        <v>313</v>
      </c>
      <c r="B78" s="44"/>
      <c r="C78" s="251"/>
      <c r="D78" s="251"/>
      <c r="E78" s="77">
        <f>+E76*E77</f>
        <v>0</v>
      </c>
      <c r="F78" s="77">
        <f t="shared" ref="F78:AE78" si="45">+F76*F77</f>
        <v>0</v>
      </c>
      <c r="G78" s="77">
        <f t="shared" si="45"/>
        <v>0</v>
      </c>
      <c r="H78" s="77">
        <f t="shared" si="45"/>
        <v>0</v>
      </c>
      <c r="I78" s="77">
        <f t="shared" si="45"/>
        <v>0</v>
      </c>
      <c r="J78" s="77">
        <f t="shared" si="45"/>
        <v>0</v>
      </c>
      <c r="K78" s="77">
        <f t="shared" si="45"/>
        <v>0</v>
      </c>
      <c r="L78" s="77">
        <f t="shared" si="45"/>
        <v>0</v>
      </c>
      <c r="M78" s="77">
        <f t="shared" si="45"/>
        <v>0</v>
      </c>
      <c r="N78" s="77">
        <f t="shared" si="45"/>
        <v>0</v>
      </c>
      <c r="O78" s="77">
        <f t="shared" si="45"/>
        <v>0</v>
      </c>
      <c r="P78" s="77">
        <f t="shared" si="45"/>
        <v>0</v>
      </c>
      <c r="Q78" s="77">
        <f t="shared" si="45"/>
        <v>0</v>
      </c>
      <c r="R78" s="77">
        <f t="shared" si="45"/>
        <v>0</v>
      </c>
      <c r="S78" s="77">
        <f t="shared" si="45"/>
        <v>0</v>
      </c>
      <c r="T78" s="77">
        <f t="shared" si="45"/>
        <v>0</v>
      </c>
      <c r="U78" s="77">
        <f t="shared" si="45"/>
        <v>0</v>
      </c>
      <c r="V78" s="77">
        <f t="shared" si="45"/>
        <v>0</v>
      </c>
      <c r="W78" s="77">
        <f t="shared" si="45"/>
        <v>0</v>
      </c>
      <c r="X78" s="77">
        <f t="shared" si="45"/>
        <v>0</v>
      </c>
      <c r="Y78" s="77">
        <f t="shared" si="45"/>
        <v>0</v>
      </c>
      <c r="Z78" s="77">
        <f t="shared" si="45"/>
        <v>0</v>
      </c>
      <c r="AA78" s="77">
        <f t="shared" si="45"/>
        <v>0</v>
      </c>
      <c r="AB78" s="77">
        <f t="shared" si="45"/>
        <v>0</v>
      </c>
      <c r="AC78" s="77">
        <f t="shared" si="45"/>
        <v>0</v>
      </c>
      <c r="AD78" s="77">
        <f t="shared" si="45"/>
        <v>0</v>
      </c>
      <c r="AE78" s="205">
        <f t="shared" si="45"/>
        <v>0</v>
      </c>
      <c r="AF78" s="259">
        <f>+SUM(E78:AE78)</f>
        <v>0</v>
      </c>
      <c r="AG78" s="77"/>
      <c r="AH78" s="77"/>
      <c r="AI78" s="77"/>
      <c r="AJ78" s="77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</row>
    <row r="79" spans="1:113" x14ac:dyDescent="0.2">
      <c r="A79" s="370"/>
      <c r="B79" s="44"/>
      <c r="C79" s="251"/>
      <c r="D79" s="251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409"/>
      <c r="AF79" s="781"/>
      <c r="AG79" s="77"/>
      <c r="AH79" s="77"/>
      <c r="AI79" s="77"/>
      <c r="AJ79" s="77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</row>
    <row r="80" spans="1:113" s="231" customFormat="1" x14ac:dyDescent="0.2">
      <c r="A80" s="337" t="s">
        <v>310</v>
      </c>
      <c r="B80" s="227"/>
      <c r="C80" s="779"/>
      <c r="D80" s="779"/>
      <c r="E80" s="338">
        <f>+E78+E71</f>
        <v>0</v>
      </c>
      <c r="F80" s="338">
        <f t="shared" ref="F80:AE80" si="46">+F78+F71</f>
        <v>0</v>
      </c>
      <c r="G80" s="338">
        <f t="shared" si="46"/>
        <v>517.22608817319235</v>
      </c>
      <c r="H80" s="338">
        <f t="shared" si="46"/>
        <v>611.19519896835288</v>
      </c>
      <c r="I80" s="338">
        <f t="shared" si="46"/>
        <v>633.63693826938106</v>
      </c>
      <c r="J80" s="338">
        <f t="shared" si="46"/>
        <v>732.24604713134761</v>
      </c>
      <c r="K80" s="338">
        <f t="shared" si="46"/>
        <v>793.04162241112647</v>
      </c>
      <c r="L80" s="338">
        <f t="shared" si="46"/>
        <v>2981.4367336883329</v>
      </c>
      <c r="M80" s="338">
        <f t="shared" si="46"/>
        <v>3375.1178428869712</v>
      </c>
      <c r="N80" s="338">
        <f t="shared" si="46"/>
        <v>3483.9623937967222</v>
      </c>
      <c r="O80" s="338">
        <f t="shared" si="46"/>
        <v>3605.0982270703871</v>
      </c>
      <c r="P80" s="338">
        <f t="shared" si="46"/>
        <v>3782.9062870137832</v>
      </c>
      <c r="Q80" s="338">
        <f t="shared" si="46"/>
        <v>5752.2977508090271</v>
      </c>
      <c r="R80" s="338">
        <f t="shared" si="46"/>
        <v>5862.3600220073949</v>
      </c>
      <c r="S80" s="338">
        <f t="shared" si="46"/>
        <v>5974.6235386297312</v>
      </c>
      <c r="T80" s="338">
        <f t="shared" si="46"/>
        <v>0</v>
      </c>
      <c r="U80" s="338">
        <f t="shared" si="46"/>
        <v>0</v>
      </c>
      <c r="V80" s="338">
        <f t="shared" si="46"/>
        <v>0</v>
      </c>
      <c r="W80" s="338">
        <f t="shared" si="46"/>
        <v>0</v>
      </c>
      <c r="X80" s="338">
        <f t="shared" si="46"/>
        <v>0</v>
      </c>
      <c r="Y80" s="338">
        <f t="shared" si="46"/>
        <v>0</v>
      </c>
      <c r="Z80" s="338">
        <f t="shared" si="46"/>
        <v>0</v>
      </c>
      <c r="AA80" s="338">
        <f t="shared" si="46"/>
        <v>0</v>
      </c>
      <c r="AB80" s="338">
        <f t="shared" si="46"/>
        <v>0</v>
      </c>
      <c r="AC80" s="338">
        <f t="shared" si="46"/>
        <v>0</v>
      </c>
      <c r="AD80" s="338">
        <f t="shared" si="46"/>
        <v>0</v>
      </c>
      <c r="AE80" s="735">
        <f t="shared" si="46"/>
        <v>0</v>
      </c>
      <c r="AF80" s="780">
        <f>+SUM(E80:AE80)</f>
        <v>38105.148690855749</v>
      </c>
      <c r="AG80" s="324"/>
      <c r="AH80" s="324"/>
      <c r="AI80" s="324"/>
      <c r="AJ80" s="324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198"/>
      <c r="CY80" s="198"/>
      <c r="CZ80" s="198"/>
      <c r="DA80" s="198"/>
      <c r="DB80" s="198"/>
      <c r="DC80" s="198"/>
      <c r="DD80" s="198"/>
      <c r="DE80" s="198"/>
      <c r="DF80" s="198"/>
      <c r="DG80" s="198"/>
      <c r="DH80" s="198"/>
      <c r="DI80" s="198"/>
    </row>
    <row r="82" spans="1:113" x14ac:dyDescent="0.2">
      <c r="A82" s="895" t="s">
        <v>389</v>
      </c>
      <c r="B82" s="200"/>
      <c r="C82" s="200"/>
      <c r="D82" s="200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718"/>
      <c r="AG82" s="77"/>
      <c r="AH82" s="77"/>
      <c r="AI82" s="77"/>
      <c r="AJ82" s="77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</row>
    <row r="83" spans="1:113" s="83" customFormat="1" x14ac:dyDescent="0.2">
      <c r="A83" s="805" t="s">
        <v>390</v>
      </c>
      <c r="B83" s="77"/>
      <c r="C83" s="77"/>
      <c r="D83" s="804"/>
      <c r="E83" s="77">
        <f>IF(E6&gt;0,BS!D25,0)</f>
        <v>0</v>
      </c>
      <c r="F83" s="77">
        <f>IF(F6&gt;0,BS!E25,0)</f>
        <v>38292.656871580439</v>
      </c>
      <c r="G83" s="77">
        <f>IF(G6&gt;0,BS!F25,0)</f>
        <v>41057.947834796723</v>
      </c>
      <c r="H83" s="77">
        <f>IF(H6&gt;0,BS!G25,0)</f>
        <v>43210.029185165622</v>
      </c>
      <c r="I83" s="77">
        <f>IF(I6&gt;0,BS!H25,0)</f>
        <v>46473.000323082342</v>
      </c>
      <c r="J83" s="77">
        <f>IF(J6&gt;0,BS!I25,0)</f>
        <v>50847.950213835909</v>
      </c>
      <c r="K83" s="77">
        <f>IF(K6&gt;0,BS!J25,0)</f>
        <v>54751.0432712767</v>
      </c>
      <c r="L83" s="77">
        <f>IF(L6&gt;0,BS!K25,0)</f>
        <v>58504.452182052715</v>
      </c>
      <c r="M83" s="77">
        <f>IF(M6&gt;0,BS!L25,0)</f>
        <v>65209.079594855095</v>
      </c>
      <c r="N83" s="77">
        <f>IF(N6&gt;0,BS!M25,0)</f>
        <v>73099.267329534588</v>
      </c>
      <c r="O83" s="77">
        <f>IF(O6&gt;0,BS!N25,0)</f>
        <v>82290.318537145766</v>
      </c>
      <c r="P83" s="77">
        <f>IF(P6&gt;0,BS!O25,0)</f>
        <v>92908.750320827909</v>
      </c>
      <c r="Q83" s="77">
        <f>IF(Q6&gt;0,BS!P25,0)</f>
        <v>105093.38436273258</v>
      </c>
      <c r="R83" s="77">
        <f>IF(R6&gt;0,BS!Q25,0)</f>
        <v>99607.943560102838</v>
      </c>
      <c r="S83" s="77">
        <f>IF(S6&gt;0,BS!R25,0)</f>
        <v>94122.502757473121</v>
      </c>
      <c r="T83" s="77">
        <f>IF(T6&gt;0,BS!S25,0)</f>
        <v>0</v>
      </c>
      <c r="U83" s="77">
        <f>IF(U6&gt;0,BS!T25,0)</f>
        <v>0</v>
      </c>
      <c r="V83" s="77">
        <f>IF(V6&gt;0,BS!U25,0)</f>
        <v>0</v>
      </c>
      <c r="W83" s="77">
        <f>IF(W6&gt;0,BS!V25,0)</f>
        <v>0</v>
      </c>
      <c r="X83" s="77">
        <f>IF(X6&gt;0,BS!W25,0)</f>
        <v>0</v>
      </c>
      <c r="Y83" s="77">
        <f>IF(Y6&gt;0,BS!X25,0)</f>
        <v>0</v>
      </c>
      <c r="Z83" s="77">
        <f>IF(Z6&gt;0,BS!Y25,0)</f>
        <v>0</v>
      </c>
      <c r="AA83" s="77">
        <f>IF(AA6&gt;0,BS!Z25,0)</f>
        <v>0</v>
      </c>
      <c r="AB83" s="77">
        <f>IF(AB6&gt;0,BS!AA25,0)</f>
        <v>0</v>
      </c>
      <c r="AC83" s="77">
        <f>IF(AC6&gt;0,BS!AB25,0)</f>
        <v>0</v>
      </c>
      <c r="AD83" s="77">
        <f>IF(AD6&gt;0,BS!AC25,0)</f>
        <v>0</v>
      </c>
      <c r="AE83" s="77">
        <f>IF(AE6&gt;0,BS!AD25,0)</f>
        <v>0</v>
      </c>
      <c r="AF83" s="259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</row>
    <row r="84" spans="1:113" s="83" customFormat="1" x14ac:dyDescent="0.2">
      <c r="A84" s="806" t="s">
        <v>392</v>
      </c>
      <c r="B84" s="77"/>
      <c r="C84" s="77"/>
      <c r="D84" s="804">
        <f>+Assumpt!$L$20</f>
        <v>0.01</v>
      </c>
      <c r="E84" s="77">
        <f>MAX(0,E83*$D$84)</f>
        <v>0</v>
      </c>
      <c r="F84" s="77">
        <f t="shared" ref="F84:AE84" si="47">MAX(0,F83*$D$84)</f>
        <v>382.92656871580442</v>
      </c>
      <c r="G84" s="77">
        <f t="shared" si="47"/>
        <v>410.57947834796727</v>
      </c>
      <c r="H84" s="77">
        <f t="shared" si="47"/>
        <v>432.10029185165621</v>
      </c>
      <c r="I84" s="77">
        <f t="shared" si="47"/>
        <v>464.73000323082346</v>
      </c>
      <c r="J84" s="77">
        <f t="shared" si="47"/>
        <v>508.47950213835912</v>
      </c>
      <c r="K84" s="77">
        <f t="shared" si="47"/>
        <v>547.51043271276706</v>
      </c>
      <c r="L84" s="77">
        <f t="shared" si="47"/>
        <v>585.04452182052717</v>
      </c>
      <c r="M84" s="77">
        <f t="shared" si="47"/>
        <v>652.09079594855098</v>
      </c>
      <c r="N84" s="77">
        <f t="shared" si="47"/>
        <v>730.99267329534587</v>
      </c>
      <c r="O84" s="77">
        <f t="shared" si="47"/>
        <v>822.90318537145765</v>
      </c>
      <c r="P84" s="77">
        <f t="shared" si="47"/>
        <v>929.08750320827914</v>
      </c>
      <c r="Q84" s="77">
        <f t="shared" si="47"/>
        <v>1050.9338436273258</v>
      </c>
      <c r="R84" s="77">
        <f t="shared" si="47"/>
        <v>996.07943560102842</v>
      </c>
      <c r="S84" s="77">
        <f t="shared" si="47"/>
        <v>941.22502757473126</v>
      </c>
      <c r="T84" s="77">
        <f t="shared" si="47"/>
        <v>0</v>
      </c>
      <c r="U84" s="77">
        <f t="shared" si="47"/>
        <v>0</v>
      </c>
      <c r="V84" s="77">
        <f t="shared" si="47"/>
        <v>0</v>
      </c>
      <c r="W84" s="77">
        <f t="shared" si="47"/>
        <v>0</v>
      </c>
      <c r="X84" s="77">
        <f t="shared" si="47"/>
        <v>0</v>
      </c>
      <c r="Y84" s="77">
        <f t="shared" si="47"/>
        <v>0</v>
      </c>
      <c r="Z84" s="77">
        <f t="shared" si="47"/>
        <v>0</v>
      </c>
      <c r="AA84" s="77">
        <f t="shared" si="47"/>
        <v>0</v>
      </c>
      <c r="AB84" s="77">
        <f t="shared" si="47"/>
        <v>0</v>
      </c>
      <c r="AC84" s="77">
        <f t="shared" si="47"/>
        <v>0</v>
      </c>
      <c r="AD84" s="77">
        <f t="shared" si="47"/>
        <v>0</v>
      </c>
      <c r="AE84" s="77">
        <f t="shared" si="47"/>
        <v>0</v>
      </c>
      <c r="AF84" s="259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</row>
    <row r="85" spans="1:113" s="436" customFormat="1" x14ac:dyDescent="0.2">
      <c r="A85" s="808" t="s">
        <v>393</v>
      </c>
      <c r="B85" s="72"/>
      <c r="C85" s="72"/>
      <c r="D85" s="892"/>
      <c r="E85" s="711">
        <v>20</v>
      </c>
      <c r="F85" s="72">
        <f>+E85</f>
        <v>20</v>
      </c>
      <c r="G85" s="72">
        <f t="shared" ref="G85:AE85" si="48">+F85</f>
        <v>20</v>
      </c>
      <c r="H85" s="72">
        <f t="shared" si="48"/>
        <v>20</v>
      </c>
      <c r="I85" s="72">
        <f t="shared" si="48"/>
        <v>20</v>
      </c>
      <c r="J85" s="72">
        <f t="shared" si="48"/>
        <v>20</v>
      </c>
      <c r="K85" s="72">
        <f t="shared" si="48"/>
        <v>20</v>
      </c>
      <c r="L85" s="72">
        <f t="shared" si="48"/>
        <v>20</v>
      </c>
      <c r="M85" s="72">
        <f t="shared" si="48"/>
        <v>20</v>
      </c>
      <c r="N85" s="72">
        <f t="shared" si="48"/>
        <v>20</v>
      </c>
      <c r="O85" s="72">
        <f t="shared" si="48"/>
        <v>20</v>
      </c>
      <c r="P85" s="72">
        <f t="shared" si="48"/>
        <v>20</v>
      </c>
      <c r="Q85" s="72">
        <f t="shared" si="48"/>
        <v>20</v>
      </c>
      <c r="R85" s="72">
        <f t="shared" si="48"/>
        <v>20</v>
      </c>
      <c r="S85" s="72">
        <f t="shared" si="48"/>
        <v>20</v>
      </c>
      <c r="T85" s="72">
        <f t="shared" si="48"/>
        <v>20</v>
      </c>
      <c r="U85" s="72">
        <f t="shared" si="48"/>
        <v>20</v>
      </c>
      <c r="V85" s="72">
        <f t="shared" si="48"/>
        <v>20</v>
      </c>
      <c r="W85" s="72">
        <f t="shared" si="48"/>
        <v>20</v>
      </c>
      <c r="X85" s="72">
        <f t="shared" si="48"/>
        <v>20</v>
      </c>
      <c r="Y85" s="72">
        <f t="shared" si="48"/>
        <v>20</v>
      </c>
      <c r="Z85" s="72">
        <f t="shared" si="48"/>
        <v>20</v>
      </c>
      <c r="AA85" s="72">
        <f t="shared" si="48"/>
        <v>20</v>
      </c>
      <c r="AB85" s="72">
        <f t="shared" si="48"/>
        <v>20</v>
      </c>
      <c r="AC85" s="72">
        <f t="shared" si="48"/>
        <v>20</v>
      </c>
      <c r="AD85" s="72">
        <f t="shared" si="48"/>
        <v>20</v>
      </c>
      <c r="AE85" s="72">
        <f t="shared" si="48"/>
        <v>20</v>
      </c>
      <c r="AF85" s="26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</row>
    <row r="86" spans="1:113" x14ac:dyDescent="0.2">
      <c r="A86" s="370"/>
      <c r="B86" s="44"/>
      <c r="C86" s="251"/>
      <c r="D86" s="251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409"/>
      <c r="AF86" s="781"/>
      <c r="AG86" s="77"/>
      <c r="AH86" s="77"/>
      <c r="AI86" s="77"/>
      <c r="AJ86" s="77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</row>
    <row r="87" spans="1:113" s="231" customFormat="1" x14ac:dyDescent="0.2">
      <c r="A87" s="896" t="s">
        <v>391</v>
      </c>
      <c r="B87" s="227"/>
      <c r="C87" s="779"/>
      <c r="D87" s="779"/>
      <c r="E87" s="338">
        <f>+MIN(E84:E85)</f>
        <v>0</v>
      </c>
      <c r="F87" s="338">
        <f t="shared" ref="F87:AE87" si="49">+MIN(F84:F85)</f>
        <v>20</v>
      </c>
      <c r="G87" s="338">
        <f t="shared" si="49"/>
        <v>20</v>
      </c>
      <c r="H87" s="338">
        <f t="shared" si="49"/>
        <v>20</v>
      </c>
      <c r="I87" s="338">
        <f t="shared" si="49"/>
        <v>20</v>
      </c>
      <c r="J87" s="338">
        <f t="shared" si="49"/>
        <v>20</v>
      </c>
      <c r="K87" s="338">
        <f t="shared" si="49"/>
        <v>20</v>
      </c>
      <c r="L87" s="338">
        <f t="shared" si="49"/>
        <v>20</v>
      </c>
      <c r="M87" s="338">
        <f t="shared" si="49"/>
        <v>20</v>
      </c>
      <c r="N87" s="338">
        <f t="shared" si="49"/>
        <v>20</v>
      </c>
      <c r="O87" s="338">
        <f t="shared" si="49"/>
        <v>20</v>
      </c>
      <c r="P87" s="338">
        <f t="shared" si="49"/>
        <v>20</v>
      </c>
      <c r="Q87" s="338">
        <f t="shared" si="49"/>
        <v>20</v>
      </c>
      <c r="R87" s="338">
        <f t="shared" si="49"/>
        <v>20</v>
      </c>
      <c r="S87" s="338">
        <f t="shared" si="49"/>
        <v>20</v>
      </c>
      <c r="T87" s="338">
        <f t="shared" si="49"/>
        <v>0</v>
      </c>
      <c r="U87" s="338">
        <f t="shared" si="49"/>
        <v>0</v>
      </c>
      <c r="V87" s="338">
        <f t="shared" si="49"/>
        <v>0</v>
      </c>
      <c r="W87" s="338">
        <f t="shared" si="49"/>
        <v>0</v>
      </c>
      <c r="X87" s="338">
        <f t="shared" si="49"/>
        <v>0</v>
      </c>
      <c r="Y87" s="338">
        <f t="shared" si="49"/>
        <v>0</v>
      </c>
      <c r="Z87" s="338">
        <f t="shared" si="49"/>
        <v>0</v>
      </c>
      <c r="AA87" s="338">
        <f t="shared" si="49"/>
        <v>0</v>
      </c>
      <c r="AB87" s="338">
        <f t="shared" si="49"/>
        <v>0</v>
      </c>
      <c r="AC87" s="338">
        <f t="shared" si="49"/>
        <v>0</v>
      </c>
      <c r="AD87" s="338">
        <f t="shared" si="49"/>
        <v>0</v>
      </c>
      <c r="AE87" s="735">
        <f t="shared" si="49"/>
        <v>0</v>
      </c>
      <c r="AF87" s="780">
        <f>+SUM(E87:AE87)</f>
        <v>280</v>
      </c>
      <c r="AG87" s="324"/>
      <c r="AH87" s="324"/>
      <c r="AI87" s="324"/>
      <c r="AJ87" s="324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8"/>
      <c r="BB87" s="198"/>
      <c r="BC87" s="198"/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198"/>
      <c r="BQ87" s="198"/>
      <c r="BR87" s="198"/>
      <c r="BS87" s="198"/>
      <c r="BT87" s="198"/>
      <c r="BU87" s="198"/>
      <c r="BV87" s="198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  <c r="CR87" s="198"/>
      <c r="CS87" s="198"/>
      <c r="CT87" s="198"/>
      <c r="CU87" s="198"/>
      <c r="CV87" s="198"/>
      <c r="CW87" s="198"/>
      <c r="CX87" s="198"/>
      <c r="CY87" s="198"/>
      <c r="CZ87" s="198"/>
      <c r="DA87" s="198"/>
      <c r="DB87" s="198"/>
      <c r="DC87" s="198"/>
      <c r="DD87" s="198"/>
      <c r="DE87" s="198"/>
      <c r="DF87" s="198"/>
      <c r="DG87" s="198"/>
      <c r="DH87" s="198"/>
      <c r="DI87" s="198"/>
    </row>
  </sheetData>
  <customSheetViews>
    <customSheetView guid="{247772E1-F62B-11D1-9A7E-3C9971000000}" showGridLines="0" fitToPage="1" showRuler="0">
      <selection sqref="A1:Q13"/>
      <pageMargins left="0.75" right="0.75" top="1" bottom="1" header="0.5" footer="0.5"/>
      <pageSetup scale="68" orientation="landscape" horizontalDpi="4294967292" verticalDpi="4294967292" r:id="rId1"/>
      <headerFooter alignWithMargins="0">
        <oddHeader>&amp;L&amp;D&amp;C&amp;"Britannic Bold,Bold Italic"CONFIDENTIAL&amp;R&amp;T</oddHeader>
        <oddFooter>&amp;CPage 5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P110"/>
  <sheetViews>
    <sheetView showGridLines="0" zoomScale="80" zoomScaleNormal="80" workbookViewId="0"/>
  </sheetViews>
  <sheetFormatPr defaultRowHeight="12.75" outlineLevelRow="1" outlineLevelCol="1" x14ac:dyDescent="0.2"/>
  <cols>
    <col min="1" max="1" width="5" style="19" customWidth="1"/>
    <col min="2" max="2" width="36.33203125" style="19" customWidth="1"/>
    <col min="3" max="3" width="18" style="19" customWidth="1"/>
    <col min="4" max="25" width="11.6640625" style="19" customWidth="1"/>
    <col min="26" max="31" width="11.6640625" style="19" customWidth="1" outlineLevel="1"/>
    <col min="32" max="35" width="10.83203125" style="19" customWidth="1"/>
    <col min="36" max="16384" width="9.33203125" style="19"/>
  </cols>
  <sheetData>
    <row r="1" spans="1:51" ht="15.75" x14ac:dyDescent="0.25">
      <c r="A1" s="727" t="str">
        <f>+Assumpt!$A$1</f>
        <v>Panama Regas Terminal</v>
      </c>
      <c r="B1" s="603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1"/>
      <c r="Z1" s="263"/>
      <c r="AA1" s="200"/>
      <c r="AB1" s="200"/>
      <c r="AC1" s="200"/>
      <c r="AD1" s="200"/>
      <c r="AE1" s="201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pans="1:51" s="302" customFormat="1" ht="15.75" x14ac:dyDescent="0.25">
      <c r="A2" s="728" t="str">
        <f>+Assumpt!$A$2</f>
        <v>Enron International</v>
      </c>
      <c r="B2" s="729"/>
      <c r="D2" s="739" t="s">
        <v>78</v>
      </c>
      <c r="E2" s="739">
        <f>+CF!E5</f>
        <v>2003</v>
      </c>
      <c r="F2" s="739">
        <f>+CF!F5</f>
        <v>2004</v>
      </c>
      <c r="G2" s="739">
        <f>+CF!G5</f>
        <v>2005</v>
      </c>
      <c r="H2" s="739">
        <f>+CF!H5</f>
        <v>2006</v>
      </c>
      <c r="I2" s="739">
        <f>+CF!I5</f>
        <v>2007</v>
      </c>
      <c r="J2" s="739">
        <f>+CF!J5</f>
        <v>2008</v>
      </c>
      <c r="K2" s="739">
        <f>+CF!K5</f>
        <v>2009</v>
      </c>
      <c r="L2" s="739">
        <f>+CF!L5</f>
        <v>2010</v>
      </c>
      <c r="M2" s="739">
        <f>+CF!M5</f>
        <v>2011</v>
      </c>
      <c r="N2" s="739">
        <f>+CF!N5</f>
        <v>2012</v>
      </c>
      <c r="O2" s="739">
        <f>+CF!O5</f>
        <v>2013</v>
      </c>
      <c r="P2" s="739">
        <f>+CF!P5</f>
        <v>2014</v>
      </c>
      <c r="Q2" s="739">
        <f>+CF!Q5</f>
        <v>2015</v>
      </c>
      <c r="R2" s="739">
        <f>+CF!R5</f>
        <v>2016</v>
      </c>
      <c r="S2" s="739">
        <f>+CF!S5</f>
        <v>2017</v>
      </c>
      <c r="T2" s="739">
        <f>+CF!T5</f>
        <v>2018</v>
      </c>
      <c r="U2" s="739">
        <f>+CF!U5</f>
        <v>2019</v>
      </c>
      <c r="V2" s="739">
        <f>+CF!V5</f>
        <v>2020</v>
      </c>
      <c r="W2" s="739">
        <f>+CF!W5</f>
        <v>2021</v>
      </c>
      <c r="X2" s="739">
        <f>+CF!X5</f>
        <v>2022</v>
      </c>
      <c r="Y2" s="740">
        <f>+CF!Y5</f>
        <v>2023</v>
      </c>
      <c r="Z2" s="748">
        <f>+CF!Z5</f>
        <v>2024</v>
      </c>
      <c r="AA2" s="739">
        <f>+CF!AA5</f>
        <v>2025</v>
      </c>
      <c r="AB2" s="739">
        <f>+CF!AB5</f>
        <v>2026</v>
      </c>
      <c r="AC2" s="739">
        <f>+CF!AC5</f>
        <v>2027</v>
      </c>
      <c r="AD2" s="739">
        <f>+CF!AD5</f>
        <v>2028</v>
      </c>
      <c r="AE2" s="740">
        <f>+CF!AE5</f>
        <v>2029</v>
      </c>
      <c r="AF2" s="156"/>
      <c r="AG2" s="739"/>
    </row>
    <row r="3" spans="1:51" s="156" customFormat="1" ht="15.75" x14ac:dyDescent="0.25">
      <c r="A3" s="586" t="s">
        <v>163</v>
      </c>
      <c r="B3" s="414"/>
      <c r="D3" s="422" t="s">
        <v>77</v>
      </c>
      <c r="E3" s="707">
        <f>+CF!E7</f>
        <v>1</v>
      </c>
      <c r="F3" s="707">
        <f>+CF!F7</f>
        <v>2</v>
      </c>
      <c r="G3" s="707">
        <f>+CF!G7</f>
        <v>3</v>
      </c>
      <c r="H3" s="707">
        <f>+CF!H7</f>
        <v>4</v>
      </c>
      <c r="I3" s="707">
        <f>+CF!I7</f>
        <v>5</v>
      </c>
      <c r="J3" s="707">
        <f>+CF!J7</f>
        <v>6</v>
      </c>
      <c r="K3" s="707">
        <f>+CF!K7</f>
        <v>7</v>
      </c>
      <c r="L3" s="707">
        <f>+CF!L7</f>
        <v>8</v>
      </c>
      <c r="M3" s="707">
        <f>+CF!M7</f>
        <v>9</v>
      </c>
      <c r="N3" s="707">
        <f>+CF!N7</f>
        <v>10</v>
      </c>
      <c r="O3" s="707">
        <f>+CF!O7</f>
        <v>11</v>
      </c>
      <c r="P3" s="707">
        <f>+CF!P7</f>
        <v>12</v>
      </c>
      <c r="Q3" s="707">
        <f>+CF!Q7</f>
        <v>13</v>
      </c>
      <c r="R3" s="707">
        <f>+CF!R7</f>
        <v>14</v>
      </c>
      <c r="S3" s="707">
        <f>+CF!S7</f>
        <v>15</v>
      </c>
      <c r="T3" s="707">
        <f>+CF!T7</f>
        <v>15</v>
      </c>
      <c r="U3" s="707">
        <f>+CF!U7</f>
        <v>15</v>
      </c>
      <c r="V3" s="707">
        <f>+CF!V7</f>
        <v>15</v>
      </c>
      <c r="W3" s="707">
        <f>+CF!W7</f>
        <v>15</v>
      </c>
      <c r="X3" s="707">
        <f>+CF!X7</f>
        <v>15</v>
      </c>
      <c r="Y3" s="741">
        <f>+CF!Y7</f>
        <v>15</v>
      </c>
      <c r="Z3" s="749">
        <f>+CF!Z7</f>
        <v>15</v>
      </c>
      <c r="AA3" s="707">
        <f>+CF!AA7</f>
        <v>15</v>
      </c>
      <c r="AB3" s="707">
        <f>+CF!AB7</f>
        <v>15</v>
      </c>
      <c r="AC3" s="707">
        <f>+CF!AC7</f>
        <v>15</v>
      </c>
      <c r="AD3" s="707">
        <f>+CF!AD7</f>
        <v>15</v>
      </c>
      <c r="AE3" s="741">
        <f>+CF!AE7</f>
        <v>15</v>
      </c>
      <c r="AG3" s="709"/>
      <c r="AH3" s="293"/>
      <c r="AI3" s="293"/>
      <c r="AJ3" s="293"/>
      <c r="AK3" s="293"/>
    </row>
    <row r="4" spans="1:51" s="156" customFormat="1" x14ac:dyDescent="0.2">
      <c r="A4" s="742"/>
      <c r="D4" s="448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743"/>
      <c r="Z4" s="750"/>
      <c r="AA4" s="286"/>
      <c r="AB4" s="286"/>
      <c r="AC4" s="286"/>
      <c r="AD4" s="286"/>
      <c r="AE4" s="743"/>
      <c r="AF4" s="286"/>
      <c r="AG4" s="286"/>
      <c r="AH4" s="286"/>
      <c r="AI4" s="286"/>
    </row>
    <row r="5" spans="1:51" x14ac:dyDescent="0.2">
      <c r="A5" s="206" t="s">
        <v>164</v>
      </c>
      <c r="B5" s="44"/>
      <c r="C5" s="44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9"/>
      <c r="Z5" s="219"/>
      <c r="AA5" s="208"/>
      <c r="AB5" s="208"/>
      <c r="AC5" s="208"/>
      <c r="AD5" s="208"/>
      <c r="AE5" s="209"/>
      <c r="AF5" s="208"/>
      <c r="AG5" s="208"/>
      <c r="AH5" s="208"/>
      <c r="AI5" s="208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</row>
    <row r="6" spans="1:51" x14ac:dyDescent="0.2">
      <c r="A6" s="572" t="s">
        <v>165</v>
      </c>
      <c r="B6" s="44"/>
      <c r="C6" s="44"/>
      <c r="D6" s="77">
        <f>+D72</f>
        <v>0</v>
      </c>
      <c r="E6" s="77">
        <f>+E72</f>
        <v>1.0004441719502211E-11</v>
      </c>
      <c r="F6" s="77">
        <f>+F72</f>
        <v>1.0004441719502211E-11</v>
      </c>
      <c r="G6" s="77">
        <f>+G72</f>
        <v>1.0004441719502211E-11</v>
      </c>
      <c r="H6" s="77">
        <f t="shared" ref="H6:W6" si="0">+H72</f>
        <v>1.0004441719502211E-11</v>
      </c>
      <c r="I6" s="77">
        <f t="shared" si="0"/>
        <v>1.0004441719502211E-11</v>
      </c>
      <c r="J6" s="77">
        <f t="shared" si="0"/>
        <v>1.0004441719502211E-11</v>
      </c>
      <c r="K6" s="77">
        <f t="shared" si="0"/>
        <v>1.0004441719502211E-11</v>
      </c>
      <c r="L6" s="77">
        <f t="shared" si="0"/>
        <v>1.0004441719502211E-11</v>
      </c>
      <c r="M6" s="77">
        <f t="shared" si="0"/>
        <v>1.0004441719502211E-11</v>
      </c>
      <c r="N6" s="77">
        <f t="shared" si="0"/>
        <v>1.0004441719502211E-11</v>
      </c>
      <c r="O6" s="77">
        <f t="shared" si="0"/>
        <v>1.0004441719502211E-11</v>
      </c>
      <c r="P6" s="77">
        <f t="shared" si="0"/>
        <v>1.0004441719502211E-11</v>
      </c>
      <c r="Q6" s="77">
        <f t="shared" si="0"/>
        <v>1.0004441719502211E-11</v>
      </c>
      <c r="R6" s="77">
        <f t="shared" si="0"/>
        <v>1.0004441719502211E-11</v>
      </c>
      <c r="S6" s="77">
        <f t="shared" si="0"/>
        <v>1.0004441719502211E-11</v>
      </c>
      <c r="T6" s="77">
        <f t="shared" si="0"/>
        <v>1.0004441719502211E-11</v>
      </c>
      <c r="U6" s="77">
        <f t="shared" si="0"/>
        <v>1.0004441719502211E-11</v>
      </c>
      <c r="V6" s="77">
        <f t="shared" si="0"/>
        <v>1.0004441719502211E-11</v>
      </c>
      <c r="W6" s="77">
        <f t="shared" si="0"/>
        <v>1.0004441719502211E-11</v>
      </c>
      <c r="X6" s="77">
        <f t="shared" ref="X6:AE6" si="1">+X72</f>
        <v>1.0004441719502211E-11</v>
      </c>
      <c r="Y6" s="205">
        <f t="shared" si="1"/>
        <v>1.0004441719502211E-11</v>
      </c>
      <c r="Z6" s="357">
        <f t="shared" si="1"/>
        <v>1.0004441719502211E-11</v>
      </c>
      <c r="AA6" s="77">
        <f t="shared" si="1"/>
        <v>1.0004441719502211E-11</v>
      </c>
      <c r="AB6" s="77">
        <f t="shared" si="1"/>
        <v>1.0004441719502211E-11</v>
      </c>
      <c r="AC6" s="77">
        <f t="shared" si="1"/>
        <v>1.0004441719502211E-11</v>
      </c>
      <c r="AD6" s="77">
        <f t="shared" si="1"/>
        <v>1.0004441719502211E-11</v>
      </c>
      <c r="AE6" s="205">
        <f t="shared" si="1"/>
        <v>1.0004441719502211E-11</v>
      </c>
      <c r="AF6" s="77"/>
      <c r="AG6" s="210"/>
      <c r="AH6" s="210"/>
      <c r="AI6" s="210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</row>
    <row r="7" spans="1:51" x14ac:dyDescent="0.2">
      <c r="A7" s="599" t="s">
        <v>265</v>
      </c>
      <c r="B7" s="44"/>
      <c r="C7" s="212"/>
      <c r="D7" s="632">
        <v>0</v>
      </c>
      <c r="E7" s="632">
        <f>+D7+Assumpt!$S$52</f>
        <v>1266.4456272</v>
      </c>
      <c r="F7" s="77">
        <f>+E7</f>
        <v>1266.4456272</v>
      </c>
      <c r="G7" s="77">
        <f>+F7</f>
        <v>1266.4456272</v>
      </c>
      <c r="H7" s="77">
        <f t="shared" ref="H7:W7" si="2">+G7</f>
        <v>1266.4456272</v>
      </c>
      <c r="I7" s="77">
        <f t="shared" si="2"/>
        <v>1266.4456272</v>
      </c>
      <c r="J7" s="77">
        <f t="shared" si="2"/>
        <v>1266.4456272</v>
      </c>
      <c r="K7" s="77">
        <f t="shared" si="2"/>
        <v>1266.4456272</v>
      </c>
      <c r="L7" s="77">
        <f t="shared" si="2"/>
        <v>1266.4456272</v>
      </c>
      <c r="M7" s="77">
        <f t="shared" si="2"/>
        <v>1266.4456272</v>
      </c>
      <c r="N7" s="77">
        <f t="shared" si="2"/>
        <v>1266.4456272</v>
      </c>
      <c r="O7" s="77">
        <f t="shared" si="2"/>
        <v>1266.4456272</v>
      </c>
      <c r="P7" s="77">
        <f t="shared" si="2"/>
        <v>1266.4456272</v>
      </c>
      <c r="Q7" s="77">
        <f t="shared" si="2"/>
        <v>1266.4456272</v>
      </c>
      <c r="R7" s="77">
        <f t="shared" si="2"/>
        <v>1266.4456272</v>
      </c>
      <c r="S7" s="77">
        <f t="shared" si="2"/>
        <v>1266.4456272</v>
      </c>
      <c r="T7" s="77">
        <f t="shared" si="2"/>
        <v>1266.4456272</v>
      </c>
      <c r="U7" s="77">
        <f t="shared" si="2"/>
        <v>1266.4456272</v>
      </c>
      <c r="V7" s="77">
        <f t="shared" si="2"/>
        <v>1266.4456272</v>
      </c>
      <c r="W7" s="77">
        <f t="shared" si="2"/>
        <v>1266.4456272</v>
      </c>
      <c r="X7" s="77">
        <f t="shared" ref="X7:AE7" si="3">+W7</f>
        <v>1266.4456272</v>
      </c>
      <c r="Y7" s="205">
        <f t="shared" si="3"/>
        <v>1266.4456272</v>
      </c>
      <c r="Z7" s="357">
        <f t="shared" si="3"/>
        <v>1266.4456272</v>
      </c>
      <c r="AA7" s="77">
        <f t="shared" si="3"/>
        <v>1266.4456272</v>
      </c>
      <c r="AB7" s="77">
        <f t="shared" si="3"/>
        <v>1266.4456272</v>
      </c>
      <c r="AC7" s="77">
        <f t="shared" si="3"/>
        <v>1266.4456272</v>
      </c>
      <c r="AD7" s="77">
        <f t="shared" si="3"/>
        <v>1266.4456272</v>
      </c>
      <c r="AE7" s="205">
        <f t="shared" si="3"/>
        <v>1266.4456272</v>
      </c>
      <c r="AF7" s="77"/>
      <c r="AG7" s="210"/>
      <c r="AH7" s="210"/>
      <c r="AI7" s="210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 spans="1:51" s="216" customFormat="1" x14ac:dyDescent="0.2">
      <c r="A8" s="744" t="s">
        <v>166</v>
      </c>
      <c r="B8" s="214"/>
      <c r="C8" s="214"/>
      <c r="D8" s="733">
        <v>0</v>
      </c>
      <c r="E8" s="733">
        <v>0</v>
      </c>
      <c r="F8" s="733">
        <v>0</v>
      </c>
      <c r="G8" s="733">
        <v>0</v>
      </c>
      <c r="H8" s="733">
        <v>0</v>
      </c>
      <c r="I8" s="733">
        <v>0</v>
      </c>
      <c r="J8" s="733">
        <v>0</v>
      </c>
      <c r="K8" s="733">
        <v>0</v>
      </c>
      <c r="L8" s="733">
        <v>0</v>
      </c>
      <c r="M8" s="733">
        <v>0</v>
      </c>
      <c r="N8" s="733">
        <v>0</v>
      </c>
      <c r="O8" s="733">
        <v>0</v>
      </c>
      <c r="P8" s="733">
        <v>0</v>
      </c>
      <c r="Q8" s="733">
        <v>0</v>
      </c>
      <c r="R8" s="733">
        <v>0</v>
      </c>
      <c r="S8" s="733">
        <v>0</v>
      </c>
      <c r="T8" s="733">
        <v>0</v>
      </c>
      <c r="U8" s="733">
        <v>0</v>
      </c>
      <c r="V8" s="733">
        <v>0</v>
      </c>
      <c r="W8" s="733">
        <v>0</v>
      </c>
      <c r="X8" s="733">
        <v>0</v>
      </c>
      <c r="Y8" s="734">
        <v>0</v>
      </c>
      <c r="Z8" s="751">
        <v>0</v>
      </c>
      <c r="AA8" s="733">
        <v>0</v>
      </c>
      <c r="AB8" s="733">
        <v>0</v>
      </c>
      <c r="AC8" s="733">
        <v>0</v>
      </c>
      <c r="AD8" s="733">
        <v>0</v>
      </c>
      <c r="AE8" s="734">
        <v>0</v>
      </c>
      <c r="AF8" s="733"/>
      <c r="AG8" s="215"/>
      <c r="AH8" s="215"/>
      <c r="AI8" s="215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</row>
    <row r="9" spans="1:51" x14ac:dyDescent="0.2">
      <c r="A9" s="572" t="s">
        <v>167</v>
      </c>
      <c r="B9" s="44"/>
      <c r="C9" s="44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205"/>
      <c r="Z9" s="357"/>
      <c r="AA9" s="77"/>
      <c r="AB9" s="77"/>
      <c r="AC9" s="77"/>
      <c r="AD9" s="77"/>
      <c r="AE9" s="205"/>
      <c r="AF9" s="77"/>
      <c r="AG9" s="210"/>
      <c r="AH9" s="210"/>
      <c r="AI9" s="210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 spans="1:51" x14ac:dyDescent="0.2">
      <c r="A10" s="745" t="s">
        <v>168</v>
      </c>
      <c r="B10" s="44"/>
      <c r="C10" s="44"/>
      <c r="D10" s="632">
        <v>0</v>
      </c>
      <c r="E10" s="77">
        <f>Assumpt!$S$58-Assumpt!$S$52</f>
        <v>168782.79392706894</v>
      </c>
      <c r="F10" s="77">
        <f>+E10</f>
        <v>168782.79392706894</v>
      </c>
      <c r="G10" s="77">
        <f t="shared" ref="G10:AE10" si="4">+F10</f>
        <v>168782.79392706894</v>
      </c>
      <c r="H10" s="77">
        <f t="shared" si="4"/>
        <v>168782.79392706894</v>
      </c>
      <c r="I10" s="77">
        <f t="shared" si="4"/>
        <v>168782.79392706894</v>
      </c>
      <c r="J10" s="77">
        <f t="shared" si="4"/>
        <v>168782.79392706894</v>
      </c>
      <c r="K10" s="77">
        <f t="shared" si="4"/>
        <v>168782.79392706894</v>
      </c>
      <c r="L10" s="77">
        <f t="shared" si="4"/>
        <v>168782.79392706894</v>
      </c>
      <c r="M10" s="77">
        <f t="shared" si="4"/>
        <v>168782.79392706894</v>
      </c>
      <c r="N10" s="77">
        <f t="shared" si="4"/>
        <v>168782.79392706894</v>
      </c>
      <c r="O10" s="77">
        <f t="shared" si="4"/>
        <v>168782.79392706894</v>
      </c>
      <c r="P10" s="77">
        <f t="shared" si="4"/>
        <v>168782.79392706894</v>
      </c>
      <c r="Q10" s="77">
        <f t="shared" si="4"/>
        <v>168782.79392706894</v>
      </c>
      <c r="R10" s="77">
        <f t="shared" si="4"/>
        <v>168782.79392706894</v>
      </c>
      <c r="S10" s="77">
        <f t="shared" si="4"/>
        <v>168782.79392706894</v>
      </c>
      <c r="T10" s="77">
        <f t="shared" si="4"/>
        <v>168782.79392706894</v>
      </c>
      <c r="U10" s="77">
        <f t="shared" si="4"/>
        <v>168782.79392706894</v>
      </c>
      <c r="V10" s="77">
        <f t="shared" si="4"/>
        <v>168782.79392706894</v>
      </c>
      <c r="W10" s="77">
        <f t="shared" si="4"/>
        <v>168782.79392706894</v>
      </c>
      <c r="X10" s="77">
        <f t="shared" si="4"/>
        <v>168782.79392706894</v>
      </c>
      <c r="Y10" s="205">
        <f t="shared" si="4"/>
        <v>168782.79392706894</v>
      </c>
      <c r="Z10" s="357">
        <f t="shared" si="4"/>
        <v>168782.79392706894</v>
      </c>
      <c r="AA10" s="77">
        <f t="shared" si="4"/>
        <v>168782.79392706894</v>
      </c>
      <c r="AB10" s="77">
        <f t="shared" si="4"/>
        <v>168782.79392706894</v>
      </c>
      <c r="AC10" s="77">
        <f t="shared" si="4"/>
        <v>168782.79392706894</v>
      </c>
      <c r="AD10" s="77">
        <f t="shared" si="4"/>
        <v>168782.79392706894</v>
      </c>
      <c r="AE10" s="205">
        <f t="shared" si="4"/>
        <v>168782.79392706894</v>
      </c>
      <c r="AF10" s="77"/>
      <c r="AG10" s="218"/>
      <c r="AH10" s="218"/>
      <c r="AI10" s="218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 s="221" customFormat="1" x14ac:dyDescent="0.2">
      <c r="A11" s="793" t="s">
        <v>169</v>
      </c>
      <c r="B11" s="208"/>
      <c r="C11" s="208"/>
      <c r="D11" s="72">
        <v>0</v>
      </c>
      <c r="E11" s="72">
        <f>SUM('Depn&amp;Tax'!$E$11:E11)</f>
        <v>-4219.569848176724</v>
      </c>
      <c r="F11" s="72">
        <f>SUM('Depn&amp;Tax'!$E$11:F11)</f>
        <v>-8439.139696353448</v>
      </c>
      <c r="G11" s="72">
        <f>SUM('Depn&amp;Tax'!$E$11:G11)</f>
        <v>-12658.709544530171</v>
      </c>
      <c r="H11" s="72">
        <f>SUM('Depn&amp;Tax'!$E$11:H11)</f>
        <v>-16878.279392706896</v>
      </c>
      <c r="I11" s="72">
        <f>SUM('Depn&amp;Tax'!$E$11:I11)</f>
        <v>-21097.849240883621</v>
      </c>
      <c r="J11" s="72">
        <f>SUM('Depn&amp;Tax'!$E$11:J11)</f>
        <v>-25317.419089060346</v>
      </c>
      <c r="K11" s="72">
        <f>SUM('Depn&amp;Tax'!$E$11:K11)</f>
        <v>-29536.988937237071</v>
      </c>
      <c r="L11" s="72">
        <f>SUM('Depn&amp;Tax'!$E$11:L11)</f>
        <v>-33756.558785413792</v>
      </c>
      <c r="M11" s="72">
        <f>SUM('Depn&amp;Tax'!$E$11:M11)</f>
        <v>-37976.128633590517</v>
      </c>
      <c r="N11" s="72">
        <f>SUM('Depn&amp;Tax'!$E$11:N11)</f>
        <v>-42195.698481767242</v>
      </c>
      <c r="O11" s="72">
        <f>SUM('Depn&amp;Tax'!$E$11:O11)</f>
        <v>-46415.268329943967</v>
      </c>
      <c r="P11" s="72">
        <f>SUM('Depn&amp;Tax'!$E$11:P11)</f>
        <v>-50634.838178120692</v>
      </c>
      <c r="Q11" s="72">
        <f>SUM('Depn&amp;Tax'!$E$11:Q11)</f>
        <v>-54854.408026297417</v>
      </c>
      <c r="R11" s="72">
        <f>SUM('Depn&amp;Tax'!$E$11:R11)</f>
        <v>-59073.977874474142</v>
      </c>
      <c r="S11" s="72">
        <f>SUM('Depn&amp;Tax'!$E$11:S11)</f>
        <v>-63293.547722650866</v>
      </c>
      <c r="T11" s="72">
        <f>SUM('Depn&amp;Tax'!$E$11:T11)</f>
        <v>-63293.547722650866</v>
      </c>
      <c r="U11" s="72">
        <f>SUM('Depn&amp;Tax'!$E$11:U11)</f>
        <v>-63293.547722650866</v>
      </c>
      <c r="V11" s="72">
        <f>SUM('Depn&amp;Tax'!$E$11:V11)</f>
        <v>-63293.547722650866</v>
      </c>
      <c r="W11" s="72">
        <f>SUM('Depn&amp;Tax'!$E$11:W11)</f>
        <v>-63293.547722650866</v>
      </c>
      <c r="X11" s="72">
        <f>SUM('Depn&amp;Tax'!$E$11:X11)</f>
        <v>-63293.547722650866</v>
      </c>
      <c r="Y11" s="407">
        <f>SUM('Depn&amp;Tax'!$E$11:Y11)</f>
        <v>-63293.547722650866</v>
      </c>
      <c r="Z11" s="712">
        <f>SUM('Depn&amp;Tax'!$E$11:Z11)</f>
        <v>-63293.547722650866</v>
      </c>
      <c r="AA11" s="72">
        <f>SUM('Depn&amp;Tax'!$E$11:AA11)</f>
        <v>-63293.547722650866</v>
      </c>
      <c r="AB11" s="72">
        <f>SUM('Depn&amp;Tax'!$E$11:AB11)</f>
        <v>-63293.547722650866</v>
      </c>
      <c r="AC11" s="72">
        <f>SUM('Depn&amp;Tax'!$E$11:AC11)</f>
        <v>-63293.547722650866</v>
      </c>
      <c r="AD11" s="72">
        <f>SUM('Depn&amp;Tax'!$E$11:AD11)</f>
        <v>-63293.547722650866</v>
      </c>
      <c r="AE11" s="407">
        <f>SUM('Depn&amp;Tax'!$E$11:AE11)</f>
        <v>-63293.547722650866</v>
      </c>
      <c r="AF11" s="72"/>
      <c r="AG11" s="220"/>
      <c r="AH11" s="220"/>
      <c r="AI11" s="220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</row>
    <row r="12" spans="1:51" s="167" customFormat="1" x14ac:dyDescent="0.2">
      <c r="A12" s="746" t="s">
        <v>170</v>
      </c>
      <c r="B12" s="222"/>
      <c r="C12" s="222"/>
      <c r="D12" s="77">
        <f>+D10+D11</f>
        <v>0</v>
      </c>
      <c r="E12" s="77">
        <f t="shared" ref="E12:AE12" si="5">+E10+E11</f>
        <v>164563.22407889221</v>
      </c>
      <c r="F12" s="77">
        <f t="shared" si="5"/>
        <v>160343.6542307155</v>
      </c>
      <c r="G12" s="77">
        <f t="shared" si="5"/>
        <v>156124.08438253877</v>
      </c>
      <c r="H12" s="77">
        <f t="shared" si="5"/>
        <v>151904.51453436204</v>
      </c>
      <c r="I12" s="77">
        <f t="shared" si="5"/>
        <v>147684.94468618531</v>
      </c>
      <c r="J12" s="77">
        <f t="shared" si="5"/>
        <v>143465.3748380086</v>
      </c>
      <c r="K12" s="77">
        <f t="shared" si="5"/>
        <v>139245.80498983187</v>
      </c>
      <c r="L12" s="77">
        <f t="shared" si="5"/>
        <v>135026.23514165514</v>
      </c>
      <c r="M12" s="77">
        <f t="shared" si="5"/>
        <v>130806.66529347842</v>
      </c>
      <c r="N12" s="77">
        <f t="shared" si="5"/>
        <v>126587.0954453017</v>
      </c>
      <c r="O12" s="77">
        <f t="shared" si="5"/>
        <v>122367.52559712497</v>
      </c>
      <c r="P12" s="77">
        <f t="shared" si="5"/>
        <v>118147.95574894824</v>
      </c>
      <c r="Q12" s="77">
        <f t="shared" si="5"/>
        <v>113928.38590077152</v>
      </c>
      <c r="R12" s="77">
        <f t="shared" si="5"/>
        <v>109708.8160525948</v>
      </c>
      <c r="S12" s="77">
        <f t="shared" si="5"/>
        <v>105489.24620441807</v>
      </c>
      <c r="T12" s="77">
        <f t="shared" si="5"/>
        <v>105489.24620441807</v>
      </c>
      <c r="U12" s="77">
        <f t="shared" si="5"/>
        <v>105489.24620441807</v>
      </c>
      <c r="V12" s="77">
        <f t="shared" si="5"/>
        <v>105489.24620441807</v>
      </c>
      <c r="W12" s="77">
        <f t="shared" si="5"/>
        <v>105489.24620441807</v>
      </c>
      <c r="X12" s="77">
        <f t="shared" si="5"/>
        <v>105489.24620441807</v>
      </c>
      <c r="Y12" s="205">
        <f t="shared" si="5"/>
        <v>105489.24620441807</v>
      </c>
      <c r="Z12" s="357">
        <f t="shared" si="5"/>
        <v>105489.24620441807</v>
      </c>
      <c r="AA12" s="77">
        <f t="shared" si="5"/>
        <v>105489.24620441807</v>
      </c>
      <c r="AB12" s="77">
        <f t="shared" si="5"/>
        <v>105489.24620441807</v>
      </c>
      <c r="AC12" s="77">
        <f t="shared" si="5"/>
        <v>105489.24620441807</v>
      </c>
      <c r="AD12" s="77">
        <f t="shared" si="5"/>
        <v>105489.24620441807</v>
      </c>
      <c r="AE12" s="205">
        <f t="shared" si="5"/>
        <v>105489.24620441807</v>
      </c>
      <c r="AF12" s="77"/>
      <c r="AG12" s="218"/>
      <c r="AH12" s="218"/>
      <c r="AI12" s="218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</row>
    <row r="13" spans="1:51" s="167" customFormat="1" x14ac:dyDescent="0.2">
      <c r="A13" s="746"/>
      <c r="B13" s="222"/>
      <c r="C13" s="22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205"/>
      <c r="Z13" s="357"/>
      <c r="AA13" s="77"/>
      <c r="AB13" s="77"/>
      <c r="AC13" s="77"/>
      <c r="AD13" s="77"/>
      <c r="AE13" s="205"/>
      <c r="AF13" s="77"/>
      <c r="AG13" s="218"/>
      <c r="AH13" s="218"/>
      <c r="AI13" s="218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</row>
    <row r="14" spans="1:51" s="231" customFormat="1" x14ac:dyDescent="0.2">
      <c r="A14" s="747" t="s">
        <v>171</v>
      </c>
      <c r="B14" s="198"/>
      <c r="C14" s="198"/>
      <c r="D14" s="324">
        <f t="shared" ref="D14:AE14" si="6">SUM(D6:D8)+D12</f>
        <v>0</v>
      </c>
      <c r="E14" s="324">
        <f t="shared" si="6"/>
        <v>165829.66970609222</v>
      </c>
      <c r="F14" s="324">
        <f t="shared" si="6"/>
        <v>161610.09985791551</v>
      </c>
      <c r="G14" s="324">
        <f t="shared" si="6"/>
        <v>157390.53000973878</v>
      </c>
      <c r="H14" s="324">
        <f t="shared" si="6"/>
        <v>153170.96016156205</v>
      </c>
      <c r="I14" s="324">
        <f t="shared" si="6"/>
        <v>148951.39031338532</v>
      </c>
      <c r="J14" s="324">
        <f t="shared" si="6"/>
        <v>144731.82046520861</v>
      </c>
      <c r="K14" s="324">
        <f t="shared" si="6"/>
        <v>140512.25061703188</v>
      </c>
      <c r="L14" s="324">
        <f t="shared" si="6"/>
        <v>136292.68076885515</v>
      </c>
      <c r="M14" s="324">
        <f t="shared" si="6"/>
        <v>132073.11092067845</v>
      </c>
      <c r="N14" s="324">
        <f t="shared" si="6"/>
        <v>127853.54107250171</v>
      </c>
      <c r="O14" s="324">
        <f t="shared" si="6"/>
        <v>123633.97122432498</v>
      </c>
      <c r="P14" s="324">
        <f t="shared" si="6"/>
        <v>119414.40137614825</v>
      </c>
      <c r="Q14" s="324">
        <f t="shared" si="6"/>
        <v>115194.83152797153</v>
      </c>
      <c r="R14" s="324">
        <f t="shared" si="6"/>
        <v>110975.26167979481</v>
      </c>
      <c r="S14" s="324">
        <f t="shared" si="6"/>
        <v>106755.69183161808</v>
      </c>
      <c r="T14" s="324">
        <f t="shared" si="6"/>
        <v>106755.69183161808</v>
      </c>
      <c r="U14" s="324">
        <f t="shared" si="6"/>
        <v>106755.69183161808</v>
      </c>
      <c r="V14" s="324">
        <f t="shared" si="6"/>
        <v>106755.69183161808</v>
      </c>
      <c r="W14" s="324">
        <f t="shared" si="6"/>
        <v>106755.69183161808</v>
      </c>
      <c r="X14" s="324">
        <f t="shared" si="6"/>
        <v>106755.69183161808</v>
      </c>
      <c r="Y14" s="335">
        <f t="shared" si="6"/>
        <v>106755.69183161808</v>
      </c>
      <c r="Z14" s="358">
        <f t="shared" si="6"/>
        <v>106755.69183161808</v>
      </c>
      <c r="AA14" s="324">
        <f t="shared" si="6"/>
        <v>106755.69183161808</v>
      </c>
      <c r="AB14" s="324">
        <f t="shared" si="6"/>
        <v>106755.69183161808</v>
      </c>
      <c r="AC14" s="324">
        <f t="shared" si="6"/>
        <v>106755.69183161808</v>
      </c>
      <c r="AD14" s="324">
        <f t="shared" si="6"/>
        <v>106755.69183161808</v>
      </c>
      <c r="AE14" s="335">
        <f t="shared" si="6"/>
        <v>106755.69183161808</v>
      </c>
      <c r="AF14" s="324"/>
      <c r="AG14" s="234"/>
      <c r="AH14" s="234"/>
      <c r="AI14" s="234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</row>
    <row r="15" spans="1:51" x14ac:dyDescent="0.2">
      <c r="A15" s="203"/>
      <c r="B15" s="44"/>
      <c r="C15" s="44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205"/>
      <c r="Z15" s="357"/>
      <c r="AA15" s="77"/>
      <c r="AB15" s="77"/>
      <c r="AC15" s="77"/>
      <c r="AD15" s="77"/>
      <c r="AE15" s="205"/>
      <c r="AF15" s="77"/>
      <c r="AG15" s="210"/>
      <c r="AH15" s="210"/>
      <c r="AI15" s="210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 spans="1:51" x14ac:dyDescent="0.2">
      <c r="A16" s="206" t="s">
        <v>172</v>
      </c>
      <c r="B16" s="44"/>
      <c r="C16" s="44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205"/>
      <c r="Z16" s="357"/>
      <c r="AA16" s="77"/>
      <c r="AB16" s="77"/>
      <c r="AC16" s="77"/>
      <c r="AD16" s="77"/>
      <c r="AE16" s="205"/>
      <c r="AF16" s="77"/>
      <c r="AG16" s="210"/>
      <c r="AH16" s="210"/>
      <c r="AI16" s="210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 spans="1:51" x14ac:dyDescent="0.2">
      <c r="A17" s="599" t="s">
        <v>296</v>
      </c>
      <c r="B17" s="44"/>
      <c r="C17" s="44"/>
      <c r="D17" s="632">
        <v>0</v>
      </c>
      <c r="E17" s="77">
        <f t="shared" ref="E17:AE17" si="7">+D17+E42+E58</f>
        <v>0</v>
      </c>
      <c r="F17" s="77">
        <f t="shared" si="7"/>
        <v>0</v>
      </c>
      <c r="G17" s="77">
        <f t="shared" si="7"/>
        <v>1292.5309821354379</v>
      </c>
      <c r="H17" s="77">
        <f t="shared" si="7"/>
        <v>2219.5617949329085</v>
      </c>
      <c r="I17" s="77">
        <f t="shared" si="7"/>
        <v>2852.4972721594177</v>
      </c>
      <c r="J17" s="77">
        <f t="shared" si="7"/>
        <v>4854.7172740650585</v>
      </c>
      <c r="K17" s="77">
        <f t="shared" si="7"/>
        <v>7991.3295659102714</v>
      </c>
      <c r="L17" s="77">
        <f t="shared" si="7"/>
        <v>9257.2005203632852</v>
      </c>
      <c r="M17" s="77">
        <f t="shared" si="7"/>
        <v>10523.071474816301</v>
      </c>
      <c r="N17" s="77">
        <f t="shared" si="7"/>
        <v>11788.942429269318</v>
      </c>
      <c r="O17" s="77">
        <f t="shared" si="7"/>
        <v>13054.813383722339</v>
      </c>
      <c r="P17" s="77">
        <f t="shared" si="7"/>
        <v>14320.684338175353</v>
      </c>
      <c r="Q17" s="77">
        <f t="shared" si="7"/>
        <v>15586.555292628371</v>
      </c>
      <c r="R17" s="77">
        <f t="shared" si="7"/>
        <v>16852.426247081388</v>
      </c>
      <c r="S17" s="77">
        <f t="shared" si="7"/>
        <v>18118.297201534409</v>
      </c>
      <c r="T17" s="77">
        <f t="shared" si="7"/>
        <v>18118.297201534409</v>
      </c>
      <c r="U17" s="77">
        <f t="shared" si="7"/>
        <v>18118.297201534409</v>
      </c>
      <c r="V17" s="77">
        <f t="shared" si="7"/>
        <v>18118.297201534409</v>
      </c>
      <c r="W17" s="77">
        <f t="shared" si="7"/>
        <v>18118.297201534409</v>
      </c>
      <c r="X17" s="77">
        <f t="shared" si="7"/>
        <v>18118.297201534409</v>
      </c>
      <c r="Y17" s="205">
        <f t="shared" si="7"/>
        <v>18118.297201534409</v>
      </c>
      <c r="Z17" s="357">
        <f t="shared" si="7"/>
        <v>18118.297201534409</v>
      </c>
      <c r="AA17" s="77">
        <f t="shared" si="7"/>
        <v>18118.297201534409</v>
      </c>
      <c r="AB17" s="77">
        <f t="shared" si="7"/>
        <v>18118.297201534409</v>
      </c>
      <c r="AC17" s="77">
        <f t="shared" si="7"/>
        <v>18118.297201534409</v>
      </c>
      <c r="AD17" s="77">
        <f t="shared" si="7"/>
        <v>18118.297201534409</v>
      </c>
      <c r="AE17" s="205">
        <f t="shared" si="7"/>
        <v>18118.297201534409</v>
      </c>
      <c r="AF17" s="77"/>
      <c r="AG17" s="218"/>
      <c r="AH17" s="218"/>
      <c r="AI17" s="218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 spans="1:51" s="221" customFormat="1" x14ac:dyDescent="0.2">
      <c r="A18" s="573" t="s">
        <v>173</v>
      </c>
      <c r="B18" s="208"/>
      <c r="C18" s="208"/>
      <c r="D18" s="711">
        <v>0</v>
      </c>
      <c r="E18" s="72">
        <f>+Assumpt!$S$6+E64</f>
        <v>127536.68015927149</v>
      </c>
      <c r="F18" s="72">
        <f t="shared" ref="F18:AE18" si="8">+E18+F64</f>
        <v>120551.81934787848</v>
      </c>
      <c r="G18" s="72">
        <f t="shared" si="8"/>
        <v>112887.63716719742</v>
      </c>
      <c r="H18" s="72">
        <f t="shared" si="8"/>
        <v>104478.0653683065</v>
      </c>
      <c r="I18" s="72">
        <f t="shared" si="8"/>
        <v>95250.610152149704</v>
      </c>
      <c r="J18" s="72">
        <f t="shared" si="8"/>
        <v>85125.727244626556</v>
      </c>
      <c r="K18" s="72">
        <f t="shared" si="8"/>
        <v>74016.136193828599</v>
      </c>
      <c r="L18" s="72">
        <f t="shared" si="8"/>
        <v>61826.067978396481</v>
      </c>
      <c r="M18" s="72">
        <f t="shared" si="8"/>
        <v>48450.439441087241</v>
      </c>
      <c r="N18" s="72">
        <f t="shared" si="8"/>
        <v>33773.947430846325</v>
      </c>
      <c r="O18" s="72">
        <f t="shared" si="8"/>
        <v>17670.074844534411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  <c r="U18" s="72">
        <f t="shared" si="8"/>
        <v>0</v>
      </c>
      <c r="V18" s="72">
        <f t="shared" si="8"/>
        <v>0</v>
      </c>
      <c r="W18" s="72">
        <f t="shared" si="8"/>
        <v>0</v>
      </c>
      <c r="X18" s="72">
        <f t="shared" si="8"/>
        <v>0</v>
      </c>
      <c r="Y18" s="407">
        <f t="shared" si="8"/>
        <v>0</v>
      </c>
      <c r="Z18" s="712">
        <f t="shared" si="8"/>
        <v>0</v>
      </c>
      <c r="AA18" s="72">
        <f t="shared" si="8"/>
        <v>0</v>
      </c>
      <c r="AB18" s="72">
        <f t="shared" si="8"/>
        <v>0</v>
      </c>
      <c r="AC18" s="72">
        <f t="shared" si="8"/>
        <v>0</v>
      </c>
      <c r="AD18" s="72">
        <f t="shared" si="8"/>
        <v>0</v>
      </c>
      <c r="AE18" s="407">
        <f t="shared" si="8"/>
        <v>0</v>
      </c>
      <c r="AF18" s="72"/>
      <c r="AG18" s="220"/>
      <c r="AH18" s="220"/>
      <c r="AI18" s="220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</row>
    <row r="19" spans="1:51" s="231" customFormat="1" x14ac:dyDescent="0.2">
      <c r="A19" s="747" t="s">
        <v>174</v>
      </c>
      <c r="B19" s="198"/>
      <c r="C19" s="198"/>
      <c r="D19" s="324">
        <f>+SUM(D17:D18)</f>
        <v>0</v>
      </c>
      <c r="E19" s="324">
        <f t="shared" ref="E19:AE19" si="9">+SUM(E17:E18)</f>
        <v>127536.68015927149</v>
      </c>
      <c r="F19" s="324">
        <f t="shared" si="9"/>
        <v>120551.81934787848</v>
      </c>
      <c r="G19" s="324">
        <f t="shared" si="9"/>
        <v>114180.16814933285</v>
      </c>
      <c r="H19" s="324">
        <f t="shared" si="9"/>
        <v>106697.62716323941</v>
      </c>
      <c r="I19" s="324">
        <f t="shared" si="9"/>
        <v>98103.107424309128</v>
      </c>
      <c r="J19" s="324">
        <f t="shared" si="9"/>
        <v>89980.444518691613</v>
      </c>
      <c r="K19" s="324">
        <f t="shared" si="9"/>
        <v>82007.465759738872</v>
      </c>
      <c r="L19" s="324">
        <f t="shared" si="9"/>
        <v>71083.26849875976</v>
      </c>
      <c r="M19" s="324">
        <f t="shared" si="9"/>
        <v>58973.510915903542</v>
      </c>
      <c r="N19" s="324">
        <f t="shared" si="9"/>
        <v>45562.88986011564</v>
      </c>
      <c r="O19" s="324">
        <f t="shared" si="9"/>
        <v>30724.88822825675</v>
      </c>
      <c r="P19" s="324">
        <f t="shared" si="9"/>
        <v>14320.684338175353</v>
      </c>
      <c r="Q19" s="324">
        <f t="shared" si="9"/>
        <v>15586.555292628371</v>
      </c>
      <c r="R19" s="324">
        <f t="shared" si="9"/>
        <v>16852.426247081388</v>
      </c>
      <c r="S19" s="324">
        <f t="shared" si="9"/>
        <v>18118.297201534409</v>
      </c>
      <c r="T19" s="324">
        <f t="shared" si="9"/>
        <v>18118.297201534409</v>
      </c>
      <c r="U19" s="324">
        <f t="shared" si="9"/>
        <v>18118.297201534409</v>
      </c>
      <c r="V19" s="324">
        <f t="shared" si="9"/>
        <v>18118.297201534409</v>
      </c>
      <c r="W19" s="324">
        <f t="shared" si="9"/>
        <v>18118.297201534409</v>
      </c>
      <c r="X19" s="324">
        <f t="shared" si="9"/>
        <v>18118.297201534409</v>
      </c>
      <c r="Y19" s="335">
        <f t="shared" si="9"/>
        <v>18118.297201534409</v>
      </c>
      <c r="Z19" s="358">
        <f t="shared" si="9"/>
        <v>18118.297201534409</v>
      </c>
      <c r="AA19" s="324">
        <f t="shared" si="9"/>
        <v>18118.297201534409</v>
      </c>
      <c r="AB19" s="324">
        <f t="shared" si="9"/>
        <v>18118.297201534409</v>
      </c>
      <c r="AC19" s="324">
        <f t="shared" si="9"/>
        <v>18118.297201534409</v>
      </c>
      <c r="AD19" s="324">
        <f t="shared" si="9"/>
        <v>18118.297201534409</v>
      </c>
      <c r="AE19" s="335">
        <f t="shared" si="9"/>
        <v>18118.297201534409</v>
      </c>
      <c r="AF19" s="324"/>
      <c r="AG19" s="234"/>
      <c r="AH19" s="234"/>
      <c r="AI19" s="234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</row>
    <row r="20" spans="1:51" x14ac:dyDescent="0.2">
      <c r="A20" s="203"/>
      <c r="B20" s="44"/>
      <c r="C20" s="44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205"/>
      <c r="Z20" s="357"/>
      <c r="AA20" s="77"/>
      <c r="AB20" s="77"/>
      <c r="AC20" s="77"/>
      <c r="AD20" s="77"/>
      <c r="AE20" s="205"/>
      <c r="AF20" s="77"/>
      <c r="AG20" s="210"/>
      <c r="AH20" s="210"/>
      <c r="AI20" s="210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 spans="1:51" x14ac:dyDescent="0.2">
      <c r="A21" s="206" t="s">
        <v>175</v>
      </c>
      <c r="B21" s="44"/>
      <c r="C21" s="4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205"/>
      <c r="Z21" s="357"/>
      <c r="AA21" s="77"/>
      <c r="AB21" s="77"/>
      <c r="AC21" s="77"/>
      <c r="AD21" s="77"/>
      <c r="AE21" s="205"/>
      <c r="AF21" s="77"/>
      <c r="AG21" s="210"/>
      <c r="AH21" s="210"/>
      <c r="AI21" s="210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 spans="1:51" x14ac:dyDescent="0.2">
      <c r="A22" s="572" t="s">
        <v>176</v>
      </c>
      <c r="B22" s="44"/>
      <c r="C22" s="44"/>
      <c r="D22" s="77">
        <f>+D65</f>
        <v>0</v>
      </c>
      <c r="E22" s="77">
        <f>+E65</f>
        <v>42512.226719757164</v>
      </c>
      <c r="F22" s="77">
        <f t="shared" ref="F22:AE22" si="10">+E22+F65</f>
        <v>42512.226719757164</v>
      </c>
      <c r="G22" s="77">
        <f t="shared" si="10"/>
        <v>42512.226719757164</v>
      </c>
      <c r="H22" s="77">
        <f t="shared" si="10"/>
        <v>42512.226719757164</v>
      </c>
      <c r="I22" s="77">
        <f t="shared" si="10"/>
        <v>42512.226719757164</v>
      </c>
      <c r="J22" s="77">
        <f t="shared" si="10"/>
        <v>42512.226719757164</v>
      </c>
      <c r="K22" s="77">
        <f t="shared" si="10"/>
        <v>42512.226719757164</v>
      </c>
      <c r="L22" s="77">
        <f t="shared" si="10"/>
        <v>42512.226719757164</v>
      </c>
      <c r="M22" s="77">
        <f t="shared" si="10"/>
        <v>42512.226719757164</v>
      </c>
      <c r="N22" s="77">
        <f t="shared" si="10"/>
        <v>42512.226719757164</v>
      </c>
      <c r="O22" s="77">
        <f t="shared" si="10"/>
        <v>42512.226719757164</v>
      </c>
      <c r="P22" s="77">
        <f t="shared" si="10"/>
        <v>42512.226719757164</v>
      </c>
      <c r="Q22" s="77">
        <f t="shared" si="10"/>
        <v>42512.226719757164</v>
      </c>
      <c r="R22" s="77">
        <f t="shared" si="10"/>
        <v>42512.226719757164</v>
      </c>
      <c r="S22" s="77">
        <f t="shared" si="10"/>
        <v>42512.226719757164</v>
      </c>
      <c r="T22" s="77">
        <f t="shared" si="10"/>
        <v>42512.226719757164</v>
      </c>
      <c r="U22" s="77">
        <f t="shared" si="10"/>
        <v>42512.226719757164</v>
      </c>
      <c r="V22" s="77">
        <f t="shared" si="10"/>
        <v>42512.226719757164</v>
      </c>
      <c r="W22" s="77">
        <f t="shared" si="10"/>
        <v>42512.226719757164</v>
      </c>
      <c r="X22" s="77">
        <f t="shared" si="10"/>
        <v>42512.226719757164</v>
      </c>
      <c r="Y22" s="205">
        <f t="shared" si="10"/>
        <v>42512.226719757164</v>
      </c>
      <c r="Z22" s="357">
        <f t="shared" si="10"/>
        <v>42512.226719757164</v>
      </c>
      <c r="AA22" s="77">
        <f t="shared" si="10"/>
        <v>42512.226719757164</v>
      </c>
      <c r="AB22" s="77">
        <f t="shared" si="10"/>
        <v>42512.226719757164</v>
      </c>
      <c r="AC22" s="77">
        <f t="shared" si="10"/>
        <v>42512.226719757164</v>
      </c>
      <c r="AD22" s="77">
        <f t="shared" si="10"/>
        <v>42512.226719757164</v>
      </c>
      <c r="AE22" s="205">
        <f t="shared" si="10"/>
        <v>42512.226719757164</v>
      </c>
      <c r="AF22" s="77"/>
      <c r="AG22" s="217"/>
      <c r="AH22" s="217"/>
      <c r="AI22" s="217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 spans="1:51" x14ac:dyDescent="0.2">
      <c r="A23" s="599" t="s">
        <v>375</v>
      </c>
      <c r="B23" s="44"/>
      <c r="C23" s="44"/>
      <c r="D23" s="632">
        <v>0</v>
      </c>
      <c r="E23" s="77">
        <f t="shared" ref="E23:AE23" si="11">+E67+D23</f>
        <v>5489.1465046162775</v>
      </c>
      <c r="F23" s="77">
        <f t="shared" si="11"/>
        <v>17514.04094645138</v>
      </c>
      <c r="G23" s="77">
        <f t="shared" si="11"/>
        <v>12341.780064719456</v>
      </c>
      <c r="H23" s="77">
        <f t="shared" si="11"/>
        <v>6229.8280750359281</v>
      </c>
      <c r="I23" s="77">
        <f t="shared" si="11"/>
        <v>-106.5413076578825</v>
      </c>
      <c r="J23" s="77">
        <f t="shared" si="11"/>
        <v>-7429.0017789713584</v>
      </c>
      <c r="K23" s="77">
        <f t="shared" si="11"/>
        <v>-15359.418003082623</v>
      </c>
      <c r="L23" s="77">
        <f t="shared" si="11"/>
        <v>-45173.785339965951</v>
      </c>
      <c r="M23" s="77">
        <f t="shared" si="11"/>
        <v>-78924.96376883566</v>
      </c>
      <c r="N23" s="77">
        <f t="shared" si="11"/>
        <v>-113764.58770680288</v>
      </c>
      <c r="O23" s="77">
        <f t="shared" si="11"/>
        <v>-149815.56997750676</v>
      </c>
      <c r="P23" s="77">
        <f t="shared" si="11"/>
        <v>-187644.63284764459</v>
      </c>
      <c r="Q23" s="77">
        <f t="shared" si="11"/>
        <v>-245167.61035573485</v>
      </c>
      <c r="R23" s="77">
        <f t="shared" si="11"/>
        <v>-303791.21057580877</v>
      </c>
      <c r="S23" s="77">
        <f t="shared" si="11"/>
        <v>-363537.44596210611</v>
      </c>
      <c r="T23" s="77">
        <f t="shared" si="11"/>
        <v>-363537.44596210611</v>
      </c>
      <c r="U23" s="77">
        <f t="shared" si="11"/>
        <v>-363537.44596210611</v>
      </c>
      <c r="V23" s="77">
        <f t="shared" si="11"/>
        <v>-363537.44596210611</v>
      </c>
      <c r="W23" s="77">
        <f t="shared" si="11"/>
        <v>-363537.44596210611</v>
      </c>
      <c r="X23" s="77">
        <f t="shared" si="11"/>
        <v>-363537.44596210611</v>
      </c>
      <c r="Y23" s="205">
        <f t="shared" si="11"/>
        <v>-363537.44596210611</v>
      </c>
      <c r="Z23" s="357">
        <f t="shared" si="11"/>
        <v>-363537.44596210611</v>
      </c>
      <c r="AA23" s="77">
        <f t="shared" si="11"/>
        <v>-363537.44596210611</v>
      </c>
      <c r="AB23" s="77">
        <f t="shared" si="11"/>
        <v>-363537.44596210611</v>
      </c>
      <c r="AC23" s="77">
        <f t="shared" si="11"/>
        <v>-363537.44596210611</v>
      </c>
      <c r="AD23" s="77">
        <f t="shared" si="11"/>
        <v>-363537.44596210611</v>
      </c>
      <c r="AE23" s="205">
        <f t="shared" si="11"/>
        <v>-363537.44596210611</v>
      </c>
      <c r="AF23" s="77"/>
      <c r="AG23" s="210"/>
      <c r="AH23" s="210"/>
      <c r="AI23" s="210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 spans="1:51" x14ac:dyDescent="0.2">
      <c r="A24" s="573" t="s">
        <v>177</v>
      </c>
      <c r="B24" s="44"/>
      <c r="C24" s="44"/>
      <c r="D24" s="711">
        <v>0</v>
      </c>
      <c r="E24" s="72">
        <f t="shared" ref="E24:AE24" si="12">+D24+E45</f>
        <v>-9708.7163527930024</v>
      </c>
      <c r="F24" s="72">
        <f t="shared" si="12"/>
        <v>-18968.319831411816</v>
      </c>
      <c r="G24" s="72">
        <f t="shared" si="12"/>
        <v>-11643.977599310998</v>
      </c>
      <c r="H24" s="72">
        <f t="shared" si="12"/>
        <v>-2269.0544717107477</v>
      </c>
      <c r="I24" s="72">
        <f t="shared" si="12"/>
        <v>8442.2648017366337</v>
      </c>
      <c r="J24" s="72">
        <f t="shared" si="12"/>
        <v>19667.818330490896</v>
      </c>
      <c r="K24" s="72">
        <f t="shared" si="12"/>
        <v>31351.64346537818</v>
      </c>
      <c r="L24" s="72">
        <f t="shared" si="12"/>
        <v>67870.638215063882</v>
      </c>
      <c r="M24" s="72">
        <f t="shared" si="12"/>
        <v>109512.00437861308</v>
      </c>
      <c r="N24" s="72">
        <f t="shared" si="12"/>
        <v>153542.67952419148</v>
      </c>
      <c r="O24" s="72">
        <f t="shared" si="12"/>
        <v>200212.09357857751</v>
      </c>
      <c r="P24" s="72">
        <f t="shared" si="12"/>
        <v>250225.79049062001</v>
      </c>
      <c r="Q24" s="72">
        <f t="shared" si="12"/>
        <v>302263.32719608053</v>
      </c>
      <c r="R24" s="72">
        <f t="shared" si="12"/>
        <v>355401.48661352473</v>
      </c>
      <c r="S24" s="72">
        <f t="shared" si="12"/>
        <v>409662.28119719232</v>
      </c>
      <c r="T24" s="72">
        <f t="shared" si="12"/>
        <v>409662.28119719232</v>
      </c>
      <c r="U24" s="72">
        <f t="shared" si="12"/>
        <v>409662.28119719232</v>
      </c>
      <c r="V24" s="72">
        <f t="shared" si="12"/>
        <v>409662.28119719232</v>
      </c>
      <c r="W24" s="72">
        <f t="shared" si="12"/>
        <v>409662.28119719232</v>
      </c>
      <c r="X24" s="72">
        <f t="shared" si="12"/>
        <v>409662.28119719232</v>
      </c>
      <c r="Y24" s="407">
        <f t="shared" si="12"/>
        <v>409662.28119719232</v>
      </c>
      <c r="Z24" s="712">
        <f t="shared" si="12"/>
        <v>409662.28119719232</v>
      </c>
      <c r="AA24" s="72">
        <f t="shared" si="12"/>
        <v>409662.28119719232</v>
      </c>
      <c r="AB24" s="72">
        <f t="shared" si="12"/>
        <v>409662.28119719232</v>
      </c>
      <c r="AC24" s="72">
        <f t="shared" si="12"/>
        <v>409662.28119719232</v>
      </c>
      <c r="AD24" s="72">
        <f t="shared" si="12"/>
        <v>409662.28119719232</v>
      </c>
      <c r="AE24" s="407">
        <f t="shared" si="12"/>
        <v>409662.28119719232</v>
      </c>
      <c r="AF24" s="72"/>
      <c r="AG24" s="223"/>
      <c r="AH24" s="223"/>
      <c r="AI24" s="223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 spans="1:51" s="231" customFormat="1" x14ac:dyDescent="0.2">
      <c r="A25" s="747" t="s">
        <v>178</v>
      </c>
      <c r="B25" s="198"/>
      <c r="C25" s="198"/>
      <c r="D25" s="324">
        <f>SUM(D22:D24)</f>
        <v>0</v>
      </c>
      <c r="E25" s="324">
        <f>SUM(E22:E24)</f>
        <v>38292.656871580439</v>
      </c>
      <c r="F25" s="324">
        <f>SUM(F22:F24)</f>
        <v>41057.947834796723</v>
      </c>
      <c r="G25" s="324">
        <f>SUM(G22:G24)</f>
        <v>43210.029185165622</v>
      </c>
      <c r="H25" s="324">
        <f t="shared" ref="H25:W25" si="13">SUM(H22:H24)</f>
        <v>46473.000323082342</v>
      </c>
      <c r="I25" s="324">
        <f t="shared" si="13"/>
        <v>50847.950213835909</v>
      </c>
      <c r="J25" s="324">
        <f t="shared" si="13"/>
        <v>54751.0432712767</v>
      </c>
      <c r="K25" s="324">
        <f t="shared" si="13"/>
        <v>58504.452182052715</v>
      </c>
      <c r="L25" s="324">
        <f t="shared" si="13"/>
        <v>65209.079594855095</v>
      </c>
      <c r="M25" s="324">
        <f t="shared" si="13"/>
        <v>73099.267329534588</v>
      </c>
      <c r="N25" s="324">
        <f t="shared" si="13"/>
        <v>82290.318537145766</v>
      </c>
      <c r="O25" s="324">
        <f t="shared" si="13"/>
        <v>92908.750320827909</v>
      </c>
      <c r="P25" s="324">
        <f t="shared" si="13"/>
        <v>105093.38436273258</v>
      </c>
      <c r="Q25" s="324">
        <f t="shared" si="13"/>
        <v>99607.943560102838</v>
      </c>
      <c r="R25" s="324">
        <f t="shared" si="13"/>
        <v>94122.502757473121</v>
      </c>
      <c r="S25" s="324">
        <f t="shared" si="13"/>
        <v>88637.061954843404</v>
      </c>
      <c r="T25" s="324">
        <f t="shared" si="13"/>
        <v>88637.061954843404</v>
      </c>
      <c r="U25" s="324">
        <f t="shared" si="13"/>
        <v>88637.061954843404</v>
      </c>
      <c r="V25" s="324">
        <f t="shared" si="13"/>
        <v>88637.061954843404</v>
      </c>
      <c r="W25" s="324">
        <f t="shared" si="13"/>
        <v>88637.061954843404</v>
      </c>
      <c r="X25" s="324">
        <f t="shared" ref="X25:AE25" si="14">SUM(X22:X24)</f>
        <v>88637.061954843404</v>
      </c>
      <c r="Y25" s="335">
        <f t="shared" si="14"/>
        <v>88637.061954843404</v>
      </c>
      <c r="Z25" s="358">
        <f t="shared" si="14"/>
        <v>88637.061954843404</v>
      </c>
      <c r="AA25" s="324">
        <f t="shared" si="14"/>
        <v>88637.061954843404</v>
      </c>
      <c r="AB25" s="324">
        <f t="shared" si="14"/>
        <v>88637.061954843404</v>
      </c>
      <c r="AC25" s="324">
        <f t="shared" si="14"/>
        <v>88637.061954843404</v>
      </c>
      <c r="AD25" s="324">
        <f t="shared" si="14"/>
        <v>88637.061954843404</v>
      </c>
      <c r="AE25" s="335">
        <f t="shared" si="14"/>
        <v>88637.061954843404</v>
      </c>
      <c r="AF25" s="324"/>
      <c r="AG25" s="234"/>
      <c r="AH25" s="234"/>
      <c r="AI25" s="234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</row>
    <row r="26" spans="1:51" x14ac:dyDescent="0.2">
      <c r="A26" s="203"/>
      <c r="B26" s="44"/>
      <c r="C26" s="44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205"/>
      <c r="Z26" s="357"/>
      <c r="AA26" s="77"/>
      <c r="AB26" s="77"/>
      <c r="AC26" s="77"/>
      <c r="AD26" s="77"/>
      <c r="AE26" s="205"/>
      <c r="AF26" s="77"/>
      <c r="AG26" s="210"/>
      <c r="AH26" s="210"/>
      <c r="AI26" s="210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pans="1:51" s="227" customFormat="1" x14ac:dyDescent="0.2">
      <c r="A27" s="731" t="s">
        <v>179</v>
      </c>
      <c r="C27" s="726"/>
      <c r="D27" s="338">
        <f>+D25+D19</f>
        <v>0</v>
      </c>
      <c r="E27" s="338">
        <f>+E25+E19</f>
        <v>165829.33703085192</v>
      </c>
      <c r="F27" s="338">
        <f>+F25+F19</f>
        <v>161609.76718267519</v>
      </c>
      <c r="G27" s="338">
        <f>+G25+G19</f>
        <v>157390.19733449846</v>
      </c>
      <c r="H27" s="338">
        <f t="shared" ref="H27:W27" si="15">+H25+H19</f>
        <v>153170.62748632175</v>
      </c>
      <c r="I27" s="338">
        <f t="shared" si="15"/>
        <v>148951.05763814505</v>
      </c>
      <c r="J27" s="338">
        <f t="shared" si="15"/>
        <v>144731.48778996832</v>
      </c>
      <c r="K27" s="338">
        <f t="shared" si="15"/>
        <v>140511.91794179159</v>
      </c>
      <c r="L27" s="338">
        <f t="shared" si="15"/>
        <v>136292.34809361486</v>
      </c>
      <c r="M27" s="338">
        <f t="shared" si="15"/>
        <v>132072.77824543812</v>
      </c>
      <c r="N27" s="338">
        <f t="shared" si="15"/>
        <v>127853.20839726141</v>
      </c>
      <c r="O27" s="338">
        <f t="shared" si="15"/>
        <v>123633.63854908466</v>
      </c>
      <c r="P27" s="338">
        <f t="shared" si="15"/>
        <v>119414.06870090794</v>
      </c>
      <c r="Q27" s="338">
        <f t="shared" si="15"/>
        <v>115194.49885273121</v>
      </c>
      <c r="R27" s="338">
        <f t="shared" si="15"/>
        <v>110974.92900455451</v>
      </c>
      <c r="S27" s="338">
        <f t="shared" si="15"/>
        <v>106755.35915637782</v>
      </c>
      <c r="T27" s="338">
        <f t="shared" si="15"/>
        <v>106755.35915637782</v>
      </c>
      <c r="U27" s="338">
        <f t="shared" si="15"/>
        <v>106755.35915637782</v>
      </c>
      <c r="V27" s="338">
        <f t="shared" si="15"/>
        <v>106755.35915637782</v>
      </c>
      <c r="W27" s="338">
        <f t="shared" si="15"/>
        <v>106755.35915637782</v>
      </c>
      <c r="X27" s="338">
        <f t="shared" ref="X27:AE27" si="16">+X25+X19</f>
        <v>106755.35915637782</v>
      </c>
      <c r="Y27" s="735">
        <f t="shared" si="16"/>
        <v>106755.35915637782</v>
      </c>
      <c r="Z27" s="361">
        <f t="shared" si="16"/>
        <v>106755.35915637782</v>
      </c>
      <c r="AA27" s="338">
        <f t="shared" si="16"/>
        <v>106755.35915637782</v>
      </c>
      <c r="AB27" s="338">
        <f t="shared" si="16"/>
        <v>106755.35915637782</v>
      </c>
      <c r="AC27" s="338">
        <f t="shared" si="16"/>
        <v>106755.35915637782</v>
      </c>
      <c r="AD27" s="338">
        <f t="shared" si="16"/>
        <v>106755.35915637782</v>
      </c>
      <c r="AE27" s="735">
        <f t="shared" si="16"/>
        <v>106755.35915637782</v>
      </c>
      <c r="AF27" s="324"/>
      <c r="AG27" s="234"/>
      <c r="AH27" s="234"/>
      <c r="AI27" s="234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</row>
    <row r="28" spans="1:51" s="346" customFormat="1" x14ac:dyDescent="0.2">
      <c r="A28" s="532" t="s">
        <v>180</v>
      </c>
      <c r="B28" s="348"/>
      <c r="C28" s="348"/>
      <c r="D28" s="736">
        <f>IF(ABS(D14-D27)&lt;0.5,0,D14-D27)</f>
        <v>0</v>
      </c>
      <c r="E28" s="736">
        <f t="shared" ref="E28:T28" si="17">IF(ABS(E14-E27)&lt;0.5,0,E14-E27)</f>
        <v>0</v>
      </c>
      <c r="F28" s="736">
        <f t="shared" si="17"/>
        <v>0</v>
      </c>
      <c r="G28" s="736">
        <f t="shared" si="17"/>
        <v>0</v>
      </c>
      <c r="H28" s="736">
        <f t="shared" si="17"/>
        <v>0</v>
      </c>
      <c r="I28" s="736">
        <f t="shared" si="17"/>
        <v>0</v>
      </c>
      <c r="J28" s="736">
        <f t="shared" si="17"/>
        <v>0</v>
      </c>
      <c r="K28" s="736">
        <f t="shared" si="17"/>
        <v>0</v>
      </c>
      <c r="L28" s="736">
        <f t="shared" si="17"/>
        <v>0</v>
      </c>
      <c r="M28" s="736">
        <f t="shared" si="17"/>
        <v>0</v>
      </c>
      <c r="N28" s="736">
        <f t="shared" si="17"/>
        <v>0</v>
      </c>
      <c r="O28" s="736">
        <f t="shared" si="17"/>
        <v>0</v>
      </c>
      <c r="P28" s="736">
        <f t="shared" si="17"/>
        <v>0</v>
      </c>
      <c r="Q28" s="736">
        <f t="shared" si="17"/>
        <v>0</v>
      </c>
      <c r="R28" s="736">
        <f t="shared" si="17"/>
        <v>0</v>
      </c>
      <c r="S28" s="736">
        <f t="shared" si="17"/>
        <v>0</v>
      </c>
      <c r="T28" s="736">
        <f t="shared" si="17"/>
        <v>0</v>
      </c>
      <c r="U28" s="736">
        <f t="shared" ref="U28:AE28" si="18">IF(ABS(U14-U27)&lt;0.5,0,U14-U27)</f>
        <v>0</v>
      </c>
      <c r="V28" s="736">
        <f t="shared" si="18"/>
        <v>0</v>
      </c>
      <c r="W28" s="736">
        <f t="shared" si="18"/>
        <v>0</v>
      </c>
      <c r="X28" s="736">
        <f t="shared" si="18"/>
        <v>0</v>
      </c>
      <c r="Y28" s="737">
        <f t="shared" si="18"/>
        <v>0</v>
      </c>
      <c r="Z28" s="752">
        <f t="shared" si="18"/>
        <v>0</v>
      </c>
      <c r="AA28" s="736">
        <f t="shared" si="18"/>
        <v>0</v>
      </c>
      <c r="AB28" s="736">
        <f t="shared" si="18"/>
        <v>0</v>
      </c>
      <c r="AC28" s="736">
        <f t="shared" si="18"/>
        <v>0</v>
      </c>
      <c r="AD28" s="736">
        <f t="shared" si="18"/>
        <v>0</v>
      </c>
      <c r="AE28" s="737">
        <f t="shared" si="18"/>
        <v>0</v>
      </c>
      <c r="AF28" s="738">
        <f>+MAX(ABS(MAX(D28:AE28)),ABS(MIN(D28:AE28)))</f>
        <v>0</v>
      </c>
      <c r="AG28" s="732"/>
      <c r="AH28" s="732"/>
      <c r="AI28" s="732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</row>
    <row r="29" spans="1:51" x14ac:dyDescent="0.2"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 spans="1:51" ht="15.75" x14ac:dyDescent="0.25">
      <c r="A30" s="727" t="str">
        <f>+Assumpt!$A$1</f>
        <v>Panama Regas Terminal</v>
      </c>
      <c r="B30" s="603"/>
      <c r="C30" s="200"/>
      <c r="D30" s="200"/>
      <c r="E30" s="200"/>
      <c r="F30" s="200"/>
      <c r="G30" s="200"/>
      <c r="H30" s="200"/>
      <c r="I30" s="232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1"/>
      <c r="Z30" s="200"/>
      <c r="AA30" s="200"/>
      <c r="AB30" s="200"/>
      <c r="AC30" s="200"/>
      <c r="AD30" s="200"/>
      <c r="AE30" s="201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 spans="1:51" ht="15.75" x14ac:dyDescent="0.25">
      <c r="A31" s="728" t="str">
        <f>+Assumpt!$A$2</f>
        <v>Enron International</v>
      </c>
      <c r="B31" s="729"/>
      <c r="C31" s="44"/>
      <c r="D31" s="485" t="s">
        <v>78</v>
      </c>
      <c r="E31" s="198">
        <f t="shared" ref="E31:AE31" si="19">+E2</f>
        <v>2003</v>
      </c>
      <c r="F31" s="198">
        <f t="shared" si="19"/>
        <v>2004</v>
      </c>
      <c r="G31" s="198">
        <f t="shared" si="19"/>
        <v>2005</v>
      </c>
      <c r="H31" s="198">
        <f t="shared" si="19"/>
        <v>2006</v>
      </c>
      <c r="I31" s="198">
        <f t="shared" si="19"/>
        <v>2007</v>
      </c>
      <c r="J31" s="198">
        <f t="shared" si="19"/>
        <v>2008</v>
      </c>
      <c r="K31" s="198">
        <f t="shared" si="19"/>
        <v>2009</v>
      </c>
      <c r="L31" s="198">
        <f t="shared" si="19"/>
        <v>2010</v>
      </c>
      <c r="M31" s="198">
        <f t="shared" si="19"/>
        <v>2011</v>
      </c>
      <c r="N31" s="198">
        <f t="shared" si="19"/>
        <v>2012</v>
      </c>
      <c r="O31" s="198">
        <f t="shared" si="19"/>
        <v>2013</v>
      </c>
      <c r="P31" s="198">
        <f t="shared" si="19"/>
        <v>2014</v>
      </c>
      <c r="Q31" s="198">
        <f t="shared" si="19"/>
        <v>2015</v>
      </c>
      <c r="R31" s="198">
        <f t="shared" si="19"/>
        <v>2016</v>
      </c>
      <c r="S31" s="198">
        <f t="shared" si="19"/>
        <v>2017</v>
      </c>
      <c r="T31" s="198">
        <f t="shared" si="19"/>
        <v>2018</v>
      </c>
      <c r="U31" s="198">
        <f t="shared" si="19"/>
        <v>2019</v>
      </c>
      <c r="V31" s="198">
        <f t="shared" si="19"/>
        <v>2020</v>
      </c>
      <c r="W31" s="198">
        <f t="shared" si="19"/>
        <v>2021</v>
      </c>
      <c r="X31" s="198">
        <f t="shared" si="19"/>
        <v>2022</v>
      </c>
      <c r="Y31" s="724">
        <f t="shared" si="19"/>
        <v>2023</v>
      </c>
      <c r="Z31" s="198">
        <f t="shared" si="19"/>
        <v>2024</v>
      </c>
      <c r="AA31" s="198">
        <f t="shared" si="19"/>
        <v>2025</v>
      </c>
      <c r="AB31" s="198">
        <f t="shared" si="19"/>
        <v>2026</v>
      </c>
      <c r="AC31" s="198">
        <f t="shared" si="19"/>
        <v>2027</v>
      </c>
      <c r="AD31" s="198">
        <f t="shared" si="19"/>
        <v>2028</v>
      </c>
      <c r="AE31" s="724">
        <f t="shared" si="19"/>
        <v>2029</v>
      </c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 spans="1:51" ht="15.75" x14ac:dyDescent="0.25">
      <c r="A32" s="586" t="s">
        <v>181</v>
      </c>
      <c r="B32" s="414"/>
      <c r="C32" s="44"/>
      <c r="D32" s="256" t="s">
        <v>77</v>
      </c>
      <c r="E32" s="77">
        <f t="shared" ref="E32:AE32" si="20">+E3</f>
        <v>1</v>
      </c>
      <c r="F32" s="77">
        <f t="shared" si="20"/>
        <v>2</v>
      </c>
      <c r="G32" s="77">
        <f t="shared" si="20"/>
        <v>3</v>
      </c>
      <c r="H32" s="77">
        <f t="shared" si="20"/>
        <v>4</v>
      </c>
      <c r="I32" s="77">
        <f t="shared" si="20"/>
        <v>5</v>
      </c>
      <c r="J32" s="77">
        <f t="shared" si="20"/>
        <v>6</v>
      </c>
      <c r="K32" s="77">
        <f t="shared" si="20"/>
        <v>7</v>
      </c>
      <c r="L32" s="77">
        <f t="shared" si="20"/>
        <v>8</v>
      </c>
      <c r="M32" s="77">
        <f t="shared" si="20"/>
        <v>9</v>
      </c>
      <c r="N32" s="77">
        <f t="shared" si="20"/>
        <v>10</v>
      </c>
      <c r="O32" s="77">
        <f t="shared" si="20"/>
        <v>11</v>
      </c>
      <c r="P32" s="77">
        <f t="shared" si="20"/>
        <v>12</v>
      </c>
      <c r="Q32" s="77">
        <f t="shared" si="20"/>
        <v>13</v>
      </c>
      <c r="R32" s="77">
        <f t="shared" si="20"/>
        <v>14</v>
      </c>
      <c r="S32" s="77">
        <f t="shared" si="20"/>
        <v>15</v>
      </c>
      <c r="T32" s="77">
        <f t="shared" si="20"/>
        <v>15</v>
      </c>
      <c r="U32" s="77">
        <f t="shared" si="20"/>
        <v>15</v>
      </c>
      <c r="V32" s="77">
        <f t="shared" si="20"/>
        <v>15</v>
      </c>
      <c r="W32" s="77">
        <f t="shared" si="20"/>
        <v>15</v>
      </c>
      <c r="X32" s="77">
        <f t="shared" si="20"/>
        <v>15</v>
      </c>
      <c r="Y32" s="205">
        <f t="shared" si="20"/>
        <v>15</v>
      </c>
      <c r="Z32" s="77">
        <f t="shared" si="20"/>
        <v>15</v>
      </c>
      <c r="AA32" s="77">
        <f t="shared" si="20"/>
        <v>15</v>
      </c>
      <c r="AB32" s="77">
        <f t="shared" si="20"/>
        <v>15</v>
      </c>
      <c r="AC32" s="77">
        <f t="shared" si="20"/>
        <v>15</v>
      </c>
      <c r="AD32" s="77">
        <f t="shared" si="20"/>
        <v>15</v>
      </c>
      <c r="AE32" s="205">
        <f t="shared" si="20"/>
        <v>15</v>
      </c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 spans="1:120" x14ac:dyDescent="0.2">
      <c r="A33" s="20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02"/>
      <c r="Z33" s="44"/>
      <c r="AA33" s="44"/>
      <c r="AB33" s="44"/>
      <c r="AC33" s="44"/>
      <c r="AD33" s="44"/>
      <c r="AE33" s="202"/>
      <c r="AF33" s="53"/>
      <c r="AG33" s="53"/>
      <c r="AH33" s="53"/>
      <c r="AI33" s="53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 spans="1:120" x14ac:dyDescent="0.2">
      <c r="A34" s="203" t="s">
        <v>182</v>
      </c>
      <c r="B34" s="44"/>
      <c r="C34" s="44"/>
      <c r="D34" s="632">
        <v>0</v>
      </c>
      <c r="E34" s="77">
        <f>+CF!E23</f>
        <v>17568.763848229246</v>
      </c>
      <c r="F34" s="77">
        <f>+CF!F23</f>
        <v>18068.1229716858</v>
      </c>
      <c r="G34" s="77">
        <f>+CF!G23</f>
        <v>35428.601283146672</v>
      </c>
      <c r="H34" s="77">
        <f>+CF!H23</f>
        <v>37258.899321438505</v>
      </c>
      <c r="I34" s="77">
        <f>+CF!I23</f>
        <v>38176.075296470386</v>
      </c>
      <c r="J34" s="77">
        <f>+CF!J23</f>
        <v>39656.604069672176</v>
      </c>
      <c r="K34" s="77">
        <f>+CF!K23</f>
        <v>40706.48577464425</v>
      </c>
      <c r="L34" s="77">
        <f>+CF!L23</f>
        <v>75264.051473329571</v>
      </c>
      <c r="M34" s="77">
        <f>+CF!M23</f>
        <v>81553.250207261823</v>
      </c>
      <c r="N34" s="77">
        <f>+CF!N23</f>
        <v>83820.066305330474</v>
      </c>
      <c r="O34" s="77">
        <f>+CF!O23</f>
        <v>86313.366504590158</v>
      </c>
      <c r="P34" s="77">
        <f>+CF!P23</f>
        <v>89671.747253414433</v>
      </c>
      <c r="Q34" s="77">
        <f>+CF!Q23</f>
        <v>91465.182198482755</v>
      </c>
      <c r="R34" s="77">
        <f>+CF!R23</f>
        <v>93294.485842452399</v>
      </c>
      <c r="S34" s="77">
        <f>+CF!S23</f>
        <v>95160.37555930145</v>
      </c>
      <c r="T34" s="77">
        <f>+CF!T23</f>
        <v>0</v>
      </c>
      <c r="U34" s="77">
        <f>+CF!U23</f>
        <v>0</v>
      </c>
      <c r="V34" s="77">
        <f>+CF!V23</f>
        <v>0</v>
      </c>
      <c r="W34" s="77">
        <f>+CF!W23</f>
        <v>0</v>
      </c>
      <c r="X34" s="77">
        <f>+CF!X23</f>
        <v>0</v>
      </c>
      <c r="Y34" s="205">
        <f>+CF!Y23</f>
        <v>0</v>
      </c>
      <c r="Z34" s="77">
        <f>+CF!Z23</f>
        <v>0</v>
      </c>
      <c r="AA34" s="77">
        <f>+CF!AA23</f>
        <v>0</v>
      </c>
      <c r="AB34" s="77">
        <f>+CF!AB23</f>
        <v>0</v>
      </c>
      <c r="AC34" s="77">
        <f>+CF!AC23</f>
        <v>0</v>
      </c>
      <c r="AD34" s="77">
        <f>+CF!AD23</f>
        <v>0</v>
      </c>
      <c r="AE34" s="205">
        <f>+CF!AE23</f>
        <v>0</v>
      </c>
      <c r="AF34" s="217"/>
      <c r="AG34" s="217"/>
      <c r="AH34" s="217"/>
      <c r="AI34" s="217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 spans="1:120" x14ac:dyDescent="0.2">
      <c r="A35" s="203"/>
      <c r="B35" s="44"/>
      <c r="C35" s="44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205"/>
      <c r="Z35" s="77"/>
      <c r="AA35" s="77"/>
      <c r="AB35" s="77"/>
      <c r="AC35" s="77"/>
      <c r="AD35" s="77"/>
      <c r="AE35" s="205"/>
      <c r="AF35" s="210"/>
      <c r="AG35" s="210"/>
      <c r="AH35" s="210"/>
      <c r="AI35" s="210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120" x14ac:dyDescent="0.2">
      <c r="A36" s="572" t="s">
        <v>289</v>
      </c>
      <c r="B36" s="44"/>
      <c r="C36" s="44"/>
      <c r="D36" s="632">
        <v>0</v>
      </c>
      <c r="E36" s="77">
        <f>+CF!E36</f>
        <v>10131.5650176</v>
      </c>
      <c r="F36" s="77">
        <f>+CF!F36</f>
        <v>10334.196317951999</v>
      </c>
      <c r="G36" s="77">
        <f>+CF!G36</f>
        <v>10540.88024431104</v>
      </c>
      <c r="H36" s="77">
        <f>+CF!H36</f>
        <v>10751.697849197259</v>
      </c>
      <c r="I36" s="77">
        <f>+CF!I36</f>
        <v>10966.731806181206</v>
      </c>
      <c r="J36" s="77">
        <f>+CF!J36</f>
        <v>11186.066442304829</v>
      </c>
      <c r="K36" s="77">
        <f>+CF!K36</f>
        <v>11409.787771150926</v>
      </c>
      <c r="L36" s="77">
        <f>+CF!L36</f>
        <v>11637.983526573942</v>
      </c>
      <c r="M36" s="77">
        <f>+CF!M36</f>
        <v>11870.743197105423</v>
      </c>
      <c r="N36" s="77">
        <f>+CF!N36</f>
        <v>12108.15806104753</v>
      </c>
      <c r="O36" s="77">
        <f>+CF!O36</f>
        <v>12350.321222268483</v>
      </c>
      <c r="P36" s="77">
        <f>+CF!P36</f>
        <v>12597.327646713851</v>
      </c>
      <c r="Q36" s="77">
        <f>+CF!Q36</f>
        <v>12849.274199648129</v>
      </c>
      <c r="R36" s="77">
        <f>+CF!R36</f>
        <v>13106.25968364109</v>
      </c>
      <c r="S36" s="77">
        <f>+CF!S36</f>
        <v>13368.384877313913</v>
      </c>
      <c r="T36" s="77">
        <f>+CF!T36</f>
        <v>0</v>
      </c>
      <c r="U36" s="77">
        <f>+CF!U36</f>
        <v>0</v>
      </c>
      <c r="V36" s="77">
        <f>+CF!V36</f>
        <v>0</v>
      </c>
      <c r="W36" s="77">
        <f>+CF!W36</f>
        <v>0</v>
      </c>
      <c r="X36" s="77">
        <f>+CF!X36</f>
        <v>0</v>
      </c>
      <c r="Y36" s="205">
        <f>+CF!Y36</f>
        <v>0</v>
      </c>
      <c r="Z36" s="77">
        <f>+CF!Z36</f>
        <v>0</v>
      </c>
      <c r="AA36" s="77">
        <f>+CF!AA36</f>
        <v>0</v>
      </c>
      <c r="AB36" s="77">
        <f>+CF!AB36</f>
        <v>0</v>
      </c>
      <c r="AC36" s="77">
        <f>+CF!AC36</f>
        <v>0</v>
      </c>
      <c r="AD36" s="77">
        <f>+CF!AD36</f>
        <v>0</v>
      </c>
      <c r="AE36" s="205">
        <f>+CF!AE36</f>
        <v>0</v>
      </c>
      <c r="AF36" s="217"/>
      <c r="AG36" s="217"/>
      <c r="AH36" s="217"/>
      <c r="AI36" s="217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120" x14ac:dyDescent="0.2">
      <c r="A37" s="572" t="s">
        <v>290</v>
      </c>
      <c r="B37" s="44"/>
      <c r="C37" s="44"/>
      <c r="D37" s="632">
        <v>0</v>
      </c>
      <c r="E37" s="77">
        <f>-CF!E45</f>
        <v>37</v>
      </c>
      <c r="F37" s="77">
        <f>-CF!F45</f>
        <v>37</v>
      </c>
      <c r="G37" s="77">
        <f>-CF!G45</f>
        <v>37</v>
      </c>
      <c r="H37" s="77">
        <f>-CF!H45</f>
        <v>37</v>
      </c>
      <c r="I37" s="77">
        <f>-CF!I45</f>
        <v>37</v>
      </c>
      <c r="J37" s="77">
        <f>-CF!J45</f>
        <v>37</v>
      </c>
      <c r="K37" s="77">
        <f>-CF!K45</f>
        <v>37</v>
      </c>
      <c r="L37" s="77">
        <f>-CF!L45</f>
        <v>37</v>
      </c>
      <c r="M37" s="77">
        <f>-CF!M45</f>
        <v>37</v>
      </c>
      <c r="N37" s="77">
        <f>-CF!N45</f>
        <v>37</v>
      </c>
      <c r="O37" s="77">
        <f>-CF!O45</f>
        <v>37</v>
      </c>
      <c r="P37" s="77">
        <f>-CF!P45</f>
        <v>37</v>
      </c>
      <c r="Q37" s="77">
        <f>-CF!Q45</f>
        <v>37</v>
      </c>
      <c r="R37" s="77">
        <f>-CF!R45</f>
        <v>37</v>
      </c>
      <c r="S37" s="77">
        <f>-CF!S45</f>
        <v>37</v>
      </c>
      <c r="T37" s="77">
        <f>-CF!T45</f>
        <v>0</v>
      </c>
      <c r="U37" s="77">
        <f>-CF!U45</f>
        <v>0</v>
      </c>
      <c r="V37" s="77">
        <f>-CF!V45</f>
        <v>0</v>
      </c>
      <c r="W37" s="77">
        <f>-CF!W45</f>
        <v>0</v>
      </c>
      <c r="X37" s="77">
        <f>-CF!X45</f>
        <v>0</v>
      </c>
      <c r="Y37" s="205">
        <f>-CF!Y45</f>
        <v>0</v>
      </c>
      <c r="Z37" s="77">
        <f>-CF!Z45</f>
        <v>0</v>
      </c>
      <c r="AA37" s="77">
        <f>-CF!AA45</f>
        <v>0</v>
      </c>
      <c r="AB37" s="77">
        <f>-CF!AB45</f>
        <v>0</v>
      </c>
      <c r="AC37" s="77">
        <f>-CF!AC45</f>
        <v>0</v>
      </c>
      <c r="AD37" s="77">
        <f>-CF!AD45</f>
        <v>0</v>
      </c>
      <c r="AE37" s="205">
        <f>-CF!AE45</f>
        <v>0</v>
      </c>
      <c r="AF37" s="217"/>
      <c r="AG37" s="217"/>
      <c r="AH37" s="217"/>
      <c r="AI37" s="217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 spans="1:120" x14ac:dyDescent="0.2">
      <c r="A38" s="572" t="s">
        <v>183</v>
      </c>
      <c r="B38" s="44"/>
      <c r="C38" s="44"/>
      <c r="D38" s="632">
        <v>0</v>
      </c>
      <c r="E38" s="77">
        <f>-CF!E52</f>
        <v>4219.569848176724</v>
      </c>
      <c r="F38" s="77">
        <f>-CF!F52</f>
        <v>4219.569848176724</v>
      </c>
      <c r="G38" s="77">
        <f>-CF!G52</f>
        <v>4219.569848176724</v>
      </c>
      <c r="H38" s="77">
        <f>-CF!H52</f>
        <v>4219.569848176724</v>
      </c>
      <c r="I38" s="77">
        <f>-CF!I52</f>
        <v>4219.569848176724</v>
      </c>
      <c r="J38" s="77">
        <f>-CF!J52</f>
        <v>4219.569848176724</v>
      </c>
      <c r="K38" s="77">
        <f>-CF!K52</f>
        <v>4219.569848176724</v>
      </c>
      <c r="L38" s="77">
        <f>-CF!L52</f>
        <v>4219.569848176724</v>
      </c>
      <c r="M38" s="77">
        <f>-CF!M52</f>
        <v>4219.569848176724</v>
      </c>
      <c r="N38" s="77">
        <f>-CF!N52</f>
        <v>4219.569848176724</v>
      </c>
      <c r="O38" s="77">
        <f>-CF!O52</f>
        <v>4219.569848176724</v>
      </c>
      <c r="P38" s="77">
        <f>-CF!P52</f>
        <v>4219.569848176724</v>
      </c>
      <c r="Q38" s="77">
        <f>-CF!Q52</f>
        <v>4219.569848176724</v>
      </c>
      <c r="R38" s="77">
        <f>-CF!R52</f>
        <v>4219.569848176724</v>
      </c>
      <c r="S38" s="77">
        <f>-CF!S52</f>
        <v>4219.569848176724</v>
      </c>
      <c r="T38" s="77">
        <f>-CF!T52</f>
        <v>0</v>
      </c>
      <c r="U38" s="77">
        <f>-CF!U52</f>
        <v>0</v>
      </c>
      <c r="V38" s="77">
        <f>-CF!V52</f>
        <v>0</v>
      </c>
      <c r="W38" s="77">
        <f>-CF!W52</f>
        <v>0</v>
      </c>
      <c r="X38" s="77">
        <f>-CF!X52</f>
        <v>0</v>
      </c>
      <c r="Y38" s="205">
        <f>-CF!Y52</f>
        <v>0</v>
      </c>
      <c r="Z38" s="77">
        <f>-CF!Z52</f>
        <v>0</v>
      </c>
      <c r="AA38" s="77">
        <f>-CF!AA52</f>
        <v>0</v>
      </c>
      <c r="AB38" s="77">
        <f>-CF!AB52</f>
        <v>0</v>
      </c>
      <c r="AC38" s="77">
        <f>-CF!AC52</f>
        <v>0</v>
      </c>
      <c r="AD38" s="77">
        <f>-CF!AD52</f>
        <v>0</v>
      </c>
      <c r="AE38" s="205">
        <f>-CF!AE52</f>
        <v>0</v>
      </c>
      <c r="AF38" s="217"/>
      <c r="AG38" s="217"/>
      <c r="AH38" s="217"/>
      <c r="AI38" s="217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 spans="1:120" x14ac:dyDescent="0.2">
      <c r="A39" s="572" t="s">
        <v>184</v>
      </c>
      <c r="B39" s="44"/>
      <c r="C39" s="44"/>
      <c r="D39" s="632">
        <v>0</v>
      </c>
      <c r="E39" s="77">
        <f>-CF!E49</f>
        <v>12115.984615130792</v>
      </c>
      <c r="F39" s="77">
        <f>-CF!F49</f>
        <v>11953.942667125337</v>
      </c>
      <c r="G39" s="77">
        <f>-CF!G49</f>
        <v>11274.621297837295</v>
      </c>
      <c r="H39" s="77">
        <f>-CF!H49</f>
        <v>10529.231679627432</v>
      </c>
      <c r="I39" s="77">
        <f>-CF!I49</f>
        <v>9711.3482623615473</v>
      </c>
      <c r="J39" s="77">
        <f>-CF!J49</f>
        <v>8813.9205709951966</v>
      </c>
      <c r="K39" s="77">
        <f>-CF!K49</f>
        <v>7829.2124277203975</v>
      </c>
      <c r="L39" s="77">
        <f>-CF!L49</f>
        <v>6748.7352630862297</v>
      </c>
      <c r="M39" s="77">
        <f>-CF!M49</f>
        <v>5563.1749412091103</v>
      </c>
      <c r="N39" s="77">
        <f>-CF!N49</f>
        <v>4262.3114682774285</v>
      </c>
      <c r="O39" s="77">
        <f>-CF!O49</f>
        <v>2834.9308922064356</v>
      </c>
      <c r="P39" s="77">
        <f>-CF!P49</f>
        <v>1268.7286339839379</v>
      </c>
      <c r="Q39" s="77">
        <f>-CF!Q49</f>
        <v>0</v>
      </c>
      <c r="R39" s="77">
        <f>-CF!R49</f>
        <v>0</v>
      </c>
      <c r="S39" s="77">
        <f>-CF!S49</f>
        <v>0</v>
      </c>
      <c r="T39" s="77">
        <f>-CF!T49</f>
        <v>0</v>
      </c>
      <c r="U39" s="77">
        <f>-CF!U49</f>
        <v>0</v>
      </c>
      <c r="V39" s="77">
        <f>-CF!V49</f>
        <v>0</v>
      </c>
      <c r="W39" s="77">
        <f>-CF!W49</f>
        <v>0</v>
      </c>
      <c r="X39" s="77">
        <f>-CF!X49</f>
        <v>0</v>
      </c>
      <c r="Y39" s="205">
        <f>-CF!Y49</f>
        <v>0</v>
      </c>
      <c r="Z39" s="77">
        <f>-CF!Z49</f>
        <v>0</v>
      </c>
      <c r="AA39" s="77">
        <f>-CF!AA49</f>
        <v>0</v>
      </c>
      <c r="AB39" s="77">
        <f>-CF!AB49</f>
        <v>0</v>
      </c>
      <c r="AC39" s="77">
        <f>-CF!AC49</f>
        <v>0</v>
      </c>
      <c r="AD39" s="77">
        <f>-CF!AD49</f>
        <v>0</v>
      </c>
      <c r="AE39" s="205">
        <f>-CF!AE49</f>
        <v>0</v>
      </c>
      <c r="AF39" s="217"/>
      <c r="AG39" s="217"/>
      <c r="AH39" s="217"/>
      <c r="AI39" s="217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 spans="1:120" x14ac:dyDescent="0.2">
      <c r="A40" s="572" t="s">
        <v>271</v>
      </c>
      <c r="B40" s="44"/>
      <c r="C40" s="44"/>
      <c r="D40" s="632">
        <v>0</v>
      </c>
      <c r="E40" s="77">
        <f>-CF!E50</f>
        <v>773.36072011473129</v>
      </c>
      <c r="F40" s="77">
        <f>-CF!F50</f>
        <v>763.01761705055333</v>
      </c>
      <c r="G40" s="77">
        <f>-CF!G50</f>
        <v>719.65667858535926</v>
      </c>
      <c r="H40" s="77">
        <f>-CF!H50</f>
        <v>672.07861784855947</v>
      </c>
      <c r="I40" s="77">
        <f>-CF!I50</f>
        <v>619.87329334222636</v>
      </c>
      <c r="J40" s="77">
        <f>-CF!J50</f>
        <v>562.59067474437416</v>
      </c>
      <c r="K40" s="77">
        <f>-CF!K50</f>
        <v>499.73696347151468</v>
      </c>
      <c r="L40" s="77">
        <f>-CF!L50</f>
        <v>430.7703359416742</v>
      </c>
      <c r="M40" s="77">
        <f>-CF!M50</f>
        <v>355.09627284313467</v>
      </c>
      <c r="N40" s="77">
        <f>-CF!N50</f>
        <v>272.06243414536777</v>
      </c>
      <c r="O40" s="77">
        <f>-CF!O50</f>
        <v>180.95303567275118</v>
      </c>
      <c r="P40" s="77">
        <f>-CF!P50</f>
        <v>80.982678764932203</v>
      </c>
      <c r="Q40" s="77">
        <f>-CF!Q50</f>
        <v>0</v>
      </c>
      <c r="R40" s="77">
        <f>-CF!R50</f>
        <v>0</v>
      </c>
      <c r="S40" s="77">
        <f>-CF!S50</f>
        <v>0</v>
      </c>
      <c r="T40" s="77">
        <f>-CF!T50</f>
        <v>0</v>
      </c>
      <c r="U40" s="77">
        <f>-CF!U50</f>
        <v>0</v>
      </c>
      <c r="V40" s="77">
        <f>-CF!V50</f>
        <v>0</v>
      </c>
      <c r="W40" s="77">
        <f>-CF!W50</f>
        <v>0</v>
      </c>
      <c r="X40" s="77">
        <f>-CF!X50</f>
        <v>0</v>
      </c>
      <c r="Y40" s="205">
        <f>-CF!Y50</f>
        <v>0</v>
      </c>
      <c r="Z40" s="77">
        <f>-CF!Z50</f>
        <v>0</v>
      </c>
      <c r="AA40" s="77">
        <f>-CF!AA50</f>
        <v>0</v>
      </c>
      <c r="AB40" s="77">
        <f>-CF!AB50</f>
        <v>0</v>
      </c>
      <c r="AC40" s="77">
        <f>-CF!AC50</f>
        <v>0</v>
      </c>
      <c r="AD40" s="77">
        <f>-CF!AD50</f>
        <v>0</v>
      </c>
      <c r="AE40" s="205">
        <f>-CF!AE50</f>
        <v>0</v>
      </c>
      <c r="AF40" s="217"/>
      <c r="AG40" s="217"/>
      <c r="AH40" s="217"/>
      <c r="AI40" s="217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 spans="1:120" x14ac:dyDescent="0.2">
      <c r="A41" s="572" t="s">
        <v>389</v>
      </c>
      <c r="B41" s="44"/>
      <c r="C41" s="44"/>
      <c r="D41" s="632">
        <v>0</v>
      </c>
      <c r="E41" s="77">
        <f>+'Depn&amp;Tax'!E87</f>
        <v>0</v>
      </c>
      <c r="F41" s="77">
        <f>+'Depn&amp;Tax'!F87</f>
        <v>20</v>
      </c>
      <c r="G41" s="77">
        <f>+'Depn&amp;Tax'!G87</f>
        <v>20</v>
      </c>
      <c r="H41" s="77">
        <f>+'Depn&amp;Tax'!H87</f>
        <v>20</v>
      </c>
      <c r="I41" s="77">
        <f>+'Depn&amp;Tax'!I87</f>
        <v>20</v>
      </c>
      <c r="J41" s="77">
        <f>+'Depn&amp;Tax'!J87</f>
        <v>20</v>
      </c>
      <c r="K41" s="77">
        <f>+'Depn&amp;Tax'!K87</f>
        <v>20</v>
      </c>
      <c r="L41" s="77">
        <f>+'Depn&amp;Tax'!L87</f>
        <v>20</v>
      </c>
      <c r="M41" s="77">
        <f>+'Depn&amp;Tax'!M87</f>
        <v>20</v>
      </c>
      <c r="N41" s="77">
        <f>+'Depn&amp;Tax'!N87</f>
        <v>20</v>
      </c>
      <c r="O41" s="77">
        <f>+'Depn&amp;Tax'!O87</f>
        <v>20</v>
      </c>
      <c r="P41" s="77">
        <f>+'Depn&amp;Tax'!P87</f>
        <v>20</v>
      </c>
      <c r="Q41" s="77">
        <f>+'Depn&amp;Tax'!Q87</f>
        <v>20</v>
      </c>
      <c r="R41" s="77">
        <f>+'Depn&amp;Tax'!R87</f>
        <v>20</v>
      </c>
      <c r="S41" s="77">
        <f>+'Depn&amp;Tax'!S87</f>
        <v>20</v>
      </c>
      <c r="T41" s="77">
        <f>+'Depn&amp;Tax'!T87</f>
        <v>0</v>
      </c>
      <c r="U41" s="77">
        <f>+'Depn&amp;Tax'!U87</f>
        <v>0</v>
      </c>
      <c r="V41" s="77">
        <f>+'Depn&amp;Tax'!V87</f>
        <v>0</v>
      </c>
      <c r="W41" s="77">
        <f>+'Depn&amp;Tax'!W87</f>
        <v>0</v>
      </c>
      <c r="X41" s="77">
        <f>+'Depn&amp;Tax'!X87</f>
        <v>0</v>
      </c>
      <c r="Y41" s="77">
        <f>+'Depn&amp;Tax'!Y87</f>
        <v>0</v>
      </c>
      <c r="Z41" s="77">
        <f>+'Depn&amp;Tax'!Z87</f>
        <v>0</v>
      </c>
      <c r="AA41" s="77">
        <f>+'Depn&amp;Tax'!AA87</f>
        <v>0</v>
      </c>
      <c r="AB41" s="77">
        <f>+'Depn&amp;Tax'!AB87</f>
        <v>0</v>
      </c>
      <c r="AC41" s="77">
        <f>+'Depn&amp;Tax'!AC87</f>
        <v>0</v>
      </c>
      <c r="AD41" s="77">
        <f>+'Depn&amp;Tax'!AD87</f>
        <v>0</v>
      </c>
      <c r="AE41" s="77">
        <f>+'Depn&amp;Tax'!AE87</f>
        <v>0</v>
      </c>
      <c r="AF41" s="217"/>
      <c r="AG41" s="217"/>
      <c r="AH41" s="217"/>
      <c r="AI41" s="217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 spans="1:120" s="221" customFormat="1" x14ac:dyDescent="0.2">
      <c r="A42" s="573" t="s">
        <v>262</v>
      </c>
      <c r="B42" s="208"/>
      <c r="C42" s="113"/>
      <c r="D42" s="72">
        <v>0</v>
      </c>
      <c r="E42" s="72">
        <f>-CF!E53</f>
        <v>0</v>
      </c>
      <c r="F42" s="72">
        <f>-CF!F53</f>
        <v>0</v>
      </c>
      <c r="G42" s="72">
        <f>-CF!G53</f>
        <v>1292.5309821354379</v>
      </c>
      <c r="H42" s="72">
        <f>-CF!H53</f>
        <v>1654.3981989882798</v>
      </c>
      <c r="I42" s="72">
        <f>-CF!I53</f>
        <v>1890.2328129613024</v>
      </c>
      <c r="J42" s="72">
        <f>-CF!J53</f>
        <v>3591.9030046967905</v>
      </c>
      <c r="K42" s="72">
        <f>-CF!K53</f>
        <v>5007.3536292374056</v>
      </c>
      <c r="L42" s="72">
        <f>-CF!L53</f>
        <v>15650.997749865299</v>
      </c>
      <c r="M42" s="72">
        <f>-CF!M53</f>
        <v>17846.299784378232</v>
      </c>
      <c r="N42" s="72">
        <f>-CF!N53</f>
        <v>18870.289348105023</v>
      </c>
      <c r="O42" s="72">
        <f>-CF!O53</f>
        <v>20001.177451879732</v>
      </c>
      <c r="P42" s="72">
        <f>-CF!P53</f>
        <v>21434.441533732497</v>
      </c>
      <c r="Q42" s="72">
        <f>-CF!Q53</f>
        <v>22301.801445197369</v>
      </c>
      <c r="R42" s="72">
        <f>-CF!R53</f>
        <v>22773.496893190375</v>
      </c>
      <c r="S42" s="72">
        <f>-CF!S53</f>
        <v>23254.626250143243</v>
      </c>
      <c r="T42" s="72">
        <f>-CF!T53</f>
        <v>0</v>
      </c>
      <c r="U42" s="72">
        <f>-CF!U53</f>
        <v>0</v>
      </c>
      <c r="V42" s="72">
        <f>-CF!V53</f>
        <v>0</v>
      </c>
      <c r="W42" s="72">
        <f>-CF!W53</f>
        <v>0</v>
      </c>
      <c r="X42" s="72">
        <f>-CF!X53</f>
        <v>0</v>
      </c>
      <c r="Y42" s="407">
        <f>-CF!Y53</f>
        <v>0</v>
      </c>
      <c r="Z42" s="72">
        <f>-CF!Z53</f>
        <v>0</v>
      </c>
      <c r="AA42" s="72">
        <f>-CF!AA53</f>
        <v>0</v>
      </c>
      <c r="AB42" s="72">
        <f>-CF!AB53</f>
        <v>0</v>
      </c>
      <c r="AC42" s="72">
        <f>-CF!AC53</f>
        <v>0</v>
      </c>
      <c r="AD42" s="72">
        <f>-CF!AD53</f>
        <v>0</v>
      </c>
      <c r="AE42" s="407">
        <f>-CF!AE53</f>
        <v>0</v>
      </c>
      <c r="AF42" s="725"/>
      <c r="AG42" s="725"/>
      <c r="AH42" s="725"/>
      <c r="AI42" s="725"/>
      <c r="AJ42" s="725"/>
      <c r="AK42" s="725"/>
      <c r="AL42" s="725"/>
      <c r="AM42" s="725"/>
      <c r="AN42" s="725"/>
      <c r="AO42" s="725"/>
      <c r="AP42" s="725"/>
      <c r="AQ42" s="725"/>
      <c r="AR42" s="725"/>
      <c r="AS42" s="725"/>
      <c r="AT42" s="725"/>
      <c r="AU42" s="725"/>
      <c r="AV42" s="725"/>
      <c r="AW42" s="725"/>
      <c r="AX42" s="725"/>
      <c r="AY42" s="725"/>
      <c r="AZ42" s="725"/>
      <c r="BA42" s="725"/>
      <c r="BB42" s="725"/>
      <c r="BC42" s="725"/>
      <c r="BD42" s="725"/>
      <c r="BE42" s="725"/>
      <c r="BF42" s="725"/>
      <c r="BG42" s="725"/>
      <c r="BH42" s="725"/>
      <c r="BI42" s="725"/>
      <c r="BJ42" s="725"/>
      <c r="BK42" s="725"/>
      <c r="BL42" s="725"/>
      <c r="BM42" s="725"/>
      <c r="BN42" s="725"/>
      <c r="BO42" s="725"/>
      <c r="BP42" s="725"/>
      <c r="BQ42" s="725"/>
      <c r="BR42" s="725"/>
      <c r="BS42" s="725"/>
      <c r="BT42" s="725"/>
      <c r="BU42" s="725"/>
      <c r="BV42" s="725"/>
      <c r="BW42" s="725"/>
      <c r="BX42" s="725"/>
      <c r="BY42" s="725"/>
      <c r="BZ42" s="725"/>
      <c r="CA42" s="725"/>
      <c r="CB42" s="725"/>
      <c r="CC42" s="725"/>
      <c r="CD42" s="725"/>
      <c r="CE42" s="725"/>
      <c r="CF42" s="725"/>
      <c r="CG42" s="725"/>
      <c r="CH42" s="725"/>
      <c r="CI42" s="725"/>
      <c r="CJ42" s="725"/>
      <c r="CK42" s="725"/>
      <c r="CL42" s="725"/>
      <c r="CM42" s="725"/>
      <c r="CN42" s="725"/>
      <c r="CO42" s="725"/>
      <c r="CP42" s="725"/>
      <c r="CQ42" s="725"/>
      <c r="CR42" s="725"/>
      <c r="CS42" s="725"/>
      <c r="CT42" s="725"/>
      <c r="CU42" s="725"/>
      <c r="CV42" s="725"/>
      <c r="CW42" s="725"/>
      <c r="CX42" s="725"/>
      <c r="CY42" s="725"/>
      <c r="CZ42" s="725"/>
      <c r="DA42" s="725"/>
      <c r="DB42" s="725"/>
      <c r="DC42" s="725"/>
      <c r="DD42" s="725"/>
      <c r="DE42" s="725"/>
      <c r="DF42" s="725"/>
      <c r="DG42" s="725"/>
      <c r="DH42" s="725"/>
      <c r="DI42" s="725"/>
      <c r="DJ42" s="725"/>
      <c r="DK42" s="725"/>
      <c r="DL42" s="725"/>
      <c r="DM42" s="725"/>
      <c r="DN42" s="725"/>
      <c r="DO42" s="725"/>
      <c r="DP42" s="725"/>
    </row>
    <row r="43" spans="1:120" x14ac:dyDescent="0.2">
      <c r="A43" s="572" t="s">
        <v>106</v>
      </c>
      <c r="B43" s="44"/>
      <c r="C43" s="44"/>
      <c r="D43" s="77">
        <f>SUM(D36:D42)</f>
        <v>0</v>
      </c>
      <c r="E43" s="77">
        <f t="shared" ref="E43:AE43" si="21">SUM(E36:E42)</f>
        <v>27277.480201022248</v>
      </c>
      <c r="F43" s="77">
        <f t="shared" si="21"/>
        <v>27327.726450304614</v>
      </c>
      <c r="G43" s="77">
        <f t="shared" si="21"/>
        <v>28104.259051045854</v>
      </c>
      <c r="H43" s="77">
        <f t="shared" si="21"/>
        <v>27883.976193838254</v>
      </c>
      <c r="I43" s="77">
        <f t="shared" si="21"/>
        <v>27464.756023023005</v>
      </c>
      <c r="J43" s="77">
        <f t="shared" si="21"/>
        <v>28431.050540917913</v>
      </c>
      <c r="K43" s="77">
        <f t="shared" si="21"/>
        <v>29022.660639756967</v>
      </c>
      <c r="L43" s="77">
        <f t="shared" si="21"/>
        <v>38745.056723643866</v>
      </c>
      <c r="M43" s="77">
        <f t="shared" si="21"/>
        <v>39911.88404371262</v>
      </c>
      <c r="N43" s="77">
        <f t="shared" si="21"/>
        <v>39789.391159752078</v>
      </c>
      <c r="O43" s="77">
        <f t="shared" si="21"/>
        <v>39643.952450204131</v>
      </c>
      <c r="P43" s="77">
        <f t="shared" si="21"/>
        <v>39658.050341371942</v>
      </c>
      <c r="Q43" s="77">
        <f t="shared" si="21"/>
        <v>39427.645493022224</v>
      </c>
      <c r="R43" s="77">
        <f t="shared" si="21"/>
        <v>40156.326425008185</v>
      </c>
      <c r="S43" s="77">
        <f t="shared" si="21"/>
        <v>40899.580975633879</v>
      </c>
      <c r="T43" s="77">
        <f t="shared" si="21"/>
        <v>0</v>
      </c>
      <c r="U43" s="77">
        <f t="shared" si="21"/>
        <v>0</v>
      </c>
      <c r="V43" s="77">
        <f t="shared" si="21"/>
        <v>0</v>
      </c>
      <c r="W43" s="77">
        <f t="shared" si="21"/>
        <v>0</v>
      </c>
      <c r="X43" s="77">
        <f t="shared" si="21"/>
        <v>0</v>
      </c>
      <c r="Y43" s="77">
        <f t="shared" si="21"/>
        <v>0</v>
      </c>
      <c r="Z43" s="77">
        <f t="shared" si="21"/>
        <v>0</v>
      </c>
      <c r="AA43" s="77">
        <f t="shared" si="21"/>
        <v>0</v>
      </c>
      <c r="AB43" s="77">
        <f t="shared" si="21"/>
        <v>0</v>
      </c>
      <c r="AC43" s="77">
        <f t="shared" si="21"/>
        <v>0</v>
      </c>
      <c r="AD43" s="77">
        <f t="shared" si="21"/>
        <v>0</v>
      </c>
      <c r="AE43" s="77">
        <f t="shared" si="21"/>
        <v>0</v>
      </c>
      <c r="AF43" s="210"/>
      <c r="AG43" s="210"/>
      <c r="AH43" s="210"/>
      <c r="AI43" s="210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120" x14ac:dyDescent="0.2">
      <c r="A44" s="203"/>
      <c r="B44" s="44"/>
      <c r="C44" s="44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205"/>
      <c r="Z44" s="77"/>
      <c r="AA44" s="77"/>
      <c r="AB44" s="77"/>
      <c r="AC44" s="77"/>
      <c r="AD44" s="77"/>
      <c r="AE44" s="205"/>
      <c r="AF44" s="210"/>
      <c r="AG44" s="210"/>
      <c r="AH44" s="210"/>
      <c r="AI44" s="210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 spans="1:120" s="231" customFormat="1" x14ac:dyDescent="0.2">
      <c r="A45" s="230" t="s">
        <v>185</v>
      </c>
      <c r="B45" s="227"/>
      <c r="C45" s="233"/>
      <c r="D45" s="338">
        <f t="shared" ref="D45:AE45" si="22">+D34-D43</f>
        <v>0</v>
      </c>
      <c r="E45" s="338">
        <f t="shared" si="22"/>
        <v>-9708.7163527930024</v>
      </c>
      <c r="F45" s="338">
        <f t="shared" si="22"/>
        <v>-9259.6034786188138</v>
      </c>
      <c r="G45" s="338">
        <f t="shared" si="22"/>
        <v>7324.3422321008184</v>
      </c>
      <c r="H45" s="338">
        <f t="shared" si="22"/>
        <v>9374.9231276002502</v>
      </c>
      <c r="I45" s="338">
        <f t="shared" si="22"/>
        <v>10711.319273447381</v>
      </c>
      <c r="J45" s="338">
        <f t="shared" si="22"/>
        <v>11225.553528754263</v>
      </c>
      <c r="K45" s="338">
        <f t="shared" si="22"/>
        <v>11683.825134887284</v>
      </c>
      <c r="L45" s="338">
        <f t="shared" si="22"/>
        <v>36518.994749685706</v>
      </c>
      <c r="M45" s="338">
        <f t="shared" si="22"/>
        <v>41641.366163549203</v>
      </c>
      <c r="N45" s="338">
        <f t="shared" si="22"/>
        <v>44030.675145578396</v>
      </c>
      <c r="O45" s="338">
        <f t="shared" si="22"/>
        <v>46669.414054386027</v>
      </c>
      <c r="P45" s="338">
        <f t="shared" si="22"/>
        <v>50013.696912042491</v>
      </c>
      <c r="Q45" s="338">
        <f t="shared" si="22"/>
        <v>52037.53670546053</v>
      </c>
      <c r="R45" s="338">
        <f t="shared" si="22"/>
        <v>53138.159417444214</v>
      </c>
      <c r="S45" s="338">
        <f t="shared" si="22"/>
        <v>54260.794583667572</v>
      </c>
      <c r="T45" s="338">
        <f t="shared" si="22"/>
        <v>0</v>
      </c>
      <c r="U45" s="338">
        <f t="shared" si="22"/>
        <v>0</v>
      </c>
      <c r="V45" s="338">
        <f t="shared" si="22"/>
        <v>0</v>
      </c>
      <c r="W45" s="338">
        <f t="shared" si="22"/>
        <v>0</v>
      </c>
      <c r="X45" s="338">
        <f t="shared" si="22"/>
        <v>0</v>
      </c>
      <c r="Y45" s="735">
        <f t="shared" si="22"/>
        <v>0</v>
      </c>
      <c r="Z45" s="338">
        <f t="shared" si="22"/>
        <v>0</v>
      </c>
      <c r="AA45" s="338">
        <f t="shared" si="22"/>
        <v>0</v>
      </c>
      <c r="AB45" s="338">
        <f t="shared" si="22"/>
        <v>0</v>
      </c>
      <c r="AC45" s="338">
        <f t="shared" si="22"/>
        <v>0</v>
      </c>
      <c r="AD45" s="338">
        <f t="shared" si="22"/>
        <v>0</v>
      </c>
      <c r="AE45" s="735">
        <f t="shared" si="22"/>
        <v>0</v>
      </c>
      <c r="AF45" s="234"/>
      <c r="AG45" s="234"/>
      <c r="AH45" s="234"/>
      <c r="AI45" s="234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</row>
    <row r="46" spans="1:120" s="13" customFormat="1" x14ac:dyDescent="0.2">
      <c r="A46" s="23"/>
      <c r="B46" s="23"/>
      <c r="C46" s="23"/>
      <c r="D46" s="235"/>
      <c r="E46" s="236" t="str">
        <f>IF(ABS(E45-CF!E55)&lt;1," ",1)</f>
        <v xml:space="preserve"> </v>
      </c>
      <c r="F46" s="236" t="str">
        <f>IF(ABS(F45-CF!F55)&lt;1," ",1)</f>
        <v xml:space="preserve"> </v>
      </c>
      <c r="G46" s="236" t="str">
        <f>IF(ABS(G45-CF!G55)&lt;1," ",1)</f>
        <v xml:space="preserve"> </v>
      </c>
      <c r="H46" s="236" t="str">
        <f>IF(ABS(H45-CF!H55)&lt;1," ",1)</f>
        <v xml:space="preserve"> </v>
      </c>
      <c r="I46" s="236" t="str">
        <f>IF(ABS(I45-CF!I55)&lt;1," ",1)</f>
        <v xml:space="preserve"> </v>
      </c>
      <c r="J46" s="236" t="str">
        <f>IF(ABS(J45-CF!J55)&lt;1," ",1)</f>
        <v xml:space="preserve"> </v>
      </c>
      <c r="K46" s="236" t="str">
        <f>IF(ABS(K45-CF!K55)&lt;1," ",1)</f>
        <v xml:space="preserve"> </v>
      </c>
      <c r="L46" s="236" t="str">
        <f>IF(ABS(L45-CF!L55)&lt;1," ",1)</f>
        <v xml:space="preserve"> </v>
      </c>
      <c r="M46" s="236" t="str">
        <f>IF(ABS(M45-CF!M55)&lt;1," ",1)</f>
        <v xml:space="preserve"> </v>
      </c>
      <c r="N46" s="236" t="str">
        <f>IF(ABS(N45-CF!N55)&lt;1," ",1)</f>
        <v xml:space="preserve"> </v>
      </c>
      <c r="O46" s="236" t="str">
        <f>IF(ABS(O45-CF!O55)&lt;1," ",1)</f>
        <v xml:space="preserve"> </v>
      </c>
      <c r="P46" s="236" t="str">
        <f>IF(ABS(P45-CF!P55)&lt;1," ",1)</f>
        <v xml:space="preserve"> </v>
      </c>
      <c r="Q46" s="236" t="str">
        <f>IF(ABS(Q45-CF!Q55)&lt;1," ",1)</f>
        <v xml:space="preserve"> </v>
      </c>
      <c r="R46" s="236" t="str">
        <f>IF(ABS(R45-CF!R55)&lt;1," ",1)</f>
        <v xml:space="preserve"> </v>
      </c>
      <c r="S46" s="236" t="str">
        <f>IF(ABS(S45-CF!S55)&lt;1," ",1)</f>
        <v xml:space="preserve"> </v>
      </c>
      <c r="T46" s="236" t="str">
        <f>IF(ABS(T45-CF!T55)&lt;1," ",1)</f>
        <v xml:space="preserve"> </v>
      </c>
      <c r="U46" s="236" t="str">
        <f>IF(ABS(U45-CF!U55)&lt;1," ",1)</f>
        <v xml:space="preserve"> </v>
      </c>
      <c r="V46" s="236" t="str">
        <f>IF(ABS(V45-CF!V55)&lt;1," ",1)</f>
        <v xml:space="preserve"> </v>
      </c>
      <c r="W46" s="236" t="str">
        <f>IF(ABS(W45-CF!W55)&lt;1," ",1)</f>
        <v xml:space="preserve"> </v>
      </c>
      <c r="X46" s="236" t="str">
        <f>IF(ABS(X45-CF!X55)&lt;1," ",1)</f>
        <v xml:space="preserve"> </v>
      </c>
      <c r="Y46" s="236" t="str">
        <f>IF(ABS(Y45-CF!Y55)&lt;1," ",1)</f>
        <v xml:space="preserve"> </v>
      </c>
      <c r="Z46" s="236" t="str">
        <f>IF(ABS(Z45-CF!Z55)&lt;1," ",1)</f>
        <v xml:space="preserve"> </v>
      </c>
      <c r="AA46" s="236" t="str">
        <f>IF(ABS(AA45-CF!AA55)&lt;1," ",1)</f>
        <v xml:space="preserve"> </v>
      </c>
      <c r="AB46" s="236" t="str">
        <f>IF(ABS(AB45-CF!AB55)&lt;1," ",1)</f>
        <v xml:space="preserve"> </v>
      </c>
      <c r="AC46" s="236" t="str">
        <f>IF(ABS(AC45-CF!AC55)&lt;1," ",1)</f>
        <v xml:space="preserve"> </v>
      </c>
      <c r="AD46" s="236" t="str">
        <f>IF(ABS(AD45-CF!AD55)&lt;1," ",1)</f>
        <v xml:space="preserve"> </v>
      </c>
      <c r="AE46" s="236" t="str">
        <f>IF(ABS(AE45-CF!AE55)&lt;1," ",1)</f>
        <v xml:space="preserve"> </v>
      </c>
      <c r="AF46" s="738">
        <f>SUM(D46:AE46)</f>
        <v>0</v>
      </c>
      <c r="AG46" s="236"/>
      <c r="AH46" s="236"/>
      <c r="AI46" s="236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120" ht="15.75" x14ac:dyDescent="0.25">
      <c r="A47" s="727" t="str">
        <f>+Assumpt!$A$1</f>
        <v>Panama Regas Terminal</v>
      </c>
      <c r="B47" s="603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1"/>
      <c r="Z47" s="200"/>
      <c r="AA47" s="200"/>
      <c r="AB47" s="200"/>
      <c r="AC47" s="200"/>
      <c r="AD47" s="200"/>
      <c r="AE47" s="201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 spans="1:120" ht="15.75" x14ac:dyDescent="0.25">
      <c r="A48" s="728" t="str">
        <f>+Assumpt!$A$2</f>
        <v>Enron International</v>
      </c>
      <c r="B48" s="729"/>
      <c r="C48" s="44"/>
      <c r="D48" s="485" t="s">
        <v>78</v>
      </c>
      <c r="E48" s="198">
        <f t="shared" ref="E48:AE48" si="23">+E31</f>
        <v>2003</v>
      </c>
      <c r="F48" s="198">
        <f t="shared" si="23"/>
        <v>2004</v>
      </c>
      <c r="G48" s="198">
        <f t="shared" si="23"/>
        <v>2005</v>
      </c>
      <c r="H48" s="198">
        <f t="shared" si="23"/>
        <v>2006</v>
      </c>
      <c r="I48" s="198">
        <f t="shared" si="23"/>
        <v>2007</v>
      </c>
      <c r="J48" s="198">
        <f t="shared" si="23"/>
        <v>2008</v>
      </c>
      <c r="K48" s="198">
        <f t="shared" si="23"/>
        <v>2009</v>
      </c>
      <c r="L48" s="198">
        <f t="shared" si="23"/>
        <v>2010</v>
      </c>
      <c r="M48" s="198">
        <f t="shared" si="23"/>
        <v>2011</v>
      </c>
      <c r="N48" s="198">
        <f t="shared" si="23"/>
        <v>2012</v>
      </c>
      <c r="O48" s="198">
        <f t="shared" si="23"/>
        <v>2013</v>
      </c>
      <c r="P48" s="198">
        <f t="shared" si="23"/>
        <v>2014</v>
      </c>
      <c r="Q48" s="198">
        <f t="shared" si="23"/>
        <v>2015</v>
      </c>
      <c r="R48" s="198">
        <f t="shared" si="23"/>
        <v>2016</v>
      </c>
      <c r="S48" s="198">
        <f t="shared" si="23"/>
        <v>2017</v>
      </c>
      <c r="T48" s="198">
        <f t="shared" si="23"/>
        <v>2018</v>
      </c>
      <c r="U48" s="198">
        <f t="shared" si="23"/>
        <v>2019</v>
      </c>
      <c r="V48" s="198">
        <f t="shared" si="23"/>
        <v>2020</v>
      </c>
      <c r="W48" s="198">
        <f t="shared" si="23"/>
        <v>2021</v>
      </c>
      <c r="X48" s="198">
        <f t="shared" si="23"/>
        <v>2022</v>
      </c>
      <c r="Y48" s="724">
        <f t="shared" si="23"/>
        <v>2023</v>
      </c>
      <c r="Z48" s="198">
        <f t="shared" si="23"/>
        <v>2024</v>
      </c>
      <c r="AA48" s="198">
        <f t="shared" si="23"/>
        <v>2025</v>
      </c>
      <c r="AB48" s="198">
        <f t="shared" si="23"/>
        <v>2026</v>
      </c>
      <c r="AC48" s="198">
        <f t="shared" si="23"/>
        <v>2027</v>
      </c>
      <c r="AD48" s="198">
        <f t="shared" si="23"/>
        <v>2028</v>
      </c>
      <c r="AE48" s="724">
        <f t="shared" si="23"/>
        <v>2029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 spans="1:51" ht="15.75" x14ac:dyDescent="0.25">
      <c r="A49" s="586" t="s">
        <v>186</v>
      </c>
      <c r="B49" s="414"/>
      <c r="C49" s="44"/>
      <c r="D49" s="256" t="s">
        <v>77</v>
      </c>
      <c r="E49" s="77">
        <f t="shared" ref="E49:AE49" si="24">+E32</f>
        <v>1</v>
      </c>
      <c r="F49" s="77">
        <f t="shared" si="24"/>
        <v>2</v>
      </c>
      <c r="G49" s="77">
        <f t="shared" si="24"/>
        <v>3</v>
      </c>
      <c r="H49" s="77">
        <f t="shared" si="24"/>
        <v>4</v>
      </c>
      <c r="I49" s="77">
        <f t="shared" si="24"/>
        <v>5</v>
      </c>
      <c r="J49" s="77">
        <f t="shared" si="24"/>
        <v>6</v>
      </c>
      <c r="K49" s="77">
        <f t="shared" si="24"/>
        <v>7</v>
      </c>
      <c r="L49" s="77">
        <f t="shared" si="24"/>
        <v>8</v>
      </c>
      <c r="M49" s="77">
        <f t="shared" si="24"/>
        <v>9</v>
      </c>
      <c r="N49" s="77">
        <f t="shared" si="24"/>
        <v>10</v>
      </c>
      <c r="O49" s="77">
        <f t="shared" si="24"/>
        <v>11</v>
      </c>
      <c r="P49" s="77">
        <f t="shared" si="24"/>
        <v>12</v>
      </c>
      <c r="Q49" s="77">
        <f t="shared" si="24"/>
        <v>13</v>
      </c>
      <c r="R49" s="77">
        <f t="shared" si="24"/>
        <v>14</v>
      </c>
      <c r="S49" s="77">
        <f t="shared" si="24"/>
        <v>15</v>
      </c>
      <c r="T49" s="77">
        <f t="shared" si="24"/>
        <v>15</v>
      </c>
      <c r="U49" s="77">
        <f t="shared" si="24"/>
        <v>15</v>
      </c>
      <c r="V49" s="77">
        <f t="shared" si="24"/>
        <v>15</v>
      </c>
      <c r="W49" s="77">
        <f t="shared" si="24"/>
        <v>15</v>
      </c>
      <c r="X49" s="77">
        <f t="shared" si="24"/>
        <v>15</v>
      </c>
      <c r="Y49" s="205">
        <f t="shared" si="24"/>
        <v>15</v>
      </c>
      <c r="Z49" s="77">
        <f t="shared" si="24"/>
        <v>15</v>
      </c>
      <c r="AA49" s="77">
        <f t="shared" si="24"/>
        <v>15</v>
      </c>
      <c r="AB49" s="77">
        <f t="shared" si="24"/>
        <v>15</v>
      </c>
      <c r="AC49" s="77">
        <f t="shared" si="24"/>
        <v>15</v>
      </c>
      <c r="AD49" s="77">
        <f t="shared" si="24"/>
        <v>15</v>
      </c>
      <c r="AE49" s="205">
        <f t="shared" si="24"/>
        <v>15</v>
      </c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 spans="1:51" x14ac:dyDescent="0.2">
      <c r="A50" s="20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202"/>
      <c r="Z50" s="44"/>
      <c r="AA50" s="44"/>
      <c r="AB50" s="44"/>
      <c r="AC50" s="44"/>
      <c r="AD50" s="44"/>
      <c r="AE50" s="202"/>
      <c r="AF50" s="53"/>
      <c r="AG50" s="53"/>
      <c r="AH50" s="53"/>
      <c r="AI50" s="53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 spans="1:51" x14ac:dyDescent="0.2">
      <c r="A51" s="203" t="s">
        <v>187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202"/>
      <c r="Z51" s="44"/>
      <c r="AA51" s="44"/>
      <c r="AB51" s="44"/>
      <c r="AC51" s="44"/>
      <c r="AD51" s="44"/>
      <c r="AE51" s="202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51" x14ac:dyDescent="0.2">
      <c r="A52" s="572" t="s">
        <v>188</v>
      </c>
      <c r="B52" s="44"/>
      <c r="C52" s="44"/>
      <c r="D52" s="632">
        <v>0</v>
      </c>
      <c r="E52" s="77">
        <f>+E34</f>
        <v>17568.763848229246</v>
      </c>
      <c r="F52" s="77">
        <f t="shared" ref="F52:AE52" si="25">+F34</f>
        <v>18068.1229716858</v>
      </c>
      <c r="G52" s="77">
        <f t="shared" si="25"/>
        <v>35428.601283146672</v>
      </c>
      <c r="H52" s="77">
        <f t="shared" si="25"/>
        <v>37258.899321438505</v>
      </c>
      <c r="I52" s="77">
        <f t="shared" si="25"/>
        <v>38176.075296470386</v>
      </c>
      <c r="J52" s="77">
        <f t="shared" si="25"/>
        <v>39656.604069672176</v>
      </c>
      <c r="K52" s="77">
        <f t="shared" si="25"/>
        <v>40706.48577464425</v>
      </c>
      <c r="L52" s="77">
        <f t="shared" si="25"/>
        <v>75264.051473329571</v>
      </c>
      <c r="M52" s="77">
        <f t="shared" si="25"/>
        <v>81553.250207261823</v>
      </c>
      <c r="N52" s="77">
        <f t="shared" si="25"/>
        <v>83820.066305330474</v>
      </c>
      <c r="O52" s="77">
        <f t="shared" si="25"/>
        <v>86313.366504590158</v>
      </c>
      <c r="P52" s="77">
        <f t="shared" si="25"/>
        <v>89671.747253414433</v>
      </c>
      <c r="Q52" s="77">
        <f t="shared" si="25"/>
        <v>91465.182198482755</v>
      </c>
      <c r="R52" s="77">
        <f t="shared" si="25"/>
        <v>93294.485842452399</v>
      </c>
      <c r="S52" s="77">
        <f t="shared" si="25"/>
        <v>95160.37555930145</v>
      </c>
      <c r="T52" s="77">
        <f t="shared" si="25"/>
        <v>0</v>
      </c>
      <c r="U52" s="77">
        <f t="shared" si="25"/>
        <v>0</v>
      </c>
      <c r="V52" s="77">
        <f t="shared" si="25"/>
        <v>0</v>
      </c>
      <c r="W52" s="77">
        <f t="shared" si="25"/>
        <v>0</v>
      </c>
      <c r="X52" s="77">
        <f t="shared" si="25"/>
        <v>0</v>
      </c>
      <c r="Y52" s="205">
        <f t="shared" si="25"/>
        <v>0</v>
      </c>
      <c r="Z52" s="77">
        <f t="shared" si="25"/>
        <v>0</v>
      </c>
      <c r="AA52" s="77">
        <f t="shared" si="25"/>
        <v>0</v>
      </c>
      <c r="AB52" s="77">
        <f t="shared" si="25"/>
        <v>0</v>
      </c>
      <c r="AC52" s="77">
        <f t="shared" si="25"/>
        <v>0</v>
      </c>
      <c r="AD52" s="77">
        <f t="shared" si="25"/>
        <v>0</v>
      </c>
      <c r="AE52" s="205">
        <f t="shared" si="25"/>
        <v>0</v>
      </c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 spans="1:51" x14ac:dyDescent="0.2">
      <c r="A53" s="572" t="s">
        <v>189</v>
      </c>
      <c r="B53" s="44"/>
      <c r="C53" s="44"/>
      <c r="D53" s="632">
        <v>0</v>
      </c>
      <c r="E53" s="77">
        <f>-SUM(E36:E37)</f>
        <v>-10168.5650176</v>
      </c>
      <c r="F53" s="77">
        <f t="shared" ref="F53:AE53" si="26">-SUM(F36:F37)</f>
        <v>-10371.196317951999</v>
      </c>
      <c r="G53" s="77">
        <f t="shared" si="26"/>
        <v>-10577.88024431104</v>
      </c>
      <c r="H53" s="77">
        <f t="shared" si="26"/>
        <v>-10788.697849197259</v>
      </c>
      <c r="I53" s="77">
        <f t="shared" si="26"/>
        <v>-11003.731806181206</v>
      </c>
      <c r="J53" s="77">
        <f t="shared" si="26"/>
        <v>-11223.066442304829</v>
      </c>
      <c r="K53" s="77">
        <f t="shared" si="26"/>
        <v>-11446.787771150926</v>
      </c>
      <c r="L53" s="77">
        <f t="shared" si="26"/>
        <v>-11674.983526573942</v>
      </c>
      <c r="M53" s="77">
        <f t="shared" si="26"/>
        <v>-11907.743197105423</v>
      </c>
      <c r="N53" s="77">
        <f t="shared" si="26"/>
        <v>-12145.15806104753</v>
      </c>
      <c r="O53" s="77">
        <f t="shared" si="26"/>
        <v>-12387.321222268483</v>
      </c>
      <c r="P53" s="77">
        <f t="shared" si="26"/>
        <v>-12634.327646713851</v>
      </c>
      <c r="Q53" s="77">
        <f t="shared" si="26"/>
        <v>-12886.274199648129</v>
      </c>
      <c r="R53" s="77">
        <f t="shared" si="26"/>
        <v>-13143.25968364109</v>
      </c>
      <c r="S53" s="77">
        <f t="shared" si="26"/>
        <v>-13405.384877313913</v>
      </c>
      <c r="T53" s="77">
        <f t="shared" si="26"/>
        <v>0</v>
      </c>
      <c r="U53" s="77">
        <f t="shared" si="26"/>
        <v>0</v>
      </c>
      <c r="V53" s="77">
        <f t="shared" si="26"/>
        <v>0</v>
      </c>
      <c r="W53" s="77">
        <f t="shared" si="26"/>
        <v>0</v>
      </c>
      <c r="X53" s="77">
        <f t="shared" si="26"/>
        <v>0</v>
      </c>
      <c r="Y53" s="205">
        <f t="shared" si="26"/>
        <v>0</v>
      </c>
      <c r="Z53" s="77">
        <f t="shared" si="26"/>
        <v>0</v>
      </c>
      <c r="AA53" s="77">
        <f t="shared" si="26"/>
        <v>0</v>
      </c>
      <c r="AB53" s="77">
        <f t="shared" si="26"/>
        <v>0</v>
      </c>
      <c r="AC53" s="77">
        <f t="shared" si="26"/>
        <v>0</v>
      </c>
      <c r="AD53" s="77">
        <f t="shared" si="26"/>
        <v>0</v>
      </c>
      <c r="AE53" s="205">
        <f t="shared" si="26"/>
        <v>0</v>
      </c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 spans="1:51" x14ac:dyDescent="0.2">
      <c r="A54" s="599" t="s">
        <v>264</v>
      </c>
      <c r="B54" s="44"/>
      <c r="C54" s="44"/>
      <c r="D54" s="632">
        <v>0</v>
      </c>
      <c r="E54" s="77">
        <f>+D7-E7</f>
        <v>-1266.4456272</v>
      </c>
      <c r="F54" s="77">
        <f t="shared" ref="F54:AE54" si="27">+E7-F7</f>
        <v>0</v>
      </c>
      <c r="G54" s="77">
        <f t="shared" si="27"/>
        <v>0</v>
      </c>
      <c r="H54" s="77">
        <f t="shared" si="27"/>
        <v>0</v>
      </c>
      <c r="I54" s="77">
        <f t="shared" si="27"/>
        <v>0</v>
      </c>
      <c r="J54" s="77">
        <f t="shared" si="27"/>
        <v>0</v>
      </c>
      <c r="K54" s="77">
        <f t="shared" si="27"/>
        <v>0</v>
      </c>
      <c r="L54" s="77">
        <f t="shared" si="27"/>
        <v>0</v>
      </c>
      <c r="M54" s="77">
        <f t="shared" si="27"/>
        <v>0</v>
      </c>
      <c r="N54" s="77">
        <f t="shared" si="27"/>
        <v>0</v>
      </c>
      <c r="O54" s="77">
        <f t="shared" si="27"/>
        <v>0</v>
      </c>
      <c r="P54" s="77">
        <f t="shared" si="27"/>
        <v>0</v>
      </c>
      <c r="Q54" s="77">
        <f t="shared" si="27"/>
        <v>0</v>
      </c>
      <c r="R54" s="77">
        <f t="shared" si="27"/>
        <v>0</v>
      </c>
      <c r="S54" s="77">
        <f t="shared" si="27"/>
        <v>0</v>
      </c>
      <c r="T54" s="77">
        <f t="shared" si="27"/>
        <v>0</v>
      </c>
      <c r="U54" s="77">
        <f t="shared" si="27"/>
        <v>0</v>
      </c>
      <c r="V54" s="77">
        <f t="shared" si="27"/>
        <v>0</v>
      </c>
      <c r="W54" s="77">
        <f t="shared" si="27"/>
        <v>0</v>
      </c>
      <c r="X54" s="77">
        <f t="shared" si="27"/>
        <v>0</v>
      </c>
      <c r="Y54" s="205">
        <f t="shared" si="27"/>
        <v>0</v>
      </c>
      <c r="Z54" s="77">
        <f t="shared" si="27"/>
        <v>0</v>
      </c>
      <c r="AA54" s="77">
        <f t="shared" si="27"/>
        <v>0</v>
      </c>
      <c r="AB54" s="77">
        <f t="shared" si="27"/>
        <v>0</v>
      </c>
      <c r="AC54" s="77">
        <f t="shared" si="27"/>
        <v>0</v>
      </c>
      <c r="AD54" s="77">
        <f t="shared" si="27"/>
        <v>0</v>
      </c>
      <c r="AE54" s="205">
        <f t="shared" si="27"/>
        <v>0</v>
      </c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 spans="1:51" x14ac:dyDescent="0.2">
      <c r="A55" s="599" t="s">
        <v>190</v>
      </c>
      <c r="B55" s="44"/>
      <c r="C55" s="44"/>
      <c r="D55" s="632">
        <v>0</v>
      </c>
      <c r="E55" s="77">
        <f>-E39</f>
        <v>-12115.984615130792</v>
      </c>
      <c r="F55" s="77">
        <f t="shared" ref="F55:AE55" si="28">-F39</f>
        <v>-11953.942667125337</v>
      </c>
      <c r="G55" s="77">
        <f t="shared" si="28"/>
        <v>-11274.621297837295</v>
      </c>
      <c r="H55" s="77">
        <f t="shared" si="28"/>
        <v>-10529.231679627432</v>
      </c>
      <c r="I55" s="77">
        <f t="shared" si="28"/>
        <v>-9711.3482623615473</v>
      </c>
      <c r="J55" s="77">
        <f t="shared" si="28"/>
        <v>-8813.9205709951966</v>
      </c>
      <c r="K55" s="77">
        <f t="shared" si="28"/>
        <v>-7829.2124277203975</v>
      </c>
      <c r="L55" s="77">
        <f t="shared" si="28"/>
        <v>-6748.7352630862297</v>
      </c>
      <c r="M55" s="77">
        <f t="shared" si="28"/>
        <v>-5563.1749412091103</v>
      </c>
      <c r="N55" s="77">
        <f t="shared" si="28"/>
        <v>-4262.3114682774285</v>
      </c>
      <c r="O55" s="77">
        <f t="shared" si="28"/>
        <v>-2834.9308922064356</v>
      </c>
      <c r="P55" s="77">
        <f t="shared" si="28"/>
        <v>-1268.7286339839379</v>
      </c>
      <c r="Q55" s="77">
        <f t="shared" si="28"/>
        <v>0</v>
      </c>
      <c r="R55" s="77">
        <f t="shared" si="28"/>
        <v>0</v>
      </c>
      <c r="S55" s="77">
        <f t="shared" si="28"/>
        <v>0</v>
      </c>
      <c r="T55" s="77">
        <f t="shared" si="28"/>
        <v>0</v>
      </c>
      <c r="U55" s="77">
        <f t="shared" si="28"/>
        <v>0</v>
      </c>
      <c r="V55" s="77">
        <f t="shared" si="28"/>
        <v>0</v>
      </c>
      <c r="W55" s="77">
        <f t="shared" si="28"/>
        <v>0</v>
      </c>
      <c r="X55" s="77">
        <f t="shared" si="28"/>
        <v>0</v>
      </c>
      <c r="Y55" s="205">
        <f t="shared" si="28"/>
        <v>0</v>
      </c>
      <c r="Z55" s="77">
        <f t="shared" si="28"/>
        <v>0</v>
      </c>
      <c r="AA55" s="77">
        <f t="shared" si="28"/>
        <v>0</v>
      </c>
      <c r="AB55" s="77">
        <f t="shared" si="28"/>
        <v>0</v>
      </c>
      <c r="AC55" s="77">
        <f t="shared" si="28"/>
        <v>0</v>
      </c>
      <c r="AD55" s="77">
        <f t="shared" si="28"/>
        <v>0</v>
      </c>
      <c r="AE55" s="205">
        <f t="shared" si="28"/>
        <v>0</v>
      </c>
      <c r="AF55" s="218"/>
      <c r="AG55" s="218"/>
      <c r="AH55" s="218"/>
      <c r="AI55" s="218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 spans="1:51" x14ac:dyDescent="0.2">
      <c r="A56" s="572" t="s">
        <v>271</v>
      </c>
      <c r="B56" s="44"/>
      <c r="C56" s="44"/>
      <c r="D56" s="632">
        <v>0</v>
      </c>
      <c r="E56" s="77">
        <f>-E40</f>
        <v>-773.36072011473129</v>
      </c>
      <c r="F56" s="77">
        <f t="shared" ref="F56:AE57" si="29">-F40</f>
        <v>-763.01761705055333</v>
      </c>
      <c r="G56" s="77">
        <f t="shared" si="29"/>
        <v>-719.65667858535926</v>
      </c>
      <c r="H56" s="77">
        <f t="shared" si="29"/>
        <v>-672.07861784855947</v>
      </c>
      <c r="I56" s="77">
        <f t="shared" si="29"/>
        <v>-619.87329334222636</v>
      </c>
      <c r="J56" s="77">
        <f t="shared" si="29"/>
        <v>-562.59067474437416</v>
      </c>
      <c r="K56" s="77">
        <f t="shared" si="29"/>
        <v>-499.73696347151468</v>
      </c>
      <c r="L56" s="77">
        <f t="shared" si="29"/>
        <v>-430.7703359416742</v>
      </c>
      <c r="M56" s="77">
        <f t="shared" si="29"/>
        <v>-355.09627284313467</v>
      </c>
      <c r="N56" s="77">
        <f t="shared" si="29"/>
        <v>-272.06243414536777</v>
      </c>
      <c r="O56" s="77">
        <f t="shared" si="29"/>
        <v>-180.95303567275118</v>
      </c>
      <c r="P56" s="77">
        <f t="shared" si="29"/>
        <v>-80.982678764932203</v>
      </c>
      <c r="Q56" s="77">
        <f t="shared" si="29"/>
        <v>0</v>
      </c>
      <c r="R56" s="77">
        <f t="shared" si="29"/>
        <v>0</v>
      </c>
      <c r="S56" s="77">
        <f t="shared" si="29"/>
        <v>0</v>
      </c>
      <c r="T56" s="77">
        <f t="shared" si="29"/>
        <v>0</v>
      </c>
      <c r="U56" s="77">
        <f t="shared" si="29"/>
        <v>0</v>
      </c>
      <c r="V56" s="77">
        <f t="shared" si="29"/>
        <v>0</v>
      </c>
      <c r="W56" s="77">
        <f t="shared" si="29"/>
        <v>0</v>
      </c>
      <c r="X56" s="77">
        <f t="shared" si="29"/>
        <v>0</v>
      </c>
      <c r="Y56" s="205">
        <f t="shared" si="29"/>
        <v>0</v>
      </c>
      <c r="Z56" s="77">
        <f t="shared" si="29"/>
        <v>0</v>
      </c>
      <c r="AA56" s="77">
        <f t="shared" si="29"/>
        <v>0</v>
      </c>
      <c r="AB56" s="77">
        <f t="shared" si="29"/>
        <v>0</v>
      </c>
      <c r="AC56" s="77">
        <f t="shared" si="29"/>
        <v>0</v>
      </c>
      <c r="AD56" s="77">
        <f t="shared" si="29"/>
        <v>0</v>
      </c>
      <c r="AE56" s="205">
        <f t="shared" si="29"/>
        <v>0</v>
      </c>
      <c r="AF56" s="218"/>
      <c r="AG56" s="218"/>
      <c r="AH56" s="218"/>
      <c r="AI56" s="218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 spans="1:51" x14ac:dyDescent="0.2">
      <c r="A57" s="572" t="s">
        <v>389</v>
      </c>
      <c r="B57" s="44"/>
      <c r="C57" s="44"/>
      <c r="D57" s="632">
        <v>0</v>
      </c>
      <c r="E57" s="77">
        <f>-E41</f>
        <v>0</v>
      </c>
      <c r="F57" s="77">
        <f t="shared" si="29"/>
        <v>-20</v>
      </c>
      <c r="G57" s="77">
        <f t="shared" si="29"/>
        <v>-20</v>
      </c>
      <c r="H57" s="77">
        <f t="shared" si="29"/>
        <v>-20</v>
      </c>
      <c r="I57" s="77">
        <f t="shared" si="29"/>
        <v>-20</v>
      </c>
      <c r="J57" s="77">
        <f t="shared" si="29"/>
        <v>-20</v>
      </c>
      <c r="K57" s="77">
        <f t="shared" si="29"/>
        <v>-20</v>
      </c>
      <c r="L57" s="77">
        <f t="shared" si="29"/>
        <v>-20</v>
      </c>
      <c r="M57" s="77">
        <f t="shared" si="29"/>
        <v>-20</v>
      </c>
      <c r="N57" s="77">
        <f t="shared" si="29"/>
        <v>-20</v>
      </c>
      <c r="O57" s="77">
        <f t="shared" si="29"/>
        <v>-20</v>
      </c>
      <c r="P57" s="77">
        <f t="shared" si="29"/>
        <v>-20</v>
      </c>
      <c r="Q57" s="77">
        <f t="shared" si="29"/>
        <v>-20</v>
      </c>
      <c r="R57" s="77">
        <f t="shared" si="29"/>
        <v>-20</v>
      </c>
      <c r="S57" s="77">
        <f t="shared" si="29"/>
        <v>-20</v>
      </c>
      <c r="T57" s="77">
        <f t="shared" si="29"/>
        <v>0</v>
      </c>
      <c r="U57" s="77">
        <f t="shared" si="29"/>
        <v>0</v>
      </c>
      <c r="V57" s="77">
        <f t="shared" si="29"/>
        <v>0</v>
      </c>
      <c r="W57" s="77">
        <f t="shared" si="29"/>
        <v>0</v>
      </c>
      <c r="X57" s="77">
        <f t="shared" si="29"/>
        <v>0</v>
      </c>
      <c r="Y57" s="205">
        <f t="shared" si="29"/>
        <v>0</v>
      </c>
      <c r="Z57" s="77">
        <f t="shared" si="29"/>
        <v>0</v>
      </c>
      <c r="AA57" s="77">
        <f t="shared" si="29"/>
        <v>0</v>
      </c>
      <c r="AB57" s="77">
        <f t="shared" si="29"/>
        <v>0</v>
      </c>
      <c r="AC57" s="77">
        <f t="shared" si="29"/>
        <v>0</v>
      </c>
      <c r="AD57" s="77">
        <f t="shared" si="29"/>
        <v>0</v>
      </c>
      <c r="AE57" s="205">
        <f t="shared" si="29"/>
        <v>0</v>
      </c>
      <c r="AF57" s="217"/>
      <c r="AG57" s="217"/>
      <c r="AH57" s="217"/>
      <c r="AI57" s="217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 spans="1:51" s="221" customFormat="1" x14ac:dyDescent="0.2">
      <c r="A58" s="573" t="s">
        <v>263</v>
      </c>
      <c r="B58" s="44"/>
      <c r="C58" s="208"/>
      <c r="D58" s="632">
        <v>0</v>
      </c>
      <c r="E58" s="72">
        <f>CF!E61</f>
        <v>0</v>
      </c>
      <c r="F58" s="72">
        <f>CF!F61</f>
        <v>0</v>
      </c>
      <c r="G58" s="72">
        <f>CF!G61</f>
        <v>0</v>
      </c>
      <c r="H58" s="72">
        <f>CF!H61</f>
        <v>-727.36738619080927</v>
      </c>
      <c r="I58" s="72">
        <f>CF!I61</f>
        <v>-1257.2973357347939</v>
      </c>
      <c r="J58" s="72">
        <f>CF!J61</f>
        <v>-1589.6830027911492</v>
      </c>
      <c r="K58" s="72">
        <f>CF!K61</f>
        <v>-1870.7413373921941</v>
      </c>
      <c r="L58" s="72">
        <f>CF!L61</f>
        <v>-14385.126795412283</v>
      </c>
      <c r="M58" s="72">
        <f>CF!M61</f>
        <v>-16580.428829925215</v>
      </c>
      <c r="N58" s="72">
        <f>CF!N61</f>
        <v>-17604.418393652006</v>
      </c>
      <c r="O58" s="72">
        <f>CF!O61</f>
        <v>-18735.306497426711</v>
      </c>
      <c r="P58" s="72">
        <f>CF!P61</f>
        <v>-20168.57057927948</v>
      </c>
      <c r="Q58" s="72">
        <f>CF!Q61</f>
        <v>-21035.930490744351</v>
      </c>
      <c r="R58" s="72">
        <f>CF!R61</f>
        <v>-21507.625938737354</v>
      </c>
      <c r="S58" s="72">
        <f>CF!S61</f>
        <v>-21988.755295690225</v>
      </c>
      <c r="T58" s="72">
        <f>CF!T61</f>
        <v>0</v>
      </c>
      <c r="U58" s="72">
        <f>CF!U61</f>
        <v>0</v>
      </c>
      <c r="V58" s="72">
        <f>CF!V61</f>
        <v>0</v>
      </c>
      <c r="W58" s="72">
        <f>CF!W61</f>
        <v>0</v>
      </c>
      <c r="X58" s="72">
        <f>CF!X61</f>
        <v>0</v>
      </c>
      <c r="Y58" s="407">
        <f>CF!Y61</f>
        <v>0</v>
      </c>
      <c r="Z58" s="72">
        <f>CF!Z61</f>
        <v>0</v>
      </c>
      <c r="AA58" s="72">
        <f>CF!AA61</f>
        <v>0</v>
      </c>
      <c r="AB58" s="72">
        <f>CF!AB61</f>
        <v>0</v>
      </c>
      <c r="AC58" s="72">
        <f>CF!AC61</f>
        <v>0</v>
      </c>
      <c r="AD58" s="72">
        <f>CF!AD61</f>
        <v>0</v>
      </c>
      <c r="AE58" s="407">
        <f>CF!AE61</f>
        <v>0</v>
      </c>
      <c r="AF58" s="220"/>
      <c r="AG58" s="220"/>
      <c r="AH58" s="220"/>
      <c r="AI58" s="220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</row>
    <row r="59" spans="1:51" s="221" customFormat="1" x14ac:dyDescent="0.2">
      <c r="A59" s="573"/>
      <c r="B59" s="44"/>
      <c r="C59" s="208"/>
      <c r="D59" s="63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407"/>
      <c r="Z59" s="72"/>
      <c r="AA59" s="72"/>
      <c r="AB59" s="72"/>
      <c r="AC59" s="72"/>
      <c r="AD59" s="72"/>
      <c r="AE59" s="407"/>
      <c r="AF59" s="220"/>
      <c r="AG59" s="220"/>
      <c r="AH59" s="220"/>
      <c r="AI59" s="220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</row>
    <row r="60" spans="1:51" x14ac:dyDescent="0.2">
      <c r="A60" s="572" t="s">
        <v>191</v>
      </c>
      <c r="B60" s="44"/>
      <c r="C60" s="44"/>
      <c r="D60" s="77">
        <f>SUM(D52:D58)</f>
        <v>0</v>
      </c>
      <c r="E60" s="77">
        <f t="shared" ref="E60:AE60" si="30">SUM(E52:E58)</f>
        <v>-6755.5921318162773</v>
      </c>
      <c r="F60" s="77">
        <f t="shared" si="30"/>
        <v>-5040.0336304420889</v>
      </c>
      <c r="G60" s="77">
        <f t="shared" si="30"/>
        <v>12836.443062412978</v>
      </c>
      <c r="H60" s="77">
        <f t="shared" si="30"/>
        <v>14521.523788574445</v>
      </c>
      <c r="I60" s="77">
        <f t="shared" si="30"/>
        <v>15563.824598850613</v>
      </c>
      <c r="J60" s="77">
        <f t="shared" si="30"/>
        <v>17447.343378836627</v>
      </c>
      <c r="K60" s="77">
        <f t="shared" si="30"/>
        <v>19040.007274909214</v>
      </c>
      <c r="L60" s="77">
        <f t="shared" si="30"/>
        <v>42004.435552315445</v>
      </c>
      <c r="M60" s="77">
        <f t="shared" si="30"/>
        <v>47126.806966178949</v>
      </c>
      <c r="N60" s="77">
        <f t="shared" si="30"/>
        <v>49516.115948208135</v>
      </c>
      <c r="O60" s="77">
        <f t="shared" si="30"/>
        <v>52154.85485701578</v>
      </c>
      <c r="P60" s="77">
        <f t="shared" si="30"/>
        <v>55499.137714672237</v>
      </c>
      <c r="Q60" s="77">
        <f t="shared" si="30"/>
        <v>57522.977508090269</v>
      </c>
      <c r="R60" s="77">
        <f t="shared" si="30"/>
        <v>58623.600220073946</v>
      </c>
      <c r="S60" s="77">
        <f t="shared" si="30"/>
        <v>59746.23538629731</v>
      </c>
      <c r="T60" s="77">
        <f t="shared" si="30"/>
        <v>0</v>
      </c>
      <c r="U60" s="77">
        <f t="shared" si="30"/>
        <v>0</v>
      </c>
      <c r="V60" s="77">
        <f t="shared" si="30"/>
        <v>0</v>
      </c>
      <c r="W60" s="77">
        <f t="shared" si="30"/>
        <v>0</v>
      </c>
      <c r="X60" s="77">
        <f t="shared" si="30"/>
        <v>0</v>
      </c>
      <c r="Y60" s="77">
        <f t="shared" si="30"/>
        <v>0</v>
      </c>
      <c r="Z60" s="77">
        <f t="shared" si="30"/>
        <v>0</v>
      </c>
      <c r="AA60" s="77">
        <f t="shared" si="30"/>
        <v>0</v>
      </c>
      <c r="AB60" s="77">
        <f t="shared" si="30"/>
        <v>0</v>
      </c>
      <c r="AC60" s="77">
        <f t="shared" si="30"/>
        <v>0</v>
      </c>
      <c r="AD60" s="77">
        <f t="shared" si="30"/>
        <v>0</v>
      </c>
      <c r="AE60" s="77">
        <f t="shared" si="30"/>
        <v>0</v>
      </c>
      <c r="AF60" s="218"/>
      <c r="AG60" s="218"/>
      <c r="AH60" s="218"/>
      <c r="AI60" s="218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 spans="1:51" x14ac:dyDescent="0.2">
      <c r="A61" s="203"/>
      <c r="B61" s="44"/>
      <c r="C61" s="44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205"/>
      <c r="Z61" s="77"/>
      <c r="AA61" s="77"/>
      <c r="AB61" s="77"/>
      <c r="AC61" s="77"/>
      <c r="AD61" s="77"/>
      <c r="AE61" s="205"/>
      <c r="AF61" s="210"/>
      <c r="AG61" s="210"/>
      <c r="AH61" s="210"/>
      <c r="AI61" s="210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 spans="1:51" x14ac:dyDescent="0.2">
      <c r="A62" s="203" t="s">
        <v>192</v>
      </c>
      <c r="B62" s="44"/>
      <c r="C62" s="44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205"/>
      <c r="Z62" s="77"/>
      <c r="AA62" s="77"/>
      <c r="AB62" s="77"/>
      <c r="AC62" s="77"/>
      <c r="AD62" s="77"/>
      <c r="AE62" s="205"/>
      <c r="AF62" s="210"/>
      <c r="AG62" s="210"/>
      <c r="AH62" s="210"/>
      <c r="AI62" s="210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 spans="1:51" x14ac:dyDescent="0.2">
      <c r="A63" s="572" t="s">
        <v>194</v>
      </c>
      <c r="B63" s="44"/>
      <c r="C63" s="44"/>
      <c r="D63" s="632">
        <v>0</v>
      </c>
      <c r="E63" s="77">
        <f>+Assumpt!$S$6</f>
        <v>127536.68015927149</v>
      </c>
      <c r="F63" s="77">
        <f>+Debt!J1</f>
        <v>0</v>
      </c>
      <c r="G63" s="77">
        <f>+Debt!K1</f>
        <v>0</v>
      </c>
      <c r="H63" s="77">
        <f>+Debt!L1</f>
        <v>0</v>
      </c>
      <c r="I63" s="77">
        <f>+Debt!M1</f>
        <v>0</v>
      </c>
      <c r="J63" s="77">
        <f>+Debt!N1</f>
        <v>0</v>
      </c>
      <c r="K63" s="77">
        <f>+Debt!O1</f>
        <v>0</v>
      </c>
      <c r="L63" s="77">
        <f>+Debt!P1</f>
        <v>0</v>
      </c>
      <c r="M63" s="77">
        <f>+Debt!Q1</f>
        <v>0</v>
      </c>
      <c r="N63" s="77">
        <f>+Debt!Z1</f>
        <v>0</v>
      </c>
      <c r="O63" s="77">
        <f>+Debt!AA1</f>
        <v>0</v>
      </c>
      <c r="P63" s="77">
        <f>+Debt!AB1</f>
        <v>0</v>
      </c>
      <c r="Q63" s="77">
        <f>+Debt!AC1</f>
        <v>0</v>
      </c>
      <c r="R63" s="77">
        <f>+Debt!AD1</f>
        <v>0</v>
      </c>
      <c r="S63" s="77">
        <f>+Debt!AE1</f>
        <v>0</v>
      </c>
      <c r="T63" s="77">
        <f>+Debt!AF1</f>
        <v>0</v>
      </c>
      <c r="U63" s="77">
        <f>+Debt!AG1</f>
        <v>0</v>
      </c>
      <c r="V63" s="77">
        <f>+Debt!AH1</f>
        <v>0</v>
      </c>
      <c r="W63" s="77">
        <f>+Debt!AI1</f>
        <v>0</v>
      </c>
      <c r="X63" s="77">
        <f>+Debt!AJ1</f>
        <v>0</v>
      </c>
      <c r="Y63" s="205">
        <f>+Debt!AK1</f>
        <v>0</v>
      </c>
      <c r="Z63" s="77">
        <f>+Debt!AL1</f>
        <v>0</v>
      </c>
      <c r="AA63" s="77">
        <f>+Debt!AM1</f>
        <v>0</v>
      </c>
      <c r="AB63" s="77">
        <f>+Debt!AN1</f>
        <v>0</v>
      </c>
      <c r="AC63" s="77">
        <f>+Debt!AO1</f>
        <v>0</v>
      </c>
      <c r="AD63" s="77">
        <f>+Debt!AP1</f>
        <v>0</v>
      </c>
      <c r="AE63" s="205">
        <f>+Debt!AQ1</f>
        <v>0</v>
      </c>
      <c r="AF63" s="218"/>
      <c r="AG63" s="218"/>
      <c r="AH63" s="218"/>
      <c r="AI63" s="218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 spans="1:51" x14ac:dyDescent="0.2">
      <c r="A64" s="572" t="s">
        <v>193</v>
      </c>
      <c r="B64" s="44"/>
      <c r="C64" s="44"/>
      <c r="D64" s="632">
        <v>0</v>
      </c>
      <c r="E64" s="77">
        <f>CF!E62</f>
        <v>0</v>
      </c>
      <c r="F64" s="77">
        <f>CF!F62</f>
        <v>-6984.8608113930131</v>
      </c>
      <c r="G64" s="77">
        <f>CF!G62</f>
        <v>-7664.1821806810549</v>
      </c>
      <c r="H64" s="77">
        <f>CF!H62</f>
        <v>-8409.5717988909164</v>
      </c>
      <c r="I64" s="77">
        <f>CF!I62</f>
        <v>-9227.4552161568026</v>
      </c>
      <c r="J64" s="77">
        <f>CF!J62</f>
        <v>-10124.882907523152</v>
      </c>
      <c r="K64" s="77">
        <f>CF!K62</f>
        <v>-11109.59105079795</v>
      </c>
      <c r="L64" s="77">
        <f>CF!L62</f>
        <v>-12190.068215432118</v>
      </c>
      <c r="M64" s="77">
        <f>CF!M62</f>
        <v>-13375.628537309238</v>
      </c>
      <c r="N64" s="77">
        <f>CF!N62</f>
        <v>-14676.49201024092</v>
      </c>
      <c r="O64" s="77">
        <f>CF!O62</f>
        <v>-16103.872586311914</v>
      </c>
      <c r="P64" s="77">
        <f>CF!P62</f>
        <v>-17670.074844534407</v>
      </c>
      <c r="Q64" s="77">
        <f>CF!Q62</f>
        <v>0</v>
      </c>
      <c r="R64" s="77">
        <f>CF!R62</f>
        <v>0</v>
      </c>
      <c r="S64" s="77">
        <f>CF!S62</f>
        <v>0</v>
      </c>
      <c r="T64" s="77">
        <f>CF!T62</f>
        <v>0</v>
      </c>
      <c r="U64" s="77">
        <f>CF!U62</f>
        <v>0</v>
      </c>
      <c r="V64" s="77">
        <f>CF!V62</f>
        <v>0</v>
      </c>
      <c r="W64" s="77">
        <f>CF!W62</f>
        <v>0</v>
      </c>
      <c r="X64" s="77">
        <f>CF!X62</f>
        <v>0</v>
      </c>
      <c r="Y64" s="205">
        <f>CF!Y62</f>
        <v>0</v>
      </c>
      <c r="Z64" s="77">
        <f>CF!Z62</f>
        <v>0</v>
      </c>
      <c r="AA64" s="77">
        <f>CF!AA62</f>
        <v>0</v>
      </c>
      <c r="AB64" s="77">
        <f>CF!AB62</f>
        <v>0</v>
      </c>
      <c r="AC64" s="77">
        <f>CF!AC62</f>
        <v>0</v>
      </c>
      <c r="AD64" s="77">
        <f>CF!AD62</f>
        <v>0</v>
      </c>
      <c r="AE64" s="205">
        <f>CF!AE62</f>
        <v>0</v>
      </c>
      <c r="AF64" s="218"/>
      <c r="AG64" s="218"/>
      <c r="AH64" s="218"/>
      <c r="AI64" s="218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 spans="1:51" x14ac:dyDescent="0.2">
      <c r="A65" s="572" t="s">
        <v>195</v>
      </c>
      <c r="B65" s="44"/>
      <c r="C65" s="210"/>
      <c r="D65" s="632">
        <v>0</v>
      </c>
      <c r="E65" s="77">
        <f>+Assumpt!$S$7</f>
        <v>42512.226719757164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205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205">
        <v>0</v>
      </c>
      <c r="AF65" s="218"/>
      <c r="AG65" s="218"/>
      <c r="AH65" s="218"/>
      <c r="AI65" s="218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 spans="1:51" x14ac:dyDescent="0.2">
      <c r="A66" s="572" t="s">
        <v>166</v>
      </c>
      <c r="B66" s="44"/>
      <c r="C66" s="210"/>
      <c r="D66" s="632">
        <v>0</v>
      </c>
      <c r="E66" s="77">
        <f>(-E65-E63+Assumpt!$S$52)</f>
        <v>-168782.46125182864</v>
      </c>
      <c r="F66" s="77">
        <v>0</v>
      </c>
      <c r="G66" s="77">
        <f>-(G65+G63-Assumpt!$S$52)*0</f>
        <v>0</v>
      </c>
      <c r="H66" s="77">
        <f>-(H65+H63-Assumpt!$S$52)*0</f>
        <v>0</v>
      </c>
      <c r="I66" s="77">
        <f>-(I65+I63-Assumpt!$S$52)*0</f>
        <v>0</v>
      </c>
      <c r="J66" s="77">
        <f>-(J65+J63-Assumpt!$S$52)*0</f>
        <v>0</v>
      </c>
      <c r="K66" s="77">
        <f>-(K65+K63-Assumpt!$S$52)*0</f>
        <v>0</v>
      </c>
      <c r="L66" s="77">
        <f>-(L65+L63-Assumpt!$S$52)*0</f>
        <v>0</v>
      </c>
      <c r="M66" s="77">
        <f>-(M65+M63-Assumpt!$S$52)*0</f>
        <v>0</v>
      </c>
      <c r="N66" s="77">
        <f>-(N65+N63-Assumpt!$S$52)*0</f>
        <v>0</v>
      </c>
      <c r="O66" s="77">
        <f>-(O65+O63-Assumpt!$S$52)*0</f>
        <v>0</v>
      </c>
      <c r="P66" s="77">
        <f>-(P65+P63-Assumpt!$S$52)*0</f>
        <v>0</v>
      </c>
      <c r="Q66" s="77">
        <f>-(Q65+Q63-Assumpt!$S$52)*0</f>
        <v>0</v>
      </c>
      <c r="R66" s="77">
        <f>-(R65+R63-Assumpt!$S$52)*0</f>
        <v>0</v>
      </c>
      <c r="S66" s="77">
        <f>-(S65+S63-Assumpt!$S$52)*0</f>
        <v>0</v>
      </c>
      <c r="T66" s="77">
        <f>-(T65+T63-Assumpt!$S$52)*0</f>
        <v>0</v>
      </c>
      <c r="U66" s="77">
        <f>-(U65+U63-Assumpt!$S$52)*0</f>
        <v>0</v>
      </c>
      <c r="V66" s="77">
        <f>-(V65+V63-Assumpt!$S$52)*0</f>
        <v>0</v>
      </c>
      <c r="W66" s="77">
        <f>-(W65+W63-Assumpt!$S$52)*0</f>
        <v>0</v>
      </c>
      <c r="X66" s="77">
        <f>-(X65+X63-Assumpt!$S$52)*0</f>
        <v>0</v>
      </c>
      <c r="Y66" s="205">
        <f>-(Y65+Y63-Assumpt!$S$52)*0</f>
        <v>0</v>
      </c>
      <c r="Z66" s="77">
        <f>-(Z65+Z63-Assumpt!$S$52)*0</f>
        <v>0</v>
      </c>
      <c r="AA66" s="77">
        <f>-(AA65+AA63-Assumpt!$S$52)*0</f>
        <v>0</v>
      </c>
      <c r="AB66" s="77">
        <f>-(AB65+AB63-Assumpt!$S$52)*0</f>
        <v>0</v>
      </c>
      <c r="AC66" s="77">
        <f>-(AC65+AC63-Assumpt!$S$52)*0</f>
        <v>0</v>
      </c>
      <c r="AD66" s="77">
        <f>-(AD65+AD63-Assumpt!$S$52)*0</f>
        <v>0</v>
      </c>
      <c r="AE66" s="205">
        <f>-(AE65+AE63-Assumpt!$S$52)*0</f>
        <v>0</v>
      </c>
      <c r="AF66" s="210"/>
      <c r="AG66" s="210"/>
      <c r="AH66" s="210"/>
      <c r="AI66" s="210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 spans="1:51" s="221" customFormat="1" x14ac:dyDescent="0.2">
      <c r="A67" s="887" t="s">
        <v>206</v>
      </c>
      <c r="B67" s="44"/>
      <c r="C67" s="208"/>
      <c r="D67" s="711">
        <v>0</v>
      </c>
      <c r="E67" s="711">
        <f>-CF!E64</f>
        <v>5489.1465046162775</v>
      </c>
      <c r="F67" s="711">
        <f>-CF!F64</f>
        <v>12024.894441835102</v>
      </c>
      <c r="G67" s="711">
        <f>-CF!G64</f>
        <v>-5172.2608817319233</v>
      </c>
      <c r="H67" s="711">
        <f>-CF!H64</f>
        <v>-6111.9519896835282</v>
      </c>
      <c r="I67" s="711">
        <f>-CF!I64</f>
        <v>-6336.3693826938106</v>
      </c>
      <c r="J67" s="711">
        <f>-CF!J64</f>
        <v>-7322.4604713134759</v>
      </c>
      <c r="K67" s="711">
        <f>-CF!K64</f>
        <v>-7930.4162241112645</v>
      </c>
      <c r="L67" s="711">
        <f>-CF!L64</f>
        <v>-29814.367336883326</v>
      </c>
      <c r="M67" s="711">
        <f>-CF!M64</f>
        <v>-33751.178428869709</v>
      </c>
      <c r="N67" s="711">
        <f>-CF!N64</f>
        <v>-34839.623937967219</v>
      </c>
      <c r="O67" s="711">
        <f>-CF!O64</f>
        <v>-36050.982270703869</v>
      </c>
      <c r="P67" s="711">
        <f>-CF!P64</f>
        <v>-37829.06287013783</v>
      </c>
      <c r="Q67" s="711">
        <f>-CF!Q64</f>
        <v>-57522.977508090269</v>
      </c>
      <c r="R67" s="711">
        <f>-CF!R64</f>
        <v>-58623.600220073946</v>
      </c>
      <c r="S67" s="711">
        <f>-CF!S64</f>
        <v>-59746.23538629731</v>
      </c>
      <c r="T67" s="711">
        <f>-CF!T64</f>
        <v>0</v>
      </c>
      <c r="U67" s="711">
        <f>-CF!U64</f>
        <v>0</v>
      </c>
      <c r="V67" s="711">
        <f>-CF!V64</f>
        <v>0</v>
      </c>
      <c r="W67" s="711">
        <f>-CF!W64</f>
        <v>0</v>
      </c>
      <c r="X67" s="711">
        <f>-CF!X64</f>
        <v>0</v>
      </c>
      <c r="Y67" s="792">
        <f>-CF!Y64</f>
        <v>0</v>
      </c>
      <c r="Z67" s="711">
        <f>-CF!Z64</f>
        <v>0</v>
      </c>
      <c r="AA67" s="711">
        <f>-CF!AA64</f>
        <v>0</v>
      </c>
      <c r="AB67" s="711">
        <f>-CF!AB64</f>
        <v>0</v>
      </c>
      <c r="AC67" s="711">
        <f>-CF!AC64</f>
        <v>0</v>
      </c>
      <c r="AD67" s="711">
        <f>-CF!AD64</f>
        <v>0</v>
      </c>
      <c r="AE67" s="792">
        <f>-CF!AE64</f>
        <v>0</v>
      </c>
      <c r="AF67" s="223"/>
      <c r="AG67" s="223"/>
      <c r="AH67" s="223"/>
      <c r="AI67" s="223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</row>
    <row r="68" spans="1:51" x14ac:dyDescent="0.2">
      <c r="A68" s="572" t="s">
        <v>196</v>
      </c>
      <c r="B68" s="44"/>
      <c r="C68" s="44"/>
      <c r="D68" s="77">
        <f>SUM(D63:D67)</f>
        <v>0</v>
      </c>
      <c r="E68" s="77">
        <f>SUM(E63:E67)</f>
        <v>6755.5921318162873</v>
      </c>
      <c r="F68" s="77">
        <f t="shared" ref="F68:AE68" si="31">SUM(F63:F67)</f>
        <v>5040.0336304420889</v>
      </c>
      <c r="G68" s="77">
        <f t="shared" si="31"/>
        <v>-12836.443062412978</v>
      </c>
      <c r="H68" s="77">
        <f t="shared" si="31"/>
        <v>-14521.523788574445</v>
      </c>
      <c r="I68" s="77">
        <f t="shared" si="31"/>
        <v>-15563.824598850613</v>
      </c>
      <c r="J68" s="77">
        <f t="shared" si="31"/>
        <v>-17447.343378836627</v>
      </c>
      <c r="K68" s="77">
        <f t="shared" si="31"/>
        <v>-19040.007274909214</v>
      </c>
      <c r="L68" s="77">
        <f t="shared" si="31"/>
        <v>-42004.435552315445</v>
      </c>
      <c r="M68" s="77">
        <f t="shared" si="31"/>
        <v>-47126.806966178949</v>
      </c>
      <c r="N68" s="77">
        <f t="shared" si="31"/>
        <v>-49516.115948208142</v>
      </c>
      <c r="O68" s="77">
        <f t="shared" si="31"/>
        <v>-52154.854857015787</v>
      </c>
      <c r="P68" s="77">
        <f t="shared" si="31"/>
        <v>-55499.137714672237</v>
      </c>
      <c r="Q68" s="77">
        <f t="shared" si="31"/>
        <v>-57522.977508090269</v>
      </c>
      <c r="R68" s="77">
        <f t="shared" si="31"/>
        <v>-58623.600220073946</v>
      </c>
      <c r="S68" s="77">
        <f t="shared" si="31"/>
        <v>-59746.23538629731</v>
      </c>
      <c r="T68" s="77">
        <f t="shared" si="31"/>
        <v>0</v>
      </c>
      <c r="U68" s="77">
        <f t="shared" si="31"/>
        <v>0</v>
      </c>
      <c r="V68" s="77">
        <f t="shared" si="31"/>
        <v>0</v>
      </c>
      <c r="W68" s="77">
        <f t="shared" si="31"/>
        <v>0</v>
      </c>
      <c r="X68" s="77">
        <f t="shared" si="31"/>
        <v>0</v>
      </c>
      <c r="Y68" s="205">
        <f t="shared" si="31"/>
        <v>0</v>
      </c>
      <c r="Z68" s="77">
        <f t="shared" si="31"/>
        <v>0</v>
      </c>
      <c r="AA68" s="77">
        <f t="shared" si="31"/>
        <v>0</v>
      </c>
      <c r="AB68" s="77">
        <f t="shared" si="31"/>
        <v>0</v>
      </c>
      <c r="AC68" s="77">
        <f t="shared" si="31"/>
        <v>0</v>
      </c>
      <c r="AD68" s="77">
        <f t="shared" si="31"/>
        <v>0</v>
      </c>
      <c r="AE68" s="205">
        <f t="shared" si="31"/>
        <v>0</v>
      </c>
      <c r="AF68" s="218"/>
      <c r="AG68" s="218"/>
      <c r="AH68" s="218"/>
      <c r="AI68" s="218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 spans="1:51" x14ac:dyDescent="0.2">
      <c r="A69" s="203"/>
      <c r="B69" s="44"/>
      <c r="C69" s="44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205"/>
      <c r="Z69" s="77"/>
      <c r="AA69" s="77"/>
      <c r="AB69" s="77"/>
      <c r="AC69" s="77"/>
      <c r="AD69" s="77"/>
      <c r="AE69" s="205"/>
      <c r="AF69" s="210"/>
      <c r="AG69" s="210"/>
      <c r="AH69" s="210"/>
      <c r="AI69" s="210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 spans="1:51" s="231" customFormat="1" x14ac:dyDescent="0.2">
      <c r="A70" s="206" t="s">
        <v>197</v>
      </c>
      <c r="B70" s="198"/>
      <c r="C70" s="198"/>
      <c r="D70" s="324">
        <f t="shared" ref="D70:AE70" si="32">+D60+D68</f>
        <v>0</v>
      </c>
      <c r="E70" s="324">
        <f t="shared" si="32"/>
        <v>1.0004441719502211E-11</v>
      </c>
      <c r="F70" s="324">
        <f t="shared" si="32"/>
        <v>0</v>
      </c>
      <c r="G70" s="324">
        <f t="shared" si="32"/>
        <v>0</v>
      </c>
      <c r="H70" s="324">
        <f t="shared" si="32"/>
        <v>0</v>
      </c>
      <c r="I70" s="324">
        <f t="shared" si="32"/>
        <v>0</v>
      </c>
      <c r="J70" s="324">
        <f t="shared" si="32"/>
        <v>0</v>
      </c>
      <c r="K70" s="324">
        <f t="shared" si="32"/>
        <v>0</v>
      </c>
      <c r="L70" s="324">
        <f t="shared" si="32"/>
        <v>0</v>
      </c>
      <c r="M70" s="324">
        <f t="shared" si="32"/>
        <v>0</v>
      </c>
      <c r="N70" s="324">
        <f t="shared" si="32"/>
        <v>0</v>
      </c>
      <c r="O70" s="324">
        <f t="shared" si="32"/>
        <v>0</v>
      </c>
      <c r="P70" s="324">
        <f t="shared" si="32"/>
        <v>0</v>
      </c>
      <c r="Q70" s="324">
        <f t="shared" si="32"/>
        <v>0</v>
      </c>
      <c r="R70" s="324">
        <f t="shared" si="32"/>
        <v>0</v>
      </c>
      <c r="S70" s="324">
        <f t="shared" si="32"/>
        <v>0</v>
      </c>
      <c r="T70" s="324">
        <f t="shared" si="32"/>
        <v>0</v>
      </c>
      <c r="U70" s="324">
        <f t="shared" si="32"/>
        <v>0</v>
      </c>
      <c r="V70" s="324">
        <f t="shared" si="32"/>
        <v>0</v>
      </c>
      <c r="W70" s="324">
        <f t="shared" si="32"/>
        <v>0</v>
      </c>
      <c r="X70" s="324">
        <f t="shared" si="32"/>
        <v>0</v>
      </c>
      <c r="Y70" s="335">
        <f t="shared" si="32"/>
        <v>0</v>
      </c>
      <c r="Z70" s="324">
        <f t="shared" si="32"/>
        <v>0</v>
      </c>
      <c r="AA70" s="324">
        <f t="shared" si="32"/>
        <v>0</v>
      </c>
      <c r="AB70" s="324">
        <f t="shared" si="32"/>
        <v>0</v>
      </c>
      <c r="AC70" s="324">
        <f t="shared" si="32"/>
        <v>0</v>
      </c>
      <c r="AD70" s="324">
        <f t="shared" si="32"/>
        <v>0</v>
      </c>
      <c r="AE70" s="335">
        <f t="shared" si="32"/>
        <v>0</v>
      </c>
      <c r="AF70" s="234"/>
      <c r="AG70" s="234"/>
      <c r="AH70" s="234"/>
      <c r="AI70" s="234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</row>
    <row r="71" spans="1:51" s="221" customFormat="1" x14ac:dyDescent="0.2">
      <c r="A71" s="219" t="s">
        <v>198</v>
      </c>
      <c r="B71" s="208"/>
      <c r="C71" s="208"/>
      <c r="D71" s="711">
        <v>0</v>
      </c>
      <c r="E71" s="72">
        <f>+D72</f>
        <v>0</v>
      </c>
      <c r="F71" s="72">
        <f t="shared" ref="F71:U71" si="33">+E72</f>
        <v>1.0004441719502211E-11</v>
      </c>
      <c r="G71" s="72">
        <f t="shared" si="33"/>
        <v>1.0004441719502211E-11</v>
      </c>
      <c r="H71" s="72">
        <f t="shared" si="33"/>
        <v>1.0004441719502211E-11</v>
      </c>
      <c r="I71" s="72">
        <f t="shared" si="33"/>
        <v>1.0004441719502211E-11</v>
      </c>
      <c r="J71" s="72">
        <f t="shared" si="33"/>
        <v>1.0004441719502211E-11</v>
      </c>
      <c r="K71" s="72">
        <f t="shared" si="33"/>
        <v>1.0004441719502211E-11</v>
      </c>
      <c r="L71" s="72">
        <f t="shared" si="33"/>
        <v>1.0004441719502211E-11</v>
      </c>
      <c r="M71" s="72">
        <f t="shared" si="33"/>
        <v>1.0004441719502211E-11</v>
      </c>
      <c r="N71" s="72">
        <f t="shared" si="33"/>
        <v>1.0004441719502211E-11</v>
      </c>
      <c r="O71" s="72">
        <f t="shared" si="33"/>
        <v>1.0004441719502211E-11</v>
      </c>
      <c r="P71" s="72">
        <f t="shared" si="33"/>
        <v>1.0004441719502211E-11</v>
      </c>
      <c r="Q71" s="72">
        <f t="shared" si="33"/>
        <v>1.0004441719502211E-11</v>
      </c>
      <c r="R71" s="72">
        <f t="shared" si="33"/>
        <v>1.0004441719502211E-11</v>
      </c>
      <c r="S71" s="72">
        <f t="shared" si="33"/>
        <v>1.0004441719502211E-11</v>
      </c>
      <c r="T71" s="72">
        <f t="shared" si="33"/>
        <v>1.0004441719502211E-11</v>
      </c>
      <c r="U71" s="72">
        <f t="shared" si="33"/>
        <v>1.0004441719502211E-11</v>
      </c>
      <c r="V71" s="72">
        <f t="shared" ref="V71:AE71" si="34">+U72</f>
        <v>1.0004441719502211E-11</v>
      </c>
      <c r="W71" s="72">
        <f t="shared" si="34"/>
        <v>1.0004441719502211E-11</v>
      </c>
      <c r="X71" s="72">
        <f t="shared" si="34"/>
        <v>1.0004441719502211E-11</v>
      </c>
      <c r="Y71" s="407">
        <f t="shared" si="34"/>
        <v>1.0004441719502211E-11</v>
      </c>
      <c r="Z71" s="72">
        <f t="shared" si="34"/>
        <v>1.0004441719502211E-11</v>
      </c>
      <c r="AA71" s="72">
        <f t="shared" si="34"/>
        <v>1.0004441719502211E-11</v>
      </c>
      <c r="AB71" s="72">
        <f t="shared" si="34"/>
        <v>1.0004441719502211E-11</v>
      </c>
      <c r="AC71" s="72">
        <f t="shared" si="34"/>
        <v>1.0004441719502211E-11</v>
      </c>
      <c r="AD71" s="72">
        <f t="shared" si="34"/>
        <v>1.0004441719502211E-11</v>
      </c>
      <c r="AE71" s="407">
        <f t="shared" si="34"/>
        <v>1.0004441719502211E-11</v>
      </c>
      <c r="AF71" s="223"/>
      <c r="AG71" s="223"/>
      <c r="AH71" s="223"/>
      <c r="AI71" s="223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</row>
    <row r="72" spans="1:51" x14ac:dyDescent="0.2">
      <c r="A72" s="225" t="s">
        <v>199</v>
      </c>
      <c r="B72" s="226"/>
      <c r="C72" s="226"/>
      <c r="D72" s="410">
        <f t="shared" ref="D72:AE72" si="35">+D71+D70</f>
        <v>0</v>
      </c>
      <c r="E72" s="410">
        <f t="shared" si="35"/>
        <v>1.0004441719502211E-11</v>
      </c>
      <c r="F72" s="410">
        <f t="shared" si="35"/>
        <v>1.0004441719502211E-11</v>
      </c>
      <c r="G72" s="410">
        <f t="shared" si="35"/>
        <v>1.0004441719502211E-11</v>
      </c>
      <c r="H72" s="410">
        <f t="shared" si="35"/>
        <v>1.0004441719502211E-11</v>
      </c>
      <c r="I72" s="410">
        <f t="shared" si="35"/>
        <v>1.0004441719502211E-11</v>
      </c>
      <c r="J72" s="410">
        <f t="shared" si="35"/>
        <v>1.0004441719502211E-11</v>
      </c>
      <c r="K72" s="410">
        <f t="shared" si="35"/>
        <v>1.0004441719502211E-11</v>
      </c>
      <c r="L72" s="410">
        <f t="shared" si="35"/>
        <v>1.0004441719502211E-11</v>
      </c>
      <c r="M72" s="410">
        <f t="shared" si="35"/>
        <v>1.0004441719502211E-11</v>
      </c>
      <c r="N72" s="410">
        <f t="shared" si="35"/>
        <v>1.0004441719502211E-11</v>
      </c>
      <c r="O72" s="410">
        <f t="shared" si="35"/>
        <v>1.0004441719502211E-11</v>
      </c>
      <c r="P72" s="410">
        <f t="shared" si="35"/>
        <v>1.0004441719502211E-11</v>
      </c>
      <c r="Q72" s="410">
        <f t="shared" si="35"/>
        <v>1.0004441719502211E-11</v>
      </c>
      <c r="R72" s="410">
        <f t="shared" si="35"/>
        <v>1.0004441719502211E-11</v>
      </c>
      <c r="S72" s="410">
        <f t="shared" si="35"/>
        <v>1.0004441719502211E-11</v>
      </c>
      <c r="T72" s="410">
        <f t="shared" si="35"/>
        <v>1.0004441719502211E-11</v>
      </c>
      <c r="U72" s="410">
        <f t="shared" si="35"/>
        <v>1.0004441719502211E-11</v>
      </c>
      <c r="V72" s="410">
        <f t="shared" si="35"/>
        <v>1.0004441719502211E-11</v>
      </c>
      <c r="W72" s="410">
        <f t="shared" si="35"/>
        <v>1.0004441719502211E-11</v>
      </c>
      <c r="X72" s="410">
        <f t="shared" si="35"/>
        <v>1.0004441719502211E-11</v>
      </c>
      <c r="Y72" s="411">
        <f t="shared" si="35"/>
        <v>1.0004441719502211E-11</v>
      </c>
      <c r="Z72" s="410">
        <f t="shared" si="35"/>
        <v>1.0004441719502211E-11</v>
      </c>
      <c r="AA72" s="410">
        <f t="shared" si="35"/>
        <v>1.0004441719502211E-11</v>
      </c>
      <c r="AB72" s="410">
        <f t="shared" si="35"/>
        <v>1.0004441719502211E-11</v>
      </c>
      <c r="AC72" s="410">
        <f t="shared" si="35"/>
        <v>1.0004441719502211E-11</v>
      </c>
      <c r="AD72" s="410">
        <f t="shared" si="35"/>
        <v>1.0004441719502211E-11</v>
      </c>
      <c r="AE72" s="411">
        <f t="shared" si="35"/>
        <v>1.0004441719502211E-11</v>
      </c>
      <c r="AF72" s="210"/>
      <c r="AG72" s="210"/>
      <c r="AH72" s="210"/>
      <c r="AI72" s="210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 spans="1:51" x14ac:dyDescent="0.2">
      <c r="E73" s="238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ht="15.75" hidden="1" outlineLevel="1" x14ac:dyDescent="0.25">
      <c r="A74" s="727" t="str">
        <f>+Assumpt!$A$1</f>
        <v>Panama Regas Terminal</v>
      </c>
      <c r="B74" s="603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1"/>
      <c r="Z74" s="200"/>
      <c r="AA74" s="200"/>
      <c r="AB74" s="200"/>
      <c r="AC74" s="200"/>
      <c r="AD74" s="200"/>
      <c r="AE74" s="201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 spans="1:51" ht="15.75" hidden="1" outlineLevel="1" x14ac:dyDescent="0.25">
      <c r="A75" s="728" t="str">
        <f>+Assumpt!$A$2</f>
        <v>Enron International</v>
      </c>
      <c r="B75" s="72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202"/>
      <c r="Z75" s="44"/>
      <c r="AA75" s="44"/>
      <c r="AB75" s="44"/>
      <c r="AC75" s="44"/>
      <c r="AD75" s="44"/>
      <c r="AE75" s="202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 spans="1:51" ht="15.75" hidden="1" outlineLevel="1" x14ac:dyDescent="0.25">
      <c r="A76" s="586" t="s">
        <v>200</v>
      </c>
      <c r="B76" s="41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202"/>
      <c r="Z76" s="44"/>
      <c r="AA76" s="44"/>
      <c r="AB76" s="44"/>
      <c r="AC76" s="44"/>
      <c r="AD76" s="44"/>
      <c r="AE76" s="202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 spans="1:51" hidden="1" outlineLevel="1" x14ac:dyDescent="0.2">
      <c r="A77" s="203"/>
      <c r="B77" s="44"/>
      <c r="C77" s="44"/>
      <c r="D77" s="44"/>
      <c r="E77" s="53">
        <f t="shared" ref="E77:AE77" si="36">+E49</f>
        <v>1</v>
      </c>
      <c r="F77" s="53">
        <f t="shared" si="36"/>
        <v>2</v>
      </c>
      <c r="G77" s="53">
        <f t="shared" si="36"/>
        <v>3</v>
      </c>
      <c r="H77" s="53">
        <f t="shared" si="36"/>
        <v>4</v>
      </c>
      <c r="I77" s="53">
        <f t="shared" si="36"/>
        <v>5</v>
      </c>
      <c r="J77" s="53">
        <f t="shared" si="36"/>
        <v>6</v>
      </c>
      <c r="K77" s="53">
        <f t="shared" si="36"/>
        <v>7</v>
      </c>
      <c r="L77" s="53">
        <f t="shared" si="36"/>
        <v>8</v>
      </c>
      <c r="M77" s="53">
        <f t="shared" si="36"/>
        <v>9</v>
      </c>
      <c r="N77" s="53">
        <f t="shared" si="36"/>
        <v>10</v>
      </c>
      <c r="O77" s="53">
        <f t="shared" si="36"/>
        <v>11</v>
      </c>
      <c r="P77" s="53">
        <f t="shared" si="36"/>
        <v>12</v>
      </c>
      <c r="Q77" s="53">
        <f t="shared" si="36"/>
        <v>13</v>
      </c>
      <c r="R77" s="53">
        <f t="shared" si="36"/>
        <v>14</v>
      </c>
      <c r="S77" s="53">
        <f t="shared" si="36"/>
        <v>15</v>
      </c>
      <c r="T77" s="53">
        <f t="shared" si="36"/>
        <v>15</v>
      </c>
      <c r="U77" s="53">
        <f t="shared" si="36"/>
        <v>15</v>
      </c>
      <c r="V77" s="53">
        <f t="shared" si="36"/>
        <v>15</v>
      </c>
      <c r="W77" s="53">
        <f t="shared" si="36"/>
        <v>15</v>
      </c>
      <c r="X77" s="53">
        <f t="shared" si="36"/>
        <v>15</v>
      </c>
      <c r="Y77" s="237">
        <f t="shared" si="36"/>
        <v>15</v>
      </c>
      <c r="Z77" s="53">
        <f t="shared" si="36"/>
        <v>15</v>
      </c>
      <c r="AA77" s="53">
        <f t="shared" si="36"/>
        <v>15</v>
      </c>
      <c r="AB77" s="53">
        <f t="shared" si="36"/>
        <v>15</v>
      </c>
      <c r="AC77" s="53">
        <f t="shared" si="36"/>
        <v>15</v>
      </c>
      <c r="AD77" s="53">
        <f t="shared" si="36"/>
        <v>15</v>
      </c>
      <c r="AE77" s="237">
        <f t="shared" si="36"/>
        <v>15</v>
      </c>
      <c r="AF77" s="53"/>
      <c r="AG77" s="53"/>
      <c r="AH77" s="53"/>
      <c r="AI77" s="53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 spans="1:51" hidden="1" outlineLevel="1" x14ac:dyDescent="0.2">
      <c r="A78" s="203"/>
      <c r="B78" s="44"/>
      <c r="C78" s="44"/>
      <c r="D78" s="208"/>
      <c r="E78" s="208">
        <f t="shared" ref="E78:AE78" si="37">+E48</f>
        <v>2003</v>
      </c>
      <c r="F78" s="208">
        <f t="shared" si="37"/>
        <v>2004</v>
      </c>
      <c r="G78" s="208">
        <f t="shared" si="37"/>
        <v>2005</v>
      </c>
      <c r="H78" s="208">
        <f t="shared" si="37"/>
        <v>2006</v>
      </c>
      <c r="I78" s="208">
        <f t="shared" si="37"/>
        <v>2007</v>
      </c>
      <c r="J78" s="208">
        <f t="shared" si="37"/>
        <v>2008</v>
      </c>
      <c r="K78" s="208">
        <f t="shared" si="37"/>
        <v>2009</v>
      </c>
      <c r="L78" s="208">
        <f t="shared" si="37"/>
        <v>2010</v>
      </c>
      <c r="M78" s="208">
        <f t="shared" si="37"/>
        <v>2011</v>
      </c>
      <c r="N78" s="208">
        <f t="shared" si="37"/>
        <v>2012</v>
      </c>
      <c r="O78" s="208">
        <f t="shared" si="37"/>
        <v>2013</v>
      </c>
      <c r="P78" s="208">
        <f t="shared" si="37"/>
        <v>2014</v>
      </c>
      <c r="Q78" s="208">
        <f t="shared" si="37"/>
        <v>2015</v>
      </c>
      <c r="R78" s="208">
        <f t="shared" si="37"/>
        <v>2016</v>
      </c>
      <c r="S78" s="208">
        <f t="shared" si="37"/>
        <v>2017</v>
      </c>
      <c r="T78" s="208">
        <f t="shared" si="37"/>
        <v>2018</v>
      </c>
      <c r="U78" s="208">
        <f t="shared" si="37"/>
        <v>2019</v>
      </c>
      <c r="V78" s="208">
        <f t="shared" si="37"/>
        <v>2020</v>
      </c>
      <c r="W78" s="208">
        <f t="shared" si="37"/>
        <v>2021</v>
      </c>
      <c r="X78" s="208">
        <f t="shared" si="37"/>
        <v>2022</v>
      </c>
      <c r="Y78" s="209">
        <f t="shared" si="37"/>
        <v>2023</v>
      </c>
      <c r="Z78" s="208">
        <f t="shared" si="37"/>
        <v>2024</v>
      </c>
      <c r="AA78" s="208">
        <f t="shared" si="37"/>
        <v>2025</v>
      </c>
      <c r="AB78" s="208">
        <f t="shared" si="37"/>
        <v>2026</v>
      </c>
      <c r="AC78" s="208">
        <f t="shared" si="37"/>
        <v>2027</v>
      </c>
      <c r="AD78" s="208">
        <f t="shared" si="37"/>
        <v>2028</v>
      </c>
      <c r="AE78" s="209">
        <f t="shared" si="37"/>
        <v>2029</v>
      </c>
      <c r="AF78" s="208"/>
      <c r="AG78" s="208"/>
      <c r="AH78" s="208"/>
      <c r="AI78" s="208"/>
      <c r="AJ78" s="208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 spans="1:51" hidden="1" outlineLevel="1" x14ac:dyDescent="0.2">
      <c r="A79" s="206" t="s">
        <v>201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202"/>
      <c r="Z79" s="44"/>
      <c r="AA79" s="44"/>
      <c r="AB79" s="44"/>
      <c r="AC79" s="44"/>
      <c r="AD79" s="44"/>
      <c r="AE79" s="20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 spans="1:51" hidden="1" outlineLevel="1" x14ac:dyDescent="0.2">
      <c r="A80" s="203"/>
      <c r="B80" s="44" t="s">
        <v>188</v>
      </c>
      <c r="C80" s="44"/>
      <c r="D80" s="44"/>
      <c r="E80" s="210">
        <f>+E52</f>
        <v>17568.763848229246</v>
      </c>
      <c r="F80" s="210">
        <f t="shared" ref="F80:U80" si="38">+F52</f>
        <v>18068.1229716858</v>
      </c>
      <c r="G80" s="210">
        <f t="shared" si="38"/>
        <v>35428.601283146672</v>
      </c>
      <c r="H80" s="210">
        <f t="shared" si="38"/>
        <v>37258.899321438505</v>
      </c>
      <c r="I80" s="210">
        <f t="shared" si="38"/>
        <v>38176.075296470386</v>
      </c>
      <c r="J80" s="210">
        <f t="shared" si="38"/>
        <v>39656.604069672176</v>
      </c>
      <c r="K80" s="210">
        <f t="shared" si="38"/>
        <v>40706.48577464425</v>
      </c>
      <c r="L80" s="210">
        <f t="shared" si="38"/>
        <v>75264.051473329571</v>
      </c>
      <c r="M80" s="210">
        <f t="shared" si="38"/>
        <v>81553.250207261823</v>
      </c>
      <c r="N80" s="210">
        <f t="shared" si="38"/>
        <v>83820.066305330474</v>
      </c>
      <c r="O80" s="210">
        <f t="shared" si="38"/>
        <v>86313.366504590158</v>
      </c>
      <c r="P80" s="210">
        <f t="shared" si="38"/>
        <v>89671.747253414433</v>
      </c>
      <c r="Q80" s="210">
        <f t="shared" si="38"/>
        <v>91465.182198482755</v>
      </c>
      <c r="R80" s="210">
        <f t="shared" si="38"/>
        <v>93294.485842452399</v>
      </c>
      <c r="S80" s="210">
        <f t="shared" si="38"/>
        <v>95160.37555930145</v>
      </c>
      <c r="T80" s="210">
        <f t="shared" si="38"/>
        <v>0</v>
      </c>
      <c r="U80" s="210">
        <f t="shared" si="38"/>
        <v>0</v>
      </c>
      <c r="V80" s="210">
        <f t="shared" ref="V80:AE80" si="39">+V52</f>
        <v>0</v>
      </c>
      <c r="W80" s="210">
        <f t="shared" si="39"/>
        <v>0</v>
      </c>
      <c r="X80" s="210">
        <f t="shared" si="39"/>
        <v>0</v>
      </c>
      <c r="Y80" s="211">
        <f t="shared" si="39"/>
        <v>0</v>
      </c>
      <c r="Z80" s="210">
        <f t="shared" si="39"/>
        <v>0</v>
      </c>
      <c r="AA80" s="210">
        <f t="shared" si="39"/>
        <v>0</v>
      </c>
      <c r="AB80" s="210">
        <f t="shared" si="39"/>
        <v>0</v>
      </c>
      <c r="AC80" s="210">
        <f t="shared" si="39"/>
        <v>0</v>
      </c>
      <c r="AD80" s="210">
        <f t="shared" si="39"/>
        <v>0</v>
      </c>
      <c r="AE80" s="211">
        <f t="shared" si="39"/>
        <v>0</v>
      </c>
      <c r="AF80" s="210"/>
      <c r="AG80" s="210"/>
      <c r="AH80" s="210"/>
      <c r="AI80" s="210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 spans="1:51" hidden="1" outlineLevel="1" x14ac:dyDescent="0.2">
      <c r="A81" s="203"/>
      <c r="B81" s="44" t="s">
        <v>194</v>
      </c>
      <c r="C81" s="44"/>
      <c r="D81" s="44"/>
      <c r="E81" s="210">
        <f t="shared" ref="E81:AE81" si="40">+E63</f>
        <v>127536.68015927149</v>
      </c>
      <c r="F81" s="210">
        <f t="shared" si="40"/>
        <v>0</v>
      </c>
      <c r="G81" s="210">
        <f t="shared" si="40"/>
        <v>0</v>
      </c>
      <c r="H81" s="210">
        <f t="shared" si="40"/>
        <v>0</v>
      </c>
      <c r="I81" s="210">
        <f t="shared" si="40"/>
        <v>0</v>
      </c>
      <c r="J81" s="210">
        <f t="shared" si="40"/>
        <v>0</v>
      </c>
      <c r="K81" s="210">
        <f t="shared" si="40"/>
        <v>0</v>
      </c>
      <c r="L81" s="210">
        <f t="shared" si="40"/>
        <v>0</v>
      </c>
      <c r="M81" s="210">
        <f t="shared" si="40"/>
        <v>0</v>
      </c>
      <c r="N81" s="210">
        <f t="shared" si="40"/>
        <v>0</v>
      </c>
      <c r="O81" s="210">
        <f t="shared" si="40"/>
        <v>0</v>
      </c>
      <c r="P81" s="210">
        <f t="shared" si="40"/>
        <v>0</v>
      </c>
      <c r="Q81" s="210">
        <f t="shared" si="40"/>
        <v>0</v>
      </c>
      <c r="R81" s="210">
        <f t="shared" si="40"/>
        <v>0</v>
      </c>
      <c r="S81" s="210">
        <f t="shared" si="40"/>
        <v>0</v>
      </c>
      <c r="T81" s="210">
        <f t="shared" si="40"/>
        <v>0</v>
      </c>
      <c r="U81" s="210">
        <f t="shared" si="40"/>
        <v>0</v>
      </c>
      <c r="V81" s="210">
        <f t="shared" si="40"/>
        <v>0</v>
      </c>
      <c r="W81" s="210">
        <f t="shared" si="40"/>
        <v>0</v>
      </c>
      <c r="X81" s="210">
        <f t="shared" si="40"/>
        <v>0</v>
      </c>
      <c r="Y81" s="211">
        <f t="shared" si="40"/>
        <v>0</v>
      </c>
      <c r="Z81" s="210">
        <f t="shared" si="40"/>
        <v>0</v>
      </c>
      <c r="AA81" s="210">
        <f t="shared" si="40"/>
        <v>0</v>
      </c>
      <c r="AB81" s="210">
        <f t="shared" si="40"/>
        <v>0</v>
      </c>
      <c r="AC81" s="210">
        <f t="shared" si="40"/>
        <v>0</v>
      </c>
      <c r="AD81" s="210">
        <f t="shared" si="40"/>
        <v>0</v>
      </c>
      <c r="AE81" s="211">
        <f t="shared" si="40"/>
        <v>0</v>
      </c>
      <c r="AF81" s="210"/>
      <c r="AG81" s="210"/>
      <c r="AH81" s="210"/>
      <c r="AI81" s="210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 spans="1:51" ht="15" hidden="1" outlineLevel="1" x14ac:dyDescent="0.35">
      <c r="A82" s="203"/>
      <c r="B82" s="44" t="s">
        <v>202</v>
      </c>
      <c r="C82" s="44"/>
      <c r="D82" s="210"/>
      <c r="E82" s="239">
        <f>+E65</f>
        <v>42512.226719757164</v>
      </c>
      <c r="F82" s="239">
        <f t="shared" ref="F82:Q82" si="41">+F65</f>
        <v>0</v>
      </c>
      <c r="G82" s="239">
        <f t="shared" si="41"/>
        <v>0</v>
      </c>
      <c r="H82" s="239">
        <f t="shared" si="41"/>
        <v>0</v>
      </c>
      <c r="I82" s="239">
        <f t="shared" si="41"/>
        <v>0</v>
      </c>
      <c r="J82" s="239">
        <f t="shared" si="41"/>
        <v>0</v>
      </c>
      <c r="K82" s="239">
        <f t="shared" si="41"/>
        <v>0</v>
      </c>
      <c r="L82" s="239">
        <f t="shared" si="41"/>
        <v>0</v>
      </c>
      <c r="M82" s="239">
        <f t="shared" si="41"/>
        <v>0</v>
      </c>
      <c r="N82" s="239">
        <f t="shared" si="41"/>
        <v>0</v>
      </c>
      <c r="O82" s="239">
        <f t="shared" si="41"/>
        <v>0</v>
      </c>
      <c r="P82" s="239">
        <f t="shared" si="41"/>
        <v>0</v>
      </c>
      <c r="Q82" s="239">
        <f t="shared" si="41"/>
        <v>0</v>
      </c>
      <c r="R82" s="239">
        <f t="shared" ref="R82:Y82" si="42">+R65</f>
        <v>0</v>
      </c>
      <c r="S82" s="239">
        <f t="shared" si="42"/>
        <v>0</v>
      </c>
      <c r="T82" s="239">
        <f t="shared" si="42"/>
        <v>0</v>
      </c>
      <c r="U82" s="239">
        <f t="shared" si="42"/>
        <v>0</v>
      </c>
      <c r="V82" s="239">
        <f t="shared" si="42"/>
        <v>0</v>
      </c>
      <c r="W82" s="239">
        <f t="shared" si="42"/>
        <v>0</v>
      </c>
      <c r="X82" s="239">
        <f t="shared" si="42"/>
        <v>0</v>
      </c>
      <c r="Y82" s="240">
        <f t="shared" si="42"/>
        <v>0</v>
      </c>
      <c r="Z82" s="239">
        <f t="shared" ref="Z82:AE82" si="43">+Z65</f>
        <v>0</v>
      </c>
      <c r="AA82" s="239">
        <f t="shared" si="43"/>
        <v>0</v>
      </c>
      <c r="AB82" s="239">
        <f t="shared" si="43"/>
        <v>0</v>
      </c>
      <c r="AC82" s="239">
        <f t="shared" si="43"/>
        <v>0</v>
      </c>
      <c r="AD82" s="239">
        <f t="shared" si="43"/>
        <v>0</v>
      </c>
      <c r="AE82" s="240">
        <f t="shared" si="43"/>
        <v>0</v>
      </c>
      <c r="AF82" s="239"/>
      <c r="AG82" s="239"/>
      <c r="AH82" s="239"/>
      <c r="AI82" s="239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 spans="1:51" hidden="1" outlineLevel="1" x14ac:dyDescent="0.2">
      <c r="A83" s="203"/>
      <c r="B83" s="44"/>
      <c r="C83" s="44" t="s">
        <v>203</v>
      </c>
      <c r="D83" s="44"/>
      <c r="E83" s="210">
        <f>SUM(E80:E82)</f>
        <v>187617.67072725791</v>
      </c>
      <c r="F83" s="210">
        <f t="shared" ref="F83:U83" si="44">SUM(F80:F82)</f>
        <v>18068.1229716858</v>
      </c>
      <c r="G83" s="210">
        <f t="shared" si="44"/>
        <v>35428.601283146672</v>
      </c>
      <c r="H83" s="210">
        <f t="shared" si="44"/>
        <v>37258.899321438505</v>
      </c>
      <c r="I83" s="210">
        <f t="shared" si="44"/>
        <v>38176.075296470386</v>
      </c>
      <c r="J83" s="210">
        <f t="shared" si="44"/>
        <v>39656.604069672176</v>
      </c>
      <c r="K83" s="210">
        <f t="shared" si="44"/>
        <v>40706.48577464425</v>
      </c>
      <c r="L83" s="210">
        <f t="shared" si="44"/>
        <v>75264.051473329571</v>
      </c>
      <c r="M83" s="210">
        <f t="shared" si="44"/>
        <v>81553.250207261823</v>
      </c>
      <c r="N83" s="210">
        <f t="shared" si="44"/>
        <v>83820.066305330474</v>
      </c>
      <c r="O83" s="210">
        <f t="shared" si="44"/>
        <v>86313.366504590158</v>
      </c>
      <c r="P83" s="210">
        <f t="shared" si="44"/>
        <v>89671.747253414433</v>
      </c>
      <c r="Q83" s="210">
        <f t="shared" si="44"/>
        <v>91465.182198482755</v>
      </c>
      <c r="R83" s="210">
        <f t="shared" si="44"/>
        <v>93294.485842452399</v>
      </c>
      <c r="S83" s="210">
        <f t="shared" si="44"/>
        <v>95160.37555930145</v>
      </c>
      <c r="T83" s="210">
        <f t="shared" si="44"/>
        <v>0</v>
      </c>
      <c r="U83" s="210">
        <f t="shared" si="44"/>
        <v>0</v>
      </c>
      <c r="V83" s="210">
        <f t="shared" ref="V83:AE83" si="45">SUM(V80:V82)</f>
        <v>0</v>
      </c>
      <c r="W83" s="210">
        <f t="shared" si="45"/>
        <v>0</v>
      </c>
      <c r="X83" s="210">
        <f t="shared" si="45"/>
        <v>0</v>
      </c>
      <c r="Y83" s="211">
        <f t="shared" si="45"/>
        <v>0</v>
      </c>
      <c r="Z83" s="210">
        <f t="shared" si="45"/>
        <v>0</v>
      </c>
      <c r="AA83" s="210">
        <f t="shared" si="45"/>
        <v>0</v>
      </c>
      <c r="AB83" s="210">
        <f t="shared" si="45"/>
        <v>0</v>
      </c>
      <c r="AC83" s="210">
        <f t="shared" si="45"/>
        <v>0</v>
      </c>
      <c r="AD83" s="210">
        <f t="shared" si="45"/>
        <v>0</v>
      </c>
      <c r="AE83" s="211">
        <f t="shared" si="45"/>
        <v>0</v>
      </c>
      <c r="AF83" s="210"/>
      <c r="AG83" s="210"/>
      <c r="AH83" s="210"/>
      <c r="AI83" s="210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 spans="1:51" hidden="1" outlineLevel="1" x14ac:dyDescent="0.2">
      <c r="A84" s="203"/>
      <c r="B84" s="44"/>
      <c r="C84" s="44"/>
      <c r="D84" s="44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1"/>
      <c r="Z84" s="210"/>
      <c r="AA84" s="210"/>
      <c r="AB84" s="210"/>
      <c r="AC84" s="210"/>
      <c r="AD84" s="210"/>
      <c r="AE84" s="211"/>
      <c r="AF84" s="210"/>
      <c r="AG84" s="210"/>
      <c r="AH84" s="210"/>
      <c r="AI84" s="210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 spans="1:51" hidden="1" outlineLevel="1" x14ac:dyDescent="0.2">
      <c r="A85" s="206" t="s">
        <v>204</v>
      </c>
      <c r="B85" s="44"/>
      <c r="C85" s="44"/>
      <c r="D85" s="44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1"/>
      <c r="Z85" s="210"/>
      <c r="AA85" s="210"/>
      <c r="AB85" s="210"/>
      <c r="AC85" s="210"/>
      <c r="AD85" s="210"/>
      <c r="AE85" s="211"/>
      <c r="AF85" s="210"/>
      <c r="AG85" s="210"/>
      <c r="AH85" s="210"/>
      <c r="AI85" s="210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 spans="1:51" hidden="1" outlineLevel="1" x14ac:dyDescent="0.2">
      <c r="A86" s="203"/>
      <c r="B86" s="44" t="s">
        <v>189</v>
      </c>
      <c r="C86" s="44"/>
      <c r="D86" s="44"/>
      <c r="E86" s="210">
        <f t="shared" ref="E86:N86" si="46">-E53</f>
        <v>10168.5650176</v>
      </c>
      <c r="F86" s="210">
        <f t="shared" si="46"/>
        <v>10371.196317951999</v>
      </c>
      <c r="G86" s="210">
        <f t="shared" si="46"/>
        <v>10577.88024431104</v>
      </c>
      <c r="H86" s="210">
        <f t="shared" si="46"/>
        <v>10788.697849197259</v>
      </c>
      <c r="I86" s="210">
        <f t="shared" si="46"/>
        <v>11003.731806181206</v>
      </c>
      <c r="J86" s="210">
        <f t="shared" si="46"/>
        <v>11223.066442304829</v>
      </c>
      <c r="K86" s="210">
        <f t="shared" si="46"/>
        <v>11446.787771150926</v>
      </c>
      <c r="L86" s="210">
        <f t="shared" si="46"/>
        <v>11674.983526573942</v>
      </c>
      <c r="M86" s="210">
        <f t="shared" si="46"/>
        <v>11907.743197105423</v>
      </c>
      <c r="N86" s="210">
        <f t="shared" si="46"/>
        <v>12145.15806104753</v>
      </c>
      <c r="O86" s="210">
        <f t="shared" ref="O86:X86" si="47">-O53</f>
        <v>12387.321222268483</v>
      </c>
      <c r="P86" s="210">
        <f t="shared" si="47"/>
        <v>12634.327646713851</v>
      </c>
      <c r="Q86" s="210">
        <f t="shared" si="47"/>
        <v>12886.274199648129</v>
      </c>
      <c r="R86" s="210">
        <f t="shared" si="47"/>
        <v>13143.25968364109</v>
      </c>
      <c r="S86" s="210">
        <f t="shared" si="47"/>
        <v>13405.384877313913</v>
      </c>
      <c r="T86" s="210">
        <f t="shared" si="47"/>
        <v>0</v>
      </c>
      <c r="U86" s="210">
        <f t="shared" si="47"/>
        <v>0</v>
      </c>
      <c r="V86" s="210">
        <f t="shared" si="47"/>
        <v>0</v>
      </c>
      <c r="W86" s="210">
        <f t="shared" si="47"/>
        <v>0</v>
      </c>
      <c r="X86" s="210">
        <f t="shared" si="47"/>
        <v>0</v>
      </c>
      <c r="Y86" s="211">
        <f t="shared" ref="Y86:AE86" si="48">-Y53</f>
        <v>0</v>
      </c>
      <c r="Z86" s="210">
        <f t="shared" si="48"/>
        <v>0</v>
      </c>
      <c r="AA86" s="210">
        <f t="shared" si="48"/>
        <v>0</v>
      </c>
      <c r="AB86" s="210">
        <f t="shared" si="48"/>
        <v>0</v>
      </c>
      <c r="AC86" s="210">
        <f t="shared" si="48"/>
        <v>0</v>
      </c>
      <c r="AD86" s="210">
        <f t="shared" si="48"/>
        <v>0</v>
      </c>
      <c r="AE86" s="211">
        <f t="shared" si="48"/>
        <v>0</v>
      </c>
      <c r="AF86" s="210"/>
      <c r="AG86" s="210"/>
      <c r="AH86" s="210"/>
      <c r="AI86" s="210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 spans="1:51" hidden="1" outlineLevel="1" x14ac:dyDescent="0.2">
      <c r="A87" s="203"/>
      <c r="B87" s="44" t="s">
        <v>205</v>
      </c>
      <c r="C87" s="44"/>
      <c r="D87" s="44"/>
      <c r="E87" s="77">
        <f t="shared" ref="E87:AE87" si="49">-E58</f>
        <v>0</v>
      </c>
      <c r="F87" s="77">
        <f t="shared" si="49"/>
        <v>0</v>
      </c>
      <c r="G87" s="77">
        <f t="shared" si="49"/>
        <v>0</v>
      </c>
      <c r="H87" s="77">
        <f t="shared" si="49"/>
        <v>727.36738619080927</v>
      </c>
      <c r="I87" s="77">
        <f t="shared" si="49"/>
        <v>1257.2973357347939</v>
      </c>
      <c r="J87" s="77">
        <f t="shared" si="49"/>
        <v>1589.6830027911492</v>
      </c>
      <c r="K87" s="77">
        <f t="shared" si="49"/>
        <v>1870.7413373921941</v>
      </c>
      <c r="L87" s="77">
        <f t="shared" si="49"/>
        <v>14385.126795412283</v>
      </c>
      <c r="M87" s="77">
        <f t="shared" si="49"/>
        <v>16580.428829925215</v>
      </c>
      <c r="N87" s="77">
        <f t="shared" si="49"/>
        <v>17604.418393652006</v>
      </c>
      <c r="O87" s="77">
        <f t="shared" si="49"/>
        <v>18735.306497426711</v>
      </c>
      <c r="P87" s="77">
        <f t="shared" si="49"/>
        <v>20168.57057927948</v>
      </c>
      <c r="Q87" s="77">
        <f t="shared" si="49"/>
        <v>21035.930490744351</v>
      </c>
      <c r="R87" s="77">
        <f t="shared" si="49"/>
        <v>21507.625938737354</v>
      </c>
      <c r="S87" s="77">
        <f t="shared" si="49"/>
        <v>21988.755295690225</v>
      </c>
      <c r="T87" s="77">
        <f t="shared" si="49"/>
        <v>0</v>
      </c>
      <c r="U87" s="77">
        <f t="shared" si="49"/>
        <v>0</v>
      </c>
      <c r="V87" s="77">
        <f t="shared" si="49"/>
        <v>0</v>
      </c>
      <c r="W87" s="77">
        <f t="shared" si="49"/>
        <v>0</v>
      </c>
      <c r="X87" s="77">
        <f t="shared" si="49"/>
        <v>0</v>
      </c>
      <c r="Y87" s="205">
        <f t="shared" si="49"/>
        <v>0</v>
      </c>
      <c r="Z87" s="77">
        <f t="shared" si="49"/>
        <v>0</v>
      </c>
      <c r="AA87" s="77">
        <f t="shared" si="49"/>
        <v>0</v>
      </c>
      <c r="AB87" s="77">
        <f t="shared" si="49"/>
        <v>0</v>
      </c>
      <c r="AC87" s="77">
        <f t="shared" si="49"/>
        <v>0</v>
      </c>
      <c r="AD87" s="77">
        <f t="shared" si="49"/>
        <v>0</v>
      </c>
      <c r="AE87" s="205">
        <f t="shared" si="49"/>
        <v>0</v>
      </c>
      <c r="AF87" s="77"/>
      <c r="AG87" s="77"/>
      <c r="AH87" s="77"/>
      <c r="AI87" s="77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 spans="1:51" hidden="1" outlineLevel="1" x14ac:dyDescent="0.2">
      <c r="A88" s="203"/>
      <c r="B88" s="44" t="s">
        <v>190</v>
      </c>
      <c r="C88" s="44"/>
      <c r="D88" s="44"/>
      <c r="E88" s="210">
        <f t="shared" ref="E88:N88" si="50">-E55</f>
        <v>12115.984615130792</v>
      </c>
      <c r="F88" s="210">
        <f t="shared" si="50"/>
        <v>11953.942667125337</v>
      </c>
      <c r="G88" s="210">
        <f t="shared" si="50"/>
        <v>11274.621297837295</v>
      </c>
      <c r="H88" s="210">
        <f t="shared" si="50"/>
        <v>10529.231679627432</v>
      </c>
      <c r="I88" s="210">
        <f t="shared" si="50"/>
        <v>9711.3482623615473</v>
      </c>
      <c r="J88" s="210">
        <f t="shared" si="50"/>
        <v>8813.9205709951966</v>
      </c>
      <c r="K88" s="210">
        <f t="shared" si="50"/>
        <v>7829.2124277203975</v>
      </c>
      <c r="L88" s="210">
        <f t="shared" si="50"/>
        <v>6748.7352630862297</v>
      </c>
      <c r="M88" s="210">
        <f t="shared" si="50"/>
        <v>5563.1749412091103</v>
      </c>
      <c r="N88" s="210">
        <f t="shared" si="50"/>
        <v>4262.3114682774285</v>
      </c>
      <c r="O88" s="210">
        <f t="shared" ref="O88:AD88" si="51">-O55</f>
        <v>2834.9308922064356</v>
      </c>
      <c r="P88" s="210">
        <f t="shared" si="51"/>
        <v>1268.7286339839379</v>
      </c>
      <c r="Q88" s="210">
        <f t="shared" si="51"/>
        <v>0</v>
      </c>
      <c r="R88" s="210">
        <f t="shared" si="51"/>
        <v>0</v>
      </c>
      <c r="S88" s="210">
        <f t="shared" si="51"/>
        <v>0</v>
      </c>
      <c r="T88" s="210">
        <f t="shared" si="51"/>
        <v>0</v>
      </c>
      <c r="U88" s="210">
        <f t="shared" si="51"/>
        <v>0</v>
      </c>
      <c r="V88" s="210">
        <f t="shared" si="51"/>
        <v>0</v>
      </c>
      <c r="W88" s="210">
        <f t="shared" si="51"/>
        <v>0</v>
      </c>
      <c r="X88" s="210">
        <f t="shared" si="51"/>
        <v>0</v>
      </c>
      <c r="Y88" s="211">
        <f t="shared" si="51"/>
        <v>0</v>
      </c>
      <c r="Z88" s="210">
        <f t="shared" si="51"/>
        <v>0</v>
      </c>
      <c r="AA88" s="210">
        <f t="shared" si="51"/>
        <v>0</v>
      </c>
      <c r="AB88" s="210">
        <f t="shared" si="51"/>
        <v>0</v>
      </c>
      <c r="AC88" s="210">
        <f t="shared" si="51"/>
        <v>0</v>
      </c>
      <c r="AD88" s="210">
        <f t="shared" si="51"/>
        <v>0</v>
      </c>
      <c r="AE88" s="211">
        <f>-AE55</f>
        <v>0</v>
      </c>
      <c r="AF88" s="210"/>
      <c r="AG88" s="210"/>
      <c r="AH88" s="210"/>
      <c r="AI88" s="210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 spans="1:51" s="610" customFormat="1" hidden="1" outlineLevel="1" x14ac:dyDescent="0.2">
      <c r="A89" s="789"/>
      <c r="B89" s="44" t="s">
        <v>112</v>
      </c>
      <c r="C89" s="790"/>
      <c r="D89" s="790"/>
      <c r="E89" s="213">
        <v>0</v>
      </c>
      <c r="F89" s="213">
        <v>0</v>
      </c>
      <c r="G89" s="213">
        <v>0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R89" s="213">
        <v>0</v>
      </c>
      <c r="S89" s="213">
        <v>0</v>
      </c>
      <c r="T89" s="213">
        <v>0</v>
      </c>
      <c r="U89" s="213">
        <v>0</v>
      </c>
      <c r="V89" s="213">
        <v>0</v>
      </c>
      <c r="W89" s="213">
        <v>0</v>
      </c>
      <c r="X89" s="213">
        <v>0</v>
      </c>
      <c r="Y89" s="791">
        <v>0</v>
      </c>
      <c r="Z89" s="213">
        <v>0</v>
      </c>
      <c r="AA89" s="213">
        <v>0</v>
      </c>
      <c r="AB89" s="213">
        <v>0</v>
      </c>
      <c r="AC89" s="213">
        <v>0</v>
      </c>
      <c r="AD89" s="213">
        <v>0</v>
      </c>
      <c r="AE89" s="791">
        <v>0</v>
      </c>
      <c r="AF89" s="213"/>
      <c r="AG89" s="213"/>
      <c r="AH89" s="213"/>
      <c r="AI89" s="213"/>
      <c r="AJ89" s="790"/>
      <c r="AK89" s="790"/>
      <c r="AL89" s="790"/>
      <c r="AM89" s="790"/>
      <c r="AN89" s="790"/>
      <c r="AO89" s="790"/>
      <c r="AP89" s="790"/>
      <c r="AQ89" s="790"/>
      <c r="AR89" s="790"/>
      <c r="AS89" s="790"/>
      <c r="AT89" s="790"/>
      <c r="AU89" s="790"/>
      <c r="AV89" s="790"/>
      <c r="AW89" s="790"/>
      <c r="AX89" s="790"/>
      <c r="AY89" s="790"/>
    </row>
    <row r="90" spans="1:51" hidden="1" outlineLevel="1" x14ac:dyDescent="0.2">
      <c r="A90" s="203"/>
      <c r="B90" s="44" t="s">
        <v>193</v>
      </c>
      <c r="C90" s="44"/>
      <c r="D90" s="44"/>
      <c r="E90" s="210">
        <f>-E64</f>
        <v>0</v>
      </c>
      <c r="F90" s="210">
        <f t="shared" ref="F90:U90" si="52">-F64</f>
        <v>6984.8608113930131</v>
      </c>
      <c r="G90" s="210">
        <f t="shared" si="52"/>
        <v>7664.1821806810549</v>
      </c>
      <c r="H90" s="210">
        <f t="shared" si="52"/>
        <v>8409.5717988909164</v>
      </c>
      <c r="I90" s="210">
        <f t="shared" si="52"/>
        <v>9227.4552161568026</v>
      </c>
      <c r="J90" s="210">
        <f t="shared" si="52"/>
        <v>10124.882907523152</v>
      </c>
      <c r="K90" s="210">
        <f t="shared" si="52"/>
        <v>11109.59105079795</v>
      </c>
      <c r="L90" s="210">
        <f t="shared" si="52"/>
        <v>12190.068215432118</v>
      </c>
      <c r="M90" s="210">
        <f t="shared" si="52"/>
        <v>13375.628537309238</v>
      </c>
      <c r="N90" s="210">
        <f t="shared" si="52"/>
        <v>14676.49201024092</v>
      </c>
      <c r="O90" s="210">
        <f t="shared" si="52"/>
        <v>16103.872586311914</v>
      </c>
      <c r="P90" s="210">
        <f t="shared" si="52"/>
        <v>17670.074844534407</v>
      </c>
      <c r="Q90" s="210">
        <f t="shared" si="52"/>
        <v>0</v>
      </c>
      <c r="R90" s="210">
        <f t="shared" si="52"/>
        <v>0</v>
      </c>
      <c r="S90" s="210">
        <f t="shared" si="52"/>
        <v>0</v>
      </c>
      <c r="T90" s="210">
        <f t="shared" si="52"/>
        <v>0</v>
      </c>
      <c r="U90" s="210">
        <f t="shared" si="52"/>
        <v>0</v>
      </c>
      <c r="V90" s="210">
        <f t="shared" ref="V90:AE90" si="53">-V64</f>
        <v>0</v>
      </c>
      <c r="W90" s="210">
        <f t="shared" si="53"/>
        <v>0</v>
      </c>
      <c r="X90" s="210">
        <f t="shared" si="53"/>
        <v>0</v>
      </c>
      <c r="Y90" s="211">
        <f t="shared" si="53"/>
        <v>0</v>
      </c>
      <c r="Z90" s="210">
        <f t="shared" si="53"/>
        <v>0</v>
      </c>
      <c r="AA90" s="210">
        <f t="shared" si="53"/>
        <v>0</v>
      </c>
      <c r="AB90" s="210">
        <f t="shared" si="53"/>
        <v>0</v>
      </c>
      <c r="AC90" s="210">
        <f t="shared" si="53"/>
        <v>0</v>
      </c>
      <c r="AD90" s="210">
        <f t="shared" si="53"/>
        <v>0</v>
      </c>
      <c r="AE90" s="211">
        <f t="shared" si="53"/>
        <v>0</v>
      </c>
      <c r="AF90" s="210"/>
      <c r="AG90" s="210"/>
      <c r="AH90" s="210"/>
      <c r="AI90" s="210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 spans="1:51" hidden="1" outlineLevel="1" x14ac:dyDescent="0.2">
      <c r="A91" s="203"/>
      <c r="B91" s="44" t="s">
        <v>166</v>
      </c>
      <c r="C91" s="44"/>
      <c r="D91" s="210"/>
      <c r="E91" s="210">
        <f t="shared" ref="E91:U91" si="54">-E66</f>
        <v>168782.46125182864</v>
      </c>
      <c r="F91" s="210">
        <f t="shared" si="54"/>
        <v>0</v>
      </c>
      <c r="G91" s="210">
        <f t="shared" si="54"/>
        <v>0</v>
      </c>
      <c r="H91" s="210">
        <f t="shared" si="54"/>
        <v>0</v>
      </c>
      <c r="I91" s="210">
        <f t="shared" si="54"/>
        <v>0</v>
      </c>
      <c r="J91" s="210">
        <f t="shared" si="54"/>
        <v>0</v>
      </c>
      <c r="K91" s="210">
        <f t="shared" si="54"/>
        <v>0</v>
      </c>
      <c r="L91" s="210">
        <f t="shared" si="54"/>
        <v>0</v>
      </c>
      <c r="M91" s="210">
        <f t="shared" si="54"/>
        <v>0</v>
      </c>
      <c r="N91" s="210">
        <f t="shared" si="54"/>
        <v>0</v>
      </c>
      <c r="O91" s="210">
        <f t="shared" si="54"/>
        <v>0</v>
      </c>
      <c r="P91" s="210">
        <f t="shared" si="54"/>
        <v>0</v>
      </c>
      <c r="Q91" s="210">
        <f t="shared" si="54"/>
        <v>0</v>
      </c>
      <c r="R91" s="210">
        <f t="shared" si="54"/>
        <v>0</v>
      </c>
      <c r="S91" s="210">
        <f t="shared" si="54"/>
        <v>0</v>
      </c>
      <c r="T91" s="210">
        <f t="shared" si="54"/>
        <v>0</v>
      </c>
      <c r="U91" s="210">
        <f t="shared" si="54"/>
        <v>0</v>
      </c>
      <c r="V91" s="210">
        <f t="shared" ref="V91:AE91" si="55">-V66</f>
        <v>0</v>
      </c>
      <c r="W91" s="210">
        <f t="shared" si="55"/>
        <v>0</v>
      </c>
      <c r="X91" s="210">
        <f t="shared" si="55"/>
        <v>0</v>
      </c>
      <c r="Y91" s="211">
        <f t="shared" si="55"/>
        <v>0</v>
      </c>
      <c r="Z91" s="210">
        <f t="shared" si="55"/>
        <v>0</v>
      </c>
      <c r="AA91" s="210">
        <f t="shared" si="55"/>
        <v>0</v>
      </c>
      <c r="AB91" s="210">
        <f t="shared" si="55"/>
        <v>0</v>
      </c>
      <c r="AC91" s="210">
        <f t="shared" si="55"/>
        <v>0</v>
      </c>
      <c r="AD91" s="210">
        <f t="shared" si="55"/>
        <v>0</v>
      </c>
      <c r="AE91" s="211">
        <f t="shared" si="55"/>
        <v>0</v>
      </c>
      <c r="AF91" s="210"/>
      <c r="AG91" s="210"/>
      <c r="AH91" s="210"/>
      <c r="AI91" s="210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 spans="1:51" hidden="1" outlineLevel="1" x14ac:dyDescent="0.2">
      <c r="A92" s="203"/>
      <c r="B92" s="199" t="s">
        <v>206</v>
      </c>
      <c r="C92" s="44"/>
      <c r="D92" s="44"/>
      <c r="E92" s="223">
        <f>-E67</f>
        <v>-5489.1465046162775</v>
      </c>
      <c r="F92" s="223">
        <f t="shared" ref="F92:U92" si="56">-F67</f>
        <v>-12024.894441835102</v>
      </c>
      <c r="G92" s="223">
        <f t="shared" si="56"/>
        <v>5172.2608817319233</v>
      </c>
      <c r="H92" s="223">
        <f t="shared" si="56"/>
        <v>6111.9519896835282</v>
      </c>
      <c r="I92" s="223">
        <f t="shared" si="56"/>
        <v>6336.3693826938106</v>
      </c>
      <c r="J92" s="223">
        <f t="shared" si="56"/>
        <v>7322.4604713134759</v>
      </c>
      <c r="K92" s="223">
        <f t="shared" si="56"/>
        <v>7930.4162241112645</v>
      </c>
      <c r="L92" s="223">
        <f t="shared" si="56"/>
        <v>29814.367336883326</v>
      </c>
      <c r="M92" s="223">
        <f t="shared" si="56"/>
        <v>33751.178428869709</v>
      </c>
      <c r="N92" s="223">
        <f t="shared" si="56"/>
        <v>34839.623937967219</v>
      </c>
      <c r="O92" s="223">
        <f t="shared" si="56"/>
        <v>36050.982270703869</v>
      </c>
      <c r="P92" s="223">
        <f t="shared" si="56"/>
        <v>37829.06287013783</v>
      </c>
      <c r="Q92" s="223">
        <f t="shared" si="56"/>
        <v>57522.977508090269</v>
      </c>
      <c r="R92" s="223">
        <f t="shared" si="56"/>
        <v>58623.600220073946</v>
      </c>
      <c r="S92" s="223">
        <f t="shared" si="56"/>
        <v>59746.23538629731</v>
      </c>
      <c r="T92" s="223">
        <f t="shared" si="56"/>
        <v>0</v>
      </c>
      <c r="U92" s="223">
        <f t="shared" si="56"/>
        <v>0</v>
      </c>
      <c r="V92" s="223">
        <f t="shared" ref="V92:AE92" si="57">-V67</f>
        <v>0</v>
      </c>
      <c r="W92" s="223">
        <f t="shared" si="57"/>
        <v>0</v>
      </c>
      <c r="X92" s="223">
        <f t="shared" si="57"/>
        <v>0</v>
      </c>
      <c r="Y92" s="224">
        <f t="shared" si="57"/>
        <v>0</v>
      </c>
      <c r="Z92" s="223">
        <f t="shared" si="57"/>
        <v>0</v>
      </c>
      <c r="AA92" s="223">
        <f t="shared" si="57"/>
        <v>0</v>
      </c>
      <c r="AB92" s="223">
        <f t="shared" si="57"/>
        <v>0</v>
      </c>
      <c r="AC92" s="223">
        <f t="shared" si="57"/>
        <v>0</v>
      </c>
      <c r="AD92" s="223">
        <f t="shared" si="57"/>
        <v>0</v>
      </c>
      <c r="AE92" s="224">
        <f t="shared" si="57"/>
        <v>0</v>
      </c>
      <c r="AF92" s="223"/>
      <c r="AG92" s="223"/>
      <c r="AH92" s="223"/>
      <c r="AI92" s="223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 spans="1:51" hidden="1" outlineLevel="1" x14ac:dyDescent="0.2">
      <c r="A93" s="203"/>
      <c r="B93" s="44"/>
      <c r="C93" s="44" t="s">
        <v>207</v>
      </c>
      <c r="D93" s="44"/>
      <c r="E93" s="210">
        <f>SUM(E86:E92)</f>
        <v>185577.86437994314</v>
      </c>
      <c r="F93" s="210">
        <f t="shared" ref="F93:P93" si="58">SUM(F86:F92)</f>
        <v>17285.105354635245</v>
      </c>
      <c r="G93" s="210">
        <f t="shared" si="58"/>
        <v>34688.944604561315</v>
      </c>
      <c r="H93" s="210">
        <f t="shared" si="58"/>
        <v>36566.820703589947</v>
      </c>
      <c r="I93" s="210">
        <f t="shared" si="58"/>
        <v>37536.202003128157</v>
      </c>
      <c r="J93" s="210">
        <f t="shared" si="58"/>
        <v>39074.013394927802</v>
      </c>
      <c r="K93" s="210">
        <f t="shared" si="58"/>
        <v>40186.748811172729</v>
      </c>
      <c r="L93" s="210">
        <f t="shared" si="58"/>
        <v>74813.281137387909</v>
      </c>
      <c r="M93" s="210">
        <f t="shared" si="58"/>
        <v>81178.153934418689</v>
      </c>
      <c r="N93" s="210">
        <f t="shared" si="58"/>
        <v>83528.003871185108</v>
      </c>
      <c r="O93" s="210">
        <f t="shared" si="58"/>
        <v>86112.41346891741</v>
      </c>
      <c r="P93" s="210">
        <f t="shared" si="58"/>
        <v>89570.764574649511</v>
      </c>
      <c r="Q93" s="210">
        <f>SUM(Q86:Q92)</f>
        <v>91445.18219848274</v>
      </c>
      <c r="R93" s="210">
        <f t="shared" ref="R93:AE93" si="59">SUM(R86:R92)</f>
        <v>93274.485842452385</v>
      </c>
      <c r="S93" s="210">
        <f t="shared" si="59"/>
        <v>95140.37555930145</v>
      </c>
      <c r="T93" s="210">
        <f t="shared" si="59"/>
        <v>0</v>
      </c>
      <c r="U93" s="210">
        <f t="shared" si="59"/>
        <v>0</v>
      </c>
      <c r="V93" s="210">
        <f t="shared" si="59"/>
        <v>0</v>
      </c>
      <c r="W93" s="210">
        <f t="shared" si="59"/>
        <v>0</v>
      </c>
      <c r="X93" s="210">
        <f t="shared" si="59"/>
        <v>0</v>
      </c>
      <c r="Y93" s="211">
        <f t="shared" si="59"/>
        <v>0</v>
      </c>
      <c r="Z93" s="210">
        <f t="shared" si="59"/>
        <v>0</v>
      </c>
      <c r="AA93" s="210">
        <f t="shared" si="59"/>
        <v>0</v>
      </c>
      <c r="AB93" s="210">
        <f t="shared" si="59"/>
        <v>0</v>
      </c>
      <c r="AC93" s="210">
        <f t="shared" si="59"/>
        <v>0</v>
      </c>
      <c r="AD93" s="210">
        <f t="shared" si="59"/>
        <v>0</v>
      </c>
      <c r="AE93" s="211">
        <f t="shared" si="59"/>
        <v>0</v>
      </c>
      <c r="AF93" s="210"/>
      <c r="AG93" s="210"/>
      <c r="AH93" s="210"/>
      <c r="AI93" s="210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 spans="1:51" hidden="1" outlineLevel="1" x14ac:dyDescent="0.2">
      <c r="A94" s="203"/>
      <c r="B94" s="44"/>
      <c r="C94" s="44"/>
      <c r="D94" s="44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1"/>
      <c r="Z94" s="210"/>
      <c r="AA94" s="210"/>
      <c r="AB94" s="210"/>
      <c r="AC94" s="210"/>
      <c r="AD94" s="210"/>
      <c r="AE94" s="211"/>
      <c r="AF94" s="210"/>
      <c r="AG94" s="210"/>
      <c r="AH94" s="210"/>
      <c r="AI94" s="210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 spans="1:51" hidden="1" outlineLevel="1" x14ac:dyDescent="0.2">
      <c r="A95" s="230" t="s">
        <v>208</v>
      </c>
      <c r="B95" s="226"/>
      <c r="C95" s="226"/>
      <c r="D95" s="226"/>
      <c r="E95" s="228">
        <f t="shared" ref="E95:AE95" si="60">+E83-E93</f>
        <v>2039.8063473147631</v>
      </c>
      <c r="F95" s="228">
        <f t="shared" si="60"/>
        <v>783.01761705055469</v>
      </c>
      <c r="G95" s="228">
        <f t="shared" si="60"/>
        <v>739.65667858535744</v>
      </c>
      <c r="H95" s="228">
        <f t="shared" si="60"/>
        <v>692.07861784855777</v>
      </c>
      <c r="I95" s="228">
        <f t="shared" si="60"/>
        <v>639.87329334222886</v>
      </c>
      <c r="J95" s="228">
        <f t="shared" si="60"/>
        <v>582.59067474437325</v>
      </c>
      <c r="K95" s="228">
        <f t="shared" si="60"/>
        <v>519.73696347152145</v>
      </c>
      <c r="L95" s="228">
        <f t="shared" si="60"/>
        <v>450.77033594166278</v>
      </c>
      <c r="M95" s="228">
        <f t="shared" si="60"/>
        <v>375.09627284313319</v>
      </c>
      <c r="N95" s="228">
        <f t="shared" si="60"/>
        <v>292.06243414536584</v>
      </c>
      <c r="O95" s="228">
        <f t="shared" si="60"/>
        <v>200.95303567274823</v>
      </c>
      <c r="P95" s="228">
        <f t="shared" si="60"/>
        <v>100.98267876492173</v>
      </c>
      <c r="Q95" s="228">
        <f t="shared" si="60"/>
        <v>20.000000000014552</v>
      </c>
      <c r="R95" s="228">
        <f t="shared" si="60"/>
        <v>20.000000000014552</v>
      </c>
      <c r="S95" s="228">
        <f t="shared" si="60"/>
        <v>20</v>
      </c>
      <c r="T95" s="228">
        <f t="shared" si="60"/>
        <v>0</v>
      </c>
      <c r="U95" s="228">
        <f t="shared" si="60"/>
        <v>0</v>
      </c>
      <c r="V95" s="228">
        <f t="shared" si="60"/>
        <v>0</v>
      </c>
      <c r="W95" s="228">
        <f t="shared" si="60"/>
        <v>0</v>
      </c>
      <c r="X95" s="228">
        <f t="shared" si="60"/>
        <v>0</v>
      </c>
      <c r="Y95" s="229">
        <f t="shared" si="60"/>
        <v>0</v>
      </c>
      <c r="Z95" s="228">
        <f t="shared" si="60"/>
        <v>0</v>
      </c>
      <c r="AA95" s="228">
        <f t="shared" si="60"/>
        <v>0</v>
      </c>
      <c r="AB95" s="228">
        <f t="shared" si="60"/>
        <v>0</v>
      </c>
      <c r="AC95" s="228">
        <f t="shared" si="60"/>
        <v>0</v>
      </c>
      <c r="AD95" s="228">
        <f t="shared" si="60"/>
        <v>0</v>
      </c>
      <c r="AE95" s="229">
        <f t="shared" si="60"/>
        <v>0</v>
      </c>
      <c r="AF95" s="210"/>
      <c r="AG95" s="210"/>
      <c r="AH95" s="210"/>
      <c r="AI95" s="210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 spans="1:51" collapsed="1" x14ac:dyDescent="0.2">
      <c r="E96" s="238"/>
      <c r="F96" s="238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 spans="32:51" x14ac:dyDescent="0.2"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 spans="32:51" x14ac:dyDescent="0.2"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 spans="32:51" x14ac:dyDescent="0.2"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 spans="32:51" x14ac:dyDescent="0.2"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 spans="32:51" x14ac:dyDescent="0.2"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 spans="32:51" x14ac:dyDescent="0.2"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 spans="32:51" x14ac:dyDescent="0.2"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 spans="32:51" x14ac:dyDescent="0.2"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 spans="32:51" x14ac:dyDescent="0.2"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 spans="32:51" x14ac:dyDescent="0.2"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 spans="32:51" x14ac:dyDescent="0.2"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 spans="32:51" x14ac:dyDescent="0.2"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32:51" x14ac:dyDescent="0.2"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32:51" x14ac:dyDescent="0.2"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</sheetData>
  <customSheetViews>
    <customSheetView guid="{247772E0-F62B-11D1-9A7E-3C9971000000}" showGridLines="0" fitToPage="1" showRuler="0" topLeftCell="A46">
      <selection activeCell="A44" sqref="A44:Z94"/>
      <pageMargins left="0.75" right="0.75" top="1" bottom="1" header="0.5" footer="0.5"/>
      <pageSetup scale="36" orientation="landscape" horizontalDpi="4294967292" verticalDpi="4294967292" r:id="rId1"/>
      <headerFooter alignWithMargins="0">
        <oddHeader>&amp;L&amp;D&amp;C&amp;"Britannic Bold,Bold Italic"CONFIDENTIAL&amp;R&amp;T</oddHeader>
        <oddFooter xml:space="preserve">&amp;CPage 9
</oddFooter>
      </headerFooter>
    </customSheetView>
    <customSheetView guid="{247772DA-F62B-11D1-9A7E-3C9971000000}" showGridLines="0" fitToPage="1" showRuler="0">
      <selection sqref="A1:Z43"/>
      <pageMargins left="0.75" right="0.75" top="1" bottom="1" header="0.5" footer="0.5"/>
      <pageSetup scale="36" orientation="landscape" horizontalDpi="4294967292" verticalDpi="4294967292" r:id="rId2"/>
      <headerFooter alignWithMargins="0">
        <oddHeader>&amp;L&amp;D&amp;C&amp;"Britannic Bold,Bold Italic"CONFIDENTIAL&amp;R&amp;T</oddHeader>
        <oddFooter xml:space="preserve">&amp;CPage 9
</oddFooter>
      </headerFooter>
    </customSheetView>
  </customSheetViews>
  <printOptions gridLinesSet="0"/>
  <pageMargins left="0.75" right="0.75" top="0.75" bottom="0.75" header="0.5" footer="0.5"/>
  <pageSetup scale="41" orientation="landscape" horizontalDpi="4294967292" verticalDpi="4294967292" r:id="rId3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showGridLines="0" zoomScale="80" workbookViewId="0"/>
  </sheetViews>
  <sheetFormatPr defaultColWidth="10.6640625" defaultRowHeight="12.75" x14ac:dyDescent="0.2"/>
  <cols>
    <col min="1" max="1" width="10.6640625" style="815" customWidth="1"/>
    <col min="2" max="2" width="26.6640625" style="815" customWidth="1"/>
    <col min="3" max="3" width="13" style="815" customWidth="1"/>
    <col min="4" max="4" width="13.1640625" style="816" customWidth="1"/>
    <col min="5" max="5" width="12.33203125" style="816" customWidth="1"/>
    <col min="6" max="6" width="5.83203125" style="816" customWidth="1"/>
    <col min="7" max="8" width="12.33203125" style="816" customWidth="1"/>
    <col min="9" max="9" width="5.83203125" style="816" customWidth="1"/>
    <col min="10" max="11" width="12.33203125" style="816" customWidth="1"/>
    <col min="12" max="12" width="5.83203125" style="816" customWidth="1"/>
    <col min="13" max="14" width="12.33203125" style="816" customWidth="1"/>
    <col min="15" max="16384" width="10.6640625" style="815"/>
  </cols>
  <sheetData>
    <row r="1" spans="1:14" ht="18" x14ac:dyDescent="0.25">
      <c r="A1" s="814" t="s">
        <v>318</v>
      </c>
    </row>
    <row r="2" spans="1:14" x14ac:dyDescent="0.2">
      <c r="A2" s="817" t="s">
        <v>319</v>
      </c>
    </row>
    <row r="3" spans="1:14" x14ac:dyDescent="0.2">
      <c r="D3" s="818"/>
      <c r="G3" s="818"/>
      <c r="J3" s="818"/>
      <c r="M3" s="818"/>
    </row>
    <row r="4" spans="1:14" ht="13.5" thickBot="1" x14ac:dyDescent="0.25">
      <c r="D4" s="818"/>
      <c r="G4" s="818"/>
      <c r="J4" s="818"/>
      <c r="M4" s="818"/>
    </row>
    <row r="5" spans="1:14" x14ac:dyDescent="0.2">
      <c r="B5" s="819" t="s">
        <v>320</v>
      </c>
      <c r="C5" s="820"/>
      <c r="D5" s="821">
        <v>0.18</v>
      </c>
      <c r="E5" s="821">
        <v>0.18</v>
      </c>
      <c r="F5" s="822"/>
      <c r="G5" s="821">
        <v>0.18</v>
      </c>
      <c r="H5" s="821">
        <v>0.18</v>
      </c>
      <c r="I5" s="822"/>
      <c r="J5" s="821">
        <v>0.18</v>
      </c>
      <c r="K5" s="821">
        <v>0.18</v>
      </c>
      <c r="L5" s="822"/>
      <c r="M5" s="821">
        <v>0.18</v>
      </c>
      <c r="N5" s="823">
        <v>0.18</v>
      </c>
    </row>
    <row r="6" spans="1:14" x14ac:dyDescent="0.2">
      <c r="B6" s="824" t="s">
        <v>321</v>
      </c>
      <c r="C6" s="825"/>
      <c r="D6" s="826">
        <v>0.66423566414560287</v>
      </c>
      <c r="E6" s="826">
        <v>0.68984068672514098</v>
      </c>
      <c r="F6" s="826"/>
      <c r="G6" s="826">
        <v>0.73314857841323466</v>
      </c>
      <c r="H6" s="826">
        <v>0.75865654881678035</v>
      </c>
      <c r="I6" s="826"/>
      <c r="J6" s="826">
        <v>0.83314918900389767</v>
      </c>
      <c r="K6" s="826">
        <v>0.86534988009808844</v>
      </c>
      <c r="L6" s="826"/>
      <c r="M6" s="826">
        <v>0.91941472338097108</v>
      </c>
      <c r="N6" s="827">
        <v>0.95161075901694947</v>
      </c>
    </row>
    <row r="7" spans="1:14" x14ac:dyDescent="0.2">
      <c r="B7" s="828" t="s">
        <v>322</v>
      </c>
      <c r="C7" s="825"/>
      <c r="D7" s="829"/>
      <c r="E7" s="829"/>
      <c r="F7" s="829"/>
      <c r="G7" s="829"/>
      <c r="H7" s="829"/>
      <c r="I7" s="829"/>
      <c r="J7" s="829"/>
      <c r="K7" s="829"/>
      <c r="L7" s="829"/>
      <c r="M7" s="829"/>
      <c r="N7" s="830"/>
    </row>
    <row r="8" spans="1:14" s="831" customFormat="1" x14ac:dyDescent="0.2">
      <c r="B8" s="832"/>
      <c r="C8" s="833"/>
      <c r="D8" s="834"/>
      <c r="E8" s="834"/>
      <c r="F8" s="834"/>
      <c r="G8" s="834"/>
      <c r="H8" s="834"/>
      <c r="I8" s="834"/>
      <c r="J8" s="834"/>
      <c r="K8" s="834"/>
      <c r="L8" s="834"/>
      <c r="M8" s="834"/>
      <c r="N8" s="835"/>
    </row>
    <row r="9" spans="1:14" s="831" customFormat="1" x14ac:dyDescent="0.2">
      <c r="B9" s="836" t="s">
        <v>323</v>
      </c>
      <c r="C9" s="833"/>
      <c r="D9" s="834"/>
      <c r="E9" s="834"/>
      <c r="F9" s="834"/>
      <c r="G9" s="834"/>
      <c r="H9" s="834"/>
      <c r="I9" s="834"/>
      <c r="J9" s="834"/>
      <c r="K9" s="834"/>
      <c r="L9" s="834"/>
      <c r="M9" s="834"/>
      <c r="N9" s="835"/>
    </row>
    <row r="10" spans="1:14" x14ac:dyDescent="0.2">
      <c r="B10" s="837" t="s">
        <v>324</v>
      </c>
      <c r="C10" s="838"/>
      <c r="D10" s="839" t="s">
        <v>325</v>
      </c>
      <c r="E10" s="839" t="s">
        <v>325</v>
      </c>
      <c r="F10" s="839"/>
      <c r="G10" s="839" t="s">
        <v>325</v>
      </c>
      <c r="H10" s="839" t="s">
        <v>325</v>
      </c>
      <c r="I10" s="839"/>
      <c r="J10" s="839" t="s">
        <v>326</v>
      </c>
      <c r="K10" s="839" t="s">
        <v>326</v>
      </c>
      <c r="L10" s="839"/>
      <c r="M10" s="839" t="s">
        <v>326</v>
      </c>
      <c r="N10" s="840" t="s">
        <v>326</v>
      </c>
    </row>
    <row r="11" spans="1:14" s="841" customFormat="1" x14ac:dyDescent="0.2">
      <c r="B11" s="842" t="s">
        <v>327</v>
      </c>
      <c r="C11" s="843"/>
      <c r="D11" s="844" t="s">
        <v>328</v>
      </c>
      <c r="E11" s="844" t="s">
        <v>328</v>
      </c>
      <c r="F11" s="844"/>
      <c r="G11" s="845" t="s">
        <v>329</v>
      </c>
      <c r="H11" s="845" t="s">
        <v>329</v>
      </c>
      <c r="I11" s="844"/>
      <c r="J11" s="844" t="s">
        <v>328</v>
      </c>
      <c r="K11" s="844" t="s">
        <v>328</v>
      </c>
      <c r="L11" s="844"/>
      <c r="M11" s="845" t="s">
        <v>329</v>
      </c>
      <c r="N11" s="846" t="s">
        <v>329</v>
      </c>
    </row>
    <row r="12" spans="1:14" s="841" customFormat="1" ht="13.5" thickBot="1" x14ac:dyDescent="0.25">
      <c r="B12" s="847" t="s">
        <v>330</v>
      </c>
      <c r="C12" s="848"/>
      <c r="D12" s="849" t="s">
        <v>331</v>
      </c>
      <c r="E12" s="850" t="s">
        <v>332</v>
      </c>
      <c r="F12" s="849"/>
      <c r="G12" s="849" t="s">
        <v>331</v>
      </c>
      <c r="H12" s="850" t="s">
        <v>332</v>
      </c>
      <c r="I12" s="849"/>
      <c r="J12" s="849" t="s">
        <v>331</v>
      </c>
      <c r="K12" s="850" t="s">
        <v>332</v>
      </c>
      <c r="L12" s="849"/>
      <c r="M12" s="849" t="s">
        <v>331</v>
      </c>
      <c r="N12" s="851" t="s">
        <v>332</v>
      </c>
    </row>
    <row r="13" spans="1:14" x14ac:dyDescent="0.2">
      <c r="B13" s="852"/>
      <c r="C13" s="838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839"/>
    </row>
    <row r="15" spans="1:14" x14ac:dyDescent="0.2">
      <c r="B15" s="853" t="s">
        <v>333</v>
      </c>
    </row>
    <row r="16" spans="1:14" x14ac:dyDescent="0.2">
      <c r="B16" s="854"/>
    </row>
    <row r="17" spans="1:31" x14ac:dyDescent="0.2">
      <c r="B17" s="854" t="s">
        <v>334</v>
      </c>
      <c r="G17" s="855">
        <f>[0]!startconst</f>
        <v>36526</v>
      </c>
      <c r="J17" s="854" t="s">
        <v>335</v>
      </c>
      <c r="K17" s="815"/>
      <c r="O17" s="856">
        <f>[0]!cpi</f>
        <v>0.02</v>
      </c>
      <c r="Q17" s="816"/>
    </row>
    <row r="18" spans="1:31" x14ac:dyDescent="0.2">
      <c r="B18" s="854" t="s">
        <v>336</v>
      </c>
      <c r="G18" s="855">
        <f>[0]!codate</f>
        <v>37622</v>
      </c>
      <c r="J18" s="857" t="s">
        <v>337</v>
      </c>
      <c r="K18" s="815"/>
      <c r="O18" s="858">
        <f>Assumpt!$C$37</f>
        <v>1360</v>
      </c>
      <c r="Q18" s="816"/>
    </row>
    <row r="19" spans="1:31" x14ac:dyDescent="0.2">
      <c r="B19" s="857" t="s">
        <v>338</v>
      </c>
      <c r="G19" s="859">
        <f>[0]!termyrs</f>
        <v>15</v>
      </c>
      <c r="J19" s="854"/>
      <c r="K19" s="815"/>
      <c r="O19" s="859"/>
      <c r="Q19" s="816"/>
    </row>
    <row r="20" spans="1:31" x14ac:dyDescent="0.2">
      <c r="B20" s="854"/>
      <c r="J20" s="854" t="s">
        <v>339</v>
      </c>
      <c r="K20" s="815"/>
      <c r="O20" s="859">
        <f>Assumpt!K30</f>
        <v>40</v>
      </c>
      <c r="P20" s="816" t="str">
        <f>Assumpt!L30</f>
        <v>S/L</v>
      </c>
      <c r="Q20" s="816"/>
    </row>
    <row r="21" spans="1:31" x14ac:dyDescent="0.2">
      <c r="B21" s="854" t="str">
        <f>Assumpt!G6</f>
        <v>ITBM (Tax on Movable Goods Purchased In or Imported Into Panama)</v>
      </c>
      <c r="D21" s="854"/>
      <c r="E21" s="854"/>
      <c r="F21" s="854"/>
      <c r="G21" s="860">
        <f>Assumpt!L6</f>
        <v>0.05</v>
      </c>
      <c r="J21" s="854" t="s">
        <v>340</v>
      </c>
      <c r="K21" s="815"/>
      <c r="O21" s="859">
        <f>Assumpt!K31</f>
        <v>20</v>
      </c>
      <c r="P21" s="816" t="str">
        <f>Assumpt!L31</f>
        <v>S/L</v>
      </c>
      <c r="Q21" s="816"/>
    </row>
    <row r="22" spans="1:31" x14ac:dyDescent="0.2">
      <c r="B22" s="854" t="str">
        <f>Assumpt!G8</f>
        <v>Property Taxes ($000) (maximum, assumed to be flat)</v>
      </c>
      <c r="D22" s="854"/>
      <c r="G22" s="859">
        <f>Assumpt!L8</f>
        <v>25</v>
      </c>
      <c r="J22" s="854"/>
      <c r="K22" s="815"/>
      <c r="O22" s="859"/>
      <c r="P22" s="816"/>
      <c r="Q22" s="816"/>
    </row>
    <row r="23" spans="1:31" x14ac:dyDescent="0.2">
      <c r="B23" s="854" t="str">
        <f>Assumpt!G9</f>
        <v>Municipal Taxes</v>
      </c>
      <c r="D23" s="854"/>
      <c r="G23" s="861">
        <f>Assumpt!L9</f>
        <v>12</v>
      </c>
      <c r="J23" s="854" t="s">
        <v>341</v>
      </c>
      <c r="K23" s="815"/>
      <c r="O23" s="859">
        <f>[0]!tranche1grace</f>
        <v>2</v>
      </c>
      <c r="P23" s="816"/>
      <c r="Q23" s="816"/>
    </row>
    <row r="24" spans="1:31" x14ac:dyDescent="0.2">
      <c r="B24" s="854" t="str">
        <f>Assumpt!G11</f>
        <v>Panama Income Tax</v>
      </c>
      <c r="D24" s="854"/>
      <c r="G24" s="860">
        <f>Assumpt!L11</f>
        <v>0.3</v>
      </c>
      <c r="H24" s="854"/>
      <c r="I24" s="854"/>
      <c r="J24" s="854" t="s">
        <v>342</v>
      </c>
      <c r="K24" s="815"/>
      <c r="O24" s="862">
        <f>Assumpt!$L$42</f>
        <v>1.4999999999999999E-2</v>
      </c>
      <c r="P24" s="816"/>
      <c r="Q24" s="816"/>
    </row>
    <row r="25" spans="1:31" x14ac:dyDescent="0.2">
      <c r="B25" s="854" t="str">
        <f>Assumpt!G14</f>
        <v>Withholding Tax on Interest (Grossed Up)</v>
      </c>
      <c r="D25" s="854"/>
      <c r="G25" s="860">
        <f>Assumpt!L14</f>
        <v>6.3829787234042548E-2</v>
      </c>
      <c r="H25" s="854"/>
      <c r="J25" s="854" t="s">
        <v>217</v>
      </c>
      <c r="K25" s="815"/>
      <c r="O25" s="862">
        <f>Assumpt!$L$42</f>
        <v>1.4999999999999999E-2</v>
      </c>
      <c r="P25" s="816"/>
      <c r="Q25" s="816"/>
    </row>
    <row r="26" spans="1:31" x14ac:dyDescent="0.2">
      <c r="B26" s="854" t="str">
        <f>Assumpt!G16</f>
        <v>Withholding Tax on Dividends</v>
      </c>
      <c r="D26" s="854"/>
      <c r="G26" s="860">
        <f>Assumpt!L16</f>
        <v>0.1</v>
      </c>
      <c r="H26" s="854"/>
      <c r="J26" s="854" t="s">
        <v>343</v>
      </c>
      <c r="K26" s="815"/>
      <c r="O26" s="859" t="s">
        <v>344</v>
      </c>
      <c r="P26" s="816"/>
    </row>
    <row r="27" spans="1:31" x14ac:dyDescent="0.2">
      <c r="B27" s="854" t="str">
        <f>Assumpt!G17</f>
        <v>Threshhold % of Local Profits Before Complementary Tax Applies</v>
      </c>
      <c r="D27" s="854"/>
      <c r="G27" s="860">
        <f>Assumpt!L17</f>
        <v>0.4</v>
      </c>
      <c r="H27" s="854"/>
      <c r="J27" s="854"/>
      <c r="K27" s="815"/>
      <c r="O27" s="859"/>
      <c r="P27" s="816"/>
    </row>
    <row r="28" spans="1:31" x14ac:dyDescent="0.2">
      <c r="B28" s="854" t="str">
        <f>Assumpt!G18</f>
        <v>Complementary Tax (Creditable against future W/H Tax on Dividends)</v>
      </c>
      <c r="G28" s="860">
        <f>Assumpt!L18</f>
        <v>0.1</v>
      </c>
      <c r="H28" s="854"/>
      <c r="J28" s="854" t="s">
        <v>345</v>
      </c>
      <c r="K28" s="815"/>
      <c r="O28" s="859" t="s">
        <v>346</v>
      </c>
      <c r="P28" s="816"/>
    </row>
    <row r="29" spans="1:31" x14ac:dyDescent="0.2">
      <c r="B29" s="854"/>
      <c r="G29" s="859"/>
      <c r="H29" s="854"/>
    </row>
    <row r="31" spans="1:31" s="863" customFormat="1" ht="51" x14ac:dyDescent="0.2">
      <c r="B31" s="864" t="s">
        <v>347</v>
      </c>
      <c r="C31" s="865" t="s">
        <v>348</v>
      </c>
      <c r="D31" s="865" t="s">
        <v>349</v>
      </c>
    </row>
    <row r="32" spans="1:31" x14ac:dyDescent="0.2">
      <c r="A32" s="817"/>
      <c r="B32" s="866">
        <v>2003</v>
      </c>
      <c r="C32" s="867">
        <v>49.999499999999998</v>
      </c>
      <c r="D32" s="868">
        <v>70.000049999999987</v>
      </c>
      <c r="E32" s="869"/>
      <c r="F32" s="869"/>
      <c r="G32" s="869"/>
      <c r="H32" s="869"/>
      <c r="I32" s="869"/>
      <c r="J32" s="869"/>
      <c r="K32" s="869"/>
      <c r="O32" s="870"/>
      <c r="P32" s="870"/>
      <c r="Q32" s="870"/>
      <c r="R32" s="870"/>
      <c r="S32" s="870"/>
      <c r="T32" s="870"/>
      <c r="U32" s="870"/>
      <c r="V32" s="870"/>
      <c r="W32" s="870"/>
      <c r="X32" s="870"/>
      <c r="Y32" s="870"/>
      <c r="Z32" s="870"/>
      <c r="AA32" s="870"/>
      <c r="AB32" s="870"/>
      <c r="AC32" s="870"/>
      <c r="AD32" s="870"/>
      <c r="AE32" s="870"/>
    </row>
    <row r="33" spans="1:31" x14ac:dyDescent="0.2">
      <c r="A33" s="817"/>
      <c r="B33" s="866">
        <v>2004</v>
      </c>
      <c r="C33" s="867">
        <v>75</v>
      </c>
      <c r="D33" s="868">
        <v>100.00004999999999</v>
      </c>
      <c r="E33" s="869"/>
      <c r="F33" s="869"/>
      <c r="G33" s="869"/>
      <c r="H33" s="869"/>
      <c r="I33" s="869"/>
      <c r="J33" s="869"/>
      <c r="K33" s="869"/>
      <c r="O33" s="870"/>
      <c r="P33" s="870"/>
      <c r="Q33" s="870"/>
      <c r="R33" s="870"/>
      <c r="S33" s="870"/>
      <c r="T33" s="870"/>
      <c r="U33" s="870"/>
      <c r="V33" s="870"/>
      <c r="W33" s="870"/>
      <c r="X33" s="870"/>
      <c r="Y33" s="870"/>
      <c r="Z33" s="870"/>
      <c r="AA33" s="870"/>
      <c r="AB33" s="870"/>
      <c r="AC33" s="870"/>
      <c r="AD33" s="870"/>
      <c r="AE33" s="870"/>
    </row>
    <row r="34" spans="1:31" x14ac:dyDescent="0.2">
      <c r="B34" s="866">
        <v>2005</v>
      </c>
      <c r="C34" s="867">
        <v>75</v>
      </c>
      <c r="D34" s="868">
        <v>100.00004999999999</v>
      </c>
    </row>
    <row r="35" spans="1:31" x14ac:dyDescent="0.2">
      <c r="B35" s="866">
        <v>2006</v>
      </c>
      <c r="C35" s="867">
        <v>75</v>
      </c>
      <c r="D35" s="868">
        <v>100.00004999999999</v>
      </c>
    </row>
    <row r="36" spans="1:31" x14ac:dyDescent="0.2">
      <c r="B36" s="866">
        <v>2007</v>
      </c>
      <c r="C36" s="867">
        <v>124.995</v>
      </c>
      <c r="D36" s="868">
        <v>150</v>
      </c>
    </row>
    <row r="37" spans="1:31" x14ac:dyDescent="0.2">
      <c r="B37" s="871" t="s">
        <v>350</v>
      </c>
      <c r="C37" s="872">
        <v>124.995</v>
      </c>
      <c r="D37" s="873">
        <v>150</v>
      </c>
    </row>
  </sheetData>
  <pageMargins left="0.75" right="0.75" top="0.75" bottom="0.75" header="0.5" footer="0.5"/>
  <pageSetup scale="71"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63</vt:i4>
      </vt:variant>
    </vt:vector>
  </HeadingPairs>
  <TitlesOfParts>
    <vt:vector size="72" baseType="lpstr">
      <vt:lpstr>TOC</vt:lpstr>
      <vt:lpstr>Assumpt</vt:lpstr>
      <vt:lpstr>CF</vt:lpstr>
      <vt:lpstr>Ret</vt:lpstr>
      <vt:lpstr>Debt</vt:lpstr>
      <vt:lpstr>IDC</vt:lpstr>
      <vt:lpstr>Depn&amp;Tax</vt:lpstr>
      <vt:lpstr>BS</vt:lpstr>
      <vt:lpstr>Sensit1</vt:lpstr>
      <vt:lpstr>annvol</vt:lpstr>
      <vt:lpstr>assumptions</vt:lpstr>
      <vt:lpstr>bal</vt:lpstr>
      <vt:lpstr>Burtosis</vt:lpstr>
      <vt:lpstr>Calctable</vt:lpstr>
      <vt:lpstr>cash</vt:lpstr>
      <vt:lpstr>cash2</vt:lpstr>
      <vt:lpstr>cfee1</vt:lpstr>
      <vt:lpstr>cfee2</vt:lpstr>
      <vt:lpstr>cfee3</vt:lpstr>
      <vt:lpstr>cni</vt:lpstr>
      <vt:lpstr>codate</vt:lpstr>
      <vt:lpstr>constmonths</vt:lpstr>
      <vt:lpstr>cpi</vt:lpstr>
      <vt:lpstr>debt</vt:lpstr>
      <vt:lpstr>debtamt</vt:lpstr>
      <vt:lpstr>DR</vt:lpstr>
      <vt:lpstr>drawtrigger</vt:lpstr>
      <vt:lpstr>drpmt2</vt:lpstr>
      <vt:lpstr>endterm</vt:lpstr>
      <vt:lpstr>eqamt</vt:lpstr>
      <vt:lpstr>eqstruc</vt:lpstr>
      <vt:lpstr>estcost</vt:lpstr>
      <vt:lpstr>estdebt</vt:lpstr>
      <vt:lpstr>estidc</vt:lpstr>
      <vt:lpstr>fixtariff2003</vt:lpstr>
      <vt:lpstr>idc</vt:lpstr>
      <vt:lpstr>idctable</vt:lpstr>
      <vt:lpstr>pdmon</vt:lpstr>
      <vt:lpstr>Assumpt!Print_Area</vt:lpstr>
      <vt:lpstr>BS!Print_Area</vt:lpstr>
      <vt:lpstr>CF!Print_Area</vt:lpstr>
      <vt:lpstr>Debt!Print_Area</vt:lpstr>
      <vt:lpstr>'Depn&amp;Tax'!Print_Area</vt:lpstr>
      <vt:lpstr>IDC!Print_Area</vt:lpstr>
      <vt:lpstr>Ret!Print_Area</vt:lpstr>
      <vt:lpstr>TOC!Print_Area</vt:lpstr>
      <vt:lpstr>IDC!Print_Titles</vt:lpstr>
      <vt:lpstr>Ret!Print_Titles</vt:lpstr>
      <vt:lpstr>returns</vt:lpstr>
      <vt:lpstr>serv</vt:lpstr>
      <vt:lpstr>startconst</vt:lpstr>
      <vt:lpstr>table2</vt:lpstr>
      <vt:lpstr>tax</vt:lpstr>
      <vt:lpstr>termyrs</vt:lpstr>
      <vt:lpstr>tranche1amort</vt:lpstr>
      <vt:lpstr>tranche1amt</vt:lpstr>
      <vt:lpstr>tranche1cost</vt:lpstr>
      <vt:lpstr>tranche1grace</vt:lpstr>
      <vt:lpstr>tranche1reppd</vt:lpstr>
      <vt:lpstr>tranche1term</vt:lpstr>
      <vt:lpstr>tranche2amort</vt:lpstr>
      <vt:lpstr>tranche2amt</vt:lpstr>
      <vt:lpstr>tranche2cost</vt:lpstr>
      <vt:lpstr>tranche2grace</vt:lpstr>
      <vt:lpstr>tranche2reppd</vt:lpstr>
      <vt:lpstr>tranche2term</vt:lpstr>
      <vt:lpstr>tranche3amort</vt:lpstr>
      <vt:lpstr>tranche3amt</vt:lpstr>
      <vt:lpstr>tranche3cost</vt:lpstr>
      <vt:lpstr>tranche3grace</vt:lpstr>
      <vt:lpstr>tranche3reppd</vt:lpstr>
      <vt:lpstr>tranche3term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lkjdf</dc:title>
  <dc:creator>Makk, Andrew</dc:creator>
  <cp:lastModifiedBy>Felienne</cp:lastModifiedBy>
  <cp:lastPrinted>2000-01-12T21:00:27Z</cp:lastPrinted>
  <dcterms:created xsi:type="dcterms:W3CDTF">1998-04-25T22:28:29Z</dcterms:created>
  <dcterms:modified xsi:type="dcterms:W3CDTF">2014-09-05T11:14:26Z</dcterms:modified>
</cp:coreProperties>
</file>