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3495" windowWidth="15330" windowHeight="4545" tabRatio="483"/>
  </bookViews>
  <sheets>
    <sheet name="Aluminum" sheetId="56356" r:id="rId1"/>
    <sheet name="Copper" sheetId="56354" r:id="rId2"/>
    <sheet name="Nickel" sheetId="56358" r:id="rId3"/>
    <sheet name="Zinc" sheetId="56359" r:id="rId4"/>
    <sheet name="Lead" sheetId="56360" r:id="rId5"/>
    <sheet name="Silver" sheetId="56361" r:id="rId6"/>
    <sheet name="Al Pricing Sheet" sheetId="56357" r:id="rId7"/>
  </sheets>
  <externalReferences>
    <externalReference r:id="rId8"/>
  </externalReferences>
  <definedNames>
    <definedName name="Diff">#REF!</definedName>
    <definedName name="Diff2">#REF!</definedName>
    <definedName name="HourStart">#REF!</definedName>
    <definedName name="MinuteStart">#REF!</definedName>
    <definedName name="print">#REF!</definedName>
    <definedName name="Row_Ref">#REF!</definedName>
    <definedName name="Samples">#REF!</definedName>
    <definedName name="Time">#REF!</definedName>
  </definedNames>
  <calcPr calcId="152511"/>
</workbook>
</file>

<file path=xl/calcChain.xml><?xml version="1.0" encoding="utf-8"?>
<calcChain xmlns="http://schemas.openxmlformats.org/spreadsheetml/2006/main">
  <c r="A10" i="56357" l="1"/>
  <c r="A11" i="56357"/>
  <c r="A12" i="56357"/>
  <c r="A13" i="56357"/>
  <c r="A14" i="56357"/>
  <c r="A15" i="56357"/>
  <c r="A1" i="56356"/>
  <c r="A1" i="56356" a="1"/>
  <c r="A2" i="56356" s="1"/>
  <c r="A5" i="56356"/>
  <c r="A7" i="56356"/>
  <c r="A8" i="56356"/>
  <c r="G8" i="56356"/>
  <c r="G8" i="56356" a="1"/>
  <c r="I8" i="56356"/>
  <c r="J8" i="56356"/>
  <c r="G9" i="56356"/>
  <c r="I9" i="56356"/>
  <c r="J9" i="56356"/>
  <c r="A10" i="56356"/>
  <c r="G10" i="56356"/>
  <c r="I10" i="56356"/>
  <c r="J10" i="56356"/>
  <c r="G11" i="56356"/>
  <c r="I11" i="56356"/>
  <c r="J11" i="56356"/>
  <c r="A12" i="56356"/>
  <c r="G12" i="56356"/>
  <c r="I12" i="56356"/>
  <c r="J12" i="56356"/>
  <c r="G13" i="56356"/>
  <c r="I13" i="56356"/>
  <c r="J13" i="56356"/>
  <c r="A14" i="56356"/>
  <c r="G14" i="56356"/>
  <c r="I14" i="56356"/>
  <c r="J14" i="56356"/>
  <c r="G15" i="56356"/>
  <c r="I15" i="56356"/>
  <c r="J15" i="56356"/>
  <c r="A16" i="56356"/>
  <c r="G16" i="56356"/>
  <c r="I16" i="56356"/>
  <c r="J16" i="56356"/>
  <c r="G17" i="56356"/>
  <c r="I17" i="56356"/>
  <c r="J17" i="56356"/>
  <c r="A18" i="56356"/>
  <c r="G18" i="56356"/>
  <c r="I18" i="56356"/>
  <c r="J18" i="56356"/>
  <c r="G19" i="56356"/>
  <c r="I19" i="56356"/>
  <c r="J19" i="56356"/>
  <c r="A20" i="56356"/>
  <c r="G20" i="56356"/>
  <c r="I20" i="56356"/>
  <c r="J20" i="56356"/>
  <c r="G21" i="56356"/>
  <c r="I21" i="56356"/>
  <c r="J21" i="56356"/>
  <c r="A22" i="56356"/>
  <c r="G22" i="56356"/>
  <c r="I22" i="56356"/>
  <c r="J22" i="56356"/>
  <c r="G23" i="56356"/>
  <c r="I23" i="56356"/>
  <c r="J23" i="56356"/>
  <c r="G24" i="56356"/>
  <c r="I24" i="56356"/>
  <c r="J24" i="56356"/>
  <c r="G25" i="56356"/>
  <c r="I25" i="56356"/>
  <c r="J25" i="56356"/>
  <c r="G26" i="56356"/>
  <c r="I26" i="56356"/>
  <c r="J26" i="56356"/>
  <c r="G27" i="56356"/>
  <c r="I27" i="56356"/>
  <c r="J27" i="56356"/>
  <c r="G28" i="56356"/>
  <c r="I28" i="56356"/>
  <c r="J28" i="56356"/>
  <c r="G29" i="56356"/>
  <c r="I29" i="56356"/>
  <c r="J29" i="56356"/>
  <c r="G30" i="56356"/>
  <c r="I30" i="56356"/>
  <c r="J30" i="56356"/>
  <c r="G31" i="56356"/>
  <c r="I31" i="56356"/>
  <c r="J31" i="56356"/>
  <c r="G32" i="56356"/>
  <c r="I32" i="56356"/>
  <c r="J32" i="56356"/>
  <c r="A1" i="56354" a="1"/>
  <c r="A7" i="56354" s="1"/>
  <c r="A4" i="56354"/>
  <c r="A5" i="56354"/>
  <c r="G8" i="56354"/>
  <c r="G8" i="56354" a="1"/>
  <c r="I8" i="56354"/>
  <c r="J8" i="56354"/>
  <c r="A9" i="56354"/>
  <c r="G9" i="56354"/>
  <c r="I9" i="56354"/>
  <c r="J9" i="56354"/>
  <c r="A10" i="56354"/>
  <c r="G10" i="56354"/>
  <c r="I10" i="56354"/>
  <c r="J10" i="56354"/>
  <c r="A11" i="56354"/>
  <c r="G11" i="56354"/>
  <c r="I11" i="56354"/>
  <c r="J11" i="56354"/>
  <c r="A12" i="56354"/>
  <c r="G12" i="56354"/>
  <c r="I12" i="56354"/>
  <c r="J12" i="56354"/>
  <c r="A13" i="56354"/>
  <c r="G13" i="56354"/>
  <c r="I13" i="56354"/>
  <c r="J13" i="56354"/>
  <c r="A14" i="56354"/>
  <c r="G14" i="56354"/>
  <c r="I14" i="56354"/>
  <c r="J14" i="56354"/>
  <c r="A15" i="56354"/>
  <c r="G15" i="56354"/>
  <c r="I15" i="56354"/>
  <c r="J15" i="56354"/>
  <c r="A16" i="56354"/>
  <c r="G16" i="56354"/>
  <c r="I16" i="56354"/>
  <c r="J16" i="56354"/>
  <c r="A17" i="56354"/>
  <c r="G17" i="56354"/>
  <c r="I17" i="56354"/>
  <c r="J17" i="56354"/>
  <c r="A18" i="56354"/>
  <c r="G18" i="56354"/>
  <c r="I18" i="56354"/>
  <c r="J18" i="56354"/>
  <c r="A19" i="56354"/>
  <c r="G19" i="56354"/>
  <c r="I19" i="56354"/>
  <c r="J19" i="56354"/>
  <c r="A20" i="56354"/>
  <c r="G20" i="56354"/>
  <c r="I20" i="56354"/>
  <c r="J20" i="56354"/>
  <c r="A21" i="56354"/>
  <c r="G21" i="56354"/>
  <c r="I21" i="56354"/>
  <c r="J21" i="56354"/>
  <c r="A22" i="56354"/>
  <c r="G22" i="56354"/>
  <c r="I22" i="56354"/>
  <c r="J22" i="56354"/>
  <c r="G23" i="56354"/>
  <c r="I23" i="56354"/>
  <c r="J23" i="56354"/>
  <c r="G24" i="56354"/>
  <c r="I24" i="56354"/>
  <c r="J24" i="56354"/>
  <c r="G25" i="56354"/>
  <c r="I25" i="56354"/>
  <c r="J25" i="56354"/>
  <c r="G26" i="56354"/>
  <c r="I26" i="56354"/>
  <c r="J26" i="56354"/>
  <c r="G27" i="56354"/>
  <c r="I27" i="56354"/>
  <c r="J27" i="56354"/>
  <c r="G28" i="56354"/>
  <c r="I28" i="56354"/>
  <c r="J28" i="56354"/>
  <c r="G29" i="56354"/>
  <c r="I29" i="56354"/>
  <c r="J29" i="56354"/>
  <c r="G30" i="56354"/>
  <c r="I30" i="56354"/>
  <c r="J30" i="56354"/>
  <c r="G31" i="56354"/>
  <c r="I31" i="56354"/>
  <c r="J31" i="56354"/>
  <c r="G32" i="56354"/>
  <c r="I32" i="56354"/>
  <c r="J32" i="56354"/>
  <c r="A1" i="56360" a="1"/>
  <c r="A4" i="56360" s="1"/>
  <c r="A2" i="56360"/>
  <c r="G8" i="56360" a="1"/>
  <c r="G8" i="56360" s="1"/>
  <c r="I8" i="56360"/>
  <c r="J8" i="56360"/>
  <c r="G9" i="56360"/>
  <c r="I9" i="56360"/>
  <c r="J9" i="56360"/>
  <c r="G10" i="56360"/>
  <c r="I10" i="56360"/>
  <c r="J10" i="56360"/>
  <c r="G11" i="56360"/>
  <c r="I11" i="56360"/>
  <c r="J11" i="56360"/>
  <c r="G12" i="56360"/>
  <c r="I12" i="56360"/>
  <c r="J12" i="56360"/>
  <c r="G13" i="56360"/>
  <c r="I13" i="56360"/>
  <c r="J13" i="56360"/>
  <c r="G14" i="56360"/>
  <c r="I14" i="56360"/>
  <c r="J14" i="56360"/>
  <c r="G15" i="56360"/>
  <c r="I15" i="56360"/>
  <c r="J15" i="56360"/>
  <c r="G16" i="56360"/>
  <c r="I16" i="56360"/>
  <c r="J16" i="56360"/>
  <c r="G17" i="56360"/>
  <c r="I17" i="56360"/>
  <c r="J17" i="56360"/>
  <c r="G18" i="56360"/>
  <c r="I18" i="56360"/>
  <c r="J18" i="56360"/>
  <c r="G19" i="56360"/>
  <c r="I19" i="56360"/>
  <c r="J19" i="56360"/>
  <c r="G20" i="56360"/>
  <c r="I20" i="56360"/>
  <c r="J20" i="56360"/>
  <c r="G21" i="56360"/>
  <c r="I21" i="56360"/>
  <c r="J21" i="56360"/>
  <c r="G22" i="56360"/>
  <c r="I22" i="56360"/>
  <c r="J22" i="56360"/>
  <c r="G23" i="56360"/>
  <c r="I23" i="56360"/>
  <c r="J23" i="56360"/>
  <c r="G24" i="56360"/>
  <c r="I24" i="56360"/>
  <c r="J24" i="56360"/>
  <c r="G25" i="56360"/>
  <c r="I25" i="56360"/>
  <c r="J25" i="56360"/>
  <c r="G26" i="56360"/>
  <c r="I26" i="56360"/>
  <c r="J26" i="56360"/>
  <c r="G27" i="56360"/>
  <c r="I27" i="56360"/>
  <c r="J27" i="56360"/>
  <c r="G28" i="56360"/>
  <c r="I28" i="56360"/>
  <c r="J28" i="56360"/>
  <c r="G29" i="56360"/>
  <c r="I29" i="56360"/>
  <c r="J29" i="56360"/>
  <c r="G30" i="56360"/>
  <c r="I30" i="56360"/>
  <c r="J30" i="56360"/>
  <c r="G31" i="56360"/>
  <c r="I31" i="56360"/>
  <c r="J31" i="56360"/>
  <c r="G32" i="56360"/>
  <c r="I32" i="56360"/>
  <c r="J32" i="56360"/>
  <c r="A1" i="56358"/>
  <c r="A1" i="56358" a="1"/>
  <c r="A2" i="56358" s="1"/>
  <c r="A3" i="56358"/>
  <c r="A6" i="56358"/>
  <c r="A7" i="56358"/>
  <c r="G8" i="56358"/>
  <c r="G8" i="56358" a="1"/>
  <c r="I8" i="56358"/>
  <c r="J8" i="56358"/>
  <c r="G9" i="56358"/>
  <c r="I9" i="56358"/>
  <c r="J9" i="56358"/>
  <c r="A10" i="56358"/>
  <c r="G10" i="56358"/>
  <c r="I10" i="56358"/>
  <c r="J10" i="56358"/>
  <c r="G11" i="56358"/>
  <c r="I11" i="56358"/>
  <c r="J11" i="56358"/>
  <c r="A12" i="56358"/>
  <c r="G12" i="56358"/>
  <c r="I12" i="56358"/>
  <c r="J12" i="56358"/>
  <c r="G13" i="56358"/>
  <c r="I13" i="56358"/>
  <c r="J13" i="56358"/>
  <c r="A14" i="56358"/>
  <c r="G14" i="56358"/>
  <c r="I14" i="56358"/>
  <c r="J14" i="56358"/>
  <c r="G15" i="56358"/>
  <c r="I15" i="56358"/>
  <c r="J15" i="56358"/>
  <c r="A16" i="56358"/>
  <c r="G16" i="56358"/>
  <c r="I16" i="56358"/>
  <c r="J16" i="56358"/>
  <c r="G17" i="56358"/>
  <c r="I17" i="56358"/>
  <c r="J17" i="56358"/>
  <c r="A18" i="56358"/>
  <c r="G18" i="56358"/>
  <c r="I18" i="56358"/>
  <c r="J18" i="56358"/>
  <c r="G19" i="56358"/>
  <c r="I19" i="56358"/>
  <c r="J19" i="56358"/>
  <c r="A20" i="56358"/>
  <c r="G20" i="56358"/>
  <c r="I20" i="56358"/>
  <c r="J20" i="56358"/>
  <c r="G21" i="56358"/>
  <c r="I21" i="56358"/>
  <c r="J21" i="56358"/>
  <c r="A22" i="56358"/>
  <c r="G22" i="56358"/>
  <c r="I22" i="56358"/>
  <c r="J22" i="56358"/>
  <c r="G23" i="56358"/>
  <c r="I23" i="56358"/>
  <c r="J23" i="56358"/>
  <c r="G24" i="56358"/>
  <c r="I24" i="56358"/>
  <c r="J24" i="56358"/>
  <c r="G25" i="56358"/>
  <c r="I25" i="56358"/>
  <c r="J25" i="56358"/>
  <c r="G26" i="56358"/>
  <c r="I26" i="56358"/>
  <c r="J26" i="56358"/>
  <c r="G27" i="56358"/>
  <c r="I27" i="56358"/>
  <c r="J27" i="56358"/>
  <c r="G28" i="56358"/>
  <c r="I28" i="56358"/>
  <c r="J28" i="56358"/>
  <c r="G29" i="56358"/>
  <c r="I29" i="56358"/>
  <c r="J29" i="56358"/>
  <c r="G30" i="56358"/>
  <c r="I30" i="56358"/>
  <c r="J30" i="56358"/>
  <c r="G31" i="56358"/>
  <c r="I31" i="56358"/>
  <c r="J31" i="56358"/>
  <c r="G32" i="56358"/>
  <c r="I32" i="56358"/>
  <c r="J32" i="56358"/>
  <c r="A1" i="56361"/>
  <c r="A1" i="56361" a="1"/>
  <c r="A6" i="56361" s="1"/>
  <c r="A3" i="56361"/>
  <c r="A4" i="56361"/>
  <c r="A8" i="56361"/>
  <c r="G8" i="56361"/>
  <c r="G8" i="56361" a="1"/>
  <c r="I8" i="56361"/>
  <c r="J8" i="56361"/>
  <c r="G9" i="56361"/>
  <c r="I9" i="56361"/>
  <c r="J9" i="56361"/>
  <c r="A10" i="56361"/>
  <c r="G10" i="56361"/>
  <c r="I10" i="56361"/>
  <c r="J10" i="56361"/>
  <c r="G11" i="56361"/>
  <c r="I11" i="56361"/>
  <c r="J11" i="56361"/>
  <c r="A12" i="56361"/>
  <c r="G12" i="56361"/>
  <c r="I12" i="56361"/>
  <c r="J12" i="56361"/>
  <c r="G13" i="56361"/>
  <c r="I13" i="56361"/>
  <c r="J13" i="56361"/>
  <c r="A14" i="56361"/>
  <c r="G14" i="56361"/>
  <c r="I14" i="56361"/>
  <c r="J14" i="56361"/>
  <c r="G15" i="56361"/>
  <c r="I15" i="56361"/>
  <c r="J15" i="56361"/>
  <c r="A16" i="56361"/>
  <c r="G16" i="56361"/>
  <c r="I16" i="56361"/>
  <c r="J16" i="56361"/>
  <c r="G17" i="56361"/>
  <c r="I17" i="56361"/>
  <c r="J17" i="56361"/>
  <c r="A18" i="56361"/>
  <c r="G18" i="56361"/>
  <c r="I18" i="56361"/>
  <c r="J18" i="56361"/>
  <c r="G19" i="56361"/>
  <c r="I19" i="56361"/>
  <c r="J19" i="56361"/>
  <c r="A20" i="56361"/>
  <c r="G20" i="56361"/>
  <c r="I20" i="56361"/>
  <c r="J20" i="56361"/>
  <c r="G21" i="56361"/>
  <c r="I21" i="56361"/>
  <c r="J21" i="56361"/>
  <c r="A22" i="56361"/>
  <c r="G22" i="56361"/>
  <c r="I22" i="56361"/>
  <c r="J22" i="56361"/>
  <c r="G23" i="56361"/>
  <c r="I23" i="56361"/>
  <c r="J23" i="56361"/>
  <c r="G24" i="56361"/>
  <c r="I24" i="56361"/>
  <c r="J24" i="56361"/>
  <c r="G25" i="56361"/>
  <c r="I25" i="56361"/>
  <c r="J25" i="56361"/>
  <c r="G26" i="56361"/>
  <c r="I26" i="56361"/>
  <c r="J26" i="56361"/>
  <c r="G27" i="56361"/>
  <c r="I27" i="56361"/>
  <c r="J27" i="56361"/>
  <c r="G28" i="56361"/>
  <c r="I28" i="56361"/>
  <c r="J28" i="56361"/>
  <c r="G29" i="56361"/>
  <c r="I29" i="56361"/>
  <c r="J29" i="56361"/>
  <c r="G30" i="56361"/>
  <c r="I30" i="56361"/>
  <c r="J30" i="56361"/>
  <c r="G31" i="56361"/>
  <c r="I31" i="56361"/>
  <c r="J31" i="56361"/>
  <c r="G32" i="56361"/>
  <c r="I32" i="56361"/>
  <c r="J32" i="56361"/>
  <c r="A1" i="56359" a="1"/>
  <c r="A3" i="56359" s="1"/>
  <c r="G8" i="56359"/>
  <c r="G8" i="56359" a="1"/>
  <c r="I8" i="56359"/>
  <c r="J8" i="56359"/>
  <c r="G9" i="56359"/>
  <c r="I9" i="56359"/>
  <c r="J9" i="56359"/>
  <c r="G10" i="56359"/>
  <c r="I10" i="56359"/>
  <c r="J10" i="56359"/>
  <c r="G11" i="56359"/>
  <c r="I11" i="56359"/>
  <c r="J11" i="56359"/>
  <c r="G12" i="56359"/>
  <c r="I12" i="56359"/>
  <c r="J12" i="56359"/>
  <c r="G13" i="56359"/>
  <c r="I13" i="56359"/>
  <c r="J13" i="56359"/>
  <c r="G14" i="56359"/>
  <c r="I14" i="56359"/>
  <c r="J14" i="56359"/>
  <c r="G15" i="56359"/>
  <c r="I15" i="56359"/>
  <c r="J15" i="56359"/>
  <c r="G16" i="56359"/>
  <c r="I16" i="56359"/>
  <c r="J16" i="56359"/>
  <c r="G17" i="56359"/>
  <c r="I17" i="56359"/>
  <c r="J17" i="56359"/>
  <c r="G18" i="56359"/>
  <c r="I18" i="56359"/>
  <c r="J18" i="56359"/>
  <c r="G19" i="56359"/>
  <c r="I19" i="56359"/>
  <c r="J19" i="56359"/>
  <c r="G20" i="56359"/>
  <c r="I20" i="56359"/>
  <c r="J20" i="56359"/>
  <c r="G21" i="56359"/>
  <c r="I21" i="56359"/>
  <c r="J21" i="56359"/>
  <c r="G22" i="56359"/>
  <c r="I22" i="56359"/>
  <c r="J22" i="56359"/>
  <c r="G23" i="56359"/>
  <c r="I23" i="56359"/>
  <c r="J23" i="56359"/>
  <c r="G24" i="56359"/>
  <c r="I24" i="56359"/>
  <c r="J24" i="56359"/>
  <c r="G25" i="56359"/>
  <c r="I25" i="56359"/>
  <c r="J25" i="56359"/>
  <c r="G26" i="56359"/>
  <c r="I26" i="56359"/>
  <c r="J26" i="56359"/>
  <c r="G27" i="56359"/>
  <c r="I27" i="56359"/>
  <c r="J27" i="56359"/>
  <c r="G28" i="56359"/>
  <c r="I28" i="56359"/>
  <c r="J28" i="56359"/>
  <c r="G29" i="56359"/>
  <c r="I29" i="56359"/>
  <c r="J29" i="56359"/>
  <c r="G30" i="56359"/>
  <c r="I30" i="56359"/>
  <c r="J30" i="56359"/>
  <c r="G31" i="56359"/>
  <c r="I31" i="56359"/>
  <c r="J31" i="56359"/>
  <c r="G32" i="56359"/>
  <c r="I32" i="56359"/>
  <c r="J32" i="56359"/>
  <c r="A18" i="56359" l="1"/>
  <c r="A12" i="56359"/>
  <c r="A8" i="56359"/>
  <c r="A14" i="56360"/>
  <c r="A10" i="56360"/>
  <c r="A2" i="56359"/>
  <c r="A21" i="56361"/>
  <c r="A19" i="56361"/>
  <c r="A17" i="56361"/>
  <c r="A15" i="56361"/>
  <c r="A13" i="56361"/>
  <c r="A11" i="56361"/>
  <c r="A9" i="56361"/>
  <c r="A5" i="56361"/>
  <c r="A8" i="56358"/>
  <c r="A3" i="56360"/>
  <c r="A6" i="56354"/>
  <c r="A16" i="56359"/>
  <c r="A22" i="56360"/>
  <c r="A7" i="56359"/>
  <c r="A2" i="56361"/>
  <c r="A21" i="56358"/>
  <c r="A19" i="56358"/>
  <c r="A17" i="56358"/>
  <c r="A15" i="56358"/>
  <c r="A13" i="56358"/>
  <c r="A11" i="56358"/>
  <c r="A9" i="56358"/>
  <c r="A5" i="56358"/>
  <c r="A8" i="56360"/>
  <c r="A1" i="56360"/>
  <c r="A3" i="56354"/>
  <c r="A6" i="56356"/>
  <c r="A22" i="56359"/>
  <c r="A10" i="56359"/>
  <c r="A18" i="56360"/>
  <c r="A6" i="56359"/>
  <c r="A4" i="56358"/>
  <c r="A7" i="56360"/>
  <c r="A2" i="56354"/>
  <c r="A21" i="56356"/>
  <c r="A19" i="56356"/>
  <c r="A17" i="56356"/>
  <c r="A15" i="56356"/>
  <c r="A13" i="56356"/>
  <c r="A11" i="56356"/>
  <c r="A9" i="56356"/>
  <c r="A1" i="56359"/>
  <c r="A20" i="56360"/>
  <c r="A19" i="56359"/>
  <c r="A15" i="56359"/>
  <c r="A13" i="56359"/>
  <c r="A9" i="56359"/>
  <c r="A5" i="56359"/>
  <c r="A6" i="56360"/>
  <c r="A4" i="56356"/>
  <c r="A14" i="56359"/>
  <c r="A16" i="56360"/>
  <c r="A12" i="56360"/>
  <c r="A21" i="56359"/>
  <c r="A17" i="56359"/>
  <c r="A11" i="56359"/>
  <c r="A4" i="56359"/>
  <c r="A7" i="56361"/>
  <c r="A21" i="56360"/>
  <c r="A19" i="56360"/>
  <c r="A17" i="56360"/>
  <c r="A15" i="56360"/>
  <c r="A13" i="56360"/>
  <c r="A11" i="56360"/>
  <c r="A9" i="56360"/>
  <c r="A5" i="56360"/>
  <c r="A8" i="56354"/>
  <c r="A1" i="56354"/>
  <c r="A3" i="56356"/>
  <c r="A20" i="56359"/>
</calcChain>
</file>

<file path=xl/sharedStrings.xml><?xml version="1.0" encoding="utf-8"?>
<sst xmlns="http://schemas.openxmlformats.org/spreadsheetml/2006/main" count="31" uniqueCount="9">
  <si>
    <t>Value Date</t>
  </si>
  <si>
    <t>Interest Rate</t>
  </si>
  <si>
    <t>Yield</t>
  </si>
  <si>
    <t>Volatility</t>
  </si>
  <si>
    <t>Type</t>
  </si>
  <si>
    <t>Month</t>
  </si>
  <si>
    <t>Strike</t>
  </si>
  <si>
    <t>Vol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</si>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</sst>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211" formatCode="mm\-mmm\-yy"/>
  </numFmts>
  <fonts count="4" x14ac:knownFonts="1">
    <font>
      <sz val="10"/>
      <name val="Univers"/>
    </font>
    <font>
      <sz val="10"/>
      <name val="MS Sans Serif"/>
    </font>
    <font>
      <sz val="10"/>
      <name val="Univers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Page">
    <ddeItems>
      <ddeItem name="MAG/VOL01 0 0 80 23" advise="1">
        <values rows="23">
          <value t="str">
            <val>18:18 21JUL00                                                          MAG/VOL01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SILVER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 500=   21.50     7.44     8.04    OCT01    500   20.50    42.67    39.92</val>
          </value>
          <value t="str">
            <val>SEP00   500=   21.50    15.95    14.57    NOV01    500   20.50    44.00    41.25</val>
          </value>
          <value t="str">
            <val>OCT00   500=   21.50    20.65    17.79    DEC01    500   20.50    45.00    42.28</val>
          </value>
          <value t="str">
            <val>NOV00   500=   21.50    23.87    20.93    JAN02    500   20.50    45.96    43.25</val>
          </value>
          <value t="str">
            <val>DEC00   500=   21.50    27.21    24.29    FEB02    500   20.50    47.10    44.40</val>
          </value>
          <value t="str">
            <val>JAN01   500=   21.50    29.54    26.63    MAR02    500   20.50    47.96    45.28</val>
          </value>
          <value t="str">
            <val>FEB01   500=   20.50    30.71    27.83    APR02    500   20.50    48.79    46.12</val>
          </value>
          <value t="str">
            <val>MAR01   500=   20.50    32.51    29.64    MAY02    500   20.50    49.59    46.94</val>
          </value>
          <value t="str">
            <val>APR01   500=   20.50    34.16    31.31    JUN02    500   20.50    50.54    47.90</val>
          </value>
          <value t="str">
            <val>MAY01   500=   20.50    35.70    32.87    JUL02    500   20.50    51.27    48.64</val>
          </value>
          <value t="str">
            <val>JUN01   500=   20.50    37.49    34.67    AUG02    500   20.50    52.14    49.53</val>
          </value>
          <value t="str">
            <val>JUL01   500=   20.50    38.82    36.01    SEP02    500   20.50    52.80    50.20</val>
          </value>
          <value t="str">
            <val>AUG01   500=   20.50    40.07    37.28    OCT02    500   20.50    53.43    50.85</val>
          </value>
          <value t="str">
            <val xml:space="preserve">SEP01   500=   20.50    41.56    38.78    OCT02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AG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0 15 5 23" advise="1">
        <values rows="15"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0 50 4 23" advise="1">
        <values rows="15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0 57 5 23" advise="1">
        <values rows="15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0 7 4 23" advise="1">
        <values rows="15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1 15 5 23" advise="1">
        <values rows="14"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1 50 4 23" advise="1">
        <values rows="14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1 57 5 23" advise="1">
        <values rows="14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1 7 4 23" advise="1">
        <values rows="14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2 15 5 23" advise="1">
        <values rows="13"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2 50 4 23" advise="1">
        <values rows="13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2 57 5 23" advise="1">
        <values rows="13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2 7 4 23" advise="1">
        <values rows="13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3 15 5 23" advise="1">
        <values rows="12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3 50 4 23" advise="1">
        <values rows="12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3 57 5 23" advise="1">
        <values rows="12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3 7 4 23" advise="1">
        <values rows="12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4 15 5 23" advise="1">
        <values rows="11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4 50 4 23" advise="1">
        <values rows="11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4 57 5 23" advise="1">
        <values rows="11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4 7 4 23" advise="1">
        <values rows="11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5 15 5 23" advise="1">
        <values rows="10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5 50 4 23" advise="1">
        <values rows="10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5 57 5 23" advise="1">
        <values rows="10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5 7 4 23" advise="1">
        <values rows="10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6 15 5 23" advise="1">
        <values rows="9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6 50 4 23" advise="1">
        <values rows="9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6 57 5 23" advise="1">
        <values rows="9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6 7 4 23" advise="1">
        <values rows="9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7 15 5 23" advise="1">
        <values rows="8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17 50 4 23" advise="1">
        <values rows="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17 57 5 23" advise="1">
        <values rows="8"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17 7 4 23" advise="1">
        <values rows="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8 15 5 23" advise="1">
        <values rows="7"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8 7 4 23" advise="1">
        <values rows="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19 15 5 23" advise="1">
        <values rows="6"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19 7 4 23" advise="1">
        <values rows="6"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20 15 5 23" advise="1">
        <values rows="5"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20 7 4 23" advise="1">
        <values rows="5"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7 15 5 23" advise="1">
        <values rows="18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7 50 4 23" advise="1">
        <values rows="1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7 57 5 23" advise="1">
        <values rows="18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7 7 4 23" advise="1">
        <values rows="18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8 15 5 23" advise="1">
        <values rows="17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8 50 4 23" advise="1">
        <values rows="1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8 57 5 23" advise="1">
        <values rows="17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8 7 4 23" advise="1">
        <values rows="17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G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AG/VOL01 9 15 5 23" advise="1">
        <values rows="16">
          <value t="str">
            <val>21.50</val>
          </value>
          <value t="str">
            <val>21.50</val>
          </value>
          <value t="str">
            <val>21.50</val>
          </value>
          <value t="str">
            <val>21.50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AG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AG/VOL01 9 50 4 23" advise="1">
        <values rows="16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AG/VOL01 9 57 5 23" advise="1">
        <values rows="16"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>20.50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AG/VOL01 9 7 4 23" advise="1">
        <values rows="16"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500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AL/VOL01 0 0 80 23" advise="1">
        <values rows="23">
          <value t="str">
            <val>15:01 24JUL00                                                          MAL/VOL01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ALUMINIUM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1575=   17.17    20.24    18.75    OCT01   1550   16.65   103.95   103.49</val>
          </value>
          <value t="str">
            <val>SEP00  1575=   19.25    49.43    37.31    NOV01   1550   16.65   105.95   108.01</val>
          </value>
          <value t="str">
            <val>OCT00  1600=   19.35    49.79    60.37    DEC01   1550   16.65   107.16   111.71</val>
          </value>
          <value t="str">
            <val>NOV00  1600=   19.15    58.12    68.89    JAN02   1550   15.93   104.30   109.73</val>
          </value>
          <value t="str">
            <val>DEC00  1575=   18.80    76.39    65.68    FEB02   1550   15.93   106.60   112.88</val>
          </value>
          <value t="str">
            <val>JAN01  1575=   18.05    77.36    71.06    MAR02   1550   15.93   108.24   115.39</val>
          </value>
          <value t="str">
            <val>FEB01  1575=   17.85    81.01    79.09    APR02   1550   15.63   107.67   115.68</val>
          </value>
          <value t="str">
            <val>MAR01  1575=   17.73    83.10    85.50    MAY02   1550   15.63   109.12   117.97</val>
          </value>
          <value t="str">
            <val>APR01  1575=   17.40    83.76    90.42    JUN02   1550   15.63   110.95   120.62</val>
          </value>
          <value t="str">
            <val>MAY01  1575=   17.35    86.17    95.64    JUL02   1550   15.53   111.49   121.99</val>
          </value>
          <value t="str">
            <val>JUN01  1550=   17.35   100.48    89.19    AUG02   1525   15.53   123.01   112.58</val>
          </value>
          <value t="str">
            <val>JUL01  1550=   16.88    99.77    91.35    SEP02   1525   15.53   124.05   114.54</val>
          </value>
          <value t="str">
            <val>AUG01  1550=   16.88   101.46    95.87    OCT02   1525   15.53   125.03   116.42</val>
          </value>
          <value t="str">
            <val xml:space="preserve">SEP01  1550=   16.88   103.87   100.87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AL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0 15 5 23" advise="1">
        <values rows="15"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0 50 4 23" advise="1">
        <values rows="15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0 57 5 23" advise="1">
        <values rows="15"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0 7 4 23" advise="1">
        <values rows="15"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1 15 5 23" advise="1">
        <values rows="14"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1 50 4 23" advise="1">
        <values rows="14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1 57 5 23" advise="1">
        <values rows="14"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1 7 4 23" advise="1">
        <values rows="14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2 15 5 23" advise="1">
        <values rows="13"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2 50 4 23" advise="1">
        <values rows="13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2 57 5 23" advise="1">
        <values rows="13"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2 7 4 23" advise="1">
        <values rows="13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3 15 5 23" advise="1">
        <values rows="12"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3 50 4 23" advise="1">
        <values rows="12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3 57 5 23" advise="1">
        <values rows="12"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3 7 4 23" advise="1">
        <values rows="12"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4 15 5 23" advise="1">
        <values rows="11"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4 50 4 23" advise="1">
        <values rows="11"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4 57 5 23" advise="1">
        <values rows="11"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4 7 4 23" advise="1">
        <values rows="11"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5 15 5 23" advise="1">
        <values rows="10"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5 50 4 23" advise="1">
        <values rows="10"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5 57 5 23" advise="1">
        <values rows="10"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5 7 4 23" advise="1">
        <values rows="10"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6 15 5 23" advise="1">
        <values rows="9"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6 50 4 23" advise="1">
        <values rows="9"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6 57 5 23" advise="1">
        <values rows="9"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6 7 4 23" advise="1">
        <values rows="9"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7 15 5 23" advise="1">
        <values rows="8"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17 50 4 23" advise="1">
        <values rows="8"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17 57 5 23" advise="1">
        <values rows="8"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17 7 4 23" advise="1">
        <values rows="8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8 15 5 23" advise="1">
        <values rows="7"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8 7 4 23" advise="1">
        <values rows="7"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19 15 5 23" advise="1">
        <values rows="6"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19 7 4 23" advise="1">
        <values rows="6"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20 15 5 23" advise="1">
        <values rows="5"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20 7 4 23" advise="1">
        <values rows="5"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7 15 5 23" advise="1">
        <values rows="18">
          <value t="str">
            <val>17.17</val>
          </value>
          <value t="str">
            <val>19.25</val>
          </value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7 50 4 23" advise="1">
        <values rows="18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7 57 5 23" advise="1">
        <values rows="18">
          <value t="str">
            <val>16.65</val>
          </value>
          <value t="str">
            <val>16.65</val>
          </value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7 7 4 23" advise="1">
        <values rows="18">
          <value t="str">
            <val>1575</val>
          </value>
          <value t="str">
            <val>1575</val>
          </value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8 15 5 23" advise="1">
        <values rows="17">
          <value t="str">
            <val>19.25</val>
          </value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8 50 4 23" advise="1">
        <values rows="17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8 57 5 23" advise="1">
        <values rows="17">
          <value t="str">
            <val>16.65</val>
          </value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8 7 4 23" advise="1">
        <values rows="17">
          <value t="str">
            <val>1575</val>
          </value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AL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Base S</val>
          </value>
        </values>
      </ddeItem>
      <ddeItem name="MAL/VOL01 9 15 5 23" advise="1">
        <values rows="16">
          <value t="str">
            <val>19.35</val>
          </value>
          <value t="str">
            <val>19.15</val>
          </value>
          <value t="str">
            <val>18.80</val>
          </value>
          <value t="str">
            <val>18.05</val>
          </value>
          <value t="str">
            <val>17.85</val>
          </value>
          <value t="str">
            <val>17.73</val>
          </value>
          <value t="str">
            <val>17.40</val>
          </value>
          <value t="str">
            <val>17.35</val>
          </value>
          <value t="str">
            <val>17.35</val>
          </value>
          <value t="str">
            <val>16.88</val>
          </value>
          <value t="str">
            <val>16.88</val>
          </value>
          <value t="str">
            <val>16.88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METAL</val>
          </value>
        </values>
      </ddeItem>
      <ddeItem name="MAL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ex..&lt;ME</val>
          </value>
        </values>
      </ddeItem>
      <ddeItem name="MAL/VOL01 9 50 4 23" advise="1">
        <values rows="16"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1525</val>
          </value>
          <value t="str">
            <val>1525</val>
          </value>
          <value t="str">
            <val>1525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1&gt;  </val>
          </value>
        </values>
      </ddeItem>
      <ddeItem name="MAL/VOL01 9 57 5 23" advise="1">
        <values rows="16">
          <value t="str">
            <val>16.65</val>
          </value>
          <value t="str">
            <val>15.93</val>
          </value>
          <value t="str">
            <val>15.93</val>
          </value>
          <value t="str">
            <val>15.93</val>
          </value>
          <value t="str">
            <val>15.63</val>
          </value>
          <value t="str">
            <val>15.63</val>
          </value>
          <value t="str">
            <val>15.63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>15.53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LME </val>
          </value>
        </values>
      </ddeItem>
      <ddeItem name="MAL/VOL01 9 7 4 23" advise="1">
        <values rows="16">
          <value t="str">
            <val>1600</val>
          </value>
          <value t="str">
            <val>1600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1575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>1550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mmar</val>
          </value>
        </values>
      </ddeItem>
      <ddeItem name="MCU/VOL01 0 0 80 23" advise="1">
        <values rows="23">
          <value t="str">
            <val>15:01 24JUL00                                                          MCU/VOL01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COPPER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1850=   16.75    22.82    21.83    OCT01   1850   17.54   135.12   126.38</val>
          </value>
          <value t="str">
            <val>SEP00  1850=   18.55    55.06    42.93    NOV01   1850   17.49   138.05   130.97</val>
          </value>
          <value t="str">
            <val>OCT00  1875=   19.08    60.41    66.81    DEC01   1850   17.43   139.88   134.43</val>
          </value>
          <value t="str">
            <val>NOV00  1875=   19.00    72.66    75.11    JAN02   1850   17.26   140.93   136.63</val>
          </value>
          <value t="str">
            <val>DEC00  1875=   18.88    84.48    84.48    FEB02   1850   17.22   143.55   140.40</val>
          </value>
          <value t="str">
            <val>JAN01  1875=   18.42    89.16    90.61    MAR02   1850   17.22   145.65   143.63</val>
          </value>
          <value t="str">
            <val>FEB01  1875=   18.33    96.28    99.16    APR02   1850   17.22   147.64   146.75</val>
          </value>
          <value t="str">
            <val>MAR01  1875=   18.25   101.11   105.42    MAY02   1850   17.22   149.54   149.75</val>
          </value>
          <value t="str">
            <val>APR01  1875=   17.92   103.95   109.66    JUN02   1850   17.22   151.92   153.25</val>
          </value>
          <value t="str">
            <val>MAY01  1875=   17.88   108.04   115.14    JUL02   1850   17.19   153.35   155.75</val>
          </value>
          <value t="str">
            <val>JUN01  1875=   17.88   113.17   121.63    AUG02   1850   17.19   155.48   158.96</val>
          </value>
          <value t="str">
            <val>JUL01  1875=   17.64   115.18   125.00    SEP02   1850   17.16   156.69   161.22</val>
          </value>
          <value t="str">
            <val>AUG01  1875=   17.59   118.19   129.35    OCT02   1850   17.16   158.09   163.68</val>
          </value>
          <value t="str">
            <val xml:space="preserve">SEP01  1850=   17.59   132.82   122.41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CU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0 15 5 23" advise="1">
        <values rows="15"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0 50 4 23" advise="1">
        <values rows="15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0 57 5 23" advise="1">
        <values rows="15"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0 7 4 23" advise="1">
        <values rows="15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1 15 5 23" advise="1">
        <values rows="14"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1 50 4 23" advise="1">
        <values rows="14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1 57 5 23" advise="1">
        <values rows="14"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1 7 4 23" advise="1">
        <values rows="14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2 15 5 23" advise="1">
        <values rows="13"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2 50 4 23" advise="1">
        <values rows="13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2 57 5 23" advise="1">
        <values rows="13"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2 7 4 23" advise="1">
        <values rows="13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3 15 5 23" advise="1">
        <values rows="12"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3 50 4 23" advise="1">
        <values rows="12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3 57 5 23" advise="1">
        <values rows="12"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3 7 4 23" advise="1">
        <values rows="12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4 15 5 23" advise="1">
        <values rows="11"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4 50 4 23" advise="1">
        <values rows="11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4 57 5 23" advise="1">
        <values rows="11"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4 7 4 23" advise="1">
        <values rows="11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5 15 5 23" advise="1">
        <values rows="10"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5 50 4 23" advise="1">
        <values rows="10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5 57 5 23" advise="1">
        <values rows="10"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5 7 4 23" advise="1">
        <values rows="10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6 15 5 23" advise="1">
        <values rows="9"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6 50 4 23" advise="1">
        <values rows="9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6 57 5 23" advise="1">
        <values rows="9"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6 7 4 23" advise="1">
        <values rows="9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7 15 5 23" advise="1">
        <values rows="8"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17 50 4 23" advise="1">
        <values rows="8"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17 57 5 23" advise="1">
        <values rows="8"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17 7 4 23" advise="1">
        <values rows="8"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8 15 5 23" advise="1">
        <values rows="7"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8 7 4 23" advise="1">
        <values rows="7"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19 15 5 23" advise="1">
        <values rows="6"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19 7 4 23" advise="1">
        <values rows="6"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20 15 5 23" advise="1">
        <values rows="5"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20 7 4 23" advise="1">
        <values rows="5"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7 15 5 23" advise="1">
        <values rows="18">
          <value t="str">
            <val>16.75</val>
          </value>
          <value t="str">
            <val>18.55</val>
          </value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7 50 4 23" advise="1">
        <values rows="18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7 57 5 23" advise="1">
        <values rows="18">
          <value t="str">
            <val>17.54</val>
          </value>
          <value t="str">
            <val>17.49</val>
          </value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7 7 4 23" advise="1">
        <values rows="18">
          <value t="str">
            <val>1850</val>
          </value>
          <value t="str">
            <val>1850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8 15 5 23" advise="1">
        <values rows="17">
          <value t="str">
            <val>18.55</val>
          </value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8 50 4 23" advise="1">
        <values rows="17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8 57 5 23" advise="1">
        <values rows="17">
          <value t="str">
            <val>17.49</val>
          </value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8 7 4 23" advise="1">
        <values rows="17">
          <value t="str">
            <val>1850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CU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CU/VOL01 9 15 5 23" advise="1">
        <values rows="16">
          <value t="str">
            <val>19.08</val>
          </value>
          <value t="str">
            <val>19.00</val>
          </value>
          <value t="str">
            <val>18.88</val>
          </value>
          <value t="str">
            <val>18.42</val>
          </value>
          <value t="str">
            <val>18.33</val>
          </value>
          <value t="str">
            <val>18.25</val>
          </value>
          <value t="str">
            <val>17.92</val>
          </value>
          <value t="str">
            <val>17.88</val>
          </value>
          <value t="str">
            <val>17.88</val>
          </value>
          <value t="str">
            <val>17.64</val>
          </value>
          <value t="str">
            <val>17.59</val>
          </value>
          <value t="str">
            <val>17.59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CU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CU/VOL01 9 50 4 23" advise="1">
        <values rows="16"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CU/VOL01 9 57 5 23" advise="1">
        <values rows="16">
          <value t="str">
            <val>17.43</val>
          </value>
          <value t="str">
            <val>17.26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17.22</val>
          </value>
          <value t="str">
            <val>17.19</val>
          </value>
          <value t="str">
            <val>17.19</val>
          </value>
          <value t="str">
            <val>17.16</val>
          </value>
          <value t="str">
            <val>17.16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CU/VOL01 9 7 4 23" advise="1">
        <values rows="16"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1875</val>
          </value>
          <value t="str">
            <val>1850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0 0 80 23" advise="1">
        <values rows="23">
          <value t="str">
            <val>15:01 24JUL00                                                          MNI/VOL01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NICKEL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8100=   33.67   206.72   186.81    OCT01   7150   25.67   723.37   746.36</val>
          </value>
          <value t="str">
            <val>SEP00  8100=   33.83   377.60   397.38    NOV01   7100   25.67   741.78   764.62</val>
          </value>
          <value t="str">
            <val>OCT00  8000=   32.83   459.39   474.16    DEC01   7050   25.67   756.72   774.91</val>
          </value>
          <value t="str">
            <val>NOV00  7900=   31.50   521.24   511.44    JAN02   7000   24.83   742.85   760.94</val>
          </value>
          <value t="str">
            <val>DEC00  7800=   29.67   567.60   538.39    FEB02   6950   24.83   761.70   770.69</val>
          </value>
          <value t="str">
            <val>JAN01  7700=   29.19   608.34   564.77    MAR02   6900   24.67   770.76   770.76</val>
          </value>
          <value t="str">
            <val>FEB01  7700=   28.67   609.33   643.00    APR02   6900   24.17   756.34   778.58</val>
          </value>
          <value t="str">
            <val>MAR01  7600=   28.50   648.30   657.87    MAY02   6850   24.17   776.14   776.14</val>
          </value>
          <value t="str">
            <val>APR01  7500=   28.00   675.41   661.13    JUN02   6850   24.17   779.14   801.13</val>
          </value>
          <value t="str">
            <val>MAY01  7450=   27.83   685.07   694.54    JUL02   6800   24.17   797.46   797.46</val>
          </value>
          <value t="str">
            <val>JUN01  7350=   27.33   711.55   697.45    AUG02   6800   24.00   793.42   815.15</val>
          </value>
          <value t="str">
            <val>JUL01  7300=   26.50   700.34   705.02    SEP02   6750   24.00   810.24   810.24</val>
          </value>
          <value t="str">
            <val>AUG01  7250=   26.17   699.90   723.16    OCT02   6750   24.00   810.49   827.70</val>
          </value>
          <value t="str">
            <val xml:space="preserve">SEP01  7200=   26.17   722.25   745.35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NI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0 15 5 23" advise="1">
        <values rows="15"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0 50 4 23" advise="1">
        <values rows="15"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0 57 5 23" advise="1">
        <values rows="15"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0 7 4 23" advise="1">
        <values rows="15"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1 15 5 23" advise="1">
        <values rows="14"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1 50 4 23" advise="1">
        <values rows="14"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1 57 5 23" advise="1">
        <values rows="14"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1 7 4 23" advise="1">
        <values rows="14"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2 15 5 23" advise="1">
        <values rows="13"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2 50 4 23" advise="1">
        <values rows="13"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2 57 5 23" advise="1">
        <values rows="13"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2 7 4 23" advise="1">
        <values rows="13"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3 15 5 23" advise="1">
        <values rows="12"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3 50 4 23" advise="1">
        <values rows="12"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3 57 5 23" advise="1">
        <values rows="12"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3 7 4 23" advise="1">
        <values rows="12"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4 15 5 23" advise="1">
        <values rows="11"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4 50 4 23" advise="1">
        <values rows="11"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4 57 5 23" advise="1">
        <values rows="11"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4 7 4 23" advise="1">
        <values rows="11"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5 15 5 23" advise="1">
        <values rows="10"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5 50 4 23" advise="1">
        <values rows="10"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5 57 5 23" advise="1">
        <values rows="10"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5 7 4 23" advise="1">
        <values rows="10"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6 15 5 23" advise="1">
        <values rows="9"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6 50 4 23" advise="1">
        <values rows="9"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6 57 5 23" advise="1">
        <values rows="9"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6 7 4 23" advise="1">
        <values rows="9"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7 15 5 23" advise="1">
        <values rows="8"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17 50 4 23" advise="1">
        <values rows="8"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17 57 5 23" advise="1">
        <values rows="8"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17 7 4 23" advise="1">
        <values rows="8"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8 15 5 23" advise="1">
        <values rows="7"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8 7 4 23" advise="1">
        <values rows="7"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19 15 5 23" advise="1">
        <values rows="6"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19 7 4 23" advise="1">
        <values rows="6"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20 15 5 23" advise="1">
        <values rows="5"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20 7 4 23" advise="1">
        <values rows="5"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7 15 5 23" advise="1">
        <values rows="18">
          <value t="str">
            <val>33.67</val>
          </value>
          <value t="str">
            <val>33.83</val>
          </value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7 50 4 23" advise="1">
        <values rows="18">
          <value t="str">
            <val>7150</val>
          </value>
          <value t="str">
            <val>7100</val>
          </value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7 57 5 23" advise="1">
        <values rows="18">
          <value t="str">
            <val>25.67</val>
          </value>
          <value t="str">
            <val>25.67</val>
          </value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7 7 4 23" advise="1">
        <values rows="18">
          <value t="str">
            <val>8100</val>
          </value>
          <value t="str">
            <val>8100</val>
          </value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8 15 5 23" advise="1">
        <values rows="17">
          <value t="str">
            <val>33.83</val>
          </value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8 50 4 23" advise="1">
        <values rows="17">
          <value t="str">
            <val>7100</val>
          </value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8 57 5 23" advise="1">
        <values rows="17">
          <value t="str">
            <val>25.67</val>
          </value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8 7 4 23" advise="1">
        <values rows="17">
          <value t="str">
            <val>8100</val>
          </value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NI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NI/VOL01 9 15 5 23" advise="1">
        <values rows="16">
          <value t="str">
            <val>32.83</val>
          </value>
          <value t="str">
            <val>31.50</val>
          </value>
          <value t="str">
            <val>29.67</val>
          </value>
          <value t="str">
            <val>29.19</val>
          </value>
          <value t="str">
            <val>28.67</val>
          </value>
          <value t="str">
            <val>28.50</val>
          </value>
          <value t="str">
            <val>28.00</val>
          </value>
          <value t="str">
            <val>27.83</val>
          </value>
          <value t="str">
            <val>27.33</val>
          </value>
          <value t="str">
            <val>26.50</val>
          </value>
          <value t="str">
            <val>26.17</val>
          </value>
          <value t="str">
            <val>26.17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NI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NI/VOL01 9 50 4 23" advise="1">
        <values rows="16">
          <value t="str">
            <val>7050</val>
          </value>
          <value t="str">
            <val>7000</val>
          </value>
          <value t="str">
            <val>6950</val>
          </value>
          <value t="str">
            <val>6900</val>
          </value>
          <value t="str">
            <val>6900</val>
          </value>
          <value t="str">
            <val>6850</val>
          </value>
          <value t="str">
            <val>6850</val>
          </value>
          <value t="str">
            <val>6800</val>
          </value>
          <value t="str">
            <val>6800</val>
          </value>
          <value t="str">
            <val>6750</val>
          </value>
          <value t="str">
            <val>6750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NI/VOL01 9 57 5 23" advise="1">
        <values rows="16">
          <value t="str">
            <val>25.67</val>
          </value>
          <value t="str">
            <val>24.83</val>
          </value>
          <value t="str">
            <val>24.83</val>
          </value>
          <value t="str">
            <val>24.67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24.17</val>
          </value>
          <value t="str">
            <val>24.00</val>
          </value>
          <value t="str">
            <val>24.00</val>
          </value>
          <value t="str">
            <val>24.00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NI/VOL01 9 7 4 23" advise="1">
        <values rows="16">
          <value t="str">
            <val>8000</val>
          </value>
          <value t="str">
            <val>7900</val>
          </value>
          <value t="str">
            <val>7800</val>
          </value>
          <value t="str">
            <val>7700</val>
          </value>
          <value t="str">
            <val>7700</val>
          </value>
          <value t="str">
            <val>7600</val>
          </value>
          <value t="str">
            <val>7500</val>
          </value>
          <value t="str">
            <val>7450</val>
          </value>
          <value t="str">
            <val>7350</val>
          </value>
          <value t="str">
            <val>7300</val>
          </value>
          <value t="str">
            <val>7250</val>
          </value>
          <value t="str">
            <val>7200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0 0 80 23" advise="1">
        <values rows="23">
          <value t="str">
            <val>18:19 21JUL00                                                          MPB/VOL01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LEAD  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 xml:space="preserve">AUG00    475   20.50     2.53    14.47                                          </val>
          </value>
          <value t="str">
            <val xml:space="preserve">SEP00    475   21.00    10.09    18.74                                          </val>
          </value>
          <value t="str">
            <val xml:space="preserve">OCT00    475   20.83    14.25    21.14                                          </val>
          </value>
          <value t="str">
            <val xml:space="preserve">NOV00    475   20.67    18.63    22.05                                          </val>
          </value>
          <value t="str">
            <val xml:space="preserve">DEC00    475   20.67    22.42    24.36                                          </val>
          </value>
          <value t="str">
            <val xml:space="preserve">JAN01    475   18.83    23.16    23.40                                          </val>
          </value>
          <value t="str">
            <val xml:space="preserve">FEB01    475   18.83    26.22    24.77                                          </val>
          </value>
          <value t="str">
            <val xml:space="preserve">MAR01    475   18.50    27.96    25.33                                          </val>
          </value>
          <value t="str">
            <val xml:space="preserve">APR01    475   18.50    30.03    26.23                                          </val>
          </value>
          <value t="str">
            <val xml:space="preserve">MAY01    475   18.17    31.49    26.52                                          </val>
          </value>
          <value t="str">
            <val xml:space="preserve">JUN01    475   18.17    33.64    27.53                                          </val>
          </value>
          <value t="str">
            <val xml:space="preserve">JUL01    475   18.00    35.13    27.88                                          </val>
          </value>
          <value t="str">
            <val xml:space="preserve">AUG01    475   18.00    36.83    28.45                                          </val>
          </value>
          <value t="str">
            <val xml:space="preserve">SEP01    475   18.00    38.45    29.44                                          </val>
          </value>
          <value t="str">
            <val xml:space="preserve">OCT01    475   18.00    39.63    30.21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PB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0 15 5 23" advise="1">
        <values rows="15"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0 40 7 23" advise="1">
        <values rows="15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0 50 4 23" advise="1">
        <values rows="15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0 57 5 23" advise="1">
        <values rows="15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0 7 4 23" advise="1">
        <values rows="15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1 15 5 23" advise="1">
        <values rows="14"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1 40 7 23" advise="1">
        <values rows="14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1 50 4 23" advise="1">
        <values rows="14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1 57 5 23" advise="1">
        <values rows="14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1 7 4 23" advise="1">
        <values rows="14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2 15 5 23" advise="1">
        <values rows="13"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2 40 7 23" advise="1">
        <values rows="13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2 50 4 23" advise="1">
        <values rows="13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2 57 5 23" advise="1">
        <values rows="13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2 7 4 23" advise="1">
        <values rows="13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3 15 5 23" advise="1">
        <values rows="12"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3 40 7 23" advise="1">
        <values rows="12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3 50 4 23" advise="1">
        <values rows="12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3 57 5 23" advise="1">
        <values rows="12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3 7 4 23" advise="1">
        <values rows="12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4 15 5 23" advise="1">
        <values rows="11"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4 40 7 23" advise="1">
        <values rows="11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4 50 4 23" advise="1">
        <values rows="11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4 57 5 23" advise="1">
        <values rows="11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4 7 4 23" advise="1">
        <values rows="11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5 15 5 23" advise="1">
        <values rows="10"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5 40 7 23" advise="1">
        <values rows="10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5 50 4 23" advise="1">
        <values rows="10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5 57 5 23" advise="1">
        <values rows="10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5 7 4 23" advise="1">
        <values rows="10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6 15 5 23" advise="1">
        <values rows="9"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6 40 7 23" advise="1">
        <values rows="9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6 50 4 23" advise="1">
        <values rows="9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6 57 5 23" advise="1">
        <values rows="9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6 7 4 23" advise="1">
        <values rows="9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7 15 5 23" advise="1">
        <values rows="8"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7 40 7 23" advise="1">
        <values rows="8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17 50 4 23" advise="1">
        <values rows="8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17 57 5 23" advise="1">
        <values rows="8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17 7 4 23" advise="1">
        <values rows="8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8 15 5 23" advise="1">
        <values rows="7"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8 7 4 23" advise="1">
        <values rows="7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19 15 5 23" advise="1">
        <values rows="6"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19 7 4 23" advise="1">
        <values rows="6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20 0 6 23" advise="1">
        <values rows="5"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20 15 5 23" advise="1">
        <values rows="5"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20 7 4 23" advise="1">
        <values rows="5"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7 15 5 23" advise="1">
        <values rows="18">
          <value t="str">
            <val>20.50</val>
          </value>
          <value t="str">
            <val>21.00</val>
          </value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7 40 7 23" advise="1">
        <values rows="18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7 50 4 23" advise="1">
        <values rows="18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7 57 5 23" advise="1">
        <values rows="18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7 7 4 23" advise="1">
        <values rows="18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8 15 5 23" advise="1">
        <values rows="17">
          <value t="str">
            <val>21.00</val>
          </value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8 40 7 23" advise="1">
        <values rows="17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8 50 4 23" advise="1">
        <values rows="17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8 57 5 23" advise="1">
        <values rows="17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8 7 4 23" advise="1">
        <values rows="17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PB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OCT01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PB/VOL01 9 15 5 23" advise="1">
        <values rows="16">
          <value t="str">
            <val>20.83</val>
          </value>
          <value t="str">
            <val>20.67</val>
          </value>
          <value t="str">
            <val>20.67</val>
          </value>
          <value t="str">
            <val>18.83</val>
          </value>
          <value t="str">
            <val>18.83</val>
          </value>
          <value t="str">
            <val>18.50</val>
          </value>
          <value t="str">
            <val>18.50</val>
          </value>
          <value t="str">
            <val>18.17</val>
          </value>
          <value t="str">
            <val>18.17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>18.00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PB/VOL01 9 40 7 23" advise="1">
        <values rows="16"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PB/VOL01 9 50 4 23" advise="1">
        <values rows="16"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PB/VOL01 9 57 5 23" advise="1">
        <values rows="16"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PB/VOL01 9 7 4 23" advise="1">
        <values rows="16"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47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0 0 80 23" advise="1">
        <values rows="23">
          <value t="str">
            <val>13:32 24JUL00                                                          MZN/VOL01</val>
          </value>
          <value t="str">
            <val xml:space="preserve">          LONDON METAL EXCHANGE SUMMARY                                         </val>
          </value>
          <value t="str">
            <val xml:space="preserve">AT-THE-MONEY INDICATIVE OPTION CLOSING PREMIUMS &amp; VOLATILITIES - ZINC           </val>
          </value>
          <value t="str">
            <val xml:space="preserve">                                                                                </val>
          </value>
          <value t="str">
            <val xml:space="preserve">MONTH  STRIKE   VOL     CALL      PUT     MONTH  STRIKE   VOL     CALL      PUT </val>
          </value>
          <value t="str">
            <val>================================================================================</val>
          </value>
          <value t="str">
            <val xml:space="preserve">                                                                                </val>
          </value>
          <value t="str">
            <val>AUG00  1150=   17.17    15.91    12.68    OCT01   1150   16.03    72.37    75.59</val>
          </value>
          <value t="str">
            <val>SEP00  1150=   19.38    37.73    26.35    NOV01   1150   16.03    73.93    78.73</val>
          </value>
          <value t="str">
            <val>OCT00  1150=   18.50    44.26    32.45    DEC01   1150   15.82    73.90    80.26</val>
          </value>
          <value t="str">
            <val>NOV00  1175=   17.92    38.31    49.09    JAN02   1150   15.59    73.53    81.67</val>
          </value>
          <value t="str">
            <val>DEC00  1175=   17.46    44.04    53.77    FEB02   1150   15.59    74.62    84.50</val>
          </value>
          <value t="str">
            <val>JAN01  1175=   16.88    45.78    57.39    MAR02   1125   15.59    85.51    74.79</val>
          </value>
          <value t="str">
            <val>FEB01  1150=   16.77    60.60    50.02    APR02   1125   15.59    85.93    77.03</val>
          </value>
          <value t="str">
            <val>MAR01  1150=   16.72    62.73    54.12    MAY02   1125   15.59    86.31    79.23</val>
          </value>
          <value t="str">
            <val>APR01  1150=   16.50    63.98    57.32    JUN02   1125   15.57    86.85    81.58</val>
          </value>
          <value t="str">
            <val>MAY01  1150=   16.50    65.94    60.96    JUL02   1125   15.50    86.75    83.26</val>
          </value>
          <value t="str">
            <val>JUN01  1150=   16.50    68.35    65.06    AUG02   1125   15.50    87.28    85.55</val>
          </value>
          <value t="str">
            <val>JUL01  1150=   16.23    68.81    67.17    SEP02   1125   15.40    86.91    86.92</val>
          </value>
          <value t="str">
            <val>AUG01  1150=   16.23    70.24    70.24    OCT02   1125   15.40    87.06    88.78</val>
          </value>
          <value t="str">
            <val xml:space="preserve">SEP01  1150=   16.23    72.09    73.71                                          </val>
          </value>
          <value t="str">
            <val xml:space="preserve">                                                                                </val>
          </value>
          <value t="str">
            <val xml:space="preserve">                                                                                </val>
          </value>
        </values>
      </ddeItem>
      <ddeItem name="MZN/VOL01 10 0 6 23" advise="1">
        <values rows="15"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0 15 5 23" advise="1">
        <values rows="15"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0 40 7 23" advise="1">
        <values rows="15"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0 50 4 23" advise="1">
        <values rows="15"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0 57 5 23" advise="1">
        <values rows="15"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0 7 4 23" advise="1">
        <values rows="15"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1 0 6 23" advise="1">
        <values rows="14"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1 15 5 23" advise="1">
        <values rows="14"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1 40 7 23" advise="1">
        <values rows="14"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1 50 4 23" advise="1">
        <values rows="14"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1 57 5 23" advise="1">
        <values rows="14"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1 7 4 23" advise="1">
        <values rows="14"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2 0 6 23" advise="1">
        <values rows="13"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2 15 5 23" advise="1">
        <values rows="13"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2 40 7 23" advise="1">
        <values rows="13"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2 50 4 23" advise="1">
        <values rows="13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2 57 5 23" advise="1">
        <values rows="13"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2 7 4 23" advise="1">
        <values rows="13"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3 0 6 23" advise="1">
        <values rows="12"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3 15 5 23" advise="1">
        <values rows="12"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3 40 7 23" advise="1">
        <values rows="12"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3 50 4 23" advise="1">
        <values rows="12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3 57 5 23" advise="1">
        <values rows="12"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3 7 4 23" advise="1">
        <values rows="12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4 0 6 23" advise="1">
        <values rows="11"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4 15 5 23" advise="1">
        <values rows="11"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4 40 7 23" advise="1">
        <values rows="11"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4 50 4 23" advise="1">
        <values rows="11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4 57 5 23" advise="1">
        <values rows="11"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4 7 4 23" advise="1">
        <values rows="11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5 0 6 23" advise="1">
        <values rows="10"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5 15 5 23" advise="1">
        <values rows="10"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5 40 7 23" advise="1">
        <values rows="10"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5 50 4 23" advise="1">
        <values rows="10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5 57 5 23" advise="1">
        <values rows="10"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5 7 4 23" advise="1">
        <values rows="10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6 0 6 23" advise="1">
        <values rows="9"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6 15 5 23" advise="1">
        <values rows="9"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6 40 7 23" advise="1">
        <values rows="9"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6 50 4 23" advise="1">
        <values rows="9"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6 57 5 23" advise="1">
        <values rows="9"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6 7 4 23" advise="1">
        <values rows="9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7 0 6 23" advise="1">
        <values rows="8"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7 15 5 23" advise="1">
        <values rows="8"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7 40 7 23" advise="1">
        <values rows="8"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17 50 4 23" advise="1">
        <values rows="8"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17 57 5 23" advise="1">
        <values rows="8"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17 7 4 23" advise="1">
        <values rows="8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8 0 6 23" advise="1">
        <values rows="7"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8 15 5 23" advise="1">
        <values rows="7"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8 7 4 23" advise="1">
        <values rows="7"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19 0 6 23" advise="1">
        <values rows="6"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19 15 5 23" advise="1">
        <values rows="6"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19 7 4 23" advise="1">
        <values rows="6"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20 0 6 23" advise="1">
        <values rows="5"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20 15 5 23" advise="1">
        <values rows="5"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20 7 4 23" advise="1">
        <values rows="5"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7 0 6 23" advise="1">
        <values rows="18">
          <value t="str">
            <val xml:space="preserve">AUG00 </val>
          </value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7 15 5 23" advise="1">
        <values rows="18">
          <value t="str">
            <val>17.17</val>
          </value>
          <value t="str">
            <val>19.38</val>
          </value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7 40 7 23" advise="1">
        <values rows="18">
          <value t="str">
            <val xml:space="preserve">  OCT01</val>
          </value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7 50 4 23" advise="1">
        <values rows="18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7 57 5 23" advise="1">
        <values rows="18">
          <value t="str">
            <val>16.03</val>
          </value>
          <value t="str">
            <val>16.03</val>
          </value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7 7 4 23" advise="1">
        <values rows="18">
          <value t="str">
            <val>1150</val>
          </value>
          <value t="str">
            <val>1150</val>
          </value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8 0 6 23" advise="1">
        <values rows="17">
          <value t="str">
            <val xml:space="preserve">SEP00 </val>
          </value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8 15 5 23" advise="1">
        <values rows="17">
          <value t="str">
            <val>19.38</val>
          </value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8 40 7 23" advise="1">
        <values rows="17">
          <value t="str">
            <val xml:space="preserve">  NOV01</val>
          </value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8 50 4 23" advise="1">
        <values rows="17"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8 57 5 23" advise="1">
        <values rows="17">
          <value t="str">
            <val>16.03</val>
          </value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8 7 4 23" advise="1">
        <values rows="17">
          <value t="str">
            <val>1150</val>
          </value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  <ddeItem name="MZN/VOL01 9 0 6 23" advise="1">
        <values rows="16">
          <value t="str">
            <val xml:space="preserve">OCT00 </val>
          </value>
          <value t="str">
            <val xml:space="preserve">NOV00 </val>
          </value>
          <value t="str">
            <val xml:space="preserve">DEC00 </val>
          </value>
          <value t="str">
            <val xml:space="preserve">JAN01 </val>
          </value>
          <value t="str">
            <val xml:space="preserve">FEB01 </val>
          </value>
          <value t="str">
            <val xml:space="preserve">MAR01 </val>
          </value>
          <value t="str">
            <val xml:space="preserve">APR01 </val>
          </value>
          <value t="str">
            <val xml:space="preserve">MAY01 </val>
          </value>
          <value t="str">
            <val xml:space="preserve">JUN01 </val>
          </value>
          <value t="str">
            <val xml:space="preserve">JUL01 </val>
          </value>
          <value t="str">
            <val xml:space="preserve">AUG01 </val>
          </value>
          <value t="str">
            <val xml:space="preserve">SEP01 </val>
          </value>
          <value t="str">
            <val xml:space="preserve">      </val>
          </value>
          <value t="str">
            <val xml:space="preserve">      </val>
          </value>
          <value t="str">
            <val>======</val>
          </value>
          <value t="str">
            <val>Member</val>
          </value>
        </values>
      </ddeItem>
      <ddeItem name="MZN/VOL01 9 15 5 23" advise="1">
        <values rows="16">
          <value t="str">
            <val>18.50</val>
          </value>
          <value t="str">
            <val>17.92</val>
          </value>
          <value t="str">
            <val>17.46</val>
          </value>
          <value t="str">
            <val>16.88</val>
          </value>
          <value t="str">
            <val>16.77</val>
          </value>
          <value t="str">
            <val>16.72</val>
          </value>
          <value t="str">
            <val>16.50</val>
          </value>
          <value t="str">
            <val>16.50</val>
          </value>
          <value t="str">
            <val>16.50</val>
          </value>
          <value t="str">
            <val>16.23</val>
          </value>
          <value t="str">
            <val>16.23</val>
          </value>
          <value t="str">
            <val>16.23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>ities</val>
          </value>
        </values>
      </ddeItem>
      <ddeItem name="MZN/VOL01 9 40 7 23" advise="1">
        <values rows="16">
          <value t="str">
            <val xml:space="preserve">  DEC01</val>
          </value>
          <value t="str">
            <val xml:space="preserve">  JAN02</val>
          </value>
          <value t="str">
            <val xml:space="preserve">  FEB02</val>
          </value>
          <value t="str">
            <val xml:space="preserve">  MAR02</val>
          </value>
          <value t="str">
            <val xml:space="preserve">  APR02</val>
          </value>
          <value t="str">
            <val xml:space="preserve">  MAY02</val>
          </value>
          <value t="str">
            <val xml:space="preserve">  JUN02</val>
          </value>
          <value t="str">
            <val xml:space="preserve">  JUL02</val>
          </value>
          <value t="str">
            <val xml:space="preserve">  AUG02</val>
          </value>
          <value t="str">
            <val xml:space="preserve">  SEP02</val>
          </value>
          <value t="str">
            <val xml:space="preserve">  OCT02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=======</val>
          </value>
          <value t="str">
            <val>lculate</val>
          </value>
        </values>
      </ddeItem>
      <ddeItem name="MZN/VOL01 9 50 4 23" advise="1">
        <values rows="16">
          <value t="str">
            <val>1150</val>
          </value>
          <value t="str">
            <val>1150</val>
          </value>
          <value t="str">
            <val>1150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>1125</val>
          </value>
          <value t="str">
            <val xml:space="preserve">    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>remi</val>
          </value>
        </values>
      </ddeItem>
      <ddeItem name="MZN/VOL01 9 57 5 23" advise="1">
        <values rows="16">
          <value t="str">
            <val>15.82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15.59</val>
          </value>
          <value t="str">
            <val>15.57</val>
          </value>
          <value t="str">
            <val>15.50</val>
          </value>
          <value t="str">
            <val>15.50</val>
          </value>
          <value t="str">
            <val>15.40</val>
          </value>
          <value t="str">
            <val>15.40</val>
          </value>
          <value t="str">
            <val xml:space="preserve">     </val>
          </value>
          <value t="str">
            <val xml:space="preserve">     </val>
          </value>
          <value t="str">
            <val xml:space="preserve">     </val>
          </value>
          <value t="str">
            <val>=====</val>
          </value>
          <value t="str">
            <val xml:space="preserve"> /del</val>
          </value>
        </values>
      </ddeItem>
      <ddeItem name="MZN/VOL01 9 7 4 23" advise="1">
        <values rows="16">
          <value t="str">
            <val>1150</val>
          </value>
          <value t="str">
            <val>1175</val>
          </value>
          <value t="str">
            <val>1175</val>
          </value>
          <value t="str">
            <val>1175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>1150</val>
          </value>
          <value t="str">
            <val xml:space="preserve">    </val>
          </value>
          <value t="str">
            <val xml:space="preserve">    </val>
          </value>
          <value t="str">
            <val>====</val>
          </value>
          <value t="str">
            <val xml:space="preserve"> Vol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"/>
  <dimension ref="A1:J32"/>
  <sheetViews>
    <sheetView showGridLines="0" tabSelected="1" zoomScale="75" workbookViewId="0"/>
  </sheetViews>
  <sheetFormatPr defaultRowHeight="12.75" x14ac:dyDescent="0.2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 x14ac:dyDescent="0.2">
      <c r="A1" s="1" t="str">
        <f t="array" ref="A1:A22">[1]!'MAL/VOL01 0 0 80 23'</f>
        <v>15:01 24JUL00                                                          MAL/VOL01</v>
      </c>
    </row>
    <row r="2" spans="1:10" x14ac:dyDescent="0.2">
      <c r="A2" s="1" t="str">
        <v xml:space="preserve">          LONDON METAL EXCHANGE SUMMARY                                         </v>
      </c>
    </row>
    <row r="3" spans="1:10" x14ac:dyDescent="0.2">
      <c r="A3" s="1" t="str">
        <v xml:space="preserve">AT-THE-MONEY INDICATIVE OPTION CLOSING PREMIUMS &amp; VOLATILITIES - ALUMINIUM      </v>
      </c>
    </row>
    <row r="4" spans="1:10" x14ac:dyDescent="0.2">
      <c r="A4" s="1" t="str">
        <v xml:space="preserve">                                                                                </v>
      </c>
    </row>
    <row r="5" spans="1:10" x14ac:dyDescent="0.2">
      <c r="A5" s="1" t="str">
        <v xml:space="preserve">MONTH  STRIKE   VOL     CALL      PUT     MONTH  STRIKE   VOL     CALL      PUT </v>
      </c>
    </row>
    <row r="6" spans="1:10" x14ac:dyDescent="0.2">
      <c r="A6" s="1" t="str">
        <v>================================================================================</v>
      </c>
    </row>
    <row r="7" spans="1:10" x14ac:dyDescent="0.2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 x14ac:dyDescent="0.2">
      <c r="A8" s="1" t="str">
        <v>AUG00  1575=   17.17    20.24    18.75    OCT01   1550   16.65   103.95   103.49</v>
      </c>
      <c r="G8" s="5" t="str">
        <f t="array" ref="G8">[1]!'MAL/VOL01 7 0 6 23'</f>
        <v xml:space="preserve">AUG00 </v>
      </c>
      <c r="H8" s="6">
        <v>1</v>
      </c>
      <c r="I8" s="6" t="str">
        <f>[1]!'MAL/VOL01 7 7 4 23'</f>
        <v>1575</v>
      </c>
      <c r="J8" s="7" t="str">
        <f>[1]!'MAL/VOL01 7 15 5 23'</f>
        <v>17.17</v>
      </c>
    </row>
    <row r="9" spans="1:10" x14ac:dyDescent="0.2">
      <c r="A9" s="1" t="str">
        <v>SEP00  1575=   19.25    49.43    37.31    NOV01   1550   16.65   105.95   108.01</v>
      </c>
      <c r="G9" s="8" t="str">
        <f>[1]!'MAL/VOL01 8 0 6 23'</f>
        <v xml:space="preserve">SEP00 </v>
      </c>
      <c r="H9" s="9">
        <v>2</v>
      </c>
      <c r="I9" s="9" t="str">
        <f>[1]!'MAL/VOL01 8 7 4 23'</f>
        <v>1575</v>
      </c>
      <c r="J9" s="10" t="str">
        <f>[1]!'MAL/VOL01 8 15 5 23'</f>
        <v>19.25</v>
      </c>
    </row>
    <row r="10" spans="1:10" x14ac:dyDescent="0.2">
      <c r="A10" s="1" t="str">
        <v>OCT00  1600=   19.35    49.79    60.37    DEC01   1550   16.65   107.16   111.71</v>
      </c>
      <c r="G10" s="8" t="str">
        <f>[1]!'MAL/VOL01 9 0 6 23'</f>
        <v xml:space="preserve">OCT00 </v>
      </c>
      <c r="H10" s="9">
        <v>3</v>
      </c>
      <c r="I10" s="9" t="str">
        <f>[1]!'MAL/VOL01 9 7 4 23'</f>
        <v>1600</v>
      </c>
      <c r="J10" s="10" t="str">
        <f>[1]!'MAL/VOL01 9 15 5 23'</f>
        <v>19.35</v>
      </c>
    </row>
    <row r="11" spans="1:10" x14ac:dyDescent="0.2">
      <c r="A11" s="1" t="str">
        <v>NOV00  1600=   19.15    58.12    68.89    JAN02   1550   15.93   104.30   109.73</v>
      </c>
      <c r="G11" s="8" t="str">
        <f>[1]!'MAL/VOL01 10 0 6 23'</f>
        <v xml:space="preserve">NOV00 </v>
      </c>
      <c r="H11" s="9">
        <v>4</v>
      </c>
      <c r="I11" s="9" t="str">
        <f>[1]!'MAL/VOL01 10 7 4 23'</f>
        <v>1600</v>
      </c>
      <c r="J11" s="10" t="str">
        <f>[1]!'MAL/VOL01 10 15 5 23'</f>
        <v>19.15</v>
      </c>
    </row>
    <row r="12" spans="1:10" x14ac:dyDescent="0.2">
      <c r="A12" s="1" t="str">
        <v>DEC00  1575=   18.80    76.39    65.68    FEB02   1550   15.93   106.60   112.88</v>
      </c>
      <c r="G12" s="8" t="str">
        <f>[1]!'MAL/VOL01 11 0 6 23'</f>
        <v xml:space="preserve">DEC00 </v>
      </c>
      <c r="H12" s="9">
        <v>5</v>
      </c>
      <c r="I12" s="9" t="str">
        <f>[1]!'MAL/VOL01 11 7 4 23'</f>
        <v>1575</v>
      </c>
      <c r="J12" s="10" t="str">
        <f>[1]!'MAL/VOL01 11 15 5 23'</f>
        <v>18.80</v>
      </c>
    </row>
    <row r="13" spans="1:10" x14ac:dyDescent="0.2">
      <c r="A13" s="1" t="str">
        <v>JAN01  1575=   18.05    77.36    71.06    MAR02   1550   15.93   108.24   115.39</v>
      </c>
      <c r="G13" s="8" t="str">
        <f>[1]!'MAL/VOL01 12 0 6 23'</f>
        <v xml:space="preserve">JAN01 </v>
      </c>
      <c r="H13" s="9">
        <v>6</v>
      </c>
      <c r="I13" s="9" t="str">
        <f>[1]!'MAL/VOL01 12 7 4 23'</f>
        <v>1575</v>
      </c>
      <c r="J13" s="10" t="str">
        <f>[1]!'MAL/VOL01 12 15 5 23'</f>
        <v>18.05</v>
      </c>
    </row>
    <row r="14" spans="1:10" x14ac:dyDescent="0.2">
      <c r="A14" s="1" t="str">
        <v>FEB01  1575=   17.85    81.01    79.09    APR02   1550   15.63   107.67   115.68</v>
      </c>
      <c r="G14" s="8" t="str">
        <f>[1]!'MAL/VOL01 13 0 6 23'</f>
        <v xml:space="preserve">FEB01 </v>
      </c>
      <c r="H14" s="9">
        <v>7</v>
      </c>
      <c r="I14" s="9" t="str">
        <f>[1]!'MAL/VOL01 13 7 4 23'</f>
        <v>1575</v>
      </c>
      <c r="J14" s="10" t="str">
        <f>[1]!'MAL/VOL01 13 15 5 23'</f>
        <v>17.85</v>
      </c>
    </row>
    <row r="15" spans="1:10" x14ac:dyDescent="0.2">
      <c r="A15" s="1" t="str">
        <v>MAR01  1575=   17.73    83.10    85.50    MAY02   1550   15.63   109.12   117.97</v>
      </c>
      <c r="G15" s="8" t="str">
        <f>[1]!'MAL/VOL01 14 0 6 23'</f>
        <v xml:space="preserve">MAR01 </v>
      </c>
      <c r="H15" s="9">
        <v>8</v>
      </c>
      <c r="I15" s="9" t="str">
        <f>[1]!'MAL/VOL01 14 7 4 23'</f>
        <v>1575</v>
      </c>
      <c r="J15" s="10" t="str">
        <f>[1]!'MAL/VOL01 14 15 5 23'</f>
        <v>17.73</v>
      </c>
    </row>
    <row r="16" spans="1:10" x14ac:dyDescent="0.2">
      <c r="A16" s="1" t="str">
        <v>APR01  1575=   17.40    83.76    90.42    JUN02   1550   15.63   110.95   120.62</v>
      </c>
      <c r="G16" s="8" t="str">
        <f>[1]!'MAL/VOL01 15 0 6 23'</f>
        <v xml:space="preserve">APR01 </v>
      </c>
      <c r="H16" s="9">
        <v>9</v>
      </c>
      <c r="I16" s="9" t="str">
        <f>[1]!'MAL/VOL01 15 7 4 23'</f>
        <v>1575</v>
      </c>
      <c r="J16" s="10" t="str">
        <f>[1]!'MAL/VOL01 15 15 5 23'</f>
        <v>17.40</v>
      </c>
    </row>
    <row r="17" spans="1:10" x14ac:dyDescent="0.2">
      <c r="A17" s="1" t="str">
        <v>MAY01  1575=   17.35    86.17    95.64    JUL02   1550   15.53   111.49   121.99</v>
      </c>
      <c r="G17" s="8" t="str">
        <f>[1]!'MAL/VOL01 16 0 6 23'</f>
        <v xml:space="preserve">MAY01 </v>
      </c>
      <c r="H17" s="9">
        <v>10</v>
      </c>
      <c r="I17" s="9" t="str">
        <f>[1]!'MAL/VOL01 16 7 4 23'</f>
        <v>1575</v>
      </c>
      <c r="J17" s="10" t="str">
        <f>[1]!'MAL/VOL01 16 15 5 23'</f>
        <v>17.35</v>
      </c>
    </row>
    <row r="18" spans="1:10" x14ac:dyDescent="0.2">
      <c r="A18" s="1" t="str">
        <v>JUN01  1550=   17.35   100.48    89.19    AUG02   1525   15.53   123.01   112.58</v>
      </c>
      <c r="G18" s="8" t="str">
        <f>[1]!'MAL/VOL01 17 0 6 23'</f>
        <v xml:space="preserve">JUN01 </v>
      </c>
      <c r="H18" s="9">
        <v>11</v>
      </c>
      <c r="I18" s="9" t="str">
        <f>[1]!'MAL/VOL01 17 7 4 23'</f>
        <v>1550</v>
      </c>
      <c r="J18" s="10" t="str">
        <f>[1]!'MAL/VOL01 17 15 5 23'</f>
        <v>17.35</v>
      </c>
    </row>
    <row r="19" spans="1:10" x14ac:dyDescent="0.2">
      <c r="A19" s="1" t="str">
        <v>JUL01  1550=   16.88    99.77    91.35    SEP02   1525   15.53   124.05   114.54</v>
      </c>
      <c r="G19" s="8" t="str">
        <f>[1]!'MAL/VOL01 18 0 6 23'</f>
        <v xml:space="preserve">JUL01 </v>
      </c>
      <c r="H19" s="9">
        <v>12</v>
      </c>
      <c r="I19" s="9" t="str">
        <f>[1]!'MAL/VOL01 18 7 4 23'</f>
        <v>1550</v>
      </c>
      <c r="J19" s="10" t="str">
        <f>[1]!'MAL/VOL01 18 15 5 23'</f>
        <v>16.88</v>
      </c>
    </row>
    <row r="20" spans="1:10" x14ac:dyDescent="0.2">
      <c r="A20" s="1" t="str">
        <v>AUG01  1550=   16.88   101.46    95.87    OCT02   1525   15.53   125.03   116.42</v>
      </c>
      <c r="G20" s="8" t="str">
        <f>[1]!'MAL/VOL01 19 0 6 23'</f>
        <v xml:space="preserve">AUG01 </v>
      </c>
      <c r="H20" s="9">
        <v>13</v>
      </c>
      <c r="I20" s="9" t="str">
        <f>[1]!'MAL/VOL01 19 7 4 23'</f>
        <v>1550</v>
      </c>
      <c r="J20" s="10" t="str">
        <f>[1]!'MAL/VOL01 19 15 5 23'</f>
        <v>16.88</v>
      </c>
    </row>
    <row r="21" spans="1:10" x14ac:dyDescent="0.2">
      <c r="A21" s="1" t="str">
        <v xml:space="preserve">SEP01  1550=   16.88   103.87   100.87                                          </v>
      </c>
      <c r="G21" s="11" t="str">
        <f>[1]!'MAL/VOL01 20 0 6 23'</f>
        <v xml:space="preserve">SEP01 </v>
      </c>
      <c r="H21" s="12">
        <v>14</v>
      </c>
      <c r="I21" s="12" t="str">
        <f>[1]!'MAL/VOL01 20 7 4 23'</f>
        <v>1550</v>
      </c>
      <c r="J21" s="13" t="str">
        <f>[1]!'MAL/VOL01 20 15 5 23'</f>
        <v>16.88</v>
      </c>
    </row>
    <row r="22" spans="1:10" x14ac:dyDescent="0.2">
      <c r="A22" s="1" t="str">
        <v xml:space="preserve">                                                                                </v>
      </c>
      <c r="G22" s="14" t="str">
        <f>[1]!'MAL/VOL01 7 40 7 23'</f>
        <v xml:space="preserve">  OCT01</v>
      </c>
      <c r="H22" s="6">
        <v>15</v>
      </c>
      <c r="I22" s="6" t="str">
        <f>[1]!'MAL/VOL01 7 50 4 23'</f>
        <v>1550</v>
      </c>
      <c r="J22" s="7" t="str">
        <f>[1]!'MAL/VOL01 7 57 5 23'</f>
        <v>16.65</v>
      </c>
    </row>
    <row r="23" spans="1:10" x14ac:dyDescent="0.2">
      <c r="G23" s="15" t="str">
        <f>[1]!'MAL/VOL01 8 40 7 23'</f>
        <v xml:space="preserve">  NOV01</v>
      </c>
      <c r="H23" s="9">
        <v>16</v>
      </c>
      <c r="I23" s="9" t="str">
        <f>[1]!'MAL/VOL01 8 50 4 23'</f>
        <v>1550</v>
      </c>
      <c r="J23" s="10" t="str">
        <f>[1]!'MAL/VOL01 8 57 5 23'</f>
        <v>16.65</v>
      </c>
    </row>
    <row r="24" spans="1:10" x14ac:dyDescent="0.2">
      <c r="G24" s="15" t="str">
        <f>[1]!'MAL/VOL01 9 40 7 23'</f>
        <v xml:space="preserve">  DEC01</v>
      </c>
      <c r="H24" s="9">
        <v>17</v>
      </c>
      <c r="I24" s="9" t="str">
        <f>[1]!'MAL/VOL01 9 50 4 23'</f>
        <v>1550</v>
      </c>
      <c r="J24" s="10" t="str">
        <f>[1]!'MAL/VOL01 9 57 5 23'</f>
        <v>16.65</v>
      </c>
    </row>
    <row r="25" spans="1:10" x14ac:dyDescent="0.2">
      <c r="G25" s="15" t="str">
        <f>[1]!'MAL/VOL01 10 40 7 23'</f>
        <v xml:space="preserve">  JAN02</v>
      </c>
      <c r="H25" s="9">
        <v>18</v>
      </c>
      <c r="I25" s="9" t="str">
        <f>[1]!'MAL/VOL01 10 50 4 23'</f>
        <v>1550</v>
      </c>
      <c r="J25" s="10" t="str">
        <f>[1]!'MAL/VOL01 10 57 5 23'</f>
        <v>15.93</v>
      </c>
    </row>
    <row r="26" spans="1:10" x14ac:dyDescent="0.2">
      <c r="G26" s="15" t="str">
        <f>[1]!'MAL/VOL01 11 40 7 23'</f>
        <v xml:space="preserve">  FEB02</v>
      </c>
      <c r="H26" s="9">
        <v>19</v>
      </c>
      <c r="I26" s="9" t="str">
        <f>[1]!'MAL/VOL01 11 50 4 23'</f>
        <v>1550</v>
      </c>
      <c r="J26" s="10" t="str">
        <f>[1]!'MAL/VOL01 11 57 5 23'</f>
        <v>15.93</v>
      </c>
    </row>
    <row r="27" spans="1:10" x14ac:dyDescent="0.2">
      <c r="G27" s="15" t="str">
        <f>[1]!'MAL/VOL01 12 40 7 23'</f>
        <v xml:space="preserve">  MAR02</v>
      </c>
      <c r="H27" s="9">
        <v>20</v>
      </c>
      <c r="I27" s="9" t="str">
        <f>[1]!'MAL/VOL01 12 50 4 23'</f>
        <v>1550</v>
      </c>
      <c r="J27" s="10" t="str">
        <f>[1]!'MAL/VOL01 12 57 5 23'</f>
        <v>15.93</v>
      </c>
    </row>
    <row r="28" spans="1:10" x14ac:dyDescent="0.2">
      <c r="G28" s="15" t="str">
        <f>[1]!'MAL/VOL01 13 40 7 23'</f>
        <v xml:space="preserve">  APR02</v>
      </c>
      <c r="H28" s="9">
        <v>21</v>
      </c>
      <c r="I28" s="9" t="str">
        <f>[1]!'MAL/VOL01 13 50 4 23'</f>
        <v>1550</v>
      </c>
      <c r="J28" s="10" t="str">
        <f>[1]!'MAL/VOL01 13 57 5 23'</f>
        <v>15.63</v>
      </c>
    </row>
    <row r="29" spans="1:10" x14ac:dyDescent="0.2">
      <c r="G29" s="15" t="str">
        <f>[1]!'MAL/VOL01 14 40 7 23'</f>
        <v xml:space="preserve">  MAY02</v>
      </c>
      <c r="H29" s="9">
        <v>22</v>
      </c>
      <c r="I29" s="9" t="str">
        <f>[1]!'MAL/VOL01 14 50 4 23'</f>
        <v>1550</v>
      </c>
      <c r="J29" s="10" t="str">
        <f>[1]!'MAL/VOL01 14 57 5 23'</f>
        <v>15.63</v>
      </c>
    </row>
    <row r="30" spans="1:10" x14ac:dyDescent="0.2">
      <c r="G30" s="15" t="str">
        <f>[1]!'MAL/VOL01 15 40 7 23'</f>
        <v xml:space="preserve">  JUN02</v>
      </c>
      <c r="H30" s="9">
        <v>23</v>
      </c>
      <c r="I30" s="9" t="str">
        <f>[1]!'MAL/VOL01 15 50 4 23'</f>
        <v>1550</v>
      </c>
      <c r="J30" s="10" t="str">
        <f>[1]!'MAL/VOL01 15 57 5 23'</f>
        <v>15.63</v>
      </c>
    </row>
    <row r="31" spans="1:10" x14ac:dyDescent="0.2">
      <c r="G31" s="15" t="str">
        <f>[1]!'MAL/VOL01 16 40 7 23'</f>
        <v xml:space="preserve">  JUL02</v>
      </c>
      <c r="H31" s="9">
        <v>24</v>
      </c>
      <c r="I31" s="9" t="str">
        <f>[1]!'MAL/VOL01 16 50 4 23'</f>
        <v>1550</v>
      </c>
      <c r="J31" s="10" t="str">
        <f>[1]!'MAL/VOL01 16 57 5 23'</f>
        <v>15.53</v>
      </c>
    </row>
    <row r="32" spans="1:10" x14ac:dyDescent="0.2">
      <c r="G32" s="16" t="str">
        <f>[1]!'MAL/VOL01 17 40 7 23'</f>
        <v xml:space="preserve">  AUG02</v>
      </c>
      <c r="H32" s="12">
        <v>25</v>
      </c>
      <c r="I32" s="12" t="str">
        <f>[1]!'MAL/VOL01 17 50 4 23'</f>
        <v>1525</v>
      </c>
      <c r="J32" s="13" t="str">
        <f>[1]!'MAL/VOL01 17 57 5 23'</f>
        <v>15.53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32"/>
  <sheetViews>
    <sheetView showGridLines="0" zoomScale="75" workbookViewId="0">
      <selection activeCell="G7" sqref="G7:J32"/>
    </sheetView>
  </sheetViews>
  <sheetFormatPr defaultRowHeight="12.75" x14ac:dyDescent="0.2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 x14ac:dyDescent="0.2">
      <c r="A1" s="1" t="str">
        <f t="array" ref="A1:A22">[1]!'MCU/VOL01 0 0 80 23'</f>
        <v>15:01 24JUL00                                                          MCU/VOL01</v>
      </c>
    </row>
    <row r="2" spans="1:10" x14ac:dyDescent="0.2">
      <c r="A2" s="1" t="str">
        <v xml:space="preserve">          LONDON METAL EXCHANGE SUMMARY                                         </v>
      </c>
    </row>
    <row r="3" spans="1:10" x14ac:dyDescent="0.2">
      <c r="A3" s="1" t="str">
        <v xml:space="preserve">AT-THE-MONEY INDICATIVE OPTION CLOSING PREMIUMS &amp; VOLATILITIES - COPPER         </v>
      </c>
    </row>
    <row r="4" spans="1:10" x14ac:dyDescent="0.2">
      <c r="A4" s="1" t="str">
        <v xml:space="preserve">                                                                                </v>
      </c>
    </row>
    <row r="5" spans="1:10" x14ac:dyDescent="0.2">
      <c r="A5" s="1" t="str">
        <v xml:space="preserve">MONTH  STRIKE   VOL     CALL      PUT     MONTH  STRIKE   VOL     CALL      PUT </v>
      </c>
    </row>
    <row r="6" spans="1:10" x14ac:dyDescent="0.2">
      <c r="A6" s="1" t="str">
        <v>================================================================================</v>
      </c>
    </row>
    <row r="7" spans="1:10" x14ac:dyDescent="0.2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 x14ac:dyDescent="0.2">
      <c r="A8" s="1" t="str">
        <v>AUG00  1850=   16.75    22.82    21.83    OCT01   1850   17.54   135.12   126.38</v>
      </c>
      <c r="G8" s="5" t="str">
        <f t="array" ref="G8">[1]!'MCU/VOL01 7 0 6 23'</f>
        <v xml:space="preserve">AUG00 </v>
      </c>
      <c r="H8" s="6">
        <v>1</v>
      </c>
      <c r="I8" s="6" t="str">
        <f>[1]!'MCU/VOL01 7 7 4 23'</f>
        <v>1850</v>
      </c>
      <c r="J8" s="7" t="str">
        <f>[1]!'MCU/VOL01 7 15 5 23'</f>
        <v>16.75</v>
      </c>
    </row>
    <row r="9" spans="1:10" x14ac:dyDescent="0.2">
      <c r="A9" s="1" t="str">
        <v>SEP00  1850=   18.55    55.06    42.93    NOV01   1850   17.49   138.05   130.97</v>
      </c>
      <c r="G9" s="8" t="str">
        <f>[1]!'MCU/VOL01 8 0 6 23'</f>
        <v xml:space="preserve">SEP00 </v>
      </c>
      <c r="H9" s="9">
        <v>2</v>
      </c>
      <c r="I9" s="9" t="str">
        <f>[1]!'MCU/VOL01 8 7 4 23'</f>
        <v>1850</v>
      </c>
      <c r="J9" s="10" t="str">
        <f>[1]!'MCU/VOL01 8 15 5 23'</f>
        <v>18.55</v>
      </c>
    </row>
    <row r="10" spans="1:10" x14ac:dyDescent="0.2">
      <c r="A10" s="1" t="str">
        <v>OCT00  1875=   19.08    60.41    66.81    DEC01   1850   17.43   139.88   134.43</v>
      </c>
      <c r="G10" s="8" t="str">
        <f>[1]!'MCU/VOL01 9 0 6 23'</f>
        <v xml:space="preserve">OCT00 </v>
      </c>
      <c r="H10" s="9">
        <v>3</v>
      </c>
      <c r="I10" s="9" t="str">
        <f>[1]!'MCU/VOL01 9 7 4 23'</f>
        <v>1875</v>
      </c>
      <c r="J10" s="10" t="str">
        <f>[1]!'MCU/VOL01 9 15 5 23'</f>
        <v>19.08</v>
      </c>
    </row>
    <row r="11" spans="1:10" x14ac:dyDescent="0.2">
      <c r="A11" s="1" t="str">
        <v>NOV00  1875=   19.00    72.66    75.11    JAN02   1850   17.26   140.93   136.63</v>
      </c>
      <c r="G11" s="8" t="str">
        <f>[1]!'MCU/VOL01 10 0 6 23'</f>
        <v xml:space="preserve">NOV00 </v>
      </c>
      <c r="H11" s="9">
        <v>4</v>
      </c>
      <c r="I11" s="9" t="str">
        <f>[1]!'MCU/VOL01 10 7 4 23'</f>
        <v>1875</v>
      </c>
      <c r="J11" s="10" t="str">
        <f>[1]!'MCU/VOL01 10 15 5 23'</f>
        <v>19.00</v>
      </c>
    </row>
    <row r="12" spans="1:10" x14ac:dyDescent="0.2">
      <c r="A12" s="1" t="str">
        <v>DEC00  1875=   18.88    84.48    84.48    FEB02   1850   17.22   143.55   140.40</v>
      </c>
      <c r="G12" s="8" t="str">
        <f>[1]!'MCU/VOL01 11 0 6 23'</f>
        <v xml:space="preserve">DEC00 </v>
      </c>
      <c r="H12" s="9">
        <v>5</v>
      </c>
      <c r="I12" s="9" t="str">
        <f>[1]!'MCU/VOL01 11 7 4 23'</f>
        <v>1875</v>
      </c>
      <c r="J12" s="10" t="str">
        <f>[1]!'MCU/VOL01 11 15 5 23'</f>
        <v>18.88</v>
      </c>
    </row>
    <row r="13" spans="1:10" x14ac:dyDescent="0.2">
      <c r="A13" s="1" t="str">
        <v>JAN01  1875=   18.42    89.16    90.61    MAR02   1850   17.22   145.65   143.63</v>
      </c>
      <c r="G13" s="8" t="str">
        <f>[1]!'MCU/VOL01 12 0 6 23'</f>
        <v xml:space="preserve">JAN01 </v>
      </c>
      <c r="H13" s="9">
        <v>6</v>
      </c>
      <c r="I13" s="9" t="str">
        <f>[1]!'MCU/VOL01 12 7 4 23'</f>
        <v>1875</v>
      </c>
      <c r="J13" s="10" t="str">
        <f>[1]!'MCU/VOL01 12 15 5 23'</f>
        <v>18.42</v>
      </c>
    </row>
    <row r="14" spans="1:10" x14ac:dyDescent="0.2">
      <c r="A14" s="1" t="str">
        <v>FEB01  1875=   18.33    96.28    99.16    APR02   1850   17.22   147.64   146.75</v>
      </c>
      <c r="G14" s="8" t="str">
        <f>[1]!'MCU/VOL01 13 0 6 23'</f>
        <v xml:space="preserve">FEB01 </v>
      </c>
      <c r="H14" s="9">
        <v>7</v>
      </c>
      <c r="I14" s="9" t="str">
        <f>[1]!'MCU/VOL01 13 7 4 23'</f>
        <v>1875</v>
      </c>
      <c r="J14" s="10" t="str">
        <f>[1]!'MCU/VOL01 13 15 5 23'</f>
        <v>18.33</v>
      </c>
    </row>
    <row r="15" spans="1:10" x14ac:dyDescent="0.2">
      <c r="A15" s="1" t="str">
        <v>MAR01  1875=   18.25   101.11   105.42    MAY02   1850   17.22   149.54   149.75</v>
      </c>
      <c r="G15" s="8" t="str">
        <f>[1]!'MCU/VOL01 14 0 6 23'</f>
        <v xml:space="preserve">MAR01 </v>
      </c>
      <c r="H15" s="9">
        <v>8</v>
      </c>
      <c r="I15" s="9" t="str">
        <f>[1]!'MCU/VOL01 14 7 4 23'</f>
        <v>1875</v>
      </c>
      <c r="J15" s="10" t="str">
        <f>[1]!'MCU/VOL01 14 15 5 23'</f>
        <v>18.25</v>
      </c>
    </row>
    <row r="16" spans="1:10" x14ac:dyDescent="0.2">
      <c r="A16" s="1" t="str">
        <v>APR01  1875=   17.92   103.95   109.66    JUN02   1850   17.22   151.92   153.25</v>
      </c>
      <c r="G16" s="8" t="str">
        <f>[1]!'MCU/VOL01 15 0 6 23'</f>
        <v xml:space="preserve">APR01 </v>
      </c>
      <c r="H16" s="9">
        <v>9</v>
      </c>
      <c r="I16" s="9" t="str">
        <f>[1]!'MCU/VOL01 15 7 4 23'</f>
        <v>1875</v>
      </c>
      <c r="J16" s="10" t="str">
        <f>[1]!'MCU/VOL01 15 15 5 23'</f>
        <v>17.92</v>
      </c>
    </row>
    <row r="17" spans="1:10" x14ac:dyDescent="0.2">
      <c r="A17" s="1" t="str">
        <v>MAY01  1875=   17.88   108.04   115.14    JUL02   1850   17.19   153.35   155.75</v>
      </c>
      <c r="G17" s="8" t="str">
        <f>[1]!'MCU/VOL01 16 0 6 23'</f>
        <v xml:space="preserve">MAY01 </v>
      </c>
      <c r="H17" s="9">
        <v>10</v>
      </c>
      <c r="I17" s="9" t="str">
        <f>[1]!'MCU/VOL01 16 7 4 23'</f>
        <v>1875</v>
      </c>
      <c r="J17" s="10" t="str">
        <f>[1]!'MCU/VOL01 16 15 5 23'</f>
        <v>17.88</v>
      </c>
    </row>
    <row r="18" spans="1:10" x14ac:dyDescent="0.2">
      <c r="A18" s="1" t="str">
        <v>JUN01  1875=   17.88   113.17   121.63    AUG02   1850   17.19   155.48   158.96</v>
      </c>
      <c r="G18" s="8" t="str">
        <f>[1]!'MCU/VOL01 17 0 6 23'</f>
        <v xml:space="preserve">JUN01 </v>
      </c>
      <c r="H18" s="9">
        <v>11</v>
      </c>
      <c r="I18" s="9" t="str">
        <f>[1]!'MCU/VOL01 17 7 4 23'</f>
        <v>1875</v>
      </c>
      <c r="J18" s="10" t="str">
        <f>[1]!'MCU/VOL01 17 15 5 23'</f>
        <v>17.88</v>
      </c>
    </row>
    <row r="19" spans="1:10" x14ac:dyDescent="0.2">
      <c r="A19" s="1" t="str">
        <v>JUL01  1875=   17.64   115.18   125.00    SEP02   1850   17.16   156.69   161.22</v>
      </c>
      <c r="G19" s="8" t="str">
        <f>[1]!'MCU/VOL01 18 0 6 23'</f>
        <v xml:space="preserve">JUL01 </v>
      </c>
      <c r="H19" s="9">
        <v>12</v>
      </c>
      <c r="I19" s="9" t="str">
        <f>[1]!'MCU/VOL01 18 7 4 23'</f>
        <v>1875</v>
      </c>
      <c r="J19" s="10" t="str">
        <f>[1]!'MCU/VOL01 18 15 5 23'</f>
        <v>17.64</v>
      </c>
    </row>
    <row r="20" spans="1:10" x14ac:dyDescent="0.2">
      <c r="A20" s="1" t="str">
        <v>AUG01  1875=   17.59   118.19   129.35    OCT02   1850   17.16   158.09   163.68</v>
      </c>
      <c r="G20" s="8" t="str">
        <f>[1]!'MCU/VOL01 19 0 6 23'</f>
        <v xml:space="preserve">AUG01 </v>
      </c>
      <c r="H20" s="9">
        <v>13</v>
      </c>
      <c r="I20" s="9" t="str">
        <f>[1]!'MCU/VOL01 19 7 4 23'</f>
        <v>1875</v>
      </c>
      <c r="J20" s="10" t="str">
        <f>[1]!'MCU/VOL01 19 15 5 23'</f>
        <v>17.59</v>
      </c>
    </row>
    <row r="21" spans="1:10" x14ac:dyDescent="0.2">
      <c r="A21" s="1" t="str">
        <v xml:space="preserve">SEP01  1850=   17.59   132.82   122.41                                          </v>
      </c>
      <c r="G21" s="11" t="str">
        <f>[1]!'MCU/VOL01 20 0 6 23'</f>
        <v xml:space="preserve">SEP01 </v>
      </c>
      <c r="H21" s="12">
        <v>14</v>
      </c>
      <c r="I21" s="12" t="str">
        <f>[1]!'MCU/VOL01 20 7 4 23'</f>
        <v>1850</v>
      </c>
      <c r="J21" s="13" t="str">
        <f>[1]!'MCU/VOL01 20 15 5 23'</f>
        <v>17.59</v>
      </c>
    </row>
    <row r="22" spans="1:10" x14ac:dyDescent="0.2">
      <c r="A22" s="1" t="str">
        <v xml:space="preserve">                                                                                </v>
      </c>
      <c r="G22" s="14" t="str">
        <f>[1]!'MCU/VOL01 7 40 7 23'</f>
        <v xml:space="preserve">  OCT01</v>
      </c>
      <c r="H22" s="6">
        <v>15</v>
      </c>
      <c r="I22" s="6" t="str">
        <f>[1]!'MCU/VOL01 7 50 4 23'</f>
        <v>1850</v>
      </c>
      <c r="J22" s="7" t="str">
        <f>[1]!'MCU/VOL01 7 57 5 23'</f>
        <v>17.54</v>
      </c>
    </row>
    <row r="23" spans="1:10" x14ac:dyDescent="0.2">
      <c r="G23" s="15" t="str">
        <f>[1]!'MCU/VOL01 8 40 7 23'</f>
        <v xml:space="preserve">  NOV01</v>
      </c>
      <c r="H23" s="9">
        <v>16</v>
      </c>
      <c r="I23" s="9" t="str">
        <f>[1]!'MCU/VOL01 8 50 4 23'</f>
        <v>1850</v>
      </c>
      <c r="J23" s="10" t="str">
        <f>[1]!'MCU/VOL01 8 57 5 23'</f>
        <v>17.49</v>
      </c>
    </row>
    <row r="24" spans="1:10" x14ac:dyDescent="0.2">
      <c r="G24" s="15" t="str">
        <f>[1]!'MCU/VOL01 9 40 7 23'</f>
        <v xml:space="preserve">  DEC01</v>
      </c>
      <c r="H24" s="9">
        <v>17</v>
      </c>
      <c r="I24" s="9" t="str">
        <f>[1]!'MCU/VOL01 9 50 4 23'</f>
        <v>1850</v>
      </c>
      <c r="J24" s="10" t="str">
        <f>[1]!'MCU/VOL01 9 57 5 23'</f>
        <v>17.43</v>
      </c>
    </row>
    <row r="25" spans="1:10" x14ac:dyDescent="0.2">
      <c r="G25" s="15" t="str">
        <f>[1]!'MCU/VOL01 10 40 7 23'</f>
        <v xml:space="preserve">  JAN02</v>
      </c>
      <c r="H25" s="9">
        <v>18</v>
      </c>
      <c r="I25" s="9" t="str">
        <f>[1]!'MCU/VOL01 10 50 4 23'</f>
        <v>1850</v>
      </c>
      <c r="J25" s="10" t="str">
        <f>[1]!'MCU/VOL01 10 57 5 23'</f>
        <v>17.26</v>
      </c>
    </row>
    <row r="26" spans="1:10" x14ac:dyDescent="0.2">
      <c r="G26" s="15" t="str">
        <f>[1]!'MCU/VOL01 11 40 7 23'</f>
        <v xml:space="preserve">  FEB02</v>
      </c>
      <c r="H26" s="9">
        <v>19</v>
      </c>
      <c r="I26" s="9" t="str">
        <f>[1]!'MCU/VOL01 11 50 4 23'</f>
        <v>1850</v>
      </c>
      <c r="J26" s="10" t="str">
        <f>[1]!'MCU/VOL01 11 57 5 23'</f>
        <v>17.22</v>
      </c>
    </row>
    <row r="27" spans="1:10" x14ac:dyDescent="0.2">
      <c r="G27" s="15" t="str">
        <f>[1]!'MCU/VOL01 12 40 7 23'</f>
        <v xml:space="preserve">  MAR02</v>
      </c>
      <c r="H27" s="9">
        <v>20</v>
      </c>
      <c r="I27" s="9" t="str">
        <f>[1]!'MCU/VOL01 12 50 4 23'</f>
        <v>1850</v>
      </c>
      <c r="J27" s="10" t="str">
        <f>[1]!'MCU/VOL01 12 57 5 23'</f>
        <v>17.22</v>
      </c>
    </row>
    <row r="28" spans="1:10" x14ac:dyDescent="0.2">
      <c r="G28" s="15" t="str">
        <f>[1]!'MCU/VOL01 13 40 7 23'</f>
        <v xml:space="preserve">  APR02</v>
      </c>
      <c r="H28" s="9">
        <v>21</v>
      </c>
      <c r="I28" s="9" t="str">
        <f>[1]!'MCU/VOL01 13 50 4 23'</f>
        <v>1850</v>
      </c>
      <c r="J28" s="10" t="str">
        <f>[1]!'MCU/VOL01 13 57 5 23'</f>
        <v>17.22</v>
      </c>
    </row>
    <row r="29" spans="1:10" x14ac:dyDescent="0.2">
      <c r="G29" s="15" t="str">
        <f>[1]!'MCU/VOL01 14 40 7 23'</f>
        <v xml:space="preserve">  MAY02</v>
      </c>
      <c r="H29" s="9">
        <v>22</v>
      </c>
      <c r="I29" s="9" t="str">
        <f>[1]!'MCU/VOL01 14 50 4 23'</f>
        <v>1850</v>
      </c>
      <c r="J29" s="10" t="str">
        <f>[1]!'MCU/VOL01 14 57 5 23'</f>
        <v>17.22</v>
      </c>
    </row>
    <row r="30" spans="1:10" x14ac:dyDescent="0.2">
      <c r="G30" s="15" t="str">
        <f>[1]!'MCU/VOL01 15 40 7 23'</f>
        <v xml:space="preserve">  JUN02</v>
      </c>
      <c r="H30" s="9">
        <v>23</v>
      </c>
      <c r="I30" s="9" t="str">
        <f>[1]!'MCU/VOL01 15 50 4 23'</f>
        <v>1850</v>
      </c>
      <c r="J30" s="10" t="str">
        <f>[1]!'MCU/VOL01 15 57 5 23'</f>
        <v>17.22</v>
      </c>
    </row>
    <row r="31" spans="1:10" x14ac:dyDescent="0.2">
      <c r="G31" s="15" t="str">
        <f>[1]!'MCU/VOL01 16 40 7 23'</f>
        <v xml:space="preserve">  JUL02</v>
      </c>
      <c r="H31" s="9">
        <v>24</v>
      </c>
      <c r="I31" s="9" t="str">
        <f>[1]!'MCU/VOL01 16 50 4 23'</f>
        <v>1850</v>
      </c>
      <c r="J31" s="10" t="str">
        <f>[1]!'MCU/VOL01 16 57 5 23'</f>
        <v>17.19</v>
      </c>
    </row>
    <row r="32" spans="1:10" x14ac:dyDescent="0.2">
      <c r="G32" s="16" t="str">
        <f>[1]!'MCU/VOL01 17 40 7 23'</f>
        <v xml:space="preserve">  AUG02</v>
      </c>
      <c r="H32" s="12">
        <v>25</v>
      </c>
      <c r="I32" s="12" t="str">
        <f>[1]!'MCU/VOL01 17 50 4 23'</f>
        <v>1850</v>
      </c>
      <c r="J32" s="13" t="str">
        <f>[1]!'MCU/VOL01 17 57 5 23'</f>
        <v>17.19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"/>
  <dimension ref="A1:J32"/>
  <sheetViews>
    <sheetView showGridLines="0" zoomScale="75" workbookViewId="0">
      <selection activeCell="G13" sqref="G13"/>
    </sheetView>
  </sheetViews>
  <sheetFormatPr defaultRowHeight="12.75" x14ac:dyDescent="0.2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 x14ac:dyDescent="0.2">
      <c r="A1" s="1" t="str">
        <f t="array" ref="A1:A22">[1]!'MNI/VOL01 0 0 80 23'</f>
        <v>15:01 24JUL00                                                          MNI/VOL01</v>
      </c>
    </row>
    <row r="2" spans="1:10" x14ac:dyDescent="0.2">
      <c r="A2" s="1" t="str">
        <v xml:space="preserve">          LONDON METAL EXCHANGE SUMMARY                                         </v>
      </c>
    </row>
    <row r="3" spans="1:10" x14ac:dyDescent="0.2">
      <c r="A3" s="1" t="str">
        <v xml:space="preserve">AT-THE-MONEY INDICATIVE OPTION CLOSING PREMIUMS &amp; VOLATILITIES - NICKEL         </v>
      </c>
    </row>
    <row r="4" spans="1:10" x14ac:dyDescent="0.2">
      <c r="A4" s="1" t="str">
        <v xml:space="preserve">                                                                                </v>
      </c>
    </row>
    <row r="5" spans="1:10" x14ac:dyDescent="0.2">
      <c r="A5" s="1" t="str">
        <v xml:space="preserve">MONTH  STRIKE   VOL     CALL      PUT     MONTH  STRIKE   VOL     CALL      PUT </v>
      </c>
    </row>
    <row r="6" spans="1:10" x14ac:dyDescent="0.2">
      <c r="A6" s="1" t="str">
        <v>================================================================================</v>
      </c>
    </row>
    <row r="7" spans="1:10" x14ac:dyDescent="0.2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 x14ac:dyDescent="0.2">
      <c r="A8" s="1" t="str">
        <v>AUG00  8100=   33.67   206.72   186.81    OCT01   7150   25.67   723.37   746.36</v>
      </c>
      <c r="G8" s="5" t="str">
        <f t="array" ref="G8">[1]!'MNI/VOL01 7 0 6 23'</f>
        <v xml:space="preserve">AUG00 </v>
      </c>
      <c r="H8" s="6">
        <v>1</v>
      </c>
      <c r="I8" s="6" t="str">
        <f>[1]!'MNI/VOL01 7 7 4 23'</f>
        <v>8100</v>
      </c>
      <c r="J8" s="7" t="str">
        <f>[1]!'MNI/VOL01 7 15 5 23'</f>
        <v>33.67</v>
      </c>
    </row>
    <row r="9" spans="1:10" x14ac:dyDescent="0.2">
      <c r="A9" s="1" t="str">
        <v>SEP00  8100=   33.83   377.60   397.38    NOV01   7100   25.67   741.78   764.62</v>
      </c>
      <c r="G9" s="8" t="str">
        <f>[1]!'MNI/VOL01 8 0 6 23'</f>
        <v xml:space="preserve">SEP00 </v>
      </c>
      <c r="H9" s="9">
        <v>2</v>
      </c>
      <c r="I9" s="9" t="str">
        <f>[1]!'MNI/VOL01 8 7 4 23'</f>
        <v>8100</v>
      </c>
      <c r="J9" s="10" t="str">
        <f>[1]!'MNI/VOL01 8 15 5 23'</f>
        <v>33.83</v>
      </c>
    </row>
    <row r="10" spans="1:10" x14ac:dyDescent="0.2">
      <c r="A10" s="1" t="str">
        <v>OCT00  8000=   32.83   459.39   474.16    DEC01   7050   25.67   756.72   774.91</v>
      </c>
      <c r="G10" s="8" t="str">
        <f>[1]!'MNI/VOL01 9 0 6 23'</f>
        <v xml:space="preserve">OCT00 </v>
      </c>
      <c r="H10" s="9">
        <v>3</v>
      </c>
      <c r="I10" s="9" t="str">
        <f>[1]!'MNI/VOL01 9 7 4 23'</f>
        <v>8000</v>
      </c>
      <c r="J10" s="10" t="str">
        <f>[1]!'MNI/VOL01 9 15 5 23'</f>
        <v>32.83</v>
      </c>
    </row>
    <row r="11" spans="1:10" x14ac:dyDescent="0.2">
      <c r="A11" s="1" t="str">
        <v>NOV00  7900=   31.50   521.24   511.44    JAN02   7000   24.83   742.85   760.94</v>
      </c>
      <c r="G11" s="8" t="str">
        <f>[1]!'MNI/VOL01 10 0 6 23'</f>
        <v xml:space="preserve">NOV00 </v>
      </c>
      <c r="H11" s="9">
        <v>4</v>
      </c>
      <c r="I11" s="9" t="str">
        <f>[1]!'MNI/VOL01 10 7 4 23'</f>
        <v>7900</v>
      </c>
      <c r="J11" s="10" t="str">
        <f>[1]!'MNI/VOL01 10 15 5 23'</f>
        <v>31.50</v>
      </c>
    </row>
    <row r="12" spans="1:10" x14ac:dyDescent="0.2">
      <c r="A12" s="1" t="str">
        <v>DEC00  7800=   29.67   567.60   538.39    FEB02   6950   24.83   761.70   770.69</v>
      </c>
      <c r="G12" s="8" t="str">
        <f>[1]!'MNI/VOL01 11 0 6 23'</f>
        <v xml:space="preserve">DEC00 </v>
      </c>
      <c r="H12" s="9">
        <v>5</v>
      </c>
      <c r="I12" s="9" t="str">
        <f>[1]!'MNI/VOL01 11 7 4 23'</f>
        <v>7800</v>
      </c>
      <c r="J12" s="10" t="str">
        <f>[1]!'MNI/VOL01 11 15 5 23'</f>
        <v>29.67</v>
      </c>
    </row>
    <row r="13" spans="1:10" x14ac:dyDescent="0.2">
      <c r="A13" s="1" t="str">
        <v>JAN01  7700=   29.19   608.34   564.77    MAR02   6900   24.67   770.76   770.76</v>
      </c>
      <c r="G13" s="8" t="str">
        <f>[1]!'MNI/VOL01 12 0 6 23'</f>
        <v xml:space="preserve">JAN01 </v>
      </c>
      <c r="H13" s="9">
        <v>6</v>
      </c>
      <c r="I13" s="9" t="str">
        <f>[1]!'MNI/VOL01 12 7 4 23'</f>
        <v>7700</v>
      </c>
      <c r="J13" s="10" t="str">
        <f>[1]!'MNI/VOL01 12 15 5 23'</f>
        <v>29.19</v>
      </c>
    </row>
    <row r="14" spans="1:10" x14ac:dyDescent="0.2">
      <c r="A14" s="1" t="str">
        <v>FEB01  7700=   28.67   609.33   643.00    APR02   6900   24.17   756.34   778.58</v>
      </c>
      <c r="G14" s="8" t="str">
        <f>[1]!'MNI/VOL01 13 0 6 23'</f>
        <v xml:space="preserve">FEB01 </v>
      </c>
      <c r="H14" s="9">
        <v>7</v>
      </c>
      <c r="I14" s="9" t="str">
        <f>[1]!'MNI/VOL01 13 7 4 23'</f>
        <v>7700</v>
      </c>
      <c r="J14" s="10" t="str">
        <f>[1]!'MNI/VOL01 13 15 5 23'</f>
        <v>28.67</v>
      </c>
    </row>
    <row r="15" spans="1:10" x14ac:dyDescent="0.2">
      <c r="A15" s="1" t="str">
        <v>MAR01  7600=   28.50   648.30   657.87    MAY02   6850   24.17   776.14   776.14</v>
      </c>
      <c r="G15" s="8" t="str">
        <f>[1]!'MNI/VOL01 14 0 6 23'</f>
        <v xml:space="preserve">MAR01 </v>
      </c>
      <c r="H15" s="9">
        <v>8</v>
      </c>
      <c r="I15" s="9" t="str">
        <f>[1]!'MNI/VOL01 14 7 4 23'</f>
        <v>7600</v>
      </c>
      <c r="J15" s="10" t="str">
        <f>[1]!'MNI/VOL01 14 15 5 23'</f>
        <v>28.50</v>
      </c>
    </row>
    <row r="16" spans="1:10" x14ac:dyDescent="0.2">
      <c r="A16" s="1" t="str">
        <v>APR01  7500=   28.00   675.41   661.13    JUN02   6850   24.17   779.14   801.13</v>
      </c>
      <c r="G16" s="8" t="str">
        <f>[1]!'MNI/VOL01 15 0 6 23'</f>
        <v xml:space="preserve">APR01 </v>
      </c>
      <c r="H16" s="9">
        <v>9</v>
      </c>
      <c r="I16" s="9" t="str">
        <f>[1]!'MNI/VOL01 15 7 4 23'</f>
        <v>7500</v>
      </c>
      <c r="J16" s="10" t="str">
        <f>[1]!'MNI/VOL01 15 15 5 23'</f>
        <v>28.00</v>
      </c>
    </row>
    <row r="17" spans="1:10" x14ac:dyDescent="0.2">
      <c r="A17" s="1" t="str">
        <v>MAY01  7450=   27.83   685.07   694.54    JUL02   6800   24.17   797.46   797.46</v>
      </c>
      <c r="G17" s="8" t="str">
        <f>[1]!'MNI/VOL01 16 0 6 23'</f>
        <v xml:space="preserve">MAY01 </v>
      </c>
      <c r="H17" s="9">
        <v>10</v>
      </c>
      <c r="I17" s="9" t="str">
        <f>[1]!'MNI/VOL01 16 7 4 23'</f>
        <v>7450</v>
      </c>
      <c r="J17" s="10" t="str">
        <f>[1]!'MNI/VOL01 16 15 5 23'</f>
        <v>27.83</v>
      </c>
    </row>
    <row r="18" spans="1:10" x14ac:dyDescent="0.2">
      <c r="A18" s="1" t="str">
        <v>JUN01  7350=   27.33   711.55   697.45    AUG02   6800   24.00   793.42   815.15</v>
      </c>
      <c r="G18" s="8" t="str">
        <f>[1]!'MNI/VOL01 17 0 6 23'</f>
        <v xml:space="preserve">JUN01 </v>
      </c>
      <c r="H18" s="9">
        <v>11</v>
      </c>
      <c r="I18" s="9" t="str">
        <f>[1]!'MNI/VOL01 17 7 4 23'</f>
        <v>7350</v>
      </c>
      <c r="J18" s="10" t="str">
        <f>[1]!'MNI/VOL01 17 15 5 23'</f>
        <v>27.33</v>
      </c>
    </row>
    <row r="19" spans="1:10" x14ac:dyDescent="0.2">
      <c r="A19" s="1" t="str">
        <v>JUL01  7300=   26.50   700.34   705.02    SEP02   6750   24.00   810.24   810.24</v>
      </c>
      <c r="G19" s="8" t="str">
        <f>[1]!'MNI/VOL01 18 0 6 23'</f>
        <v xml:space="preserve">JUL01 </v>
      </c>
      <c r="H19" s="9">
        <v>12</v>
      </c>
      <c r="I19" s="9" t="str">
        <f>[1]!'MNI/VOL01 18 7 4 23'</f>
        <v>7300</v>
      </c>
      <c r="J19" s="10" t="str">
        <f>[1]!'MNI/VOL01 18 15 5 23'</f>
        <v>26.50</v>
      </c>
    </row>
    <row r="20" spans="1:10" x14ac:dyDescent="0.2">
      <c r="A20" s="1" t="str">
        <v>AUG01  7250=   26.17   699.90   723.16    OCT02   6750   24.00   810.49   827.70</v>
      </c>
      <c r="G20" s="8" t="str">
        <f>[1]!'MNI/VOL01 19 0 6 23'</f>
        <v xml:space="preserve">AUG01 </v>
      </c>
      <c r="H20" s="9">
        <v>13</v>
      </c>
      <c r="I20" s="9" t="str">
        <f>[1]!'MNI/VOL01 19 7 4 23'</f>
        <v>7250</v>
      </c>
      <c r="J20" s="10" t="str">
        <f>[1]!'MNI/VOL01 19 15 5 23'</f>
        <v>26.17</v>
      </c>
    </row>
    <row r="21" spans="1:10" x14ac:dyDescent="0.2">
      <c r="A21" s="1" t="str">
        <v xml:space="preserve">SEP01  7200=   26.17   722.25   745.35                                          </v>
      </c>
      <c r="G21" s="11" t="str">
        <f>[1]!'MNI/VOL01 20 0 6 23'</f>
        <v xml:space="preserve">SEP01 </v>
      </c>
      <c r="H21" s="12">
        <v>14</v>
      </c>
      <c r="I21" s="12" t="str">
        <f>[1]!'MNI/VOL01 20 7 4 23'</f>
        <v>7200</v>
      </c>
      <c r="J21" s="13" t="str">
        <f>[1]!'MNI/VOL01 20 15 5 23'</f>
        <v>26.17</v>
      </c>
    </row>
    <row r="22" spans="1:10" x14ac:dyDescent="0.2">
      <c r="A22" s="1" t="str">
        <v xml:space="preserve">                                                                                </v>
      </c>
      <c r="G22" s="14" t="str">
        <f>[1]!'MNI/VOL01 7 40 7 23'</f>
        <v xml:space="preserve">  OCT01</v>
      </c>
      <c r="H22" s="6">
        <v>15</v>
      </c>
      <c r="I22" s="6" t="str">
        <f>[1]!'MNI/VOL01 7 50 4 23'</f>
        <v>7150</v>
      </c>
      <c r="J22" s="7" t="str">
        <f>[1]!'MNI/VOL01 7 57 5 23'</f>
        <v>25.67</v>
      </c>
    </row>
    <row r="23" spans="1:10" x14ac:dyDescent="0.2">
      <c r="G23" s="15" t="str">
        <f>[1]!'MNI/VOL01 8 40 7 23'</f>
        <v xml:space="preserve">  NOV01</v>
      </c>
      <c r="H23" s="9">
        <v>16</v>
      </c>
      <c r="I23" s="9" t="str">
        <f>[1]!'MNI/VOL01 8 50 4 23'</f>
        <v>7100</v>
      </c>
      <c r="J23" s="10" t="str">
        <f>[1]!'MNI/VOL01 8 57 5 23'</f>
        <v>25.67</v>
      </c>
    </row>
    <row r="24" spans="1:10" x14ac:dyDescent="0.2">
      <c r="G24" s="15" t="str">
        <f>[1]!'MNI/VOL01 9 40 7 23'</f>
        <v xml:space="preserve">  DEC01</v>
      </c>
      <c r="H24" s="9">
        <v>17</v>
      </c>
      <c r="I24" s="9" t="str">
        <f>[1]!'MNI/VOL01 9 50 4 23'</f>
        <v>7050</v>
      </c>
      <c r="J24" s="10" t="str">
        <f>[1]!'MNI/VOL01 9 57 5 23'</f>
        <v>25.67</v>
      </c>
    </row>
    <row r="25" spans="1:10" x14ac:dyDescent="0.2">
      <c r="G25" s="15" t="str">
        <f>[1]!'MNI/VOL01 10 40 7 23'</f>
        <v xml:space="preserve">  JAN02</v>
      </c>
      <c r="H25" s="9">
        <v>18</v>
      </c>
      <c r="I25" s="9" t="str">
        <f>[1]!'MNI/VOL01 10 50 4 23'</f>
        <v>7000</v>
      </c>
      <c r="J25" s="10" t="str">
        <f>[1]!'MNI/VOL01 10 57 5 23'</f>
        <v>24.83</v>
      </c>
    </row>
    <row r="26" spans="1:10" x14ac:dyDescent="0.2">
      <c r="G26" s="15" t="str">
        <f>[1]!'MNI/VOL01 11 40 7 23'</f>
        <v xml:space="preserve">  FEB02</v>
      </c>
      <c r="H26" s="9">
        <v>19</v>
      </c>
      <c r="I26" s="9" t="str">
        <f>[1]!'MNI/VOL01 11 50 4 23'</f>
        <v>6950</v>
      </c>
      <c r="J26" s="10" t="str">
        <f>[1]!'MNI/VOL01 11 57 5 23'</f>
        <v>24.83</v>
      </c>
    </row>
    <row r="27" spans="1:10" x14ac:dyDescent="0.2">
      <c r="G27" s="15" t="str">
        <f>[1]!'MNI/VOL01 12 40 7 23'</f>
        <v xml:space="preserve">  MAR02</v>
      </c>
      <c r="H27" s="9">
        <v>20</v>
      </c>
      <c r="I27" s="9" t="str">
        <f>[1]!'MNI/VOL01 12 50 4 23'</f>
        <v>6900</v>
      </c>
      <c r="J27" s="10" t="str">
        <f>[1]!'MNI/VOL01 12 57 5 23'</f>
        <v>24.67</v>
      </c>
    </row>
    <row r="28" spans="1:10" x14ac:dyDescent="0.2">
      <c r="G28" s="15" t="str">
        <f>[1]!'MNI/VOL01 13 40 7 23'</f>
        <v xml:space="preserve">  APR02</v>
      </c>
      <c r="H28" s="9">
        <v>21</v>
      </c>
      <c r="I28" s="9" t="str">
        <f>[1]!'MNI/VOL01 13 50 4 23'</f>
        <v>6900</v>
      </c>
      <c r="J28" s="10" t="str">
        <f>[1]!'MNI/VOL01 13 57 5 23'</f>
        <v>24.17</v>
      </c>
    </row>
    <row r="29" spans="1:10" x14ac:dyDescent="0.2">
      <c r="G29" s="15" t="str">
        <f>[1]!'MNI/VOL01 14 40 7 23'</f>
        <v xml:space="preserve">  MAY02</v>
      </c>
      <c r="H29" s="9">
        <v>22</v>
      </c>
      <c r="I29" s="9" t="str">
        <f>[1]!'MNI/VOL01 14 50 4 23'</f>
        <v>6850</v>
      </c>
      <c r="J29" s="10" t="str">
        <f>[1]!'MNI/VOL01 14 57 5 23'</f>
        <v>24.17</v>
      </c>
    </row>
    <row r="30" spans="1:10" x14ac:dyDescent="0.2">
      <c r="G30" s="15" t="str">
        <f>[1]!'MNI/VOL01 15 40 7 23'</f>
        <v xml:space="preserve">  JUN02</v>
      </c>
      <c r="H30" s="9">
        <v>23</v>
      </c>
      <c r="I30" s="9" t="str">
        <f>[1]!'MNI/VOL01 15 50 4 23'</f>
        <v>6850</v>
      </c>
      <c r="J30" s="10" t="str">
        <f>[1]!'MNI/VOL01 15 57 5 23'</f>
        <v>24.17</v>
      </c>
    </row>
    <row r="31" spans="1:10" x14ac:dyDescent="0.2">
      <c r="G31" s="15" t="str">
        <f>[1]!'MNI/VOL01 16 40 7 23'</f>
        <v xml:space="preserve">  JUL02</v>
      </c>
      <c r="H31" s="9">
        <v>24</v>
      </c>
      <c r="I31" s="9" t="str">
        <f>[1]!'MNI/VOL01 16 50 4 23'</f>
        <v>6800</v>
      </c>
      <c r="J31" s="10" t="str">
        <f>[1]!'MNI/VOL01 16 57 5 23'</f>
        <v>24.17</v>
      </c>
    </row>
    <row r="32" spans="1:10" x14ac:dyDescent="0.2">
      <c r="G32" s="16" t="str">
        <f>[1]!'MNI/VOL01 17 40 7 23'</f>
        <v xml:space="preserve">  AUG02</v>
      </c>
      <c r="H32" s="12">
        <v>25</v>
      </c>
      <c r="I32" s="12" t="str">
        <f>[1]!'MNI/VOL01 17 50 4 23'</f>
        <v>6800</v>
      </c>
      <c r="J32" s="13" t="str">
        <f>[1]!'MNI/VOL01 17 57 5 23'</f>
        <v>24.00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"/>
  <dimension ref="A1:J32"/>
  <sheetViews>
    <sheetView showGridLines="0" zoomScale="75" workbookViewId="0"/>
  </sheetViews>
  <sheetFormatPr defaultRowHeight="12.75" x14ac:dyDescent="0.2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 x14ac:dyDescent="0.2">
      <c r="A1" s="1" t="str">
        <f t="array" ref="A1:A22">[1]!'MZN/VOL01 0 0 80 23'</f>
        <v>13:32 24JUL00                                                          MZN/VOL01</v>
      </c>
    </row>
    <row r="2" spans="1:10" x14ac:dyDescent="0.2">
      <c r="A2" s="1" t="str">
        <v xml:space="preserve">          LONDON METAL EXCHANGE SUMMARY                                         </v>
      </c>
    </row>
    <row r="3" spans="1:10" x14ac:dyDescent="0.2">
      <c r="A3" s="1" t="str">
        <v xml:space="preserve">AT-THE-MONEY INDICATIVE OPTION CLOSING PREMIUMS &amp; VOLATILITIES - ZINC           </v>
      </c>
    </row>
    <row r="4" spans="1:10" x14ac:dyDescent="0.2">
      <c r="A4" s="1" t="str">
        <v xml:space="preserve">                                                                                </v>
      </c>
    </row>
    <row r="5" spans="1:10" x14ac:dyDescent="0.2">
      <c r="A5" s="1" t="str">
        <v xml:space="preserve">MONTH  STRIKE   VOL     CALL      PUT     MONTH  STRIKE   VOL     CALL      PUT </v>
      </c>
    </row>
    <row r="6" spans="1:10" x14ac:dyDescent="0.2">
      <c r="A6" s="1" t="str">
        <v>================================================================================</v>
      </c>
    </row>
    <row r="7" spans="1:10" x14ac:dyDescent="0.2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 x14ac:dyDescent="0.2">
      <c r="A8" s="1" t="str">
        <v>AUG00  1150=   17.17    15.91    12.68    OCT01   1150   16.03    72.37    75.59</v>
      </c>
      <c r="G8" s="5" t="str">
        <f t="array" ref="G8">[1]!'MZN/VOL01 7 0 6 23'</f>
        <v xml:space="preserve">AUG00 </v>
      </c>
      <c r="H8" s="6">
        <v>1</v>
      </c>
      <c r="I8" s="6" t="str">
        <f>[1]!'MZN/VOL01 7 7 4 23'</f>
        <v>1150</v>
      </c>
      <c r="J8" s="7" t="str">
        <f>[1]!'MZN/VOL01 7 15 5 23'</f>
        <v>17.17</v>
      </c>
    </row>
    <row r="9" spans="1:10" x14ac:dyDescent="0.2">
      <c r="A9" s="1" t="str">
        <v>SEP00  1150=   19.38    37.73    26.35    NOV01   1150   16.03    73.93    78.73</v>
      </c>
      <c r="G9" s="8" t="str">
        <f>[1]!'MZN/VOL01 8 0 6 23'</f>
        <v xml:space="preserve">SEP00 </v>
      </c>
      <c r="H9" s="9">
        <v>2</v>
      </c>
      <c r="I9" s="9" t="str">
        <f>[1]!'MZN/VOL01 8 7 4 23'</f>
        <v>1150</v>
      </c>
      <c r="J9" s="10" t="str">
        <f>[1]!'MZN/VOL01 8 15 5 23'</f>
        <v>19.38</v>
      </c>
    </row>
    <row r="10" spans="1:10" x14ac:dyDescent="0.2">
      <c r="A10" s="1" t="str">
        <v>OCT00  1150=   18.50    44.26    32.45    DEC01   1150   15.82    73.90    80.26</v>
      </c>
      <c r="G10" s="8" t="str">
        <f>[1]!'MZN/VOL01 9 0 6 23'</f>
        <v xml:space="preserve">OCT00 </v>
      </c>
      <c r="H10" s="9">
        <v>3</v>
      </c>
      <c r="I10" s="9" t="str">
        <f>[1]!'MZN/VOL01 9 7 4 23'</f>
        <v>1150</v>
      </c>
      <c r="J10" s="10" t="str">
        <f>[1]!'MZN/VOL01 9 15 5 23'</f>
        <v>18.50</v>
      </c>
    </row>
    <row r="11" spans="1:10" x14ac:dyDescent="0.2">
      <c r="A11" s="1" t="str">
        <v>NOV00  1175=   17.92    38.31    49.09    JAN02   1150   15.59    73.53    81.67</v>
      </c>
      <c r="G11" s="8" t="str">
        <f>[1]!'MZN/VOL01 10 0 6 23'</f>
        <v xml:space="preserve">NOV00 </v>
      </c>
      <c r="H11" s="9">
        <v>4</v>
      </c>
      <c r="I11" s="9" t="str">
        <f>[1]!'MZN/VOL01 10 7 4 23'</f>
        <v>1175</v>
      </c>
      <c r="J11" s="10" t="str">
        <f>[1]!'MZN/VOL01 10 15 5 23'</f>
        <v>17.92</v>
      </c>
    </row>
    <row r="12" spans="1:10" x14ac:dyDescent="0.2">
      <c r="A12" s="1" t="str">
        <v>DEC00  1175=   17.46    44.04    53.77    FEB02   1150   15.59    74.62    84.50</v>
      </c>
      <c r="G12" s="8" t="str">
        <f>[1]!'MZN/VOL01 11 0 6 23'</f>
        <v xml:space="preserve">DEC00 </v>
      </c>
      <c r="H12" s="9">
        <v>5</v>
      </c>
      <c r="I12" s="9" t="str">
        <f>[1]!'MZN/VOL01 11 7 4 23'</f>
        <v>1175</v>
      </c>
      <c r="J12" s="10" t="str">
        <f>[1]!'MZN/VOL01 11 15 5 23'</f>
        <v>17.46</v>
      </c>
    </row>
    <row r="13" spans="1:10" x14ac:dyDescent="0.2">
      <c r="A13" s="1" t="str">
        <v>JAN01  1175=   16.88    45.78    57.39    MAR02   1125   15.59    85.51    74.79</v>
      </c>
      <c r="G13" s="8" t="str">
        <f>[1]!'MZN/VOL01 12 0 6 23'</f>
        <v xml:space="preserve">JAN01 </v>
      </c>
      <c r="H13" s="9">
        <v>6</v>
      </c>
      <c r="I13" s="9" t="str">
        <f>[1]!'MZN/VOL01 12 7 4 23'</f>
        <v>1175</v>
      </c>
      <c r="J13" s="10" t="str">
        <f>[1]!'MZN/VOL01 12 15 5 23'</f>
        <v>16.88</v>
      </c>
    </row>
    <row r="14" spans="1:10" x14ac:dyDescent="0.2">
      <c r="A14" s="1" t="str">
        <v>FEB01  1150=   16.77    60.60    50.02    APR02   1125   15.59    85.93    77.03</v>
      </c>
      <c r="G14" s="8" t="str">
        <f>[1]!'MZN/VOL01 13 0 6 23'</f>
        <v xml:space="preserve">FEB01 </v>
      </c>
      <c r="H14" s="9">
        <v>7</v>
      </c>
      <c r="I14" s="9" t="str">
        <f>[1]!'MZN/VOL01 13 7 4 23'</f>
        <v>1150</v>
      </c>
      <c r="J14" s="10" t="str">
        <f>[1]!'MZN/VOL01 13 15 5 23'</f>
        <v>16.77</v>
      </c>
    </row>
    <row r="15" spans="1:10" x14ac:dyDescent="0.2">
      <c r="A15" s="1" t="str">
        <v>MAR01  1150=   16.72    62.73    54.12    MAY02   1125   15.59    86.31    79.23</v>
      </c>
      <c r="G15" s="8" t="str">
        <f>[1]!'MZN/VOL01 14 0 6 23'</f>
        <v xml:space="preserve">MAR01 </v>
      </c>
      <c r="H15" s="9">
        <v>8</v>
      </c>
      <c r="I15" s="9" t="str">
        <f>[1]!'MZN/VOL01 14 7 4 23'</f>
        <v>1150</v>
      </c>
      <c r="J15" s="10" t="str">
        <f>[1]!'MZN/VOL01 14 15 5 23'</f>
        <v>16.72</v>
      </c>
    </row>
    <row r="16" spans="1:10" x14ac:dyDescent="0.2">
      <c r="A16" s="1" t="str">
        <v>APR01  1150=   16.50    63.98    57.32    JUN02   1125   15.57    86.85    81.58</v>
      </c>
      <c r="G16" s="8" t="str">
        <f>[1]!'MZN/VOL01 15 0 6 23'</f>
        <v xml:space="preserve">APR01 </v>
      </c>
      <c r="H16" s="9">
        <v>9</v>
      </c>
      <c r="I16" s="9" t="str">
        <f>[1]!'MZN/VOL01 15 7 4 23'</f>
        <v>1150</v>
      </c>
      <c r="J16" s="10" t="str">
        <f>[1]!'MZN/VOL01 15 15 5 23'</f>
        <v>16.50</v>
      </c>
    </row>
    <row r="17" spans="1:10" x14ac:dyDescent="0.2">
      <c r="A17" s="1" t="str">
        <v>MAY01  1150=   16.50    65.94    60.96    JUL02   1125   15.50    86.75    83.26</v>
      </c>
      <c r="G17" s="8" t="str">
        <f>[1]!'MZN/VOL01 16 0 6 23'</f>
        <v xml:space="preserve">MAY01 </v>
      </c>
      <c r="H17" s="9">
        <v>10</v>
      </c>
      <c r="I17" s="9" t="str">
        <f>[1]!'MZN/VOL01 16 7 4 23'</f>
        <v>1150</v>
      </c>
      <c r="J17" s="10" t="str">
        <f>[1]!'MZN/VOL01 16 15 5 23'</f>
        <v>16.50</v>
      </c>
    </row>
    <row r="18" spans="1:10" x14ac:dyDescent="0.2">
      <c r="A18" s="1" t="str">
        <v>JUN01  1150=   16.50    68.35    65.06    AUG02   1125   15.50    87.28    85.55</v>
      </c>
      <c r="G18" s="8" t="str">
        <f>[1]!'MZN/VOL01 17 0 6 23'</f>
        <v xml:space="preserve">JUN01 </v>
      </c>
      <c r="H18" s="9">
        <v>11</v>
      </c>
      <c r="I18" s="9" t="str">
        <f>[1]!'MZN/VOL01 17 7 4 23'</f>
        <v>1150</v>
      </c>
      <c r="J18" s="10" t="str">
        <f>[1]!'MZN/VOL01 17 15 5 23'</f>
        <v>16.50</v>
      </c>
    </row>
    <row r="19" spans="1:10" x14ac:dyDescent="0.2">
      <c r="A19" s="1" t="str">
        <v>JUL01  1150=   16.23    68.81    67.17    SEP02   1125   15.40    86.91    86.92</v>
      </c>
      <c r="G19" s="8" t="str">
        <f>[1]!'MZN/VOL01 18 0 6 23'</f>
        <v xml:space="preserve">JUL01 </v>
      </c>
      <c r="H19" s="9">
        <v>12</v>
      </c>
      <c r="I19" s="9" t="str">
        <f>[1]!'MZN/VOL01 18 7 4 23'</f>
        <v>1150</v>
      </c>
      <c r="J19" s="10" t="str">
        <f>[1]!'MZN/VOL01 18 15 5 23'</f>
        <v>16.23</v>
      </c>
    </row>
    <row r="20" spans="1:10" x14ac:dyDescent="0.2">
      <c r="A20" s="1" t="str">
        <v>AUG01  1150=   16.23    70.24    70.24    OCT02   1125   15.40    87.06    88.78</v>
      </c>
      <c r="G20" s="8" t="str">
        <f>[1]!'MZN/VOL01 19 0 6 23'</f>
        <v xml:space="preserve">AUG01 </v>
      </c>
      <c r="H20" s="9">
        <v>13</v>
      </c>
      <c r="I20" s="9" t="str">
        <f>[1]!'MZN/VOL01 19 7 4 23'</f>
        <v>1150</v>
      </c>
      <c r="J20" s="10" t="str">
        <f>[1]!'MZN/VOL01 19 15 5 23'</f>
        <v>16.23</v>
      </c>
    </row>
    <row r="21" spans="1:10" x14ac:dyDescent="0.2">
      <c r="A21" s="1" t="str">
        <v xml:space="preserve">SEP01  1150=   16.23    72.09    73.71                                          </v>
      </c>
      <c r="G21" s="11" t="str">
        <f>[1]!'MZN/VOL01 20 0 6 23'</f>
        <v xml:space="preserve">SEP01 </v>
      </c>
      <c r="H21" s="12">
        <v>14</v>
      </c>
      <c r="I21" s="12" t="str">
        <f>[1]!'MZN/VOL01 20 7 4 23'</f>
        <v>1150</v>
      </c>
      <c r="J21" s="13" t="str">
        <f>[1]!'MZN/VOL01 20 15 5 23'</f>
        <v>16.23</v>
      </c>
    </row>
    <row r="22" spans="1:10" x14ac:dyDescent="0.2">
      <c r="A22" s="1" t="str">
        <v xml:space="preserve">                                                                                </v>
      </c>
      <c r="G22" s="14" t="str">
        <f>[1]!'MZN/VOL01 7 40 7 23'</f>
        <v xml:space="preserve">  OCT01</v>
      </c>
      <c r="H22" s="6">
        <v>15</v>
      </c>
      <c r="I22" s="6" t="str">
        <f>[1]!'MZN/VOL01 7 50 4 23'</f>
        <v>1150</v>
      </c>
      <c r="J22" s="7" t="str">
        <f>[1]!'MZN/VOL01 7 57 5 23'</f>
        <v>16.03</v>
      </c>
    </row>
    <row r="23" spans="1:10" x14ac:dyDescent="0.2">
      <c r="G23" s="15" t="str">
        <f>[1]!'MZN/VOL01 8 40 7 23'</f>
        <v xml:space="preserve">  NOV01</v>
      </c>
      <c r="H23" s="9">
        <v>16</v>
      </c>
      <c r="I23" s="9" t="str">
        <f>[1]!'MZN/VOL01 8 50 4 23'</f>
        <v>1150</v>
      </c>
      <c r="J23" s="10" t="str">
        <f>[1]!'MZN/VOL01 8 57 5 23'</f>
        <v>16.03</v>
      </c>
    </row>
    <row r="24" spans="1:10" x14ac:dyDescent="0.2">
      <c r="G24" s="15" t="str">
        <f>[1]!'MZN/VOL01 9 40 7 23'</f>
        <v xml:space="preserve">  DEC01</v>
      </c>
      <c r="H24" s="9">
        <v>17</v>
      </c>
      <c r="I24" s="9" t="str">
        <f>[1]!'MZN/VOL01 9 50 4 23'</f>
        <v>1150</v>
      </c>
      <c r="J24" s="10" t="str">
        <f>[1]!'MZN/VOL01 9 57 5 23'</f>
        <v>15.82</v>
      </c>
    </row>
    <row r="25" spans="1:10" x14ac:dyDescent="0.2">
      <c r="G25" s="15" t="str">
        <f>[1]!'MZN/VOL01 10 40 7 23'</f>
        <v xml:space="preserve">  JAN02</v>
      </c>
      <c r="H25" s="9">
        <v>18</v>
      </c>
      <c r="I25" s="9" t="str">
        <f>[1]!'MZN/VOL01 10 50 4 23'</f>
        <v>1150</v>
      </c>
      <c r="J25" s="10" t="str">
        <f>[1]!'MZN/VOL01 10 57 5 23'</f>
        <v>15.59</v>
      </c>
    </row>
    <row r="26" spans="1:10" x14ac:dyDescent="0.2">
      <c r="G26" s="15" t="str">
        <f>[1]!'MZN/VOL01 11 40 7 23'</f>
        <v xml:space="preserve">  FEB02</v>
      </c>
      <c r="H26" s="9">
        <v>19</v>
      </c>
      <c r="I26" s="9" t="str">
        <f>[1]!'MZN/VOL01 11 50 4 23'</f>
        <v>1150</v>
      </c>
      <c r="J26" s="10" t="str">
        <f>[1]!'MZN/VOL01 11 57 5 23'</f>
        <v>15.59</v>
      </c>
    </row>
    <row r="27" spans="1:10" x14ac:dyDescent="0.2">
      <c r="G27" s="15" t="str">
        <f>[1]!'MZN/VOL01 12 40 7 23'</f>
        <v xml:space="preserve">  MAR02</v>
      </c>
      <c r="H27" s="9">
        <v>20</v>
      </c>
      <c r="I27" s="9" t="str">
        <f>[1]!'MZN/VOL01 12 50 4 23'</f>
        <v>1125</v>
      </c>
      <c r="J27" s="10" t="str">
        <f>[1]!'MZN/VOL01 12 57 5 23'</f>
        <v>15.59</v>
      </c>
    </row>
    <row r="28" spans="1:10" x14ac:dyDescent="0.2">
      <c r="G28" s="15" t="str">
        <f>[1]!'MZN/VOL01 13 40 7 23'</f>
        <v xml:space="preserve">  APR02</v>
      </c>
      <c r="H28" s="9">
        <v>21</v>
      </c>
      <c r="I28" s="9" t="str">
        <f>[1]!'MZN/VOL01 13 50 4 23'</f>
        <v>1125</v>
      </c>
      <c r="J28" s="10" t="str">
        <f>[1]!'MZN/VOL01 13 57 5 23'</f>
        <v>15.59</v>
      </c>
    </row>
    <row r="29" spans="1:10" x14ac:dyDescent="0.2">
      <c r="G29" s="15" t="str">
        <f>[1]!'MZN/VOL01 14 40 7 23'</f>
        <v xml:space="preserve">  MAY02</v>
      </c>
      <c r="H29" s="9">
        <v>22</v>
      </c>
      <c r="I29" s="9" t="str">
        <f>[1]!'MZN/VOL01 14 50 4 23'</f>
        <v>1125</v>
      </c>
      <c r="J29" s="10" t="str">
        <f>[1]!'MZN/VOL01 14 57 5 23'</f>
        <v>15.59</v>
      </c>
    </row>
    <row r="30" spans="1:10" x14ac:dyDescent="0.2">
      <c r="G30" s="15" t="str">
        <f>[1]!'MZN/VOL01 15 40 7 23'</f>
        <v xml:space="preserve">  JUN02</v>
      </c>
      <c r="H30" s="9">
        <v>23</v>
      </c>
      <c r="I30" s="9" t="str">
        <f>[1]!'MZN/VOL01 15 50 4 23'</f>
        <v>1125</v>
      </c>
      <c r="J30" s="10" t="str">
        <f>[1]!'MZN/VOL01 15 57 5 23'</f>
        <v>15.57</v>
      </c>
    </row>
    <row r="31" spans="1:10" x14ac:dyDescent="0.2">
      <c r="G31" s="15" t="str">
        <f>[1]!'MZN/VOL01 16 40 7 23'</f>
        <v xml:space="preserve">  JUL02</v>
      </c>
      <c r="H31" s="9">
        <v>24</v>
      </c>
      <c r="I31" s="9" t="str">
        <f>[1]!'MZN/VOL01 16 50 4 23'</f>
        <v>1125</v>
      </c>
      <c r="J31" s="10" t="str">
        <f>[1]!'MZN/VOL01 16 57 5 23'</f>
        <v>15.50</v>
      </c>
    </row>
    <row r="32" spans="1:10" x14ac:dyDescent="0.2">
      <c r="G32" s="16" t="str">
        <f>[1]!'MZN/VOL01 17 40 7 23'</f>
        <v xml:space="preserve">  AUG02</v>
      </c>
      <c r="H32" s="12">
        <v>25</v>
      </c>
      <c r="I32" s="12" t="str">
        <f>[1]!'MZN/VOL01 17 50 4 23'</f>
        <v>1125</v>
      </c>
      <c r="J32" s="13" t="str">
        <f>[1]!'MZN/VOL01 17 57 5 23'</f>
        <v>15.50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1"/>
  <dimension ref="A1:J32"/>
  <sheetViews>
    <sheetView showGridLines="0" zoomScale="75" workbookViewId="0"/>
  </sheetViews>
  <sheetFormatPr defaultRowHeight="12.75" x14ac:dyDescent="0.2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 x14ac:dyDescent="0.2">
      <c r="A1" s="1" t="str">
        <f t="array" ref="A1:A22">[1]!'MPB/VOL01 0 0 80 23'</f>
        <v>18:19 21JUL00                                                          MPB/VOL01</v>
      </c>
    </row>
    <row r="2" spans="1:10" x14ac:dyDescent="0.2">
      <c r="A2" s="1" t="str">
        <v xml:space="preserve">          LONDON METAL EXCHANGE SUMMARY                                         </v>
      </c>
    </row>
    <row r="3" spans="1:10" x14ac:dyDescent="0.2">
      <c r="A3" s="1" t="str">
        <v xml:space="preserve">AT-THE-MONEY INDICATIVE OPTION CLOSING PREMIUMS &amp; VOLATILITIES - LEAD           </v>
      </c>
    </row>
    <row r="4" spans="1:10" x14ac:dyDescent="0.2">
      <c r="A4" s="1" t="str">
        <v xml:space="preserve">                                                                                </v>
      </c>
    </row>
    <row r="5" spans="1:10" x14ac:dyDescent="0.2">
      <c r="A5" s="1" t="str">
        <v xml:space="preserve">MONTH  STRIKE   VOL     CALL      PUT     MONTH  STRIKE   VOL     CALL      PUT </v>
      </c>
    </row>
    <row r="6" spans="1:10" x14ac:dyDescent="0.2">
      <c r="A6" s="1" t="str">
        <v>================================================================================</v>
      </c>
    </row>
    <row r="7" spans="1:10" x14ac:dyDescent="0.2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 x14ac:dyDescent="0.2">
      <c r="A8" s="1" t="str">
        <v xml:space="preserve">AUG00    475   20.50     2.53    14.47                                          </v>
      </c>
      <c r="G8" s="5" t="str">
        <f t="array" ref="G8">[1]!'MPB/VOL01 7 0 6 23'</f>
        <v xml:space="preserve">AUG00 </v>
      </c>
      <c r="H8" s="6">
        <v>1</v>
      </c>
      <c r="I8" s="6" t="str">
        <f>[1]!'MPB/VOL01 7 7 4 23'</f>
        <v xml:space="preserve">  47</v>
      </c>
      <c r="J8" s="7" t="str">
        <f>[1]!'MPB/VOL01 7 15 5 23'</f>
        <v>20.50</v>
      </c>
    </row>
    <row r="9" spans="1:10" x14ac:dyDescent="0.2">
      <c r="A9" s="1" t="str">
        <v xml:space="preserve">SEP00    475   21.00    10.09    18.74                                          </v>
      </c>
      <c r="G9" s="8" t="str">
        <f>[1]!'MPB/VOL01 8 0 6 23'</f>
        <v xml:space="preserve">SEP00 </v>
      </c>
      <c r="H9" s="9">
        <v>2</v>
      </c>
      <c r="I9" s="9" t="str">
        <f>[1]!'MPB/VOL01 8 7 4 23'</f>
        <v xml:space="preserve">  47</v>
      </c>
      <c r="J9" s="10" t="str">
        <f>[1]!'MPB/VOL01 8 15 5 23'</f>
        <v>21.00</v>
      </c>
    </row>
    <row r="10" spans="1:10" x14ac:dyDescent="0.2">
      <c r="A10" s="1" t="str">
        <v xml:space="preserve">OCT00    475   20.83    14.25    21.14                                          </v>
      </c>
      <c r="G10" s="8" t="str">
        <f>[1]!'MPB/VOL01 9 0 6 23'</f>
        <v xml:space="preserve">OCT00 </v>
      </c>
      <c r="H10" s="9">
        <v>3</v>
      </c>
      <c r="I10" s="9" t="str">
        <f>[1]!'MPB/VOL01 9 7 4 23'</f>
        <v xml:space="preserve">  47</v>
      </c>
      <c r="J10" s="10" t="str">
        <f>[1]!'MPB/VOL01 9 15 5 23'</f>
        <v>20.83</v>
      </c>
    </row>
    <row r="11" spans="1:10" x14ac:dyDescent="0.2">
      <c r="A11" s="1" t="str">
        <v xml:space="preserve">NOV00    475   20.67    18.63    22.05                                          </v>
      </c>
      <c r="G11" s="8" t="str">
        <f>[1]!'MPB/VOL01 10 0 6 23'</f>
        <v xml:space="preserve">NOV00 </v>
      </c>
      <c r="H11" s="9">
        <v>4</v>
      </c>
      <c r="I11" s="9" t="str">
        <f>[1]!'MPB/VOL01 10 7 4 23'</f>
        <v xml:space="preserve">  47</v>
      </c>
      <c r="J11" s="10" t="str">
        <f>[1]!'MPB/VOL01 10 15 5 23'</f>
        <v>20.67</v>
      </c>
    </row>
    <row r="12" spans="1:10" x14ac:dyDescent="0.2">
      <c r="A12" s="1" t="str">
        <v xml:space="preserve">DEC00    475   20.67    22.42    24.36                                          </v>
      </c>
      <c r="G12" s="8" t="str">
        <f>[1]!'MPB/VOL01 11 0 6 23'</f>
        <v xml:space="preserve">DEC00 </v>
      </c>
      <c r="H12" s="9">
        <v>5</v>
      </c>
      <c r="I12" s="9" t="str">
        <f>[1]!'MPB/VOL01 11 7 4 23'</f>
        <v xml:space="preserve">  47</v>
      </c>
      <c r="J12" s="10" t="str">
        <f>[1]!'MPB/VOL01 11 15 5 23'</f>
        <v>20.67</v>
      </c>
    </row>
    <row r="13" spans="1:10" x14ac:dyDescent="0.2">
      <c r="A13" s="1" t="str">
        <v xml:space="preserve">JAN01    475   18.83    23.16    23.40                                          </v>
      </c>
      <c r="G13" s="8" t="str">
        <f>[1]!'MPB/VOL01 12 0 6 23'</f>
        <v xml:space="preserve">JAN01 </v>
      </c>
      <c r="H13" s="9">
        <v>6</v>
      </c>
      <c r="I13" s="9" t="str">
        <f>[1]!'MPB/VOL01 12 7 4 23'</f>
        <v xml:space="preserve">  47</v>
      </c>
      <c r="J13" s="10" t="str">
        <f>[1]!'MPB/VOL01 12 15 5 23'</f>
        <v>18.83</v>
      </c>
    </row>
    <row r="14" spans="1:10" x14ac:dyDescent="0.2">
      <c r="A14" s="1" t="str">
        <v xml:space="preserve">FEB01    475   18.83    26.22    24.77                                          </v>
      </c>
      <c r="G14" s="8" t="str">
        <f>[1]!'MPB/VOL01 13 0 6 23'</f>
        <v xml:space="preserve">FEB01 </v>
      </c>
      <c r="H14" s="9">
        <v>7</v>
      </c>
      <c r="I14" s="9" t="str">
        <f>[1]!'MPB/VOL01 13 7 4 23'</f>
        <v xml:space="preserve">  47</v>
      </c>
      <c r="J14" s="10" t="str">
        <f>[1]!'MPB/VOL01 13 15 5 23'</f>
        <v>18.83</v>
      </c>
    </row>
    <row r="15" spans="1:10" x14ac:dyDescent="0.2">
      <c r="A15" s="1" t="str">
        <v xml:space="preserve">MAR01    475   18.50    27.96    25.33                                          </v>
      </c>
      <c r="G15" s="8" t="str">
        <f>[1]!'MPB/VOL01 14 0 6 23'</f>
        <v xml:space="preserve">MAR01 </v>
      </c>
      <c r="H15" s="9">
        <v>8</v>
      </c>
      <c r="I15" s="9" t="str">
        <f>[1]!'MPB/VOL01 14 7 4 23'</f>
        <v xml:space="preserve">  47</v>
      </c>
      <c r="J15" s="10" t="str">
        <f>[1]!'MPB/VOL01 14 15 5 23'</f>
        <v>18.50</v>
      </c>
    </row>
    <row r="16" spans="1:10" x14ac:dyDescent="0.2">
      <c r="A16" s="1" t="str">
        <v xml:space="preserve">APR01    475   18.50    30.03    26.23                                          </v>
      </c>
      <c r="G16" s="8" t="str">
        <f>[1]!'MPB/VOL01 15 0 6 23'</f>
        <v xml:space="preserve">APR01 </v>
      </c>
      <c r="H16" s="9">
        <v>9</v>
      </c>
      <c r="I16" s="9" t="str">
        <f>[1]!'MPB/VOL01 15 7 4 23'</f>
        <v xml:space="preserve">  47</v>
      </c>
      <c r="J16" s="10" t="str">
        <f>[1]!'MPB/VOL01 15 15 5 23'</f>
        <v>18.50</v>
      </c>
    </row>
    <row r="17" spans="1:10" x14ac:dyDescent="0.2">
      <c r="A17" s="1" t="str">
        <v xml:space="preserve">MAY01    475   18.17    31.49    26.52                                          </v>
      </c>
      <c r="G17" s="8" t="str">
        <f>[1]!'MPB/VOL01 16 0 6 23'</f>
        <v xml:space="preserve">MAY01 </v>
      </c>
      <c r="H17" s="9">
        <v>10</v>
      </c>
      <c r="I17" s="9" t="str">
        <f>[1]!'MPB/VOL01 16 7 4 23'</f>
        <v xml:space="preserve">  47</v>
      </c>
      <c r="J17" s="10" t="str">
        <f>[1]!'MPB/VOL01 16 15 5 23'</f>
        <v>18.17</v>
      </c>
    </row>
    <row r="18" spans="1:10" x14ac:dyDescent="0.2">
      <c r="A18" s="1" t="str">
        <v xml:space="preserve">JUN01    475   18.17    33.64    27.53                                          </v>
      </c>
      <c r="G18" s="8" t="str">
        <f>[1]!'MPB/VOL01 17 0 6 23'</f>
        <v xml:space="preserve">JUN01 </v>
      </c>
      <c r="H18" s="9">
        <v>11</v>
      </c>
      <c r="I18" s="9" t="str">
        <f>[1]!'MPB/VOL01 17 7 4 23'</f>
        <v xml:space="preserve">  47</v>
      </c>
      <c r="J18" s="10" t="str">
        <f>[1]!'MPB/VOL01 17 15 5 23'</f>
        <v>18.17</v>
      </c>
    </row>
    <row r="19" spans="1:10" x14ac:dyDescent="0.2">
      <c r="A19" s="1" t="str">
        <v xml:space="preserve">JUL01    475   18.00    35.13    27.88                                          </v>
      </c>
      <c r="G19" s="8" t="str">
        <f>[1]!'MPB/VOL01 18 0 6 23'</f>
        <v xml:space="preserve">JUL01 </v>
      </c>
      <c r="H19" s="9">
        <v>12</v>
      </c>
      <c r="I19" s="9" t="str">
        <f>[1]!'MPB/VOL01 18 7 4 23'</f>
        <v xml:space="preserve">  47</v>
      </c>
      <c r="J19" s="10" t="str">
        <f>[1]!'MPB/VOL01 18 15 5 23'</f>
        <v>18.00</v>
      </c>
    </row>
    <row r="20" spans="1:10" x14ac:dyDescent="0.2">
      <c r="A20" s="1" t="str">
        <v xml:space="preserve">AUG01    475   18.00    36.83    28.45                                          </v>
      </c>
      <c r="G20" s="8" t="str">
        <f>[1]!'MPB/VOL01 19 0 6 23'</f>
        <v xml:space="preserve">AUG01 </v>
      </c>
      <c r="H20" s="9">
        <v>13</v>
      </c>
      <c r="I20" s="9" t="str">
        <f>[1]!'MPB/VOL01 19 7 4 23'</f>
        <v xml:space="preserve">  47</v>
      </c>
      <c r="J20" s="10" t="str">
        <f>[1]!'MPB/VOL01 19 15 5 23'</f>
        <v>18.00</v>
      </c>
    </row>
    <row r="21" spans="1:10" x14ac:dyDescent="0.2">
      <c r="A21" s="1" t="str">
        <v xml:space="preserve">SEP01    475   18.00    38.45    29.44                                          </v>
      </c>
      <c r="G21" s="11" t="str">
        <f>[1]!'MPB/VOL01 20 0 6 23'</f>
        <v xml:space="preserve">SEP01 </v>
      </c>
      <c r="H21" s="12">
        <v>14</v>
      </c>
      <c r="I21" s="12" t="str">
        <f>[1]!'MPB/VOL01 20 7 4 23'</f>
        <v xml:space="preserve">  47</v>
      </c>
      <c r="J21" s="13" t="str">
        <f>[1]!'MPB/VOL01 20 15 5 23'</f>
        <v>18.00</v>
      </c>
    </row>
    <row r="22" spans="1:10" x14ac:dyDescent="0.2">
      <c r="A22" s="1" t="str">
        <v xml:space="preserve">OCT01    475   18.00    39.63    30.21                                          </v>
      </c>
      <c r="G22" s="14" t="str">
        <f>[1]!'MPB/VOL01 7 40 7 23'</f>
        <v xml:space="preserve">       </v>
      </c>
      <c r="H22" s="6">
        <v>15</v>
      </c>
      <c r="I22" s="6" t="str">
        <f>[1]!'MPB/VOL01 7 50 4 23'</f>
        <v xml:space="preserve">    </v>
      </c>
      <c r="J22" s="7" t="str">
        <f>[1]!'MPB/VOL01 7 57 5 23'</f>
        <v xml:space="preserve">     </v>
      </c>
    </row>
    <row r="23" spans="1:10" x14ac:dyDescent="0.2">
      <c r="G23" s="15" t="str">
        <f>[1]!'MPB/VOL01 8 40 7 23'</f>
        <v xml:space="preserve">       </v>
      </c>
      <c r="H23" s="9">
        <v>16</v>
      </c>
      <c r="I23" s="9" t="str">
        <f>[1]!'MPB/VOL01 8 50 4 23'</f>
        <v xml:space="preserve">    </v>
      </c>
      <c r="J23" s="10" t="str">
        <f>[1]!'MPB/VOL01 8 57 5 23'</f>
        <v xml:space="preserve">     </v>
      </c>
    </row>
    <row r="24" spans="1:10" x14ac:dyDescent="0.2">
      <c r="G24" s="15" t="str">
        <f>[1]!'MPB/VOL01 9 40 7 23'</f>
        <v xml:space="preserve">       </v>
      </c>
      <c r="H24" s="9">
        <v>17</v>
      </c>
      <c r="I24" s="9" t="str">
        <f>[1]!'MPB/VOL01 9 50 4 23'</f>
        <v xml:space="preserve">    </v>
      </c>
      <c r="J24" s="10" t="str">
        <f>[1]!'MPB/VOL01 9 57 5 23'</f>
        <v xml:space="preserve">     </v>
      </c>
    </row>
    <row r="25" spans="1:10" x14ac:dyDescent="0.2">
      <c r="G25" s="15" t="str">
        <f>[1]!'MPB/VOL01 10 40 7 23'</f>
        <v xml:space="preserve">       </v>
      </c>
      <c r="H25" s="9">
        <v>18</v>
      </c>
      <c r="I25" s="9" t="str">
        <f>[1]!'MPB/VOL01 10 50 4 23'</f>
        <v xml:space="preserve">    </v>
      </c>
      <c r="J25" s="10" t="str">
        <f>[1]!'MPB/VOL01 10 57 5 23'</f>
        <v xml:space="preserve">     </v>
      </c>
    </row>
    <row r="26" spans="1:10" x14ac:dyDescent="0.2">
      <c r="G26" s="15" t="str">
        <f>[1]!'MPB/VOL01 11 40 7 23'</f>
        <v xml:space="preserve">       </v>
      </c>
      <c r="H26" s="9">
        <v>19</v>
      </c>
      <c r="I26" s="9" t="str">
        <f>[1]!'MPB/VOL01 11 50 4 23'</f>
        <v xml:space="preserve">    </v>
      </c>
      <c r="J26" s="10" t="str">
        <f>[1]!'MPB/VOL01 11 57 5 23'</f>
        <v xml:space="preserve">     </v>
      </c>
    </row>
    <row r="27" spans="1:10" x14ac:dyDescent="0.2">
      <c r="G27" s="15" t="str">
        <f>[1]!'MPB/VOL01 12 40 7 23'</f>
        <v xml:space="preserve">       </v>
      </c>
      <c r="H27" s="9">
        <v>20</v>
      </c>
      <c r="I27" s="9" t="str">
        <f>[1]!'MPB/VOL01 12 50 4 23'</f>
        <v xml:space="preserve">    </v>
      </c>
      <c r="J27" s="10" t="str">
        <f>[1]!'MPB/VOL01 12 57 5 23'</f>
        <v xml:space="preserve">     </v>
      </c>
    </row>
    <row r="28" spans="1:10" x14ac:dyDescent="0.2">
      <c r="G28" s="15" t="str">
        <f>[1]!'MPB/VOL01 13 40 7 23'</f>
        <v xml:space="preserve">       </v>
      </c>
      <c r="H28" s="9">
        <v>21</v>
      </c>
      <c r="I28" s="9" t="str">
        <f>[1]!'MPB/VOL01 13 50 4 23'</f>
        <v xml:space="preserve">    </v>
      </c>
      <c r="J28" s="10" t="str">
        <f>[1]!'MPB/VOL01 13 57 5 23'</f>
        <v xml:space="preserve">     </v>
      </c>
    </row>
    <row r="29" spans="1:10" x14ac:dyDescent="0.2">
      <c r="G29" s="15" t="str">
        <f>[1]!'MPB/VOL01 14 40 7 23'</f>
        <v xml:space="preserve">       </v>
      </c>
      <c r="H29" s="9">
        <v>22</v>
      </c>
      <c r="I29" s="9" t="str">
        <f>[1]!'MPB/VOL01 14 50 4 23'</f>
        <v xml:space="preserve">    </v>
      </c>
      <c r="J29" s="10" t="str">
        <f>[1]!'MPB/VOL01 14 57 5 23'</f>
        <v xml:space="preserve">     </v>
      </c>
    </row>
    <row r="30" spans="1:10" x14ac:dyDescent="0.2">
      <c r="G30" s="15" t="str">
        <f>[1]!'MPB/VOL01 15 40 7 23'</f>
        <v xml:space="preserve">       </v>
      </c>
      <c r="H30" s="9">
        <v>23</v>
      </c>
      <c r="I30" s="9" t="str">
        <f>[1]!'MPB/VOL01 15 50 4 23'</f>
        <v xml:space="preserve">    </v>
      </c>
      <c r="J30" s="10" t="str">
        <f>[1]!'MPB/VOL01 15 57 5 23'</f>
        <v xml:space="preserve">     </v>
      </c>
    </row>
    <row r="31" spans="1:10" x14ac:dyDescent="0.2">
      <c r="G31" s="15" t="str">
        <f>[1]!'MPB/VOL01 16 40 7 23'</f>
        <v xml:space="preserve">       </v>
      </c>
      <c r="H31" s="9">
        <v>24</v>
      </c>
      <c r="I31" s="9" t="str">
        <f>[1]!'MPB/VOL01 16 50 4 23'</f>
        <v xml:space="preserve">    </v>
      </c>
      <c r="J31" s="10" t="str">
        <f>[1]!'MPB/VOL01 16 57 5 23'</f>
        <v xml:space="preserve">     </v>
      </c>
    </row>
    <row r="32" spans="1:10" x14ac:dyDescent="0.2">
      <c r="G32" s="16" t="str">
        <f>[1]!'MPB/VOL01 17 40 7 23'</f>
        <v xml:space="preserve">       </v>
      </c>
      <c r="H32" s="12">
        <v>25</v>
      </c>
      <c r="I32" s="12" t="str">
        <f>[1]!'MPB/VOL01 17 50 4 23'</f>
        <v xml:space="preserve">    </v>
      </c>
      <c r="J32" s="13" t="str">
        <f>[1]!'MPB/VOL01 17 57 5 23'</f>
        <v xml:space="preserve">     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111"/>
  <dimension ref="A1:J32"/>
  <sheetViews>
    <sheetView showGridLines="0" zoomScale="75" workbookViewId="0"/>
  </sheetViews>
  <sheetFormatPr defaultRowHeight="12.75" x14ac:dyDescent="0.2"/>
  <cols>
    <col min="1" max="1" width="24.5703125" style="1" bestFit="1" customWidth="1"/>
    <col min="2" max="3" width="9.140625" style="1"/>
    <col min="4" max="4" width="22" style="1" bestFit="1" customWidth="1"/>
    <col min="5" max="16384" width="9.140625" style="1"/>
  </cols>
  <sheetData>
    <row r="1" spans="1:10" x14ac:dyDescent="0.2">
      <c r="A1" s="1" t="str">
        <f t="array" ref="A1:A22">[1]!'MAG/VOL01 0 0 80 23'</f>
        <v>18:18 21JUL00                                                          MAG/VOL01</v>
      </c>
    </row>
    <row r="2" spans="1:10" x14ac:dyDescent="0.2">
      <c r="A2" s="1" t="str">
        <v xml:space="preserve">          LONDON METAL EXCHANGE SUMMARY                                         </v>
      </c>
    </row>
    <row r="3" spans="1:10" x14ac:dyDescent="0.2">
      <c r="A3" s="1" t="str">
        <v xml:space="preserve">AT-THE-MONEY INDICATIVE OPTION CLOSING PREMIUMS &amp; VOLATILITIES - SILVER         </v>
      </c>
    </row>
    <row r="4" spans="1:10" x14ac:dyDescent="0.2">
      <c r="A4" s="1" t="str">
        <v xml:space="preserve">                                                                                </v>
      </c>
    </row>
    <row r="5" spans="1:10" x14ac:dyDescent="0.2">
      <c r="A5" s="1" t="str">
        <v xml:space="preserve">MONTH  STRIKE   VOL     CALL      PUT     MONTH  STRIKE   VOL     CALL      PUT </v>
      </c>
    </row>
    <row r="6" spans="1:10" x14ac:dyDescent="0.2">
      <c r="A6" s="1" t="str">
        <v>================================================================================</v>
      </c>
    </row>
    <row r="7" spans="1:10" x14ac:dyDescent="0.2">
      <c r="A7" s="1" t="str">
        <v xml:space="preserve">                                                                                </v>
      </c>
      <c r="G7" s="17" t="s">
        <v>5</v>
      </c>
      <c r="H7" s="18" t="s">
        <v>8</v>
      </c>
      <c r="I7" s="18" t="s">
        <v>6</v>
      </c>
      <c r="J7" s="19" t="s">
        <v>7</v>
      </c>
    </row>
    <row r="8" spans="1:10" x14ac:dyDescent="0.2">
      <c r="A8" s="1" t="str">
        <v>AUG00   500=   21.50     7.44     8.04    OCT01    500   20.50    42.67    39.92</v>
      </c>
      <c r="G8" s="5" t="str">
        <f t="array" ref="G8">[1]!'MAG/VOL01 7 0 6 23'</f>
        <v xml:space="preserve">AUG00 </v>
      </c>
      <c r="H8" s="6">
        <v>1</v>
      </c>
      <c r="I8" s="6" t="str">
        <f>[1]!'MAG/VOL01 7 7 4 23'</f>
        <v xml:space="preserve"> 500</v>
      </c>
      <c r="J8" s="7" t="str">
        <f>[1]!'MAG/VOL01 7 15 5 23'</f>
        <v>21.50</v>
      </c>
    </row>
    <row r="9" spans="1:10" x14ac:dyDescent="0.2">
      <c r="A9" s="1" t="str">
        <v>SEP00   500=   21.50    15.95    14.57    NOV01    500   20.50    44.00    41.25</v>
      </c>
      <c r="G9" s="8" t="str">
        <f>[1]!'MAG/VOL01 8 0 6 23'</f>
        <v xml:space="preserve">SEP00 </v>
      </c>
      <c r="H9" s="9">
        <v>2</v>
      </c>
      <c r="I9" s="9" t="str">
        <f>[1]!'MAG/VOL01 8 7 4 23'</f>
        <v xml:space="preserve"> 500</v>
      </c>
      <c r="J9" s="10" t="str">
        <f>[1]!'MAG/VOL01 8 15 5 23'</f>
        <v>21.50</v>
      </c>
    </row>
    <row r="10" spans="1:10" x14ac:dyDescent="0.2">
      <c r="A10" s="1" t="str">
        <v>OCT00   500=   21.50    20.65    17.79    DEC01    500   20.50    45.00    42.28</v>
      </c>
      <c r="G10" s="8" t="str">
        <f>[1]!'MAG/VOL01 9 0 6 23'</f>
        <v xml:space="preserve">OCT00 </v>
      </c>
      <c r="H10" s="9">
        <v>3</v>
      </c>
      <c r="I10" s="9" t="str">
        <f>[1]!'MAG/VOL01 9 7 4 23'</f>
        <v xml:space="preserve"> 500</v>
      </c>
      <c r="J10" s="10" t="str">
        <f>[1]!'MAG/VOL01 9 15 5 23'</f>
        <v>21.50</v>
      </c>
    </row>
    <row r="11" spans="1:10" x14ac:dyDescent="0.2">
      <c r="A11" s="1" t="str">
        <v>NOV00   500=   21.50    23.87    20.93    JAN02    500   20.50    45.96    43.25</v>
      </c>
      <c r="G11" s="8" t="str">
        <f>[1]!'MAG/VOL01 10 0 6 23'</f>
        <v xml:space="preserve">NOV00 </v>
      </c>
      <c r="H11" s="9">
        <v>4</v>
      </c>
      <c r="I11" s="9" t="str">
        <f>[1]!'MAG/VOL01 10 7 4 23'</f>
        <v xml:space="preserve"> 500</v>
      </c>
      <c r="J11" s="10" t="str">
        <f>[1]!'MAG/VOL01 10 15 5 23'</f>
        <v>21.50</v>
      </c>
    </row>
    <row r="12" spans="1:10" x14ac:dyDescent="0.2">
      <c r="A12" s="1" t="str">
        <v>DEC00   500=   21.50    27.21    24.29    FEB02    500   20.50    47.10    44.40</v>
      </c>
      <c r="G12" s="8" t="str">
        <f>[1]!'MAG/VOL01 11 0 6 23'</f>
        <v xml:space="preserve">DEC00 </v>
      </c>
      <c r="H12" s="9">
        <v>5</v>
      </c>
      <c r="I12" s="9" t="str">
        <f>[1]!'MAG/VOL01 11 7 4 23'</f>
        <v xml:space="preserve"> 500</v>
      </c>
      <c r="J12" s="10" t="str">
        <f>[1]!'MAG/VOL01 11 15 5 23'</f>
        <v>21.50</v>
      </c>
    </row>
    <row r="13" spans="1:10" x14ac:dyDescent="0.2">
      <c r="A13" s="1" t="str">
        <v>JAN01   500=   21.50    29.54    26.63    MAR02    500   20.50    47.96    45.28</v>
      </c>
      <c r="G13" s="8" t="str">
        <f>[1]!'MAG/VOL01 12 0 6 23'</f>
        <v xml:space="preserve">JAN01 </v>
      </c>
      <c r="H13" s="9">
        <v>6</v>
      </c>
      <c r="I13" s="9" t="str">
        <f>[1]!'MAG/VOL01 12 7 4 23'</f>
        <v xml:space="preserve"> 500</v>
      </c>
      <c r="J13" s="10" t="str">
        <f>[1]!'MAG/VOL01 12 15 5 23'</f>
        <v>21.50</v>
      </c>
    </row>
    <row r="14" spans="1:10" x14ac:dyDescent="0.2">
      <c r="A14" s="1" t="str">
        <v>FEB01   500=   20.50    30.71    27.83    APR02    500   20.50    48.79    46.12</v>
      </c>
      <c r="G14" s="8" t="str">
        <f>[1]!'MAG/VOL01 13 0 6 23'</f>
        <v xml:space="preserve">FEB01 </v>
      </c>
      <c r="H14" s="9">
        <v>7</v>
      </c>
      <c r="I14" s="9" t="str">
        <f>[1]!'MAG/VOL01 13 7 4 23'</f>
        <v xml:space="preserve"> 500</v>
      </c>
      <c r="J14" s="10" t="str">
        <f>[1]!'MAG/VOL01 13 15 5 23'</f>
        <v>20.50</v>
      </c>
    </row>
    <row r="15" spans="1:10" x14ac:dyDescent="0.2">
      <c r="A15" s="1" t="str">
        <v>MAR01   500=   20.50    32.51    29.64    MAY02    500   20.50    49.59    46.94</v>
      </c>
      <c r="G15" s="8" t="str">
        <f>[1]!'MAG/VOL01 14 0 6 23'</f>
        <v xml:space="preserve">MAR01 </v>
      </c>
      <c r="H15" s="9">
        <v>8</v>
      </c>
      <c r="I15" s="9" t="str">
        <f>[1]!'MAG/VOL01 14 7 4 23'</f>
        <v xml:space="preserve"> 500</v>
      </c>
      <c r="J15" s="10" t="str">
        <f>[1]!'MAG/VOL01 14 15 5 23'</f>
        <v>20.50</v>
      </c>
    </row>
    <row r="16" spans="1:10" x14ac:dyDescent="0.2">
      <c r="A16" s="1" t="str">
        <v>APR01   500=   20.50    34.16    31.31    JUN02    500   20.50    50.54    47.90</v>
      </c>
      <c r="G16" s="8" t="str">
        <f>[1]!'MAG/VOL01 15 0 6 23'</f>
        <v xml:space="preserve">APR01 </v>
      </c>
      <c r="H16" s="9">
        <v>9</v>
      </c>
      <c r="I16" s="9" t="str">
        <f>[1]!'MAG/VOL01 15 7 4 23'</f>
        <v xml:space="preserve"> 500</v>
      </c>
      <c r="J16" s="10" t="str">
        <f>[1]!'MAG/VOL01 15 15 5 23'</f>
        <v>20.50</v>
      </c>
    </row>
    <row r="17" spans="1:10" x14ac:dyDescent="0.2">
      <c r="A17" s="1" t="str">
        <v>MAY01   500=   20.50    35.70    32.87    JUL02    500   20.50    51.27    48.64</v>
      </c>
      <c r="G17" s="8" t="str">
        <f>[1]!'MAG/VOL01 16 0 6 23'</f>
        <v xml:space="preserve">MAY01 </v>
      </c>
      <c r="H17" s="9">
        <v>10</v>
      </c>
      <c r="I17" s="9" t="str">
        <f>[1]!'MAG/VOL01 16 7 4 23'</f>
        <v xml:space="preserve"> 500</v>
      </c>
      <c r="J17" s="10" t="str">
        <f>[1]!'MAG/VOL01 16 15 5 23'</f>
        <v>20.50</v>
      </c>
    </row>
    <row r="18" spans="1:10" x14ac:dyDescent="0.2">
      <c r="A18" s="1" t="str">
        <v>JUN01   500=   20.50    37.49    34.67    AUG02    500   20.50    52.14    49.53</v>
      </c>
      <c r="G18" s="8" t="str">
        <f>[1]!'MAG/VOL01 17 0 6 23'</f>
        <v xml:space="preserve">JUN01 </v>
      </c>
      <c r="H18" s="9">
        <v>11</v>
      </c>
      <c r="I18" s="9" t="str">
        <f>[1]!'MAG/VOL01 17 7 4 23'</f>
        <v xml:space="preserve"> 500</v>
      </c>
      <c r="J18" s="10" t="str">
        <f>[1]!'MAG/VOL01 17 15 5 23'</f>
        <v>20.50</v>
      </c>
    </row>
    <row r="19" spans="1:10" x14ac:dyDescent="0.2">
      <c r="A19" s="1" t="str">
        <v>JUL01   500=   20.50    38.82    36.01    SEP02    500   20.50    52.80    50.20</v>
      </c>
      <c r="G19" s="8" t="str">
        <f>[1]!'MAG/VOL01 18 0 6 23'</f>
        <v xml:space="preserve">JUL01 </v>
      </c>
      <c r="H19" s="9">
        <v>12</v>
      </c>
      <c r="I19" s="9" t="str">
        <f>[1]!'MAG/VOL01 18 7 4 23'</f>
        <v xml:space="preserve"> 500</v>
      </c>
      <c r="J19" s="10" t="str">
        <f>[1]!'MAG/VOL01 18 15 5 23'</f>
        <v>20.50</v>
      </c>
    </row>
    <row r="20" spans="1:10" x14ac:dyDescent="0.2">
      <c r="A20" s="1" t="str">
        <v>AUG01   500=   20.50    40.07    37.28    OCT02    500   20.50    53.43    50.85</v>
      </c>
      <c r="G20" s="8" t="str">
        <f>[1]!'MAG/VOL01 19 0 6 23'</f>
        <v xml:space="preserve">AUG01 </v>
      </c>
      <c r="H20" s="9">
        <v>13</v>
      </c>
      <c r="I20" s="9" t="str">
        <f>[1]!'MAG/VOL01 19 7 4 23'</f>
        <v xml:space="preserve"> 500</v>
      </c>
      <c r="J20" s="10" t="str">
        <f>[1]!'MAG/VOL01 19 15 5 23'</f>
        <v>20.50</v>
      </c>
    </row>
    <row r="21" spans="1:10" x14ac:dyDescent="0.2">
      <c r="A21" s="1" t="str">
        <v xml:space="preserve">SEP01   500=   20.50    41.56    38.78    OCT02                                 </v>
      </c>
      <c r="G21" s="11" t="str">
        <f>[1]!'MAG/VOL01 20 0 6 23'</f>
        <v xml:space="preserve">SEP01 </v>
      </c>
      <c r="H21" s="12">
        <v>14</v>
      </c>
      <c r="I21" s="12" t="str">
        <f>[1]!'MAG/VOL01 20 7 4 23'</f>
        <v xml:space="preserve"> 500</v>
      </c>
      <c r="J21" s="13" t="str">
        <f>[1]!'MAG/VOL01 20 15 5 23'</f>
        <v>20.50</v>
      </c>
    </row>
    <row r="22" spans="1:10" x14ac:dyDescent="0.2">
      <c r="A22" s="1" t="str">
        <v xml:space="preserve">                                                                                </v>
      </c>
      <c r="G22" s="14" t="str">
        <f>[1]!'MAG/VOL01 7 40 7 23'</f>
        <v xml:space="preserve">  OCT01</v>
      </c>
      <c r="H22" s="6">
        <v>15</v>
      </c>
      <c r="I22" s="6" t="str">
        <f>[1]!'MAG/VOL01 7 50 4 23'</f>
        <v xml:space="preserve"> 500</v>
      </c>
      <c r="J22" s="7" t="str">
        <f>[1]!'MAG/VOL01 7 57 5 23'</f>
        <v>20.50</v>
      </c>
    </row>
    <row r="23" spans="1:10" x14ac:dyDescent="0.2">
      <c r="G23" s="15" t="str">
        <f>[1]!'MAG/VOL01 8 40 7 23'</f>
        <v xml:space="preserve">  NOV01</v>
      </c>
      <c r="H23" s="9">
        <v>16</v>
      </c>
      <c r="I23" s="9" t="str">
        <f>[1]!'MAG/VOL01 8 50 4 23'</f>
        <v xml:space="preserve"> 500</v>
      </c>
      <c r="J23" s="10" t="str">
        <f>[1]!'MAG/VOL01 8 57 5 23'</f>
        <v>20.50</v>
      </c>
    </row>
    <row r="24" spans="1:10" x14ac:dyDescent="0.2">
      <c r="G24" s="15" t="str">
        <f>[1]!'MAG/VOL01 9 40 7 23'</f>
        <v xml:space="preserve">  DEC01</v>
      </c>
      <c r="H24" s="9">
        <v>17</v>
      </c>
      <c r="I24" s="9" t="str">
        <f>[1]!'MAG/VOL01 9 50 4 23'</f>
        <v xml:space="preserve"> 500</v>
      </c>
      <c r="J24" s="10" t="str">
        <f>[1]!'MAG/VOL01 9 57 5 23'</f>
        <v>20.50</v>
      </c>
    </row>
    <row r="25" spans="1:10" x14ac:dyDescent="0.2">
      <c r="G25" s="15" t="str">
        <f>[1]!'MAG/VOL01 10 40 7 23'</f>
        <v xml:space="preserve">  JAN02</v>
      </c>
      <c r="H25" s="9">
        <v>18</v>
      </c>
      <c r="I25" s="9" t="str">
        <f>[1]!'MAG/VOL01 10 50 4 23'</f>
        <v xml:space="preserve"> 500</v>
      </c>
      <c r="J25" s="10" t="str">
        <f>[1]!'MAG/VOL01 10 57 5 23'</f>
        <v>20.50</v>
      </c>
    </row>
    <row r="26" spans="1:10" x14ac:dyDescent="0.2">
      <c r="G26" s="15" t="str">
        <f>[1]!'MAG/VOL01 11 40 7 23'</f>
        <v xml:space="preserve">  FEB02</v>
      </c>
      <c r="H26" s="9">
        <v>19</v>
      </c>
      <c r="I26" s="9" t="str">
        <f>[1]!'MAG/VOL01 11 50 4 23'</f>
        <v xml:space="preserve"> 500</v>
      </c>
      <c r="J26" s="10" t="str">
        <f>[1]!'MAG/VOL01 11 57 5 23'</f>
        <v>20.50</v>
      </c>
    </row>
    <row r="27" spans="1:10" x14ac:dyDescent="0.2">
      <c r="G27" s="15" t="str">
        <f>[1]!'MAG/VOL01 12 40 7 23'</f>
        <v xml:space="preserve">  MAR02</v>
      </c>
      <c r="H27" s="9">
        <v>20</v>
      </c>
      <c r="I27" s="9" t="str">
        <f>[1]!'MAG/VOL01 12 50 4 23'</f>
        <v xml:space="preserve"> 500</v>
      </c>
      <c r="J27" s="10" t="str">
        <f>[1]!'MAG/VOL01 12 57 5 23'</f>
        <v>20.50</v>
      </c>
    </row>
    <row r="28" spans="1:10" x14ac:dyDescent="0.2">
      <c r="G28" s="15" t="str">
        <f>[1]!'MAG/VOL01 13 40 7 23'</f>
        <v xml:space="preserve">  APR02</v>
      </c>
      <c r="H28" s="9">
        <v>21</v>
      </c>
      <c r="I28" s="9" t="str">
        <f>[1]!'MAG/VOL01 13 50 4 23'</f>
        <v xml:space="preserve"> 500</v>
      </c>
      <c r="J28" s="10" t="str">
        <f>[1]!'MAG/VOL01 13 57 5 23'</f>
        <v>20.50</v>
      </c>
    </row>
    <row r="29" spans="1:10" x14ac:dyDescent="0.2">
      <c r="G29" s="15" t="str">
        <f>[1]!'MAG/VOL01 14 40 7 23'</f>
        <v xml:space="preserve">  MAY02</v>
      </c>
      <c r="H29" s="9">
        <v>22</v>
      </c>
      <c r="I29" s="9" t="str">
        <f>[1]!'MAG/VOL01 14 50 4 23'</f>
        <v xml:space="preserve"> 500</v>
      </c>
      <c r="J29" s="10" t="str">
        <f>[1]!'MAG/VOL01 14 57 5 23'</f>
        <v>20.50</v>
      </c>
    </row>
    <row r="30" spans="1:10" x14ac:dyDescent="0.2">
      <c r="G30" s="15" t="str">
        <f>[1]!'MAG/VOL01 15 40 7 23'</f>
        <v xml:space="preserve">  JUN02</v>
      </c>
      <c r="H30" s="9">
        <v>23</v>
      </c>
      <c r="I30" s="9" t="str">
        <f>[1]!'MAG/VOL01 15 50 4 23'</f>
        <v xml:space="preserve"> 500</v>
      </c>
      <c r="J30" s="10" t="str">
        <f>[1]!'MAG/VOL01 15 57 5 23'</f>
        <v>20.50</v>
      </c>
    </row>
    <row r="31" spans="1:10" x14ac:dyDescent="0.2">
      <c r="G31" s="15" t="str">
        <f>[1]!'MAG/VOL01 16 40 7 23'</f>
        <v xml:space="preserve">  JUL02</v>
      </c>
      <c r="H31" s="9">
        <v>24</v>
      </c>
      <c r="I31" s="9" t="str">
        <f>[1]!'MAG/VOL01 16 50 4 23'</f>
        <v xml:space="preserve"> 500</v>
      </c>
      <c r="J31" s="10" t="str">
        <f>[1]!'MAG/VOL01 16 57 5 23'</f>
        <v>20.50</v>
      </c>
    </row>
    <row r="32" spans="1:10" x14ac:dyDescent="0.2">
      <c r="G32" s="16" t="str">
        <f>[1]!'MAG/VOL01 17 40 7 23'</f>
        <v xml:space="preserve">  AUG02</v>
      </c>
      <c r="H32" s="12">
        <v>25</v>
      </c>
      <c r="I32" s="12" t="str">
        <f>[1]!'MAG/VOL01 17 50 4 23'</f>
        <v xml:space="preserve"> 500</v>
      </c>
      <c r="J32" s="13" t="str">
        <f>[1]!'MAG/VOL01 17 57 5 23'</f>
        <v>20.50</v>
      </c>
    </row>
  </sheetData>
  <printOptions horizontalCentered="1"/>
  <pageMargins left="0.25" right="0.25" top="0.75" bottom="0.5" header="0.25" footer="0.25"/>
  <pageSetup paperSize="9" scale="90" orientation="landscape" r:id="rId1"/>
  <headerFooter alignWithMargins="0">
    <oddHeader>&amp;C&amp;A &amp;D &amp;T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0" sqref="A10"/>
    </sheetView>
  </sheetViews>
  <sheetFormatPr defaultRowHeight="12.75" x14ac:dyDescent="0.2"/>
  <cols>
    <col min="1" max="1" width="11.7109375" customWidth="1"/>
    <col min="2" max="2" width="10.140625" bestFit="1" customWidth="1"/>
  </cols>
  <sheetData>
    <row r="2" spans="1:2" x14ac:dyDescent="0.2">
      <c r="A2" t="s">
        <v>0</v>
      </c>
      <c r="B2" s="2">
        <v>36731</v>
      </c>
    </row>
    <row r="3" spans="1:2" x14ac:dyDescent="0.2">
      <c r="A3" t="s">
        <v>1</v>
      </c>
      <c r="B3" s="3">
        <v>0.06</v>
      </c>
    </row>
    <row r="4" spans="1:2" x14ac:dyDescent="0.2">
      <c r="A4" t="s">
        <v>2</v>
      </c>
      <c r="B4" s="3">
        <v>0.06</v>
      </c>
    </row>
    <row r="5" spans="1:2" x14ac:dyDescent="0.2">
      <c r="A5" t="s">
        <v>3</v>
      </c>
    </row>
    <row r="6" spans="1:2" x14ac:dyDescent="0.2">
      <c r="A6" t="s">
        <v>4</v>
      </c>
      <c r="B6">
        <v>1</v>
      </c>
    </row>
    <row r="8" spans="1:2" x14ac:dyDescent="0.2">
      <c r="B8" t="s">
        <v>6</v>
      </c>
    </row>
    <row r="9" spans="1:2" x14ac:dyDescent="0.2">
      <c r="A9" t="s">
        <v>5</v>
      </c>
    </row>
    <row r="10" spans="1:2" x14ac:dyDescent="0.2">
      <c r="A10" s="4">
        <f>EOMONTH($B$2,0)</f>
        <v>36738</v>
      </c>
    </row>
    <row r="11" spans="1:2" x14ac:dyDescent="0.2">
      <c r="A11" s="4">
        <f>EOMONTH($B$2,1)</f>
        <v>36769</v>
      </c>
    </row>
    <row r="12" spans="1:2" x14ac:dyDescent="0.2">
      <c r="A12" s="4">
        <f>EOMONTH($B$2,1)</f>
        <v>36769</v>
      </c>
    </row>
    <row r="13" spans="1:2" x14ac:dyDescent="0.2">
      <c r="A13" s="4">
        <f>EOMONTH($B$2,1)</f>
        <v>36769</v>
      </c>
    </row>
    <row r="14" spans="1:2" x14ac:dyDescent="0.2">
      <c r="A14" s="4">
        <f>EOMONTH($B$2,1)</f>
        <v>36769</v>
      </c>
    </row>
    <row r="15" spans="1:2" x14ac:dyDescent="0.2">
      <c r="A15" s="4">
        <f>EOMONTH($B$2,1)</f>
        <v>36769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Aluminum</vt:lpstr>
      <vt:lpstr>Copper</vt:lpstr>
      <vt:lpstr>Nickel</vt:lpstr>
      <vt:lpstr>Zinc</vt:lpstr>
      <vt:lpstr>Lead</vt:lpstr>
      <vt:lpstr>Silver</vt:lpstr>
      <vt:lpstr>Al Pricing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2000-01-12T18:12:00Z</cp:lastPrinted>
  <dcterms:created xsi:type="dcterms:W3CDTF">1997-10-28T09:43:39Z</dcterms:created>
  <dcterms:modified xsi:type="dcterms:W3CDTF">2014-09-05T11:14:28Z</dcterms:modified>
</cp:coreProperties>
</file>