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2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15" yWindow="840" windowWidth="13950" windowHeight="7425" activeTab="3"/>
  </bookViews>
  <sheets>
    <sheet name="Daily" sheetId="2" r:id="rId1"/>
    <sheet name="Monthly" sheetId="11" r:id="rId2"/>
    <sheet name="Override" sheetId="4" r:id="rId3"/>
    <sheet name="Calc" sheetId="5" r:id="rId4"/>
    <sheet name="Power Curves" sheetId="10" r:id="rId5"/>
  </sheets>
  <definedNames>
    <definedName name="atmvol" localSheetId="1">Daily!$L$5:$L$36</definedName>
    <definedName name="atmvol">Daily!$L$5:$L$36</definedName>
    <definedName name="atmvol_m">Monthly!$L$5:$L$36</definedName>
    <definedName name="BasisIndex" localSheetId="1">Daily!$AV$14:$AV$43</definedName>
    <definedName name="BasisIndex">Daily!$AU$14:$AV$27</definedName>
    <definedName name="BasisIndex_m">Monthly!$AU$14:$AV$27</definedName>
    <definedName name="BasisNumber" localSheetId="1">Daily!$AV$12</definedName>
    <definedName name="BasisNumber">Daily!$AV$12</definedName>
    <definedName name="BasisNumber_m">Monthly!$AV$12</definedName>
    <definedName name="CinDailyInput">Override!$S$5:$U$72</definedName>
    <definedName name="CindailyPrices">Override!$T$5:$T$35</definedName>
    <definedName name="CurveDate" localSheetId="1">Daily!$J$39</definedName>
    <definedName name="CurveDate">Daily!$J$39</definedName>
    <definedName name="CurveDate_m">Monthly!$J$67</definedName>
    <definedName name="datetoday" localSheetId="1">Monthly!$J$66</definedName>
    <definedName name="datetoday">Daily!$J$38</definedName>
    <definedName name="daytable" localSheetId="3">Calc!$U$5:$Y$447</definedName>
    <definedName name="daytable">#REF!</definedName>
    <definedName name="driver" localSheetId="1">Daily!$BH$11</definedName>
    <definedName name="driver">Daily!$BH$11</definedName>
    <definedName name="driver_m">Monthly!$BH$11</definedName>
    <definedName name="InputTable">Override!$K$5:$N$72</definedName>
    <definedName name="InputTable_m">Override!$BX$5:$CA$72</definedName>
    <definedName name="IRFirstMonth">'Power Curves'!$A$3</definedName>
    <definedName name="peak_base" localSheetId="1">Daily!$AY$12</definedName>
    <definedName name="peak_base">Daily!$AY$12</definedName>
    <definedName name="peak_base_m">Monthly!$AY$12</definedName>
    <definedName name="PositionBasis">'Power Curves'!$BO$4</definedName>
    <definedName name="PositionRegion">'Power Curves'!$D$3</definedName>
    <definedName name="PriceTable">'Power Curves'!$D$9:$T$261</definedName>
    <definedName name="_xlnm.Print_Area" localSheetId="2">Override!$R$5:$T$35</definedName>
    <definedName name="RegionIndex" localSheetId="1">Monthly!$AR$13:$AR$20</definedName>
    <definedName name="RegionIndex">Daily!$AR$13:$AR$20</definedName>
    <definedName name="RegionNumber" localSheetId="1">Monthly!$AS$11</definedName>
    <definedName name="RegionNumber">Daily!$AS$11</definedName>
    <definedName name="smile" localSheetId="1">Monthly!$BE$12</definedName>
    <definedName name="smile">Daily!$BE$12</definedName>
    <definedName name="swapvol" localSheetId="1">Monthly!$BE$16</definedName>
    <definedName name="swapvol">Daily!$BE$16</definedName>
    <definedName name="unit" localSheetId="1">Daily!$BH$15</definedName>
    <definedName name="unit">Daily!$BH$15</definedName>
    <definedName name="unit_m">Monthly!$BH$15</definedName>
    <definedName name="VolTable">'Power Curves'!$M$9:$AN$232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AA5" i="5" l="1"/>
  <c r="AB5" i="5"/>
  <c r="AC5" i="5"/>
  <c r="AD5" i="5"/>
  <c r="AE5" i="5"/>
  <c r="AF5" i="5"/>
  <c r="AG5" i="5"/>
  <c r="AH5" i="5"/>
  <c r="AI5" i="5"/>
  <c r="AJ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AA6" i="5"/>
  <c r="AB6" i="5"/>
  <c r="AC6" i="5"/>
  <c r="AD6" i="5"/>
  <c r="AE6" i="5"/>
  <c r="AF6" i="5"/>
  <c r="AG6" i="5"/>
  <c r="AH6" i="5"/>
  <c r="AI6" i="5"/>
  <c r="AJ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D6" i="5"/>
  <c r="BE6" i="5"/>
  <c r="BF6" i="5"/>
  <c r="BG6" i="5"/>
  <c r="BH6" i="5"/>
  <c r="BI6" i="5"/>
  <c r="BJ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AA7" i="5"/>
  <c r="AB7" i="5"/>
  <c r="AC7" i="5"/>
  <c r="AD7" i="5"/>
  <c r="AE7" i="5"/>
  <c r="AF7" i="5"/>
  <c r="AG7" i="5"/>
  <c r="AH7" i="5"/>
  <c r="AI7" i="5"/>
  <c r="AJ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D7" i="5"/>
  <c r="BE7" i="5"/>
  <c r="BF7" i="5"/>
  <c r="BG7" i="5"/>
  <c r="BH7" i="5"/>
  <c r="BI7" i="5"/>
  <c r="BJ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AA8" i="5"/>
  <c r="AB8" i="5"/>
  <c r="AC8" i="5"/>
  <c r="AD8" i="5"/>
  <c r="AE8" i="5"/>
  <c r="AF8" i="5"/>
  <c r="AG8" i="5"/>
  <c r="AH8" i="5"/>
  <c r="AI8" i="5"/>
  <c r="AJ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D8" i="5"/>
  <c r="BE8" i="5"/>
  <c r="BF8" i="5"/>
  <c r="BG8" i="5"/>
  <c r="BH8" i="5"/>
  <c r="BI8" i="5"/>
  <c r="BJ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AA9" i="5"/>
  <c r="AB9" i="5"/>
  <c r="AC9" i="5"/>
  <c r="AD9" i="5"/>
  <c r="AE9" i="5"/>
  <c r="AF9" i="5"/>
  <c r="AG9" i="5"/>
  <c r="AH9" i="5"/>
  <c r="AI9" i="5"/>
  <c r="AJ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D9" i="5"/>
  <c r="BE9" i="5"/>
  <c r="BF9" i="5"/>
  <c r="BG9" i="5"/>
  <c r="BH9" i="5"/>
  <c r="BI9" i="5"/>
  <c r="BJ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AA10" i="5"/>
  <c r="AB10" i="5"/>
  <c r="AC10" i="5"/>
  <c r="AD10" i="5"/>
  <c r="AE10" i="5"/>
  <c r="AF10" i="5"/>
  <c r="AG10" i="5"/>
  <c r="AH10" i="5"/>
  <c r="AI10" i="5"/>
  <c r="AJ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D10" i="5"/>
  <c r="BE10" i="5"/>
  <c r="BF10" i="5"/>
  <c r="BG10" i="5"/>
  <c r="BH10" i="5"/>
  <c r="BI10" i="5"/>
  <c r="BJ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A11" i="5"/>
  <c r="AB11" i="5"/>
  <c r="AC11" i="5"/>
  <c r="AD11" i="5"/>
  <c r="AE11" i="5"/>
  <c r="AF11" i="5"/>
  <c r="AG11" i="5"/>
  <c r="AH11" i="5"/>
  <c r="AI11" i="5"/>
  <c r="AJ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D11" i="5"/>
  <c r="BE11" i="5"/>
  <c r="BF11" i="5"/>
  <c r="BG11" i="5"/>
  <c r="BH11" i="5"/>
  <c r="BI11" i="5"/>
  <c r="BJ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A12" i="5"/>
  <c r="AB12" i="5"/>
  <c r="AC12" i="5"/>
  <c r="AD12" i="5"/>
  <c r="AE12" i="5"/>
  <c r="AF12" i="5"/>
  <c r="AG12" i="5"/>
  <c r="AH12" i="5"/>
  <c r="AI12" i="5"/>
  <c r="AJ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D12" i="5"/>
  <c r="BE12" i="5"/>
  <c r="BF12" i="5"/>
  <c r="BG12" i="5"/>
  <c r="BH12" i="5"/>
  <c r="BI12" i="5"/>
  <c r="BJ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A13" i="5"/>
  <c r="AB13" i="5"/>
  <c r="AC13" i="5"/>
  <c r="AD13" i="5"/>
  <c r="AE13" i="5"/>
  <c r="AF13" i="5"/>
  <c r="AG13" i="5"/>
  <c r="AH13" i="5"/>
  <c r="AI13" i="5"/>
  <c r="AJ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D13" i="5"/>
  <c r="BE13" i="5"/>
  <c r="BF13" i="5"/>
  <c r="BG13" i="5"/>
  <c r="BH13" i="5"/>
  <c r="BI13" i="5"/>
  <c r="BJ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A14" i="5"/>
  <c r="AB14" i="5"/>
  <c r="AC14" i="5"/>
  <c r="AD14" i="5"/>
  <c r="AE14" i="5"/>
  <c r="AF14" i="5"/>
  <c r="AG14" i="5"/>
  <c r="AH14" i="5"/>
  <c r="AI14" i="5"/>
  <c r="AJ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D14" i="5"/>
  <c r="BE14" i="5"/>
  <c r="BF14" i="5"/>
  <c r="BG14" i="5"/>
  <c r="BH14" i="5"/>
  <c r="BI14" i="5"/>
  <c r="BJ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A15" i="5"/>
  <c r="AB15" i="5"/>
  <c r="AC15" i="5"/>
  <c r="AD15" i="5"/>
  <c r="AE15" i="5"/>
  <c r="AF15" i="5"/>
  <c r="AG15" i="5"/>
  <c r="AH15" i="5"/>
  <c r="AI15" i="5"/>
  <c r="AJ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D15" i="5"/>
  <c r="BE15" i="5"/>
  <c r="BF15" i="5"/>
  <c r="BG15" i="5"/>
  <c r="BH15" i="5"/>
  <c r="BI15" i="5"/>
  <c r="BJ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A16" i="5"/>
  <c r="AB16" i="5"/>
  <c r="AC16" i="5"/>
  <c r="AD16" i="5"/>
  <c r="AE16" i="5"/>
  <c r="AF16" i="5"/>
  <c r="AG16" i="5"/>
  <c r="AH16" i="5"/>
  <c r="AI16" i="5"/>
  <c r="AJ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D16" i="5"/>
  <c r="BE16" i="5"/>
  <c r="BF16" i="5"/>
  <c r="BG16" i="5"/>
  <c r="BH16" i="5"/>
  <c r="BI16" i="5"/>
  <c r="BJ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A17" i="5"/>
  <c r="AB17" i="5"/>
  <c r="AC17" i="5"/>
  <c r="AD17" i="5"/>
  <c r="AE17" i="5"/>
  <c r="AF17" i="5"/>
  <c r="AG17" i="5"/>
  <c r="AH17" i="5"/>
  <c r="AI17" i="5"/>
  <c r="AJ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D17" i="5"/>
  <c r="BE17" i="5"/>
  <c r="BF17" i="5"/>
  <c r="BG17" i="5"/>
  <c r="BH17" i="5"/>
  <c r="BI17" i="5"/>
  <c r="BJ17" i="5"/>
  <c r="AA18" i="5"/>
  <c r="AB18" i="5"/>
  <c r="AC18" i="5"/>
  <c r="AD18" i="5"/>
  <c r="AE18" i="5"/>
  <c r="AF18" i="5"/>
  <c r="AG18" i="5"/>
  <c r="AH18" i="5"/>
  <c r="AI18" i="5"/>
  <c r="AJ18" i="5"/>
  <c r="AA19" i="5"/>
  <c r="AB19" i="5"/>
  <c r="AC19" i="5"/>
  <c r="AD19" i="5"/>
  <c r="AE19" i="5"/>
  <c r="AF19" i="5"/>
  <c r="AG19" i="5"/>
  <c r="AH19" i="5"/>
  <c r="AI19" i="5"/>
  <c r="AJ19" i="5"/>
  <c r="AA20" i="5"/>
  <c r="AB20" i="5"/>
  <c r="AC20" i="5"/>
  <c r="AD20" i="5"/>
  <c r="AE20" i="5"/>
  <c r="AF20" i="5"/>
  <c r="AG20" i="5"/>
  <c r="AH20" i="5"/>
  <c r="AI20" i="5"/>
  <c r="AJ20" i="5"/>
  <c r="AA21" i="5"/>
  <c r="AB21" i="5"/>
  <c r="AC21" i="5"/>
  <c r="AD21" i="5"/>
  <c r="AE21" i="5"/>
  <c r="AF21" i="5"/>
  <c r="AG21" i="5"/>
  <c r="AH21" i="5"/>
  <c r="AI21" i="5"/>
  <c r="AJ21" i="5"/>
  <c r="AA22" i="5"/>
  <c r="AB22" i="5"/>
  <c r="AC22" i="5"/>
  <c r="AD22" i="5"/>
  <c r="AE22" i="5"/>
  <c r="AF22" i="5"/>
  <c r="AG22" i="5"/>
  <c r="AH22" i="5"/>
  <c r="AI22" i="5"/>
  <c r="AJ22" i="5"/>
  <c r="AA23" i="5"/>
  <c r="AB23" i="5"/>
  <c r="AC23" i="5"/>
  <c r="AD23" i="5"/>
  <c r="AE23" i="5"/>
  <c r="AF23" i="5"/>
  <c r="AG23" i="5"/>
  <c r="AH23" i="5"/>
  <c r="AI23" i="5"/>
  <c r="AJ23" i="5"/>
  <c r="J24" i="5"/>
  <c r="AA24" i="5"/>
  <c r="AB24" i="5"/>
  <c r="AC24" i="5"/>
  <c r="AD24" i="5"/>
  <c r="AE24" i="5"/>
  <c r="AF24" i="5"/>
  <c r="AG24" i="5"/>
  <c r="AH24" i="5"/>
  <c r="AI24" i="5"/>
  <c r="AJ24" i="5"/>
  <c r="AA25" i="5"/>
  <c r="AB25" i="5"/>
  <c r="AC25" i="5"/>
  <c r="AD25" i="5"/>
  <c r="AE25" i="5"/>
  <c r="AF25" i="5"/>
  <c r="AG25" i="5"/>
  <c r="AH25" i="5"/>
  <c r="AI25" i="5"/>
  <c r="AJ25" i="5"/>
  <c r="I26" i="5"/>
  <c r="AA26" i="5"/>
  <c r="AB26" i="5"/>
  <c r="AC26" i="5"/>
  <c r="AD26" i="5"/>
  <c r="AE26" i="5"/>
  <c r="AF26" i="5"/>
  <c r="AG26" i="5"/>
  <c r="AH26" i="5"/>
  <c r="AI26" i="5"/>
  <c r="AJ26" i="5"/>
  <c r="AA27" i="5"/>
  <c r="AB27" i="5"/>
  <c r="AC27" i="5"/>
  <c r="AD27" i="5"/>
  <c r="AE27" i="5"/>
  <c r="AF27" i="5"/>
  <c r="AG27" i="5"/>
  <c r="AH27" i="5"/>
  <c r="AI27" i="5"/>
  <c r="AJ27" i="5"/>
  <c r="AA28" i="5"/>
  <c r="AB28" i="5"/>
  <c r="AC28" i="5"/>
  <c r="AD28" i="5"/>
  <c r="AE28" i="5"/>
  <c r="AF28" i="5"/>
  <c r="AG28" i="5"/>
  <c r="AH28" i="5"/>
  <c r="AI28" i="5"/>
  <c r="AJ28" i="5"/>
  <c r="AA29" i="5"/>
  <c r="AB29" i="5"/>
  <c r="AC29" i="5"/>
  <c r="AD29" i="5"/>
  <c r="AE29" i="5"/>
  <c r="AF29" i="5"/>
  <c r="AG29" i="5"/>
  <c r="AH29" i="5"/>
  <c r="AI29" i="5"/>
  <c r="AJ29" i="5"/>
  <c r="AA30" i="5"/>
  <c r="AB30" i="5"/>
  <c r="AC30" i="5"/>
  <c r="AD30" i="5"/>
  <c r="AE30" i="5"/>
  <c r="AF30" i="5"/>
  <c r="AG30" i="5"/>
  <c r="AH30" i="5"/>
  <c r="AI30" i="5"/>
  <c r="AJ30" i="5"/>
  <c r="AA31" i="5"/>
  <c r="AB31" i="5"/>
  <c r="AC31" i="5"/>
  <c r="AD31" i="5"/>
  <c r="AE31" i="5"/>
  <c r="AF31" i="5"/>
  <c r="AG31" i="5"/>
  <c r="AH31" i="5"/>
  <c r="AI31" i="5"/>
  <c r="AJ31" i="5"/>
  <c r="AA32" i="5"/>
  <c r="AB32" i="5"/>
  <c r="AC32" i="5"/>
  <c r="AD32" i="5"/>
  <c r="AE32" i="5"/>
  <c r="AF32" i="5"/>
  <c r="AG32" i="5"/>
  <c r="AH32" i="5"/>
  <c r="AI32" i="5"/>
  <c r="AJ32" i="5"/>
  <c r="AA33" i="5"/>
  <c r="AB33" i="5"/>
  <c r="AC33" i="5"/>
  <c r="AD33" i="5"/>
  <c r="AE33" i="5"/>
  <c r="AF33" i="5"/>
  <c r="AG33" i="5"/>
  <c r="AH33" i="5"/>
  <c r="AI33" i="5"/>
  <c r="AJ33" i="5"/>
  <c r="AA34" i="5"/>
  <c r="AB34" i="5"/>
  <c r="AC34" i="5"/>
  <c r="AD34" i="5"/>
  <c r="AE34" i="5"/>
  <c r="AF34" i="5"/>
  <c r="AG34" i="5"/>
  <c r="AH34" i="5"/>
  <c r="AI34" i="5"/>
  <c r="AJ34" i="5"/>
  <c r="AA35" i="5"/>
  <c r="AB35" i="5"/>
  <c r="AC35" i="5"/>
  <c r="AD35" i="5"/>
  <c r="AE35" i="5"/>
  <c r="AF35" i="5"/>
  <c r="AG35" i="5"/>
  <c r="AH35" i="5"/>
  <c r="AI35" i="5"/>
  <c r="AJ35" i="5"/>
  <c r="AA36" i="5"/>
  <c r="AB36" i="5"/>
  <c r="AC36" i="5"/>
  <c r="AD36" i="5"/>
  <c r="AE36" i="5"/>
  <c r="AF36" i="5"/>
  <c r="AG36" i="5"/>
  <c r="AH36" i="5"/>
  <c r="AI36" i="5"/>
  <c r="AJ36" i="5"/>
  <c r="AA37" i="5"/>
  <c r="AB37" i="5"/>
  <c r="AC37" i="5"/>
  <c r="AD37" i="5"/>
  <c r="AE37" i="5"/>
  <c r="AF37" i="5"/>
  <c r="AG37" i="5"/>
  <c r="AH37" i="5"/>
  <c r="AI37" i="5"/>
  <c r="AJ37" i="5"/>
  <c r="AA38" i="5"/>
  <c r="AB38" i="5"/>
  <c r="AC38" i="5"/>
  <c r="AD38" i="5"/>
  <c r="AE38" i="5"/>
  <c r="AF38" i="5"/>
  <c r="AG38" i="5"/>
  <c r="AH38" i="5"/>
  <c r="AI38" i="5"/>
  <c r="AJ38" i="5"/>
  <c r="AA39" i="5"/>
  <c r="AB39" i="5"/>
  <c r="AC39" i="5"/>
  <c r="AD39" i="5"/>
  <c r="AE39" i="5"/>
  <c r="AF39" i="5"/>
  <c r="AG39" i="5"/>
  <c r="AH39" i="5"/>
  <c r="AI39" i="5"/>
  <c r="AJ39" i="5"/>
  <c r="AA40" i="5"/>
  <c r="AB40" i="5"/>
  <c r="AC40" i="5"/>
  <c r="AD40" i="5"/>
  <c r="AE40" i="5"/>
  <c r="AF40" i="5"/>
  <c r="AG40" i="5"/>
  <c r="AH40" i="5"/>
  <c r="AI40" i="5"/>
  <c r="AJ40" i="5"/>
  <c r="AA41" i="5"/>
  <c r="AB41" i="5"/>
  <c r="AC41" i="5"/>
  <c r="AD41" i="5"/>
  <c r="AE41" i="5"/>
  <c r="AF41" i="5"/>
  <c r="AG41" i="5"/>
  <c r="AH41" i="5"/>
  <c r="AI41" i="5"/>
  <c r="AJ41" i="5"/>
  <c r="AA42" i="5"/>
  <c r="AB42" i="5"/>
  <c r="AC42" i="5"/>
  <c r="AD42" i="5"/>
  <c r="AE42" i="5"/>
  <c r="AF42" i="5"/>
  <c r="AG42" i="5"/>
  <c r="AH42" i="5"/>
  <c r="AI42" i="5"/>
  <c r="AJ42" i="5"/>
  <c r="AA43" i="5"/>
  <c r="AB43" i="5"/>
  <c r="AC43" i="5"/>
  <c r="AD43" i="5"/>
  <c r="AE43" i="5"/>
  <c r="AF43" i="5"/>
  <c r="AG43" i="5"/>
  <c r="AH43" i="5"/>
  <c r="AI43" i="5"/>
  <c r="AJ43" i="5"/>
  <c r="AA44" i="5"/>
  <c r="AB44" i="5"/>
  <c r="AC44" i="5"/>
  <c r="AD44" i="5"/>
  <c r="AE44" i="5"/>
  <c r="AF44" i="5"/>
  <c r="AG44" i="5"/>
  <c r="AH44" i="5"/>
  <c r="AI44" i="5"/>
  <c r="AJ44" i="5"/>
  <c r="AA45" i="5"/>
  <c r="AB45" i="5"/>
  <c r="AC45" i="5"/>
  <c r="AD45" i="5"/>
  <c r="AE45" i="5"/>
  <c r="AF45" i="5"/>
  <c r="AG45" i="5"/>
  <c r="AH45" i="5"/>
  <c r="AI45" i="5"/>
  <c r="AJ45" i="5"/>
  <c r="AA46" i="5"/>
  <c r="AB46" i="5"/>
  <c r="AC46" i="5"/>
  <c r="AD46" i="5"/>
  <c r="AE46" i="5"/>
  <c r="AF46" i="5"/>
  <c r="AG46" i="5"/>
  <c r="AH46" i="5"/>
  <c r="AI46" i="5"/>
  <c r="AJ46" i="5"/>
  <c r="AA47" i="5"/>
  <c r="AB47" i="5"/>
  <c r="AC47" i="5"/>
  <c r="AD47" i="5"/>
  <c r="AE47" i="5"/>
  <c r="AF47" i="5"/>
  <c r="AG47" i="5"/>
  <c r="AH47" i="5"/>
  <c r="AI47" i="5"/>
  <c r="AJ47" i="5"/>
  <c r="AA48" i="5"/>
  <c r="AB48" i="5"/>
  <c r="AC48" i="5"/>
  <c r="AD48" i="5"/>
  <c r="AE48" i="5"/>
  <c r="AF48" i="5"/>
  <c r="AG48" i="5"/>
  <c r="AH48" i="5"/>
  <c r="AI48" i="5"/>
  <c r="AJ48" i="5"/>
  <c r="AA49" i="5"/>
  <c r="AB49" i="5"/>
  <c r="AC49" i="5"/>
  <c r="AD49" i="5"/>
  <c r="AE49" i="5"/>
  <c r="AF49" i="5"/>
  <c r="AG49" i="5"/>
  <c r="AH49" i="5"/>
  <c r="AI49" i="5"/>
  <c r="AJ49" i="5"/>
  <c r="AA50" i="5"/>
  <c r="AB50" i="5"/>
  <c r="AC50" i="5"/>
  <c r="AD50" i="5"/>
  <c r="AE50" i="5"/>
  <c r="AF50" i="5"/>
  <c r="AG50" i="5"/>
  <c r="AH50" i="5"/>
  <c r="AI50" i="5"/>
  <c r="AJ50" i="5"/>
  <c r="AA51" i="5"/>
  <c r="AB51" i="5"/>
  <c r="AC51" i="5"/>
  <c r="AD51" i="5"/>
  <c r="AE51" i="5"/>
  <c r="AF51" i="5"/>
  <c r="AG51" i="5"/>
  <c r="AH51" i="5"/>
  <c r="AI51" i="5"/>
  <c r="AJ51" i="5"/>
  <c r="AA52" i="5"/>
  <c r="AB52" i="5"/>
  <c r="AC52" i="5"/>
  <c r="AD52" i="5"/>
  <c r="AE52" i="5"/>
  <c r="AF52" i="5"/>
  <c r="AG52" i="5"/>
  <c r="AH52" i="5"/>
  <c r="AI52" i="5"/>
  <c r="AJ52" i="5"/>
  <c r="AA53" i="5"/>
  <c r="AB53" i="5"/>
  <c r="AC53" i="5"/>
  <c r="AD53" i="5"/>
  <c r="AE53" i="5"/>
  <c r="AF53" i="5"/>
  <c r="AG53" i="5"/>
  <c r="AH53" i="5"/>
  <c r="AI53" i="5"/>
  <c r="AJ53" i="5"/>
  <c r="AA54" i="5"/>
  <c r="AB54" i="5"/>
  <c r="AC54" i="5"/>
  <c r="AD54" i="5"/>
  <c r="AE54" i="5"/>
  <c r="AF54" i="5"/>
  <c r="AG54" i="5"/>
  <c r="AH54" i="5"/>
  <c r="AI54" i="5"/>
  <c r="AJ54" i="5"/>
  <c r="AA55" i="5"/>
  <c r="AB55" i="5"/>
  <c r="AC55" i="5"/>
  <c r="AD55" i="5"/>
  <c r="AE55" i="5"/>
  <c r="AF55" i="5"/>
  <c r="AG55" i="5"/>
  <c r="AH55" i="5"/>
  <c r="AI55" i="5"/>
  <c r="AJ55" i="5"/>
  <c r="AA56" i="5"/>
  <c r="AB56" i="5"/>
  <c r="AC56" i="5"/>
  <c r="AD56" i="5"/>
  <c r="AE56" i="5"/>
  <c r="AF56" i="5"/>
  <c r="AG56" i="5"/>
  <c r="AH56" i="5"/>
  <c r="AI56" i="5"/>
  <c r="AJ56" i="5"/>
  <c r="AA57" i="5"/>
  <c r="AB57" i="5"/>
  <c r="AC57" i="5"/>
  <c r="AD57" i="5"/>
  <c r="AE57" i="5"/>
  <c r="AF57" i="5"/>
  <c r="AG57" i="5"/>
  <c r="AH57" i="5"/>
  <c r="AI57" i="5"/>
  <c r="AJ57" i="5"/>
  <c r="AA58" i="5"/>
  <c r="AB58" i="5"/>
  <c r="AC58" i="5"/>
  <c r="AD58" i="5"/>
  <c r="AE58" i="5"/>
  <c r="AF58" i="5"/>
  <c r="AG58" i="5"/>
  <c r="AH58" i="5"/>
  <c r="AI58" i="5"/>
  <c r="AJ58" i="5"/>
  <c r="AA59" i="5"/>
  <c r="AB59" i="5"/>
  <c r="AC59" i="5"/>
  <c r="AD59" i="5"/>
  <c r="AE59" i="5"/>
  <c r="AF59" i="5"/>
  <c r="AG59" i="5"/>
  <c r="AH59" i="5"/>
  <c r="AI59" i="5"/>
  <c r="AJ59" i="5"/>
  <c r="AA60" i="5"/>
  <c r="AB60" i="5"/>
  <c r="AC60" i="5"/>
  <c r="AD60" i="5"/>
  <c r="AE60" i="5"/>
  <c r="AF60" i="5"/>
  <c r="AG60" i="5"/>
  <c r="AH60" i="5"/>
  <c r="AI60" i="5"/>
  <c r="AJ60" i="5"/>
  <c r="AA61" i="5"/>
  <c r="AB61" i="5"/>
  <c r="AC61" i="5"/>
  <c r="AD61" i="5"/>
  <c r="AE61" i="5"/>
  <c r="AF61" i="5"/>
  <c r="AG61" i="5"/>
  <c r="AH61" i="5"/>
  <c r="AI61" i="5"/>
  <c r="AJ61" i="5"/>
  <c r="AA62" i="5"/>
  <c r="AB62" i="5"/>
  <c r="AC62" i="5"/>
  <c r="AD62" i="5"/>
  <c r="AE62" i="5"/>
  <c r="AF62" i="5"/>
  <c r="AG62" i="5"/>
  <c r="AH62" i="5"/>
  <c r="AI62" i="5"/>
  <c r="AJ62" i="5"/>
  <c r="AA63" i="5"/>
  <c r="AB63" i="5"/>
  <c r="AC63" i="5"/>
  <c r="AD63" i="5"/>
  <c r="AE63" i="5"/>
  <c r="AF63" i="5"/>
  <c r="AG63" i="5"/>
  <c r="AH63" i="5"/>
  <c r="AI63" i="5"/>
  <c r="AJ63" i="5"/>
  <c r="AA64" i="5"/>
  <c r="AB64" i="5"/>
  <c r="AC64" i="5"/>
  <c r="AD64" i="5"/>
  <c r="AE64" i="5"/>
  <c r="AF64" i="5"/>
  <c r="AG64" i="5"/>
  <c r="AH64" i="5"/>
  <c r="AI64" i="5"/>
  <c r="AJ64" i="5"/>
  <c r="AA65" i="5"/>
  <c r="AB65" i="5"/>
  <c r="AC65" i="5"/>
  <c r="AD65" i="5"/>
  <c r="AE65" i="5"/>
  <c r="AF65" i="5"/>
  <c r="AG65" i="5"/>
  <c r="AH65" i="5"/>
  <c r="AI65" i="5"/>
  <c r="AJ65" i="5"/>
  <c r="AA66" i="5"/>
  <c r="AB66" i="5"/>
  <c r="AC66" i="5"/>
  <c r="AD66" i="5"/>
  <c r="AE66" i="5"/>
  <c r="AF66" i="5"/>
  <c r="AG66" i="5"/>
  <c r="AH66" i="5"/>
  <c r="AI66" i="5"/>
  <c r="AJ66" i="5"/>
  <c r="AA67" i="5"/>
  <c r="AB67" i="5"/>
  <c r="AC67" i="5"/>
  <c r="AD67" i="5"/>
  <c r="AE67" i="5"/>
  <c r="AF67" i="5"/>
  <c r="AG67" i="5"/>
  <c r="AH67" i="5"/>
  <c r="AI67" i="5"/>
  <c r="AJ67" i="5"/>
  <c r="AA68" i="5"/>
  <c r="AB68" i="5"/>
  <c r="AC68" i="5"/>
  <c r="AD68" i="5"/>
  <c r="AE68" i="5"/>
  <c r="AF68" i="5"/>
  <c r="AG68" i="5"/>
  <c r="AH68" i="5"/>
  <c r="AI68" i="5"/>
  <c r="AJ68" i="5"/>
  <c r="AA69" i="5"/>
  <c r="AB69" i="5"/>
  <c r="AC69" i="5"/>
  <c r="AD69" i="5"/>
  <c r="AE69" i="5"/>
  <c r="AF69" i="5"/>
  <c r="AG69" i="5"/>
  <c r="AH69" i="5"/>
  <c r="AI69" i="5"/>
  <c r="AJ69" i="5"/>
  <c r="AA70" i="5"/>
  <c r="AB70" i="5"/>
  <c r="AC70" i="5"/>
  <c r="AD70" i="5"/>
  <c r="AE70" i="5"/>
  <c r="AF70" i="5"/>
  <c r="AG70" i="5"/>
  <c r="AH70" i="5"/>
  <c r="AI70" i="5"/>
  <c r="AJ70" i="5"/>
  <c r="AA71" i="5"/>
  <c r="AB71" i="5"/>
  <c r="AC71" i="5"/>
  <c r="AD71" i="5"/>
  <c r="AE71" i="5"/>
  <c r="AF71" i="5"/>
  <c r="AG71" i="5"/>
  <c r="AH71" i="5"/>
  <c r="AI71" i="5"/>
  <c r="AJ71" i="5"/>
  <c r="AA72" i="5"/>
  <c r="AB72" i="5"/>
  <c r="AC72" i="5"/>
  <c r="AD72" i="5"/>
  <c r="AE72" i="5"/>
  <c r="AF72" i="5"/>
  <c r="AG72" i="5"/>
  <c r="AH72" i="5"/>
  <c r="AI72" i="5"/>
  <c r="AJ72" i="5"/>
  <c r="K2" i="2"/>
  <c r="B5" i="2"/>
  <c r="C5" i="2"/>
  <c r="D5" i="2"/>
  <c r="G5" i="2"/>
  <c r="H5" i="2"/>
  <c r="I5" i="2"/>
  <c r="K5" i="2"/>
  <c r="L5" i="2"/>
  <c r="B6" i="2"/>
  <c r="C6" i="2"/>
  <c r="D6" i="2"/>
  <c r="G6" i="2"/>
  <c r="H6" i="2"/>
  <c r="I6" i="2"/>
  <c r="K6" i="2"/>
  <c r="L6" i="2"/>
  <c r="B7" i="2"/>
  <c r="C7" i="2"/>
  <c r="D7" i="2"/>
  <c r="G7" i="2"/>
  <c r="H7" i="2"/>
  <c r="I7" i="2"/>
  <c r="K7" i="2"/>
  <c r="L7" i="2"/>
  <c r="B8" i="2"/>
  <c r="C8" i="2"/>
  <c r="D8" i="2"/>
  <c r="G8" i="2"/>
  <c r="H8" i="2"/>
  <c r="I8" i="2"/>
  <c r="K8" i="2"/>
  <c r="L8" i="2"/>
  <c r="B9" i="2"/>
  <c r="C9" i="2"/>
  <c r="D9" i="2"/>
  <c r="G9" i="2"/>
  <c r="H9" i="2"/>
  <c r="I9" i="2"/>
  <c r="K9" i="2"/>
  <c r="L9" i="2"/>
  <c r="B10" i="2"/>
  <c r="C10" i="2"/>
  <c r="D10" i="2"/>
  <c r="G10" i="2"/>
  <c r="H10" i="2"/>
  <c r="I10" i="2"/>
  <c r="K10" i="2"/>
  <c r="L10" i="2"/>
  <c r="B11" i="2"/>
  <c r="C11" i="2"/>
  <c r="D11" i="2"/>
  <c r="G11" i="2"/>
  <c r="H11" i="2"/>
  <c r="I11" i="2"/>
  <c r="K11" i="2"/>
  <c r="L11" i="2"/>
  <c r="AS11" i="2"/>
  <c r="B12" i="2"/>
  <c r="C12" i="2"/>
  <c r="D12" i="2"/>
  <c r="E12" i="2"/>
  <c r="G12" i="2"/>
  <c r="H12" i="2"/>
  <c r="I12" i="2"/>
  <c r="K12" i="2"/>
  <c r="L12" i="2"/>
  <c r="BJ12" i="2"/>
  <c r="BK12" i="2"/>
  <c r="B13" i="2"/>
  <c r="C13" i="2"/>
  <c r="D13" i="2"/>
  <c r="E13" i="2"/>
  <c r="G13" i="2"/>
  <c r="H13" i="2"/>
  <c r="I13" i="2"/>
  <c r="K13" i="2"/>
  <c r="L13" i="2"/>
  <c r="BJ13" i="2"/>
  <c r="BK13" i="2"/>
  <c r="B14" i="2"/>
  <c r="C14" i="2"/>
  <c r="D14" i="2"/>
  <c r="E14" i="2"/>
  <c r="G14" i="2"/>
  <c r="H14" i="2"/>
  <c r="I14" i="2"/>
  <c r="K14" i="2"/>
  <c r="L14" i="2"/>
  <c r="BJ14" i="2"/>
  <c r="BK14" i="2"/>
  <c r="B15" i="2"/>
  <c r="C15" i="2"/>
  <c r="D15" i="2"/>
  <c r="E15" i="2"/>
  <c r="G15" i="2"/>
  <c r="H15" i="2"/>
  <c r="I15" i="2"/>
  <c r="K15" i="2"/>
  <c r="L15" i="2"/>
  <c r="BJ15" i="2"/>
  <c r="BK15" i="2"/>
  <c r="B16" i="2"/>
  <c r="C16" i="2"/>
  <c r="D16" i="2"/>
  <c r="E16" i="2"/>
  <c r="G16" i="2"/>
  <c r="H16" i="2"/>
  <c r="I16" i="2"/>
  <c r="K16" i="2"/>
  <c r="L16" i="2"/>
  <c r="BJ16" i="2"/>
  <c r="BK16" i="2"/>
  <c r="B17" i="2"/>
  <c r="C17" i="2"/>
  <c r="D17" i="2"/>
  <c r="E17" i="2"/>
  <c r="G17" i="2"/>
  <c r="H17" i="2"/>
  <c r="I17" i="2"/>
  <c r="K17" i="2"/>
  <c r="L17" i="2"/>
  <c r="BJ17" i="2"/>
  <c r="BK17" i="2"/>
  <c r="B18" i="2"/>
  <c r="C18" i="2"/>
  <c r="D18" i="2"/>
  <c r="E18" i="2"/>
  <c r="G18" i="2"/>
  <c r="H18" i="2"/>
  <c r="I18" i="2"/>
  <c r="K18" i="2"/>
  <c r="L18" i="2"/>
  <c r="BJ18" i="2"/>
  <c r="BK18" i="2"/>
  <c r="B19" i="2"/>
  <c r="C19" i="2"/>
  <c r="D19" i="2"/>
  <c r="E19" i="2"/>
  <c r="G19" i="2"/>
  <c r="H19" i="2"/>
  <c r="I19" i="2"/>
  <c r="K19" i="2"/>
  <c r="L19" i="2"/>
  <c r="BJ19" i="2"/>
  <c r="BK19" i="2"/>
  <c r="B20" i="2"/>
  <c r="C20" i="2"/>
  <c r="D20" i="2"/>
  <c r="E20" i="2"/>
  <c r="G20" i="2"/>
  <c r="H20" i="2"/>
  <c r="I20" i="2"/>
  <c r="K20" i="2"/>
  <c r="L20" i="2"/>
  <c r="BJ20" i="2"/>
  <c r="BK20" i="2"/>
  <c r="B21" i="2"/>
  <c r="C21" i="2"/>
  <c r="D21" i="2"/>
  <c r="E21" i="2"/>
  <c r="G21" i="2"/>
  <c r="H21" i="2"/>
  <c r="I21" i="2"/>
  <c r="K21" i="2"/>
  <c r="L21" i="2"/>
  <c r="BJ21" i="2"/>
  <c r="BK21" i="2"/>
  <c r="B22" i="2"/>
  <c r="C22" i="2"/>
  <c r="D22" i="2"/>
  <c r="E22" i="2"/>
  <c r="G22" i="2"/>
  <c r="H22" i="2"/>
  <c r="I22" i="2"/>
  <c r="K22" i="2"/>
  <c r="L22" i="2"/>
  <c r="BJ22" i="2"/>
  <c r="BK22" i="2"/>
  <c r="B23" i="2"/>
  <c r="C23" i="2"/>
  <c r="D23" i="2"/>
  <c r="E23" i="2"/>
  <c r="G23" i="2"/>
  <c r="H23" i="2"/>
  <c r="I23" i="2"/>
  <c r="K23" i="2"/>
  <c r="L23" i="2"/>
  <c r="BJ23" i="2"/>
  <c r="BK23" i="2"/>
  <c r="B24" i="2"/>
  <c r="C24" i="2"/>
  <c r="D24" i="2"/>
  <c r="E24" i="2"/>
  <c r="G24" i="2"/>
  <c r="H24" i="2"/>
  <c r="I24" i="2"/>
  <c r="K24" i="2"/>
  <c r="L24" i="2"/>
  <c r="BJ24" i="2"/>
  <c r="BK24" i="2"/>
  <c r="B25" i="2"/>
  <c r="C25" i="2"/>
  <c r="D25" i="2"/>
  <c r="E25" i="2"/>
  <c r="G25" i="2"/>
  <c r="H25" i="2"/>
  <c r="I25" i="2"/>
  <c r="K25" i="2"/>
  <c r="L25" i="2"/>
  <c r="BJ25" i="2"/>
  <c r="BK25" i="2"/>
  <c r="B26" i="2"/>
  <c r="C26" i="2"/>
  <c r="D26" i="2"/>
  <c r="E26" i="2"/>
  <c r="G26" i="2"/>
  <c r="H26" i="2"/>
  <c r="I26" i="2"/>
  <c r="K26" i="2"/>
  <c r="L26" i="2"/>
  <c r="BJ26" i="2"/>
  <c r="BK26" i="2"/>
  <c r="B27" i="2"/>
  <c r="C27" i="2"/>
  <c r="D27" i="2"/>
  <c r="E27" i="2"/>
  <c r="G27" i="2"/>
  <c r="H27" i="2"/>
  <c r="I27" i="2"/>
  <c r="K27" i="2"/>
  <c r="L27" i="2"/>
  <c r="BJ27" i="2"/>
  <c r="BK27" i="2"/>
  <c r="B28" i="2"/>
  <c r="C28" i="2"/>
  <c r="D28" i="2"/>
  <c r="E28" i="2"/>
  <c r="G28" i="2"/>
  <c r="H28" i="2"/>
  <c r="I28" i="2"/>
  <c r="K28" i="2"/>
  <c r="L28" i="2"/>
  <c r="BJ28" i="2"/>
  <c r="BK28" i="2"/>
  <c r="B29" i="2"/>
  <c r="C29" i="2"/>
  <c r="D29" i="2"/>
  <c r="E29" i="2"/>
  <c r="G29" i="2"/>
  <c r="H29" i="2"/>
  <c r="I29" i="2"/>
  <c r="K29" i="2"/>
  <c r="L29" i="2"/>
  <c r="BJ29" i="2"/>
  <c r="BK29" i="2"/>
  <c r="B30" i="2"/>
  <c r="C30" i="2"/>
  <c r="D30" i="2"/>
  <c r="E30" i="2"/>
  <c r="G30" i="2"/>
  <c r="H30" i="2"/>
  <c r="I30" i="2"/>
  <c r="K30" i="2"/>
  <c r="L30" i="2"/>
  <c r="BJ30" i="2"/>
  <c r="BK30" i="2"/>
  <c r="B31" i="2"/>
  <c r="C31" i="2"/>
  <c r="D31" i="2"/>
  <c r="E31" i="2"/>
  <c r="G31" i="2"/>
  <c r="H31" i="2"/>
  <c r="I31" i="2"/>
  <c r="K31" i="2"/>
  <c r="L31" i="2"/>
  <c r="BJ31" i="2"/>
  <c r="BK31" i="2"/>
  <c r="B32" i="2"/>
  <c r="C32" i="2"/>
  <c r="D32" i="2"/>
  <c r="E32" i="2"/>
  <c r="G32" i="2"/>
  <c r="H32" i="2"/>
  <c r="I32" i="2"/>
  <c r="K32" i="2"/>
  <c r="L32" i="2"/>
  <c r="BJ32" i="2"/>
  <c r="BK32" i="2"/>
  <c r="B33" i="2"/>
  <c r="C33" i="2"/>
  <c r="D33" i="2"/>
  <c r="E33" i="2"/>
  <c r="G33" i="2"/>
  <c r="H33" i="2"/>
  <c r="I33" i="2"/>
  <c r="K33" i="2"/>
  <c r="L33" i="2"/>
  <c r="BJ33" i="2"/>
  <c r="BK33" i="2"/>
  <c r="B34" i="2"/>
  <c r="C34" i="2"/>
  <c r="D34" i="2"/>
  <c r="E34" i="2"/>
  <c r="G34" i="2"/>
  <c r="H34" i="2"/>
  <c r="I34" i="2"/>
  <c r="K34" i="2"/>
  <c r="L34" i="2"/>
  <c r="BJ34" i="2"/>
  <c r="BK34" i="2"/>
  <c r="B35" i="2"/>
  <c r="C35" i="2"/>
  <c r="D35" i="2"/>
  <c r="E35" i="2"/>
  <c r="G35" i="2"/>
  <c r="H35" i="2"/>
  <c r="I35" i="2"/>
  <c r="K35" i="2"/>
  <c r="L35" i="2"/>
  <c r="BJ35" i="2"/>
  <c r="BK35" i="2"/>
  <c r="B36" i="2"/>
  <c r="C36" i="2"/>
  <c r="D36" i="2"/>
  <c r="E36" i="2"/>
  <c r="G36" i="2"/>
  <c r="H36" i="2"/>
  <c r="I36" i="2"/>
  <c r="K36" i="2"/>
  <c r="L36" i="2"/>
  <c r="BJ36" i="2"/>
  <c r="BK36" i="2"/>
  <c r="BJ37" i="2"/>
  <c r="BK37" i="2"/>
  <c r="J38" i="2"/>
  <c r="BJ38" i="2"/>
  <c r="BK38" i="2"/>
  <c r="BJ39" i="2"/>
  <c r="BK39" i="2"/>
  <c r="BJ40" i="2"/>
  <c r="BK40" i="2"/>
  <c r="BJ41" i="2"/>
  <c r="BK41" i="2"/>
  <c r="M42" i="2"/>
  <c r="O42" i="2"/>
  <c r="P42" i="2"/>
  <c r="Q42" i="2"/>
  <c r="R42" i="2"/>
  <c r="BJ42" i="2"/>
  <c r="BK42" i="2"/>
  <c r="BJ43" i="2"/>
  <c r="BK43" i="2"/>
  <c r="BJ44" i="2"/>
  <c r="BK44" i="2"/>
  <c r="BJ45" i="2"/>
  <c r="BK45" i="2"/>
  <c r="J46" i="2"/>
  <c r="K46" i="2"/>
  <c r="O46" i="2"/>
  <c r="P46" i="2"/>
  <c r="Q46" i="2"/>
  <c r="R46" i="2"/>
  <c r="S46" i="2"/>
  <c r="T46" i="2"/>
  <c r="BJ46" i="2"/>
  <c r="BK46" i="2"/>
  <c r="J47" i="2"/>
  <c r="K47" i="2"/>
  <c r="O47" i="2"/>
  <c r="P47" i="2"/>
  <c r="Q47" i="2"/>
  <c r="R47" i="2"/>
  <c r="S47" i="2"/>
  <c r="T47" i="2"/>
  <c r="BJ47" i="2"/>
  <c r="BK47" i="2"/>
  <c r="J48" i="2"/>
  <c r="K48" i="2"/>
  <c r="O48" i="2"/>
  <c r="P48" i="2"/>
  <c r="Q48" i="2"/>
  <c r="R48" i="2"/>
  <c r="S48" i="2"/>
  <c r="T48" i="2"/>
  <c r="BJ48" i="2"/>
  <c r="BK48" i="2"/>
  <c r="J49" i="2"/>
  <c r="K49" i="2"/>
  <c r="O49" i="2"/>
  <c r="P49" i="2"/>
  <c r="Q49" i="2"/>
  <c r="R49" i="2"/>
  <c r="S49" i="2"/>
  <c r="T49" i="2"/>
  <c r="BJ49" i="2"/>
  <c r="BK49" i="2"/>
  <c r="J50" i="2"/>
  <c r="K50" i="2"/>
  <c r="O50" i="2"/>
  <c r="P50" i="2"/>
  <c r="Q50" i="2"/>
  <c r="R50" i="2"/>
  <c r="S50" i="2"/>
  <c r="T50" i="2"/>
  <c r="BJ50" i="2"/>
  <c r="BK50" i="2"/>
  <c r="J51" i="2"/>
  <c r="K51" i="2"/>
  <c r="O51" i="2"/>
  <c r="P51" i="2"/>
  <c r="Q51" i="2"/>
  <c r="R51" i="2"/>
  <c r="S51" i="2"/>
  <c r="T51" i="2"/>
  <c r="BJ51" i="2"/>
  <c r="BK51" i="2"/>
  <c r="J52" i="2"/>
  <c r="K52" i="2"/>
  <c r="O52" i="2"/>
  <c r="P52" i="2"/>
  <c r="Q52" i="2"/>
  <c r="R52" i="2"/>
  <c r="S52" i="2"/>
  <c r="T52" i="2"/>
  <c r="BJ52" i="2"/>
  <c r="BK52" i="2"/>
  <c r="J53" i="2"/>
  <c r="K53" i="2"/>
  <c r="O53" i="2"/>
  <c r="P53" i="2"/>
  <c r="Q53" i="2"/>
  <c r="R53" i="2"/>
  <c r="S53" i="2"/>
  <c r="T53" i="2"/>
  <c r="BJ53" i="2"/>
  <c r="BK53" i="2"/>
  <c r="J54" i="2"/>
  <c r="K54" i="2"/>
  <c r="O54" i="2"/>
  <c r="P54" i="2"/>
  <c r="Q54" i="2"/>
  <c r="R54" i="2"/>
  <c r="S54" i="2"/>
  <c r="T54" i="2"/>
  <c r="BJ54" i="2"/>
  <c r="BK54" i="2"/>
  <c r="J55" i="2"/>
  <c r="K55" i="2"/>
  <c r="O55" i="2"/>
  <c r="P55" i="2"/>
  <c r="Q55" i="2"/>
  <c r="R55" i="2"/>
  <c r="S55" i="2"/>
  <c r="T55" i="2"/>
  <c r="BJ55" i="2"/>
  <c r="BK55" i="2"/>
  <c r="J56" i="2"/>
  <c r="K56" i="2"/>
  <c r="O56" i="2"/>
  <c r="P56" i="2"/>
  <c r="Q56" i="2"/>
  <c r="R56" i="2"/>
  <c r="S56" i="2"/>
  <c r="T56" i="2"/>
  <c r="BJ56" i="2"/>
  <c r="BK56" i="2"/>
  <c r="J57" i="2"/>
  <c r="K57" i="2"/>
  <c r="O57" i="2"/>
  <c r="P57" i="2"/>
  <c r="Q57" i="2"/>
  <c r="R57" i="2"/>
  <c r="S57" i="2"/>
  <c r="T57" i="2"/>
  <c r="BJ57" i="2"/>
  <c r="BK57" i="2"/>
  <c r="BJ58" i="2"/>
  <c r="BK58" i="2"/>
  <c r="BJ59" i="2"/>
  <c r="BK59" i="2"/>
  <c r="BJ60" i="2"/>
  <c r="BK60" i="2"/>
  <c r="BJ61" i="2"/>
  <c r="BK61" i="2"/>
  <c r="BJ62" i="2"/>
  <c r="BK62" i="2"/>
  <c r="BJ63" i="2"/>
  <c r="BK63" i="2"/>
  <c r="BJ64" i="2"/>
  <c r="BK64" i="2"/>
  <c r="BJ65" i="2"/>
  <c r="BK65" i="2"/>
  <c r="BJ66" i="2"/>
  <c r="BK66" i="2"/>
  <c r="BJ67" i="2"/>
  <c r="BK67" i="2"/>
  <c r="BJ68" i="2"/>
  <c r="BK68" i="2"/>
  <c r="BJ69" i="2"/>
  <c r="BK69" i="2"/>
  <c r="BJ70" i="2"/>
  <c r="BK70" i="2"/>
  <c r="BJ71" i="2"/>
  <c r="BK71" i="2"/>
  <c r="BJ72" i="2"/>
  <c r="BK72" i="2"/>
  <c r="BJ73" i="2"/>
  <c r="BK73" i="2"/>
  <c r="BJ74" i="2"/>
  <c r="BK74" i="2"/>
  <c r="BJ75" i="2"/>
  <c r="BK75" i="2"/>
  <c r="BJ76" i="2"/>
  <c r="BK76" i="2"/>
  <c r="BJ77" i="2"/>
  <c r="BK77" i="2"/>
  <c r="BJ78" i="2"/>
  <c r="BK78" i="2"/>
  <c r="B5" i="11"/>
  <c r="C5" i="11"/>
  <c r="D5" i="11"/>
  <c r="K5" i="11"/>
  <c r="L5" i="11"/>
  <c r="B6" i="11"/>
  <c r="C6" i="11"/>
  <c r="D6" i="11"/>
  <c r="K6" i="11"/>
  <c r="L6" i="11"/>
  <c r="B7" i="11"/>
  <c r="C7" i="11"/>
  <c r="D7" i="11"/>
  <c r="K7" i="11"/>
  <c r="L7" i="11"/>
  <c r="B8" i="11"/>
  <c r="C8" i="11"/>
  <c r="D8" i="11"/>
  <c r="K8" i="11"/>
  <c r="L8" i="11"/>
  <c r="B9" i="11"/>
  <c r="C9" i="11"/>
  <c r="D9" i="11"/>
  <c r="K9" i="11"/>
  <c r="L9" i="11"/>
  <c r="B10" i="11"/>
  <c r="C10" i="11"/>
  <c r="D10" i="11"/>
  <c r="K10" i="11"/>
  <c r="L10" i="11"/>
  <c r="B11" i="11"/>
  <c r="C11" i="11"/>
  <c r="D11" i="11"/>
  <c r="K11" i="11"/>
  <c r="L11" i="11"/>
  <c r="AS11" i="11"/>
  <c r="B12" i="11"/>
  <c r="C12" i="11"/>
  <c r="D12" i="11"/>
  <c r="E12" i="11"/>
  <c r="K12" i="11"/>
  <c r="L12" i="11"/>
  <c r="BJ12" i="11"/>
  <c r="BK12" i="11"/>
  <c r="B13" i="11"/>
  <c r="C13" i="11"/>
  <c r="D13" i="11"/>
  <c r="E13" i="11"/>
  <c r="K13" i="11"/>
  <c r="L13" i="11"/>
  <c r="BJ13" i="11"/>
  <c r="BK13" i="11"/>
  <c r="B14" i="11"/>
  <c r="C14" i="11"/>
  <c r="D14" i="11"/>
  <c r="E14" i="11"/>
  <c r="K14" i="11"/>
  <c r="L14" i="11"/>
  <c r="BJ14" i="11"/>
  <c r="BK14" i="11"/>
  <c r="B15" i="11"/>
  <c r="C15" i="11"/>
  <c r="D15" i="11"/>
  <c r="E15" i="11"/>
  <c r="K15" i="11"/>
  <c r="L15" i="11"/>
  <c r="BJ15" i="11"/>
  <c r="BK15" i="11"/>
  <c r="B16" i="11"/>
  <c r="C16" i="11"/>
  <c r="D16" i="11"/>
  <c r="E16" i="11"/>
  <c r="K16" i="11"/>
  <c r="L16" i="11"/>
  <c r="BJ16" i="11"/>
  <c r="BK16" i="11"/>
  <c r="B17" i="11"/>
  <c r="C17" i="11"/>
  <c r="D17" i="11"/>
  <c r="E17" i="11"/>
  <c r="K17" i="11"/>
  <c r="L17" i="11"/>
  <c r="BJ17" i="11"/>
  <c r="BK17" i="11"/>
  <c r="B18" i="11"/>
  <c r="C18" i="11"/>
  <c r="D18" i="11"/>
  <c r="E18" i="11"/>
  <c r="K18" i="11"/>
  <c r="L18" i="11"/>
  <c r="BJ18" i="11"/>
  <c r="BK18" i="11"/>
  <c r="B19" i="11"/>
  <c r="C19" i="11"/>
  <c r="D19" i="11"/>
  <c r="E19" i="11"/>
  <c r="K19" i="11"/>
  <c r="L19" i="11"/>
  <c r="BJ19" i="11"/>
  <c r="BK19" i="11"/>
  <c r="B20" i="11"/>
  <c r="C20" i="11"/>
  <c r="D20" i="11"/>
  <c r="E20" i="11"/>
  <c r="K20" i="11"/>
  <c r="L20" i="11"/>
  <c r="BJ20" i="11"/>
  <c r="BK20" i="11"/>
  <c r="B21" i="11"/>
  <c r="C21" i="11"/>
  <c r="D21" i="11"/>
  <c r="E21" i="11"/>
  <c r="K21" i="11"/>
  <c r="L21" i="11"/>
  <c r="BJ21" i="11"/>
  <c r="BK21" i="11"/>
  <c r="B22" i="11"/>
  <c r="C22" i="11"/>
  <c r="D22" i="11"/>
  <c r="E22" i="11"/>
  <c r="K22" i="11"/>
  <c r="L22" i="11"/>
  <c r="BJ22" i="11"/>
  <c r="BK22" i="11"/>
  <c r="B23" i="11"/>
  <c r="C23" i="11"/>
  <c r="D23" i="11"/>
  <c r="E23" i="11"/>
  <c r="K23" i="11"/>
  <c r="L23" i="11"/>
  <c r="BJ23" i="11"/>
  <c r="BK23" i="11"/>
  <c r="B24" i="11"/>
  <c r="C24" i="11"/>
  <c r="D24" i="11"/>
  <c r="E24" i="11"/>
  <c r="K24" i="11"/>
  <c r="L24" i="11"/>
  <c r="BJ24" i="11"/>
  <c r="BK24" i="11"/>
  <c r="B25" i="11"/>
  <c r="C25" i="11"/>
  <c r="D25" i="11"/>
  <c r="E25" i="11"/>
  <c r="K25" i="11"/>
  <c r="L25" i="11"/>
  <c r="BJ25" i="11"/>
  <c r="BK25" i="11"/>
  <c r="B26" i="11"/>
  <c r="C26" i="11"/>
  <c r="D26" i="11"/>
  <c r="E26" i="11"/>
  <c r="K26" i="11"/>
  <c r="L26" i="11"/>
  <c r="BJ26" i="11"/>
  <c r="BK26" i="11"/>
  <c r="B27" i="11"/>
  <c r="C27" i="11"/>
  <c r="D27" i="11"/>
  <c r="E27" i="11"/>
  <c r="K27" i="11"/>
  <c r="L27" i="11"/>
  <c r="BJ27" i="11"/>
  <c r="BK27" i="11"/>
  <c r="B28" i="11"/>
  <c r="C28" i="11"/>
  <c r="D28" i="11"/>
  <c r="E28" i="11"/>
  <c r="K28" i="11"/>
  <c r="L28" i="11"/>
  <c r="BJ28" i="11"/>
  <c r="BK28" i="11"/>
  <c r="B29" i="11"/>
  <c r="C29" i="11"/>
  <c r="D29" i="11"/>
  <c r="E29" i="11"/>
  <c r="K29" i="11"/>
  <c r="L29" i="11"/>
  <c r="BJ29" i="11"/>
  <c r="BK29" i="11"/>
  <c r="B30" i="11"/>
  <c r="C30" i="11"/>
  <c r="D30" i="11"/>
  <c r="E30" i="11"/>
  <c r="K30" i="11"/>
  <c r="L30" i="11"/>
  <c r="BJ30" i="11"/>
  <c r="BK30" i="11"/>
  <c r="B31" i="11"/>
  <c r="C31" i="11"/>
  <c r="D31" i="11"/>
  <c r="E31" i="11"/>
  <c r="K31" i="11"/>
  <c r="L31" i="11"/>
  <c r="BJ31" i="11"/>
  <c r="BK31" i="11"/>
  <c r="B32" i="11"/>
  <c r="C32" i="11"/>
  <c r="D32" i="11"/>
  <c r="E32" i="11"/>
  <c r="K32" i="11"/>
  <c r="L32" i="11"/>
  <c r="BJ32" i="11"/>
  <c r="BK32" i="11"/>
  <c r="B33" i="11"/>
  <c r="C33" i="11"/>
  <c r="D33" i="11"/>
  <c r="E33" i="11"/>
  <c r="K33" i="11"/>
  <c r="L33" i="11"/>
  <c r="BJ33" i="11"/>
  <c r="BK33" i="11"/>
  <c r="B34" i="11"/>
  <c r="C34" i="11"/>
  <c r="D34" i="11"/>
  <c r="E34" i="11"/>
  <c r="K34" i="11"/>
  <c r="L34" i="11"/>
  <c r="BJ34" i="11"/>
  <c r="BK34" i="11"/>
  <c r="B35" i="11"/>
  <c r="C35" i="11"/>
  <c r="D35" i="11"/>
  <c r="E35" i="11"/>
  <c r="K35" i="11"/>
  <c r="L35" i="11"/>
  <c r="BJ35" i="11"/>
  <c r="BK35" i="11"/>
  <c r="B36" i="11"/>
  <c r="C36" i="11"/>
  <c r="D36" i="11"/>
  <c r="E36" i="11"/>
  <c r="K36" i="11"/>
  <c r="L36" i="11"/>
  <c r="BJ36" i="11"/>
  <c r="BK36" i="11"/>
  <c r="B37" i="11"/>
  <c r="C37" i="11"/>
  <c r="D37" i="11"/>
  <c r="E37" i="11"/>
  <c r="BJ37" i="11"/>
  <c r="BK37" i="11"/>
  <c r="B38" i="11"/>
  <c r="C38" i="11"/>
  <c r="D38" i="11"/>
  <c r="E38" i="11"/>
  <c r="BJ38" i="11"/>
  <c r="BK38" i="11"/>
  <c r="B39" i="11"/>
  <c r="C39" i="11"/>
  <c r="D39" i="11"/>
  <c r="E39" i="11"/>
  <c r="BJ39" i="11"/>
  <c r="BK39" i="11"/>
  <c r="B40" i="11"/>
  <c r="C40" i="11"/>
  <c r="D40" i="11"/>
  <c r="E40" i="11"/>
  <c r="BJ40" i="11"/>
  <c r="BK40" i="11"/>
  <c r="B41" i="11"/>
  <c r="C41" i="11"/>
  <c r="D41" i="11"/>
  <c r="E41" i="11"/>
  <c r="BJ41" i="11"/>
  <c r="BK41" i="11"/>
  <c r="B42" i="11"/>
  <c r="C42" i="11"/>
  <c r="D42" i="11"/>
  <c r="E42" i="11"/>
  <c r="BJ42" i="11"/>
  <c r="BK42" i="11"/>
  <c r="B43" i="11"/>
  <c r="C43" i="11"/>
  <c r="D43" i="11"/>
  <c r="E43" i="11"/>
  <c r="BJ43" i="11"/>
  <c r="BK43" i="11"/>
  <c r="B44" i="11"/>
  <c r="C44" i="11"/>
  <c r="D44" i="11"/>
  <c r="E44" i="11"/>
  <c r="BJ44" i="11"/>
  <c r="BK44" i="11"/>
  <c r="B45" i="11"/>
  <c r="C45" i="11"/>
  <c r="D45" i="11"/>
  <c r="E45" i="11"/>
  <c r="BJ45" i="11"/>
  <c r="BK45" i="11"/>
  <c r="B46" i="11"/>
  <c r="C46" i="11"/>
  <c r="D46" i="11"/>
  <c r="E46" i="11"/>
  <c r="BJ46" i="11"/>
  <c r="BK46" i="11"/>
  <c r="B47" i="11"/>
  <c r="C47" i="11"/>
  <c r="D47" i="11"/>
  <c r="E47" i="11"/>
  <c r="BJ47" i="11"/>
  <c r="BK47" i="11"/>
  <c r="B48" i="11"/>
  <c r="C48" i="11"/>
  <c r="D48" i="11"/>
  <c r="E48" i="11"/>
  <c r="BJ48" i="11"/>
  <c r="BK48" i="11"/>
  <c r="B49" i="11"/>
  <c r="C49" i="11"/>
  <c r="D49" i="11"/>
  <c r="E49" i="11"/>
  <c r="BJ49" i="11"/>
  <c r="BK49" i="11"/>
  <c r="B50" i="11"/>
  <c r="C50" i="11"/>
  <c r="D50" i="11"/>
  <c r="E50" i="11"/>
  <c r="BJ50" i="11"/>
  <c r="BK50" i="11"/>
  <c r="B51" i="11"/>
  <c r="C51" i="11"/>
  <c r="D51" i="11"/>
  <c r="E51" i="11"/>
  <c r="BJ51" i="11"/>
  <c r="BK51" i="11"/>
  <c r="B52" i="11"/>
  <c r="C52" i="11"/>
  <c r="D52" i="11"/>
  <c r="E52" i="11"/>
  <c r="BJ52" i="11"/>
  <c r="BK52" i="11"/>
  <c r="B53" i="11"/>
  <c r="C53" i="11"/>
  <c r="D53" i="11"/>
  <c r="E53" i="11"/>
  <c r="BJ53" i="11"/>
  <c r="BK53" i="11"/>
  <c r="B54" i="11"/>
  <c r="C54" i="11"/>
  <c r="D54" i="11"/>
  <c r="E54" i="11"/>
  <c r="BJ54" i="11"/>
  <c r="BK54" i="11"/>
  <c r="B55" i="11"/>
  <c r="C55" i="11"/>
  <c r="D55" i="11"/>
  <c r="E55" i="11"/>
  <c r="BJ55" i="11"/>
  <c r="BK55" i="11"/>
  <c r="B56" i="11"/>
  <c r="C56" i="11"/>
  <c r="D56" i="11"/>
  <c r="E56" i="11"/>
  <c r="BJ56" i="11"/>
  <c r="BK56" i="11"/>
  <c r="B57" i="11"/>
  <c r="C57" i="11"/>
  <c r="D57" i="11"/>
  <c r="E57" i="11"/>
  <c r="BJ57" i="11"/>
  <c r="BK57" i="11"/>
  <c r="B58" i="11"/>
  <c r="C58" i="11"/>
  <c r="D58" i="11"/>
  <c r="E58" i="11"/>
  <c r="BJ58" i="11"/>
  <c r="BK58" i="11"/>
  <c r="B59" i="11"/>
  <c r="C59" i="11"/>
  <c r="D59" i="11"/>
  <c r="E59" i="11"/>
  <c r="BJ59" i="11"/>
  <c r="BK59" i="11"/>
  <c r="B60" i="11"/>
  <c r="C60" i="11"/>
  <c r="D60" i="11"/>
  <c r="E60" i="11"/>
  <c r="BJ60" i="11"/>
  <c r="BK60" i="11"/>
  <c r="B61" i="11"/>
  <c r="C61" i="11"/>
  <c r="D61" i="11"/>
  <c r="E61" i="11"/>
  <c r="BJ61" i="11"/>
  <c r="BK61" i="11"/>
  <c r="B62" i="11"/>
  <c r="C62" i="11"/>
  <c r="D62" i="11"/>
  <c r="E62" i="11"/>
  <c r="BJ62" i="11"/>
  <c r="BK62" i="11"/>
  <c r="B63" i="11"/>
  <c r="C63" i="11"/>
  <c r="D63" i="11"/>
  <c r="E63" i="11"/>
  <c r="BJ63" i="11"/>
  <c r="BK63" i="11"/>
  <c r="B64" i="11"/>
  <c r="C64" i="11"/>
  <c r="D64" i="11"/>
  <c r="E64" i="11"/>
  <c r="BJ64" i="11"/>
  <c r="BK64" i="11"/>
  <c r="BJ65" i="11"/>
  <c r="BK65" i="11"/>
  <c r="J66" i="11"/>
  <c r="BJ66" i="11"/>
  <c r="BK66" i="11"/>
  <c r="BJ67" i="11"/>
  <c r="BK67" i="11"/>
  <c r="BJ68" i="11"/>
  <c r="BK68" i="11"/>
  <c r="BJ69" i="11"/>
  <c r="BK69" i="11"/>
  <c r="M70" i="11"/>
  <c r="O70" i="11"/>
  <c r="P70" i="11"/>
  <c r="Q70" i="11"/>
  <c r="R70" i="11"/>
  <c r="BJ70" i="11"/>
  <c r="BK70" i="11"/>
  <c r="BJ71" i="11"/>
  <c r="BK71" i="11"/>
  <c r="BJ72" i="11"/>
  <c r="BK72" i="11"/>
  <c r="BJ73" i="11"/>
  <c r="BK73" i="11"/>
  <c r="J74" i="11"/>
  <c r="K74" i="11"/>
  <c r="O74" i="11"/>
  <c r="P74" i="11"/>
  <c r="Q74" i="11"/>
  <c r="R74" i="11"/>
  <c r="S74" i="11"/>
  <c r="T74" i="11"/>
  <c r="BJ74" i="11"/>
  <c r="BK74" i="11"/>
  <c r="J75" i="11"/>
  <c r="K75" i="11"/>
  <c r="O75" i="11"/>
  <c r="P75" i="11"/>
  <c r="Q75" i="11"/>
  <c r="R75" i="11"/>
  <c r="S75" i="11"/>
  <c r="T75" i="11"/>
  <c r="BJ75" i="11"/>
  <c r="BK75" i="11"/>
  <c r="J76" i="11"/>
  <c r="K76" i="11"/>
  <c r="O76" i="11"/>
  <c r="P76" i="11"/>
  <c r="Q76" i="11"/>
  <c r="R76" i="11"/>
  <c r="S76" i="11"/>
  <c r="T76" i="11"/>
  <c r="BJ76" i="11"/>
  <c r="BK76" i="11"/>
  <c r="J77" i="11"/>
  <c r="K77" i="11"/>
  <c r="O77" i="11"/>
  <c r="P77" i="11"/>
  <c r="Q77" i="11"/>
  <c r="R77" i="11"/>
  <c r="S77" i="11"/>
  <c r="T77" i="11"/>
  <c r="BJ77" i="11"/>
  <c r="BK77" i="11"/>
  <c r="J78" i="11"/>
  <c r="K78" i="11"/>
  <c r="O78" i="11"/>
  <c r="P78" i="11"/>
  <c r="Q78" i="11"/>
  <c r="R78" i="11"/>
  <c r="S78" i="11"/>
  <c r="T78" i="11"/>
  <c r="BJ78" i="11"/>
  <c r="BK78" i="11"/>
  <c r="J79" i="11"/>
  <c r="K79" i="11"/>
  <c r="O79" i="11"/>
  <c r="P79" i="11"/>
  <c r="Q79" i="11"/>
  <c r="R79" i="11"/>
  <c r="S79" i="11"/>
  <c r="T79" i="11"/>
  <c r="J80" i="11"/>
  <c r="K80" i="11"/>
  <c r="O80" i="11"/>
  <c r="P80" i="11"/>
  <c r="Q80" i="11"/>
  <c r="R80" i="11"/>
  <c r="S80" i="11"/>
  <c r="T80" i="11"/>
  <c r="J81" i="11"/>
  <c r="K81" i="11"/>
  <c r="O81" i="11"/>
  <c r="P81" i="11"/>
  <c r="Q81" i="11"/>
  <c r="R81" i="11"/>
  <c r="S81" i="11"/>
  <c r="T81" i="11"/>
  <c r="J82" i="11"/>
  <c r="K82" i="11"/>
  <c r="O82" i="11"/>
  <c r="P82" i="11"/>
  <c r="Q82" i="11"/>
  <c r="R82" i="11"/>
  <c r="S82" i="11"/>
  <c r="T82" i="11"/>
  <c r="J83" i="11"/>
  <c r="K83" i="11"/>
  <c r="O83" i="11"/>
  <c r="P83" i="11"/>
  <c r="Q83" i="11"/>
  <c r="R83" i="11"/>
  <c r="S83" i="11"/>
  <c r="T83" i="11"/>
  <c r="J84" i="11"/>
  <c r="K84" i="11"/>
  <c r="O84" i="11"/>
  <c r="P84" i="11"/>
  <c r="Q84" i="11"/>
  <c r="R84" i="11"/>
  <c r="S84" i="11"/>
  <c r="T84" i="11"/>
  <c r="J85" i="11"/>
  <c r="K85" i="11"/>
  <c r="O85" i="11"/>
  <c r="P85" i="11"/>
  <c r="Q85" i="11"/>
  <c r="R85" i="11"/>
  <c r="S85" i="11"/>
  <c r="T85" i="11"/>
  <c r="AJ4" i="4"/>
  <c r="BH4" i="4"/>
  <c r="H5" i="4"/>
  <c r="I5" i="4"/>
  <c r="K5" i="4"/>
  <c r="L5" i="4"/>
  <c r="M5" i="4"/>
  <c r="N5" i="4"/>
  <c r="S5" i="4"/>
  <c r="T5" i="4"/>
  <c r="U5" i="4"/>
  <c r="V5" i="4"/>
  <c r="AJ5" i="4"/>
  <c r="BH5" i="4"/>
  <c r="BU5" i="4"/>
  <c r="BV5" i="4"/>
  <c r="BX5" i="4"/>
  <c r="BY5" i="4"/>
  <c r="BZ5" i="4"/>
  <c r="CA5" i="4"/>
  <c r="CD5" i="4"/>
  <c r="H6" i="4"/>
  <c r="I6" i="4"/>
  <c r="K6" i="4"/>
  <c r="L6" i="4"/>
  <c r="M6" i="4"/>
  <c r="N6" i="4"/>
  <c r="S6" i="4"/>
  <c r="T6" i="4"/>
  <c r="U6" i="4"/>
  <c r="V6" i="4"/>
  <c r="AJ6" i="4"/>
  <c r="BH6" i="4"/>
  <c r="BU6" i="4"/>
  <c r="BV6" i="4"/>
  <c r="BX6" i="4"/>
  <c r="BY6" i="4"/>
  <c r="BZ6" i="4"/>
  <c r="CA6" i="4"/>
  <c r="CD6" i="4"/>
  <c r="H7" i="4"/>
  <c r="I7" i="4"/>
  <c r="K7" i="4"/>
  <c r="L7" i="4"/>
  <c r="M7" i="4"/>
  <c r="N7" i="4"/>
  <c r="S7" i="4"/>
  <c r="T7" i="4"/>
  <c r="U7" i="4"/>
  <c r="V7" i="4"/>
  <c r="AJ7" i="4"/>
  <c r="BH7" i="4"/>
  <c r="BU7" i="4"/>
  <c r="BV7" i="4"/>
  <c r="BX7" i="4"/>
  <c r="BY7" i="4"/>
  <c r="BZ7" i="4"/>
  <c r="CA7" i="4"/>
  <c r="CD7" i="4"/>
  <c r="H8" i="4"/>
  <c r="I8" i="4"/>
  <c r="K8" i="4"/>
  <c r="L8" i="4"/>
  <c r="M8" i="4"/>
  <c r="N8" i="4"/>
  <c r="S8" i="4"/>
  <c r="T8" i="4"/>
  <c r="U8" i="4"/>
  <c r="V8" i="4"/>
  <c r="AJ8" i="4"/>
  <c r="BH8" i="4"/>
  <c r="BU8" i="4"/>
  <c r="BV8" i="4"/>
  <c r="BX8" i="4"/>
  <c r="BY8" i="4"/>
  <c r="BZ8" i="4"/>
  <c r="CA8" i="4"/>
  <c r="CD8" i="4"/>
  <c r="H9" i="4"/>
  <c r="I9" i="4"/>
  <c r="K9" i="4"/>
  <c r="L9" i="4"/>
  <c r="M9" i="4"/>
  <c r="N9" i="4"/>
  <c r="S9" i="4"/>
  <c r="T9" i="4"/>
  <c r="U9" i="4"/>
  <c r="V9" i="4"/>
  <c r="AJ9" i="4"/>
  <c r="BH9" i="4"/>
  <c r="BU9" i="4"/>
  <c r="BV9" i="4"/>
  <c r="BX9" i="4"/>
  <c r="BY9" i="4"/>
  <c r="BZ9" i="4"/>
  <c r="CA9" i="4"/>
  <c r="CD9" i="4"/>
  <c r="H10" i="4"/>
  <c r="I10" i="4"/>
  <c r="K10" i="4"/>
  <c r="L10" i="4"/>
  <c r="M10" i="4"/>
  <c r="N10" i="4"/>
  <c r="S10" i="4"/>
  <c r="T10" i="4"/>
  <c r="U10" i="4"/>
  <c r="V10" i="4"/>
  <c r="AJ10" i="4"/>
  <c r="BH10" i="4"/>
  <c r="BU10" i="4"/>
  <c r="BV10" i="4"/>
  <c r="BX10" i="4"/>
  <c r="BY10" i="4"/>
  <c r="BZ10" i="4"/>
  <c r="CA10" i="4"/>
  <c r="CD10" i="4"/>
  <c r="H11" i="4"/>
  <c r="I11" i="4"/>
  <c r="K11" i="4"/>
  <c r="L11" i="4"/>
  <c r="M11" i="4"/>
  <c r="N11" i="4"/>
  <c r="S11" i="4"/>
  <c r="T11" i="4"/>
  <c r="U11" i="4"/>
  <c r="V11" i="4"/>
  <c r="AJ11" i="4"/>
  <c r="BH11" i="4"/>
  <c r="BU11" i="4"/>
  <c r="BV11" i="4"/>
  <c r="BX11" i="4"/>
  <c r="BY11" i="4"/>
  <c r="BZ11" i="4"/>
  <c r="CA11" i="4"/>
  <c r="CD11" i="4"/>
  <c r="H12" i="4"/>
  <c r="I12" i="4"/>
  <c r="K12" i="4"/>
  <c r="L12" i="4"/>
  <c r="M12" i="4"/>
  <c r="N12" i="4"/>
  <c r="S12" i="4"/>
  <c r="T12" i="4"/>
  <c r="U12" i="4"/>
  <c r="V12" i="4"/>
  <c r="AJ12" i="4"/>
  <c r="BH12" i="4"/>
  <c r="BU12" i="4"/>
  <c r="BV12" i="4"/>
  <c r="BX12" i="4"/>
  <c r="BY12" i="4"/>
  <c r="BZ12" i="4"/>
  <c r="CA12" i="4"/>
  <c r="CD12" i="4"/>
  <c r="H13" i="4"/>
  <c r="I13" i="4"/>
  <c r="K13" i="4"/>
  <c r="L13" i="4"/>
  <c r="M13" i="4"/>
  <c r="N13" i="4"/>
  <c r="S13" i="4"/>
  <c r="T13" i="4"/>
  <c r="U13" i="4"/>
  <c r="V13" i="4"/>
  <c r="AJ13" i="4"/>
  <c r="BH13" i="4"/>
  <c r="BU13" i="4"/>
  <c r="BV13" i="4"/>
  <c r="BX13" i="4"/>
  <c r="BY13" i="4"/>
  <c r="BZ13" i="4"/>
  <c r="CA13" i="4"/>
  <c r="CD13" i="4"/>
  <c r="H14" i="4"/>
  <c r="I14" i="4"/>
  <c r="K14" i="4"/>
  <c r="L14" i="4"/>
  <c r="M14" i="4"/>
  <c r="N14" i="4"/>
  <c r="S14" i="4"/>
  <c r="T14" i="4"/>
  <c r="U14" i="4"/>
  <c r="V14" i="4"/>
  <c r="AJ14" i="4"/>
  <c r="BH14" i="4"/>
  <c r="BU14" i="4"/>
  <c r="BV14" i="4"/>
  <c r="BX14" i="4"/>
  <c r="BY14" i="4"/>
  <c r="BZ14" i="4"/>
  <c r="CA14" i="4"/>
  <c r="CD14" i="4"/>
  <c r="H15" i="4"/>
  <c r="I15" i="4"/>
  <c r="K15" i="4"/>
  <c r="L15" i="4"/>
  <c r="M15" i="4"/>
  <c r="N15" i="4"/>
  <c r="S15" i="4"/>
  <c r="T15" i="4"/>
  <c r="U15" i="4"/>
  <c r="V15" i="4"/>
  <c r="Y15" i="4"/>
  <c r="Z15" i="4"/>
  <c r="AA15" i="4"/>
  <c r="AB15" i="4"/>
  <c r="AC15" i="4"/>
  <c r="AD15" i="4"/>
  <c r="AE15" i="4"/>
  <c r="AF15" i="4"/>
  <c r="AG15" i="4"/>
  <c r="AJ15" i="4"/>
  <c r="AW15" i="4"/>
  <c r="AX15" i="4"/>
  <c r="AY15" i="4"/>
  <c r="AZ15" i="4"/>
  <c r="BA15" i="4"/>
  <c r="BB15" i="4"/>
  <c r="BC15" i="4"/>
  <c r="BD15" i="4"/>
  <c r="BE15" i="4"/>
  <c r="BH15" i="4"/>
  <c r="BU15" i="4"/>
  <c r="BV15" i="4"/>
  <c r="BX15" i="4"/>
  <c r="BY15" i="4"/>
  <c r="BZ15" i="4"/>
  <c r="CA15" i="4"/>
  <c r="CD15" i="4"/>
  <c r="H16" i="4"/>
  <c r="I16" i="4"/>
  <c r="K16" i="4"/>
  <c r="L16" i="4"/>
  <c r="M16" i="4"/>
  <c r="N16" i="4"/>
  <c r="S16" i="4"/>
  <c r="T16" i="4"/>
  <c r="U16" i="4"/>
  <c r="V16" i="4"/>
  <c r="Y16" i="4"/>
  <c r="AA16" i="4"/>
  <c r="AB16" i="4"/>
  <c r="AC16" i="4"/>
  <c r="AD16" i="4"/>
  <c r="AE16" i="4"/>
  <c r="AF16" i="4"/>
  <c r="AG16" i="4"/>
  <c r="AJ16" i="4"/>
  <c r="AW16" i="4"/>
  <c r="AY16" i="4"/>
  <c r="AZ16" i="4"/>
  <c r="BA16" i="4"/>
  <c r="BB16" i="4"/>
  <c r="BC16" i="4"/>
  <c r="BD16" i="4"/>
  <c r="BE16" i="4"/>
  <c r="BH16" i="4"/>
  <c r="BU16" i="4"/>
  <c r="BV16" i="4"/>
  <c r="BX16" i="4"/>
  <c r="BY16" i="4"/>
  <c r="BZ16" i="4"/>
  <c r="CA16" i="4"/>
  <c r="CD16" i="4"/>
  <c r="H17" i="4"/>
  <c r="I17" i="4"/>
  <c r="K17" i="4"/>
  <c r="L17" i="4"/>
  <c r="M17" i="4"/>
  <c r="N17" i="4"/>
  <c r="S17" i="4"/>
  <c r="T17" i="4"/>
  <c r="U17" i="4"/>
  <c r="V17" i="4"/>
  <c r="Y17" i="4"/>
  <c r="AA17" i="4"/>
  <c r="AB17" i="4"/>
  <c r="AC17" i="4"/>
  <c r="AD17" i="4"/>
  <c r="AE17" i="4"/>
  <c r="AF17" i="4"/>
  <c r="AG17" i="4"/>
  <c r="AJ17" i="4"/>
  <c r="AW17" i="4"/>
  <c r="AY17" i="4"/>
  <c r="AZ17" i="4"/>
  <c r="BA17" i="4"/>
  <c r="BB17" i="4"/>
  <c r="BC17" i="4"/>
  <c r="BD17" i="4"/>
  <c r="BE17" i="4"/>
  <c r="BH17" i="4"/>
  <c r="BU17" i="4"/>
  <c r="BV17" i="4"/>
  <c r="BX17" i="4"/>
  <c r="BY17" i="4"/>
  <c r="BZ17" i="4"/>
  <c r="CA17" i="4"/>
  <c r="CD17" i="4"/>
  <c r="H18" i="4"/>
  <c r="I18" i="4"/>
  <c r="K18" i="4"/>
  <c r="L18" i="4"/>
  <c r="M18" i="4"/>
  <c r="N18" i="4"/>
  <c r="S18" i="4"/>
  <c r="T18" i="4"/>
  <c r="U18" i="4"/>
  <c r="V18" i="4"/>
  <c r="Y18" i="4"/>
  <c r="AA18" i="4"/>
  <c r="AB18" i="4"/>
  <c r="AC18" i="4"/>
  <c r="AD18" i="4"/>
  <c r="AE18" i="4"/>
  <c r="AF18" i="4"/>
  <c r="AG18" i="4"/>
  <c r="AJ18" i="4"/>
  <c r="AW18" i="4"/>
  <c r="AY18" i="4"/>
  <c r="AZ18" i="4"/>
  <c r="BA18" i="4"/>
  <c r="BB18" i="4"/>
  <c r="BC18" i="4"/>
  <c r="BD18" i="4"/>
  <c r="BE18" i="4"/>
  <c r="BH18" i="4"/>
  <c r="BU18" i="4"/>
  <c r="BV18" i="4"/>
  <c r="BX18" i="4"/>
  <c r="BY18" i="4"/>
  <c r="BZ18" i="4"/>
  <c r="CA18" i="4"/>
  <c r="CD18" i="4"/>
  <c r="H19" i="4"/>
  <c r="I19" i="4"/>
  <c r="K19" i="4"/>
  <c r="L19" i="4"/>
  <c r="M19" i="4"/>
  <c r="N19" i="4"/>
  <c r="S19" i="4"/>
  <c r="T19" i="4"/>
  <c r="U19" i="4"/>
  <c r="V19" i="4"/>
  <c r="Y19" i="4"/>
  <c r="AA19" i="4"/>
  <c r="AB19" i="4"/>
  <c r="AC19" i="4"/>
  <c r="AD19" i="4"/>
  <c r="AE19" i="4"/>
  <c r="AF19" i="4"/>
  <c r="AG19" i="4"/>
  <c r="AJ19" i="4"/>
  <c r="AW19" i="4"/>
  <c r="AY19" i="4"/>
  <c r="AZ19" i="4"/>
  <c r="BA19" i="4"/>
  <c r="BB19" i="4"/>
  <c r="BC19" i="4"/>
  <c r="BD19" i="4"/>
  <c r="BE19" i="4"/>
  <c r="BH19" i="4"/>
  <c r="BU19" i="4"/>
  <c r="BV19" i="4"/>
  <c r="BX19" i="4"/>
  <c r="BY19" i="4"/>
  <c r="BZ19" i="4"/>
  <c r="CA19" i="4"/>
  <c r="CD19" i="4"/>
  <c r="H20" i="4"/>
  <c r="I20" i="4"/>
  <c r="K20" i="4"/>
  <c r="L20" i="4"/>
  <c r="M20" i="4"/>
  <c r="N20" i="4"/>
  <c r="S20" i="4"/>
  <c r="T20" i="4"/>
  <c r="U20" i="4"/>
  <c r="V20" i="4"/>
  <c r="Y20" i="4"/>
  <c r="AA20" i="4"/>
  <c r="AB20" i="4"/>
  <c r="AC20" i="4"/>
  <c r="AD20" i="4"/>
  <c r="AE20" i="4"/>
  <c r="AF20" i="4"/>
  <c r="AG20" i="4"/>
  <c r="AJ20" i="4"/>
  <c r="AW20" i="4"/>
  <c r="AY20" i="4"/>
  <c r="AZ20" i="4"/>
  <c r="BA20" i="4"/>
  <c r="BB20" i="4"/>
  <c r="BC20" i="4"/>
  <c r="BD20" i="4"/>
  <c r="BE20" i="4"/>
  <c r="BH20" i="4"/>
  <c r="BU20" i="4"/>
  <c r="BV20" i="4"/>
  <c r="BX20" i="4"/>
  <c r="BY20" i="4"/>
  <c r="BZ20" i="4"/>
  <c r="CA20" i="4"/>
  <c r="CD20" i="4"/>
  <c r="H21" i="4"/>
  <c r="I21" i="4"/>
  <c r="K21" i="4"/>
  <c r="L21" i="4"/>
  <c r="M21" i="4"/>
  <c r="N21" i="4"/>
  <c r="S21" i="4"/>
  <c r="T21" i="4"/>
  <c r="U21" i="4"/>
  <c r="V21" i="4"/>
  <c r="Y21" i="4"/>
  <c r="AA21" i="4"/>
  <c r="AB21" i="4"/>
  <c r="AC21" i="4"/>
  <c r="AD21" i="4"/>
  <c r="AE21" i="4"/>
  <c r="AF21" i="4"/>
  <c r="AG21" i="4"/>
  <c r="AJ21" i="4"/>
  <c r="AW21" i="4"/>
  <c r="AY21" i="4"/>
  <c r="AZ21" i="4"/>
  <c r="BA21" i="4"/>
  <c r="BB21" i="4"/>
  <c r="BC21" i="4"/>
  <c r="BD21" i="4"/>
  <c r="BE21" i="4"/>
  <c r="BH21" i="4"/>
  <c r="BU21" i="4"/>
  <c r="BV21" i="4"/>
  <c r="BX21" i="4"/>
  <c r="BY21" i="4"/>
  <c r="BZ21" i="4"/>
  <c r="CA21" i="4"/>
  <c r="CD21" i="4"/>
  <c r="H22" i="4"/>
  <c r="I22" i="4"/>
  <c r="K22" i="4"/>
  <c r="L22" i="4"/>
  <c r="M22" i="4"/>
  <c r="N22" i="4"/>
  <c r="S22" i="4"/>
  <c r="T22" i="4"/>
  <c r="U22" i="4"/>
  <c r="V22" i="4"/>
  <c r="Y22" i="4"/>
  <c r="AA22" i="4"/>
  <c r="AB22" i="4"/>
  <c r="AC22" i="4"/>
  <c r="AD22" i="4"/>
  <c r="AE22" i="4"/>
  <c r="AF22" i="4"/>
  <c r="AG22" i="4"/>
  <c r="AJ22" i="4"/>
  <c r="AW22" i="4"/>
  <c r="AY22" i="4"/>
  <c r="AZ22" i="4"/>
  <c r="BA22" i="4"/>
  <c r="BB22" i="4"/>
  <c r="BC22" i="4"/>
  <c r="BD22" i="4"/>
  <c r="BE22" i="4"/>
  <c r="BH22" i="4"/>
  <c r="BU22" i="4"/>
  <c r="BV22" i="4"/>
  <c r="BX22" i="4"/>
  <c r="BY22" i="4"/>
  <c r="BZ22" i="4"/>
  <c r="CA22" i="4"/>
  <c r="CD22" i="4"/>
  <c r="H23" i="4"/>
  <c r="I23" i="4"/>
  <c r="K23" i="4"/>
  <c r="L23" i="4"/>
  <c r="M23" i="4"/>
  <c r="N23" i="4"/>
  <c r="S23" i="4"/>
  <c r="T23" i="4"/>
  <c r="U23" i="4"/>
  <c r="V23" i="4"/>
  <c r="Y23" i="4"/>
  <c r="AA23" i="4"/>
  <c r="AB23" i="4"/>
  <c r="AC23" i="4"/>
  <c r="AD23" i="4"/>
  <c r="AE23" i="4"/>
  <c r="AF23" i="4"/>
  <c r="AG23" i="4"/>
  <c r="AJ23" i="4"/>
  <c r="AW23" i="4"/>
  <c r="AY23" i="4"/>
  <c r="AZ23" i="4"/>
  <c r="BA23" i="4"/>
  <c r="BB23" i="4"/>
  <c r="BC23" i="4"/>
  <c r="BD23" i="4"/>
  <c r="BE23" i="4"/>
  <c r="BH23" i="4"/>
  <c r="BU23" i="4"/>
  <c r="BV23" i="4"/>
  <c r="BX23" i="4"/>
  <c r="BY23" i="4"/>
  <c r="BZ23" i="4"/>
  <c r="CA23" i="4"/>
  <c r="CD23" i="4"/>
  <c r="H24" i="4"/>
  <c r="I24" i="4"/>
  <c r="K24" i="4"/>
  <c r="L24" i="4"/>
  <c r="M24" i="4"/>
  <c r="N24" i="4"/>
  <c r="S24" i="4"/>
  <c r="T24" i="4"/>
  <c r="U24" i="4"/>
  <c r="V24" i="4"/>
  <c r="Y24" i="4"/>
  <c r="AA24" i="4"/>
  <c r="AB24" i="4"/>
  <c r="AC24" i="4"/>
  <c r="AD24" i="4"/>
  <c r="AE24" i="4"/>
  <c r="AF24" i="4"/>
  <c r="AG24" i="4"/>
  <c r="AJ24" i="4"/>
  <c r="AW24" i="4"/>
  <c r="AY24" i="4"/>
  <c r="AZ24" i="4"/>
  <c r="BA24" i="4"/>
  <c r="BB24" i="4"/>
  <c r="BC24" i="4"/>
  <c r="BD24" i="4"/>
  <c r="BE24" i="4"/>
  <c r="BH24" i="4"/>
  <c r="BU24" i="4"/>
  <c r="BV24" i="4"/>
  <c r="BX24" i="4"/>
  <c r="BY24" i="4"/>
  <c r="BZ24" i="4"/>
  <c r="CA24" i="4"/>
  <c r="CD24" i="4"/>
  <c r="H25" i="4"/>
  <c r="I25" i="4"/>
  <c r="K25" i="4"/>
  <c r="L25" i="4"/>
  <c r="M25" i="4"/>
  <c r="N25" i="4"/>
  <c r="S25" i="4"/>
  <c r="T25" i="4"/>
  <c r="U25" i="4"/>
  <c r="V25" i="4"/>
  <c r="Y25" i="4"/>
  <c r="AA25" i="4"/>
  <c r="AB25" i="4"/>
  <c r="AC25" i="4"/>
  <c r="AD25" i="4"/>
  <c r="AE25" i="4"/>
  <c r="AF25" i="4"/>
  <c r="AG25" i="4"/>
  <c r="AJ25" i="4"/>
  <c r="AW25" i="4"/>
  <c r="AY25" i="4"/>
  <c r="AZ25" i="4"/>
  <c r="BA25" i="4"/>
  <c r="BB25" i="4"/>
  <c r="BC25" i="4"/>
  <c r="BD25" i="4"/>
  <c r="BE25" i="4"/>
  <c r="BH25" i="4"/>
  <c r="BU25" i="4"/>
  <c r="BV25" i="4"/>
  <c r="BX25" i="4"/>
  <c r="BY25" i="4"/>
  <c r="BZ25" i="4"/>
  <c r="CA25" i="4"/>
  <c r="CD25" i="4"/>
  <c r="H26" i="4"/>
  <c r="I26" i="4"/>
  <c r="K26" i="4"/>
  <c r="L26" i="4"/>
  <c r="M26" i="4"/>
  <c r="N26" i="4"/>
  <c r="S26" i="4"/>
  <c r="T26" i="4"/>
  <c r="U26" i="4"/>
  <c r="V26" i="4"/>
  <c r="Y26" i="4"/>
  <c r="AA26" i="4"/>
  <c r="AB26" i="4"/>
  <c r="AC26" i="4"/>
  <c r="AD26" i="4"/>
  <c r="AE26" i="4"/>
  <c r="AF26" i="4"/>
  <c r="AG26" i="4"/>
  <c r="AJ26" i="4"/>
  <c r="AW26" i="4"/>
  <c r="AY26" i="4"/>
  <c r="AZ26" i="4"/>
  <c r="BA26" i="4"/>
  <c r="BB26" i="4"/>
  <c r="BC26" i="4"/>
  <c r="BD26" i="4"/>
  <c r="BE26" i="4"/>
  <c r="BH26" i="4"/>
  <c r="BU26" i="4"/>
  <c r="BV26" i="4"/>
  <c r="BX26" i="4"/>
  <c r="BY26" i="4"/>
  <c r="BZ26" i="4"/>
  <c r="CA26" i="4"/>
  <c r="CD26" i="4"/>
  <c r="H27" i="4"/>
  <c r="K27" i="4"/>
  <c r="L27" i="4"/>
  <c r="M27" i="4"/>
  <c r="N27" i="4"/>
  <c r="S27" i="4"/>
  <c r="T27" i="4"/>
  <c r="U27" i="4"/>
  <c r="V27" i="4"/>
  <c r="Y27" i="4"/>
  <c r="AA27" i="4"/>
  <c r="AB27" i="4"/>
  <c r="AC27" i="4"/>
  <c r="AD27" i="4"/>
  <c r="AE27" i="4"/>
  <c r="AF27" i="4"/>
  <c r="AG27" i="4"/>
  <c r="AJ27" i="4"/>
  <c r="AW27" i="4"/>
  <c r="AY27" i="4"/>
  <c r="AZ27" i="4"/>
  <c r="BA27" i="4"/>
  <c r="BB27" i="4"/>
  <c r="BC27" i="4"/>
  <c r="BD27" i="4"/>
  <c r="BE27" i="4"/>
  <c r="BH27" i="4"/>
  <c r="BU27" i="4"/>
  <c r="BV27" i="4"/>
  <c r="BX27" i="4"/>
  <c r="BY27" i="4"/>
  <c r="BZ27" i="4"/>
  <c r="CA27" i="4"/>
  <c r="CD27" i="4"/>
  <c r="H28" i="4"/>
  <c r="K28" i="4"/>
  <c r="L28" i="4"/>
  <c r="M28" i="4"/>
  <c r="N28" i="4"/>
  <c r="S28" i="4"/>
  <c r="T28" i="4"/>
  <c r="U28" i="4"/>
  <c r="V28" i="4"/>
  <c r="Y28" i="4"/>
  <c r="AA28" i="4"/>
  <c r="AB28" i="4"/>
  <c r="AC28" i="4"/>
  <c r="AD28" i="4"/>
  <c r="AE28" i="4"/>
  <c r="AF28" i="4"/>
  <c r="AG28" i="4"/>
  <c r="AJ28" i="4"/>
  <c r="AW28" i="4"/>
  <c r="AY28" i="4"/>
  <c r="AZ28" i="4"/>
  <c r="BA28" i="4"/>
  <c r="BB28" i="4"/>
  <c r="BC28" i="4"/>
  <c r="BD28" i="4"/>
  <c r="BE28" i="4"/>
  <c r="BH28" i="4"/>
  <c r="BU28" i="4"/>
  <c r="BV28" i="4"/>
  <c r="BX28" i="4"/>
  <c r="BY28" i="4"/>
  <c r="BZ28" i="4"/>
  <c r="CA28" i="4"/>
  <c r="CD28" i="4"/>
  <c r="H29" i="4"/>
  <c r="K29" i="4"/>
  <c r="L29" i="4"/>
  <c r="M29" i="4"/>
  <c r="N29" i="4"/>
  <c r="S29" i="4"/>
  <c r="T29" i="4"/>
  <c r="U29" i="4"/>
  <c r="V29" i="4"/>
  <c r="Y29" i="4"/>
  <c r="AA29" i="4"/>
  <c r="AB29" i="4"/>
  <c r="AC29" i="4"/>
  <c r="AD29" i="4"/>
  <c r="AE29" i="4"/>
  <c r="AF29" i="4"/>
  <c r="AG29" i="4"/>
  <c r="AJ29" i="4"/>
  <c r="AW29" i="4"/>
  <c r="AY29" i="4"/>
  <c r="AZ29" i="4"/>
  <c r="BA29" i="4"/>
  <c r="BB29" i="4"/>
  <c r="BC29" i="4"/>
  <c r="BD29" i="4"/>
  <c r="BE29" i="4"/>
  <c r="BH29" i="4"/>
  <c r="BU29" i="4"/>
  <c r="BV29" i="4"/>
  <c r="BX29" i="4"/>
  <c r="BY29" i="4"/>
  <c r="BZ29" i="4"/>
  <c r="CA29" i="4"/>
  <c r="CD29" i="4"/>
  <c r="H30" i="4"/>
  <c r="K30" i="4"/>
  <c r="L30" i="4"/>
  <c r="M30" i="4"/>
  <c r="N30" i="4"/>
  <c r="S30" i="4"/>
  <c r="T30" i="4"/>
  <c r="U30" i="4"/>
  <c r="V30" i="4"/>
  <c r="Y30" i="4"/>
  <c r="AA30" i="4"/>
  <c r="AB30" i="4"/>
  <c r="AC30" i="4"/>
  <c r="AD30" i="4"/>
  <c r="AE30" i="4"/>
  <c r="AF30" i="4"/>
  <c r="AG30" i="4"/>
  <c r="AJ30" i="4"/>
  <c r="AW30" i="4"/>
  <c r="AY30" i="4"/>
  <c r="AZ30" i="4"/>
  <c r="BA30" i="4"/>
  <c r="BB30" i="4"/>
  <c r="BC30" i="4"/>
  <c r="BD30" i="4"/>
  <c r="BE30" i="4"/>
  <c r="BH30" i="4"/>
  <c r="BU30" i="4"/>
  <c r="BV30" i="4"/>
  <c r="BX30" i="4"/>
  <c r="BY30" i="4"/>
  <c r="BZ30" i="4"/>
  <c r="CA30" i="4"/>
  <c r="CD30" i="4"/>
  <c r="H31" i="4"/>
  <c r="K31" i="4"/>
  <c r="L31" i="4"/>
  <c r="M31" i="4"/>
  <c r="N31" i="4"/>
  <c r="S31" i="4"/>
  <c r="T31" i="4"/>
  <c r="U31" i="4"/>
  <c r="V31" i="4"/>
  <c r="Y31" i="4"/>
  <c r="AA31" i="4"/>
  <c r="AB31" i="4"/>
  <c r="AC31" i="4"/>
  <c r="AD31" i="4"/>
  <c r="AE31" i="4"/>
  <c r="AF31" i="4"/>
  <c r="AG31" i="4"/>
  <c r="AJ31" i="4"/>
  <c r="AW31" i="4"/>
  <c r="AY31" i="4"/>
  <c r="AZ31" i="4"/>
  <c r="BA31" i="4"/>
  <c r="BB31" i="4"/>
  <c r="BC31" i="4"/>
  <c r="BD31" i="4"/>
  <c r="BE31" i="4"/>
  <c r="BH31" i="4"/>
  <c r="BU31" i="4"/>
  <c r="BV31" i="4"/>
  <c r="BX31" i="4"/>
  <c r="BY31" i="4"/>
  <c r="BZ31" i="4"/>
  <c r="CA31" i="4"/>
  <c r="CD31" i="4"/>
  <c r="H32" i="4"/>
  <c r="K32" i="4"/>
  <c r="L32" i="4"/>
  <c r="M32" i="4"/>
  <c r="N32" i="4"/>
  <c r="S32" i="4"/>
  <c r="T32" i="4"/>
  <c r="U32" i="4"/>
  <c r="V32" i="4"/>
  <c r="Y32" i="4"/>
  <c r="AA32" i="4"/>
  <c r="AB32" i="4"/>
  <c r="AC32" i="4"/>
  <c r="AD32" i="4"/>
  <c r="AE32" i="4"/>
  <c r="AF32" i="4"/>
  <c r="AG32" i="4"/>
  <c r="AJ32" i="4"/>
  <c r="AW32" i="4"/>
  <c r="AY32" i="4"/>
  <c r="AZ32" i="4"/>
  <c r="BA32" i="4"/>
  <c r="BB32" i="4"/>
  <c r="BC32" i="4"/>
  <c r="BD32" i="4"/>
  <c r="BE32" i="4"/>
  <c r="BH32" i="4"/>
  <c r="BU32" i="4"/>
  <c r="BV32" i="4"/>
  <c r="BX32" i="4"/>
  <c r="BY32" i="4"/>
  <c r="BZ32" i="4"/>
  <c r="CA32" i="4"/>
  <c r="CD32" i="4"/>
  <c r="H33" i="4"/>
  <c r="K33" i="4"/>
  <c r="L33" i="4"/>
  <c r="M33" i="4"/>
  <c r="N33" i="4"/>
  <c r="S33" i="4"/>
  <c r="T33" i="4"/>
  <c r="U33" i="4"/>
  <c r="V33" i="4"/>
  <c r="Y33" i="4"/>
  <c r="AA33" i="4"/>
  <c r="AB33" i="4"/>
  <c r="AC33" i="4"/>
  <c r="AD33" i="4"/>
  <c r="AE33" i="4"/>
  <c r="AF33" i="4"/>
  <c r="AG33" i="4"/>
  <c r="AJ33" i="4"/>
  <c r="AW33" i="4"/>
  <c r="AY33" i="4"/>
  <c r="AZ33" i="4"/>
  <c r="BA33" i="4"/>
  <c r="BB33" i="4"/>
  <c r="BC33" i="4"/>
  <c r="BD33" i="4"/>
  <c r="BE33" i="4"/>
  <c r="BH33" i="4"/>
  <c r="BU33" i="4"/>
  <c r="BV33" i="4"/>
  <c r="BX33" i="4"/>
  <c r="BY33" i="4"/>
  <c r="BZ33" i="4"/>
  <c r="CA33" i="4"/>
  <c r="CD33" i="4"/>
  <c r="H34" i="4"/>
  <c r="K34" i="4"/>
  <c r="L34" i="4"/>
  <c r="M34" i="4"/>
  <c r="N34" i="4"/>
  <c r="S34" i="4"/>
  <c r="T34" i="4"/>
  <c r="U34" i="4"/>
  <c r="V34" i="4"/>
  <c r="Y34" i="4"/>
  <c r="AA34" i="4"/>
  <c r="AB34" i="4"/>
  <c r="AC34" i="4"/>
  <c r="AD34" i="4"/>
  <c r="AE34" i="4"/>
  <c r="AF34" i="4"/>
  <c r="AG34" i="4"/>
  <c r="AJ34" i="4"/>
  <c r="AW34" i="4"/>
  <c r="AY34" i="4"/>
  <c r="AZ34" i="4"/>
  <c r="BA34" i="4"/>
  <c r="BB34" i="4"/>
  <c r="BC34" i="4"/>
  <c r="BD34" i="4"/>
  <c r="BE34" i="4"/>
  <c r="BH34" i="4"/>
  <c r="BU34" i="4"/>
  <c r="BV34" i="4"/>
  <c r="BX34" i="4"/>
  <c r="BY34" i="4"/>
  <c r="BZ34" i="4"/>
  <c r="CA34" i="4"/>
  <c r="CD34" i="4"/>
  <c r="H35" i="4"/>
  <c r="K35" i="4"/>
  <c r="L35" i="4"/>
  <c r="M35" i="4"/>
  <c r="N35" i="4"/>
  <c r="S35" i="4"/>
  <c r="T35" i="4"/>
  <c r="U35" i="4"/>
  <c r="V35" i="4"/>
  <c r="Y35" i="4"/>
  <c r="AA35" i="4"/>
  <c r="AB35" i="4"/>
  <c r="AC35" i="4"/>
  <c r="AD35" i="4"/>
  <c r="AE35" i="4"/>
  <c r="AF35" i="4"/>
  <c r="AG35" i="4"/>
  <c r="AJ35" i="4"/>
  <c r="AW35" i="4"/>
  <c r="AY35" i="4"/>
  <c r="AZ35" i="4"/>
  <c r="BA35" i="4"/>
  <c r="BB35" i="4"/>
  <c r="BC35" i="4"/>
  <c r="BD35" i="4"/>
  <c r="BE35" i="4"/>
  <c r="BH35" i="4"/>
  <c r="BU35" i="4"/>
  <c r="BV35" i="4"/>
  <c r="BX35" i="4"/>
  <c r="BY35" i="4"/>
  <c r="BZ35" i="4"/>
  <c r="CA35" i="4"/>
  <c r="CD35" i="4"/>
  <c r="H36" i="4"/>
  <c r="K36" i="4"/>
  <c r="L36" i="4"/>
  <c r="M36" i="4"/>
  <c r="N36" i="4"/>
  <c r="S36" i="4"/>
  <c r="T36" i="4"/>
  <c r="U36" i="4"/>
  <c r="V36" i="4"/>
  <c r="Y36" i="4"/>
  <c r="AA36" i="4"/>
  <c r="AB36" i="4"/>
  <c r="AC36" i="4"/>
  <c r="AD36" i="4"/>
  <c r="AE36" i="4"/>
  <c r="AF36" i="4"/>
  <c r="AG36" i="4"/>
  <c r="AJ36" i="4"/>
  <c r="AW36" i="4"/>
  <c r="AY36" i="4"/>
  <c r="AZ36" i="4"/>
  <c r="BA36" i="4"/>
  <c r="BB36" i="4"/>
  <c r="BC36" i="4"/>
  <c r="BD36" i="4"/>
  <c r="BE36" i="4"/>
  <c r="BH36" i="4"/>
  <c r="BU36" i="4"/>
  <c r="BV36" i="4"/>
  <c r="BX36" i="4"/>
  <c r="BY36" i="4"/>
  <c r="BZ36" i="4"/>
  <c r="CA36" i="4"/>
  <c r="CD36" i="4"/>
  <c r="K37" i="4"/>
  <c r="L37" i="4"/>
  <c r="M37" i="4"/>
  <c r="N37" i="4"/>
  <c r="S37" i="4"/>
  <c r="T37" i="4"/>
  <c r="U37" i="4"/>
  <c r="V37" i="4"/>
  <c r="Y37" i="4"/>
  <c r="AA37" i="4"/>
  <c r="AB37" i="4"/>
  <c r="AC37" i="4"/>
  <c r="AD37" i="4"/>
  <c r="AE37" i="4"/>
  <c r="AF37" i="4"/>
  <c r="AG37" i="4"/>
  <c r="AJ37" i="4"/>
  <c r="AW37" i="4"/>
  <c r="AY37" i="4"/>
  <c r="AZ37" i="4"/>
  <c r="BA37" i="4"/>
  <c r="BB37" i="4"/>
  <c r="BC37" i="4"/>
  <c r="BD37" i="4"/>
  <c r="BE37" i="4"/>
  <c r="BH37" i="4"/>
  <c r="BU37" i="4"/>
  <c r="BV37" i="4"/>
  <c r="BX37" i="4"/>
  <c r="BY37" i="4"/>
  <c r="BZ37" i="4"/>
  <c r="CA37" i="4"/>
  <c r="CD37" i="4"/>
  <c r="K38" i="4"/>
  <c r="L38" i="4"/>
  <c r="M38" i="4"/>
  <c r="N38" i="4"/>
  <c r="S38" i="4"/>
  <c r="T38" i="4"/>
  <c r="U38" i="4"/>
  <c r="V38" i="4"/>
  <c r="Y38" i="4"/>
  <c r="AA38" i="4"/>
  <c r="AB38" i="4"/>
  <c r="AC38" i="4"/>
  <c r="AD38" i="4"/>
  <c r="AE38" i="4"/>
  <c r="AF38" i="4"/>
  <c r="AG38" i="4"/>
  <c r="AJ38" i="4"/>
  <c r="AW38" i="4"/>
  <c r="AY38" i="4"/>
  <c r="AZ38" i="4"/>
  <c r="BA38" i="4"/>
  <c r="BB38" i="4"/>
  <c r="BC38" i="4"/>
  <c r="BD38" i="4"/>
  <c r="BE38" i="4"/>
  <c r="BH38" i="4"/>
  <c r="BU38" i="4"/>
  <c r="BV38" i="4"/>
  <c r="BX38" i="4"/>
  <c r="BY38" i="4"/>
  <c r="BZ38" i="4"/>
  <c r="CA38" i="4"/>
  <c r="CD38" i="4"/>
  <c r="K39" i="4"/>
  <c r="L39" i="4"/>
  <c r="M39" i="4"/>
  <c r="N39" i="4"/>
  <c r="S39" i="4"/>
  <c r="T39" i="4"/>
  <c r="U39" i="4"/>
  <c r="V39" i="4"/>
  <c r="Y39" i="4"/>
  <c r="AA39" i="4"/>
  <c r="AB39" i="4"/>
  <c r="AC39" i="4"/>
  <c r="AD39" i="4"/>
  <c r="AE39" i="4"/>
  <c r="AF39" i="4"/>
  <c r="AG39" i="4"/>
  <c r="AJ39" i="4"/>
  <c r="AW39" i="4"/>
  <c r="AY39" i="4"/>
  <c r="AZ39" i="4"/>
  <c r="BA39" i="4"/>
  <c r="BB39" i="4"/>
  <c r="BC39" i="4"/>
  <c r="BD39" i="4"/>
  <c r="BE39" i="4"/>
  <c r="BH39" i="4"/>
  <c r="BU39" i="4"/>
  <c r="BV39" i="4"/>
  <c r="BX39" i="4"/>
  <c r="BY39" i="4"/>
  <c r="BZ39" i="4"/>
  <c r="CA39" i="4"/>
  <c r="CD39" i="4"/>
  <c r="K40" i="4"/>
  <c r="L40" i="4"/>
  <c r="M40" i="4"/>
  <c r="N40" i="4"/>
  <c r="S40" i="4"/>
  <c r="T40" i="4"/>
  <c r="U40" i="4"/>
  <c r="V40" i="4"/>
  <c r="Y40" i="4"/>
  <c r="AA40" i="4"/>
  <c r="AB40" i="4"/>
  <c r="AC40" i="4"/>
  <c r="AD40" i="4"/>
  <c r="AE40" i="4"/>
  <c r="AF40" i="4"/>
  <c r="AG40" i="4"/>
  <c r="AJ40" i="4"/>
  <c r="AW40" i="4"/>
  <c r="AY40" i="4"/>
  <c r="AZ40" i="4"/>
  <c r="BA40" i="4"/>
  <c r="BB40" i="4"/>
  <c r="BC40" i="4"/>
  <c r="BD40" i="4"/>
  <c r="BE40" i="4"/>
  <c r="BH40" i="4"/>
  <c r="BU40" i="4"/>
  <c r="BV40" i="4"/>
  <c r="BX40" i="4"/>
  <c r="BY40" i="4"/>
  <c r="BZ40" i="4"/>
  <c r="CA40" i="4"/>
  <c r="CD40" i="4"/>
  <c r="K41" i="4"/>
  <c r="L41" i="4"/>
  <c r="M41" i="4"/>
  <c r="N41" i="4"/>
  <c r="S41" i="4"/>
  <c r="T41" i="4"/>
  <c r="U41" i="4"/>
  <c r="V41" i="4"/>
  <c r="Y41" i="4"/>
  <c r="AA41" i="4"/>
  <c r="AB41" i="4"/>
  <c r="AC41" i="4"/>
  <c r="AD41" i="4"/>
  <c r="AE41" i="4"/>
  <c r="AF41" i="4"/>
  <c r="AG41" i="4"/>
  <c r="AJ41" i="4"/>
  <c r="AW41" i="4"/>
  <c r="AY41" i="4"/>
  <c r="AZ41" i="4"/>
  <c r="BA41" i="4"/>
  <c r="BB41" i="4"/>
  <c r="BC41" i="4"/>
  <c r="BD41" i="4"/>
  <c r="BE41" i="4"/>
  <c r="BH41" i="4"/>
  <c r="BU41" i="4"/>
  <c r="BV41" i="4"/>
  <c r="BX41" i="4"/>
  <c r="BY41" i="4"/>
  <c r="BZ41" i="4"/>
  <c r="CA41" i="4"/>
  <c r="CD41" i="4"/>
  <c r="K42" i="4"/>
  <c r="L42" i="4"/>
  <c r="M42" i="4"/>
  <c r="N42" i="4"/>
  <c r="S42" i="4"/>
  <c r="T42" i="4"/>
  <c r="U42" i="4"/>
  <c r="V42" i="4"/>
  <c r="Y42" i="4"/>
  <c r="AA42" i="4"/>
  <c r="AB42" i="4"/>
  <c r="AC42" i="4"/>
  <c r="AD42" i="4"/>
  <c r="AE42" i="4"/>
  <c r="AF42" i="4"/>
  <c r="AG42" i="4"/>
  <c r="AJ42" i="4"/>
  <c r="AW42" i="4"/>
  <c r="AY42" i="4"/>
  <c r="AZ42" i="4"/>
  <c r="BA42" i="4"/>
  <c r="BB42" i="4"/>
  <c r="BC42" i="4"/>
  <c r="BD42" i="4"/>
  <c r="BE42" i="4"/>
  <c r="BH42" i="4"/>
  <c r="BU42" i="4"/>
  <c r="BV42" i="4"/>
  <c r="BX42" i="4"/>
  <c r="BY42" i="4"/>
  <c r="BZ42" i="4"/>
  <c r="CA42" i="4"/>
  <c r="CD42" i="4"/>
  <c r="K43" i="4"/>
  <c r="L43" i="4"/>
  <c r="M43" i="4"/>
  <c r="N43" i="4"/>
  <c r="S43" i="4"/>
  <c r="T43" i="4"/>
  <c r="U43" i="4"/>
  <c r="V43" i="4"/>
  <c r="Y43" i="4"/>
  <c r="AA43" i="4"/>
  <c r="AB43" i="4"/>
  <c r="AC43" i="4"/>
  <c r="AD43" i="4"/>
  <c r="AE43" i="4"/>
  <c r="AF43" i="4"/>
  <c r="AG43" i="4"/>
  <c r="AJ43" i="4"/>
  <c r="AW43" i="4"/>
  <c r="AY43" i="4"/>
  <c r="AZ43" i="4"/>
  <c r="BA43" i="4"/>
  <c r="BB43" i="4"/>
  <c r="BC43" i="4"/>
  <c r="BD43" i="4"/>
  <c r="BE43" i="4"/>
  <c r="BH43" i="4"/>
  <c r="BU43" i="4"/>
  <c r="BV43" i="4"/>
  <c r="BX43" i="4"/>
  <c r="BY43" i="4"/>
  <c r="BZ43" i="4"/>
  <c r="CA43" i="4"/>
  <c r="CD43" i="4"/>
  <c r="K44" i="4"/>
  <c r="L44" i="4"/>
  <c r="M44" i="4"/>
  <c r="N44" i="4"/>
  <c r="S44" i="4"/>
  <c r="T44" i="4"/>
  <c r="U44" i="4"/>
  <c r="V44" i="4"/>
  <c r="Y44" i="4"/>
  <c r="AA44" i="4"/>
  <c r="AB44" i="4"/>
  <c r="AC44" i="4"/>
  <c r="AD44" i="4"/>
  <c r="AE44" i="4"/>
  <c r="AF44" i="4"/>
  <c r="AG44" i="4"/>
  <c r="AJ44" i="4"/>
  <c r="AW44" i="4"/>
  <c r="AY44" i="4"/>
  <c r="AZ44" i="4"/>
  <c r="BA44" i="4"/>
  <c r="BB44" i="4"/>
  <c r="BC44" i="4"/>
  <c r="BD44" i="4"/>
  <c r="BE44" i="4"/>
  <c r="BH44" i="4"/>
  <c r="BU44" i="4"/>
  <c r="BV44" i="4"/>
  <c r="BX44" i="4"/>
  <c r="BY44" i="4"/>
  <c r="BZ44" i="4"/>
  <c r="CA44" i="4"/>
  <c r="CD44" i="4"/>
  <c r="K45" i="4"/>
  <c r="L45" i="4"/>
  <c r="M45" i="4"/>
  <c r="N45" i="4"/>
  <c r="S45" i="4"/>
  <c r="T45" i="4"/>
  <c r="U45" i="4"/>
  <c r="V45" i="4"/>
  <c r="Y45" i="4"/>
  <c r="AA45" i="4"/>
  <c r="AB45" i="4"/>
  <c r="AC45" i="4"/>
  <c r="AD45" i="4"/>
  <c r="AE45" i="4"/>
  <c r="AF45" i="4"/>
  <c r="AG45" i="4"/>
  <c r="AJ45" i="4"/>
  <c r="AW45" i="4"/>
  <c r="AY45" i="4"/>
  <c r="AZ45" i="4"/>
  <c r="BA45" i="4"/>
  <c r="BB45" i="4"/>
  <c r="BC45" i="4"/>
  <c r="BD45" i="4"/>
  <c r="BE45" i="4"/>
  <c r="BH45" i="4"/>
  <c r="BU45" i="4"/>
  <c r="BV45" i="4"/>
  <c r="BX45" i="4"/>
  <c r="BY45" i="4"/>
  <c r="BZ45" i="4"/>
  <c r="CA45" i="4"/>
  <c r="CD45" i="4"/>
  <c r="K46" i="4"/>
  <c r="L46" i="4"/>
  <c r="M46" i="4"/>
  <c r="N46" i="4"/>
  <c r="S46" i="4"/>
  <c r="T46" i="4"/>
  <c r="U46" i="4"/>
  <c r="V46" i="4"/>
  <c r="Y46" i="4"/>
  <c r="AA46" i="4"/>
  <c r="AB46" i="4"/>
  <c r="AC46" i="4"/>
  <c r="AD46" i="4"/>
  <c r="AE46" i="4"/>
  <c r="AF46" i="4"/>
  <c r="AG46" i="4"/>
  <c r="AJ46" i="4"/>
  <c r="AW46" i="4"/>
  <c r="AY46" i="4"/>
  <c r="AZ46" i="4"/>
  <c r="BA46" i="4"/>
  <c r="BB46" i="4"/>
  <c r="BC46" i="4"/>
  <c r="BD46" i="4"/>
  <c r="BE46" i="4"/>
  <c r="BH46" i="4"/>
  <c r="BU46" i="4"/>
  <c r="BV46" i="4"/>
  <c r="BX46" i="4"/>
  <c r="BY46" i="4"/>
  <c r="BZ46" i="4"/>
  <c r="CA46" i="4"/>
  <c r="CD46" i="4"/>
  <c r="K47" i="4"/>
  <c r="L47" i="4"/>
  <c r="M47" i="4"/>
  <c r="N47" i="4"/>
  <c r="S47" i="4"/>
  <c r="T47" i="4"/>
  <c r="U47" i="4"/>
  <c r="V47" i="4"/>
  <c r="Y47" i="4"/>
  <c r="AA47" i="4"/>
  <c r="AB47" i="4"/>
  <c r="AC47" i="4"/>
  <c r="AD47" i="4"/>
  <c r="AE47" i="4"/>
  <c r="AF47" i="4"/>
  <c r="AG47" i="4"/>
  <c r="AJ47" i="4"/>
  <c r="AW47" i="4"/>
  <c r="AY47" i="4"/>
  <c r="AZ47" i="4"/>
  <c r="BA47" i="4"/>
  <c r="BB47" i="4"/>
  <c r="BC47" i="4"/>
  <c r="BD47" i="4"/>
  <c r="BE47" i="4"/>
  <c r="BH47" i="4"/>
  <c r="BU47" i="4"/>
  <c r="BV47" i="4"/>
  <c r="BX47" i="4"/>
  <c r="BY47" i="4"/>
  <c r="BZ47" i="4"/>
  <c r="CA47" i="4"/>
  <c r="CD47" i="4"/>
  <c r="K48" i="4"/>
  <c r="L48" i="4"/>
  <c r="M48" i="4"/>
  <c r="N48" i="4"/>
  <c r="S48" i="4"/>
  <c r="T48" i="4"/>
  <c r="U48" i="4"/>
  <c r="V48" i="4"/>
  <c r="AJ48" i="4"/>
  <c r="BH48" i="4"/>
  <c r="BU48" i="4"/>
  <c r="BV48" i="4"/>
  <c r="BX48" i="4"/>
  <c r="BY48" i="4"/>
  <c r="BZ48" i="4"/>
  <c r="CA48" i="4"/>
  <c r="CD48" i="4"/>
  <c r="K49" i="4"/>
  <c r="L49" i="4"/>
  <c r="M49" i="4"/>
  <c r="N49" i="4"/>
  <c r="S49" i="4"/>
  <c r="T49" i="4"/>
  <c r="U49" i="4"/>
  <c r="V49" i="4"/>
  <c r="AJ49" i="4"/>
  <c r="BH49" i="4"/>
  <c r="BU49" i="4"/>
  <c r="BV49" i="4"/>
  <c r="BX49" i="4"/>
  <c r="BY49" i="4"/>
  <c r="BZ49" i="4"/>
  <c r="CA49" i="4"/>
  <c r="CD49" i="4"/>
  <c r="K50" i="4"/>
  <c r="L50" i="4"/>
  <c r="M50" i="4"/>
  <c r="N50" i="4"/>
  <c r="S50" i="4"/>
  <c r="T50" i="4"/>
  <c r="U50" i="4"/>
  <c r="V50" i="4"/>
  <c r="AJ50" i="4"/>
  <c r="BH50" i="4"/>
  <c r="BU50" i="4"/>
  <c r="BV50" i="4"/>
  <c r="BX50" i="4"/>
  <c r="BY50" i="4"/>
  <c r="BZ50" i="4"/>
  <c r="CA50" i="4"/>
  <c r="CD50" i="4"/>
  <c r="K51" i="4"/>
  <c r="L51" i="4"/>
  <c r="M51" i="4"/>
  <c r="N51" i="4"/>
  <c r="S51" i="4"/>
  <c r="T51" i="4"/>
  <c r="U51" i="4"/>
  <c r="V51" i="4"/>
  <c r="AJ51" i="4"/>
  <c r="BH51" i="4"/>
  <c r="BU51" i="4"/>
  <c r="BV51" i="4"/>
  <c r="BX51" i="4"/>
  <c r="BY51" i="4"/>
  <c r="BZ51" i="4"/>
  <c r="CA51" i="4"/>
  <c r="CD51" i="4"/>
  <c r="K52" i="4"/>
  <c r="L52" i="4"/>
  <c r="M52" i="4"/>
  <c r="N52" i="4"/>
  <c r="S52" i="4"/>
  <c r="T52" i="4"/>
  <c r="U52" i="4"/>
  <c r="V52" i="4"/>
  <c r="AJ52" i="4"/>
  <c r="BH52" i="4"/>
  <c r="BU52" i="4"/>
  <c r="BV52" i="4"/>
  <c r="BX52" i="4"/>
  <c r="BY52" i="4"/>
  <c r="BZ52" i="4"/>
  <c r="CA52" i="4"/>
  <c r="CD52" i="4"/>
  <c r="K53" i="4"/>
  <c r="L53" i="4"/>
  <c r="M53" i="4"/>
  <c r="N53" i="4"/>
  <c r="S53" i="4"/>
  <c r="T53" i="4"/>
  <c r="U53" i="4"/>
  <c r="V53" i="4"/>
  <c r="AJ53" i="4"/>
  <c r="BH53" i="4"/>
  <c r="BU53" i="4"/>
  <c r="BV53" i="4"/>
  <c r="BX53" i="4"/>
  <c r="BY53" i="4"/>
  <c r="BZ53" i="4"/>
  <c r="CA53" i="4"/>
  <c r="CD53" i="4"/>
  <c r="K54" i="4"/>
  <c r="L54" i="4"/>
  <c r="M54" i="4"/>
  <c r="N54" i="4"/>
  <c r="S54" i="4"/>
  <c r="T54" i="4"/>
  <c r="U54" i="4"/>
  <c r="V54" i="4"/>
  <c r="AJ54" i="4"/>
  <c r="BH54" i="4"/>
  <c r="BU54" i="4"/>
  <c r="BV54" i="4"/>
  <c r="BX54" i="4"/>
  <c r="BY54" i="4"/>
  <c r="BZ54" i="4"/>
  <c r="CA54" i="4"/>
  <c r="CD54" i="4"/>
  <c r="K55" i="4"/>
  <c r="L55" i="4"/>
  <c r="M55" i="4"/>
  <c r="N55" i="4"/>
  <c r="S55" i="4"/>
  <c r="T55" i="4"/>
  <c r="U55" i="4"/>
  <c r="V55" i="4"/>
  <c r="AJ55" i="4"/>
  <c r="BH55" i="4"/>
  <c r="BU55" i="4"/>
  <c r="BV55" i="4"/>
  <c r="BX55" i="4"/>
  <c r="BY55" i="4"/>
  <c r="BZ55" i="4"/>
  <c r="CA55" i="4"/>
  <c r="CD55" i="4"/>
  <c r="K56" i="4"/>
  <c r="L56" i="4"/>
  <c r="M56" i="4"/>
  <c r="N56" i="4"/>
  <c r="S56" i="4"/>
  <c r="T56" i="4"/>
  <c r="U56" i="4"/>
  <c r="V56" i="4"/>
  <c r="AJ56" i="4"/>
  <c r="BH56" i="4"/>
  <c r="BU56" i="4"/>
  <c r="BV56" i="4"/>
  <c r="BX56" i="4"/>
  <c r="BY56" i="4"/>
  <c r="BZ56" i="4"/>
  <c r="CA56" i="4"/>
  <c r="CD56" i="4"/>
  <c r="K57" i="4"/>
  <c r="L57" i="4"/>
  <c r="M57" i="4"/>
  <c r="N57" i="4"/>
  <c r="S57" i="4"/>
  <c r="T57" i="4"/>
  <c r="U57" i="4"/>
  <c r="V57" i="4"/>
  <c r="AJ57" i="4"/>
  <c r="BH57" i="4"/>
  <c r="BU57" i="4"/>
  <c r="BV57" i="4"/>
  <c r="BX57" i="4"/>
  <c r="BY57" i="4"/>
  <c r="BZ57" i="4"/>
  <c r="CA57" i="4"/>
  <c r="CD57" i="4"/>
  <c r="K58" i="4"/>
  <c r="L58" i="4"/>
  <c r="M58" i="4"/>
  <c r="N58" i="4"/>
  <c r="S58" i="4"/>
  <c r="T58" i="4"/>
  <c r="U58" i="4"/>
  <c r="V58" i="4"/>
  <c r="AJ58" i="4"/>
  <c r="BH58" i="4"/>
  <c r="BU58" i="4"/>
  <c r="BV58" i="4"/>
  <c r="BX58" i="4"/>
  <c r="BY58" i="4"/>
  <c r="BZ58" i="4"/>
  <c r="CA58" i="4"/>
  <c r="CD58" i="4"/>
  <c r="K59" i="4"/>
  <c r="L59" i="4"/>
  <c r="M59" i="4"/>
  <c r="N59" i="4"/>
  <c r="S59" i="4"/>
  <c r="T59" i="4"/>
  <c r="U59" i="4"/>
  <c r="V59" i="4"/>
  <c r="AJ59" i="4"/>
  <c r="BH59" i="4"/>
  <c r="BU59" i="4"/>
  <c r="BV59" i="4"/>
  <c r="BX59" i="4"/>
  <c r="BY59" i="4"/>
  <c r="BZ59" i="4"/>
  <c r="CA59" i="4"/>
  <c r="CD59" i="4"/>
  <c r="K60" i="4"/>
  <c r="L60" i="4"/>
  <c r="M60" i="4"/>
  <c r="N60" i="4"/>
  <c r="S60" i="4"/>
  <c r="T60" i="4"/>
  <c r="U60" i="4"/>
  <c r="V60" i="4"/>
  <c r="AJ60" i="4"/>
  <c r="BH60" i="4"/>
  <c r="BU60" i="4"/>
  <c r="BV60" i="4"/>
  <c r="BX60" i="4"/>
  <c r="BY60" i="4"/>
  <c r="BZ60" i="4"/>
  <c r="CA60" i="4"/>
  <c r="CD60" i="4"/>
  <c r="K61" i="4"/>
  <c r="L61" i="4"/>
  <c r="M61" i="4"/>
  <c r="N61" i="4"/>
  <c r="S61" i="4"/>
  <c r="T61" i="4"/>
  <c r="U61" i="4"/>
  <c r="V61" i="4"/>
  <c r="AJ61" i="4"/>
  <c r="BH61" i="4"/>
  <c r="BU61" i="4"/>
  <c r="BV61" i="4"/>
  <c r="BX61" i="4"/>
  <c r="BY61" i="4"/>
  <c r="BZ61" i="4"/>
  <c r="CA61" i="4"/>
  <c r="CD61" i="4"/>
  <c r="K62" i="4"/>
  <c r="L62" i="4"/>
  <c r="M62" i="4"/>
  <c r="N62" i="4"/>
  <c r="S62" i="4"/>
  <c r="T62" i="4"/>
  <c r="U62" i="4"/>
  <c r="V62" i="4"/>
  <c r="AJ62" i="4"/>
  <c r="BH62" i="4"/>
  <c r="BU62" i="4"/>
  <c r="BV62" i="4"/>
  <c r="BX62" i="4"/>
  <c r="BY62" i="4"/>
  <c r="BZ62" i="4"/>
  <c r="CA62" i="4"/>
  <c r="CD62" i="4"/>
  <c r="K63" i="4"/>
  <c r="L63" i="4"/>
  <c r="M63" i="4"/>
  <c r="N63" i="4"/>
  <c r="S63" i="4"/>
  <c r="T63" i="4"/>
  <c r="U63" i="4"/>
  <c r="V63" i="4"/>
  <c r="AJ63" i="4"/>
  <c r="BH63" i="4"/>
  <c r="BU63" i="4"/>
  <c r="BV63" i="4"/>
  <c r="BX63" i="4"/>
  <c r="BY63" i="4"/>
  <c r="BZ63" i="4"/>
  <c r="CA63" i="4"/>
  <c r="CD63" i="4"/>
  <c r="K64" i="4"/>
  <c r="L64" i="4"/>
  <c r="M64" i="4"/>
  <c r="N64" i="4"/>
  <c r="S64" i="4"/>
  <c r="T64" i="4"/>
  <c r="U64" i="4"/>
  <c r="V64" i="4"/>
  <c r="AJ64" i="4"/>
  <c r="BH64" i="4"/>
  <c r="BU64" i="4"/>
  <c r="BV64" i="4"/>
  <c r="BX64" i="4"/>
  <c r="BY64" i="4"/>
  <c r="BZ64" i="4"/>
  <c r="CA64" i="4"/>
  <c r="CD64" i="4"/>
  <c r="K65" i="4"/>
  <c r="L65" i="4"/>
  <c r="M65" i="4"/>
  <c r="N65" i="4"/>
  <c r="S65" i="4"/>
  <c r="T65" i="4"/>
  <c r="U65" i="4"/>
  <c r="V65" i="4"/>
  <c r="AJ65" i="4"/>
  <c r="BH65" i="4"/>
  <c r="BX65" i="4"/>
  <c r="BY65" i="4"/>
  <c r="BZ65" i="4"/>
  <c r="CA65" i="4"/>
  <c r="CD65" i="4"/>
  <c r="K66" i="4"/>
  <c r="L66" i="4"/>
  <c r="M66" i="4"/>
  <c r="N66" i="4"/>
  <c r="S66" i="4"/>
  <c r="T66" i="4"/>
  <c r="U66" i="4"/>
  <c r="V66" i="4"/>
  <c r="AJ66" i="4"/>
  <c r="BH66" i="4"/>
  <c r="BX66" i="4"/>
  <c r="BY66" i="4"/>
  <c r="BZ66" i="4"/>
  <c r="CA66" i="4"/>
  <c r="CD66" i="4"/>
  <c r="K67" i="4"/>
  <c r="L67" i="4"/>
  <c r="M67" i="4"/>
  <c r="N67" i="4"/>
  <c r="S67" i="4"/>
  <c r="T67" i="4"/>
  <c r="U67" i="4"/>
  <c r="V67" i="4"/>
  <c r="AJ67" i="4"/>
  <c r="BH67" i="4"/>
  <c r="BX67" i="4"/>
  <c r="BY67" i="4"/>
  <c r="BZ67" i="4"/>
  <c r="CA67" i="4"/>
  <c r="CD67" i="4"/>
  <c r="K68" i="4"/>
  <c r="L68" i="4"/>
  <c r="M68" i="4"/>
  <c r="N68" i="4"/>
  <c r="S68" i="4"/>
  <c r="T68" i="4"/>
  <c r="U68" i="4"/>
  <c r="V68" i="4"/>
  <c r="BX68" i="4"/>
  <c r="BY68" i="4"/>
  <c r="BZ68" i="4"/>
  <c r="CA68" i="4"/>
  <c r="CD68" i="4"/>
  <c r="K69" i="4"/>
  <c r="L69" i="4"/>
  <c r="M69" i="4"/>
  <c r="N69" i="4"/>
  <c r="S69" i="4"/>
  <c r="T69" i="4"/>
  <c r="U69" i="4"/>
  <c r="V69" i="4"/>
  <c r="BX69" i="4"/>
  <c r="BY69" i="4"/>
  <c r="BZ69" i="4"/>
  <c r="CA69" i="4"/>
  <c r="CD69" i="4"/>
  <c r="K70" i="4"/>
  <c r="L70" i="4"/>
  <c r="M70" i="4"/>
  <c r="N70" i="4"/>
  <c r="S70" i="4"/>
  <c r="T70" i="4"/>
  <c r="U70" i="4"/>
  <c r="V70" i="4"/>
  <c r="BX70" i="4"/>
  <c r="BY70" i="4"/>
  <c r="BZ70" i="4"/>
  <c r="CA70" i="4"/>
  <c r="CD70" i="4"/>
  <c r="K71" i="4"/>
  <c r="L71" i="4"/>
  <c r="M71" i="4"/>
  <c r="N71" i="4"/>
  <c r="S71" i="4"/>
  <c r="T71" i="4"/>
  <c r="U71" i="4"/>
  <c r="V71" i="4"/>
  <c r="BX71" i="4"/>
  <c r="BY71" i="4"/>
  <c r="BZ71" i="4"/>
  <c r="CA71" i="4"/>
  <c r="CD71" i="4"/>
  <c r="K72" i="4"/>
  <c r="L72" i="4"/>
  <c r="M72" i="4"/>
  <c r="N72" i="4"/>
  <c r="S72" i="4"/>
  <c r="T72" i="4"/>
  <c r="U72" i="4"/>
  <c r="V72" i="4"/>
  <c r="BX72" i="4"/>
  <c r="BY72" i="4"/>
  <c r="BZ72" i="4"/>
  <c r="CA72" i="4"/>
  <c r="CD72" i="4"/>
  <c r="A3" i="10"/>
</calcChain>
</file>

<file path=xl/sharedStrings.xml><?xml version="1.0" encoding="utf-8"?>
<sst xmlns="http://schemas.openxmlformats.org/spreadsheetml/2006/main" count="499" uniqueCount="187">
  <si>
    <t>Vol Smile</t>
  </si>
  <si>
    <t>Driver</t>
  </si>
  <si>
    <t>Use Unit</t>
  </si>
  <si>
    <t>Power Region</t>
  </si>
  <si>
    <t>Power Basis</t>
  </si>
  <si>
    <t>Underlying</t>
  </si>
  <si>
    <t>Strike</t>
  </si>
  <si>
    <t>Premium</t>
  </si>
  <si>
    <t>Implied Vol</t>
  </si>
  <si>
    <t>Price Override</t>
  </si>
  <si>
    <t>Vol Override</t>
  </si>
  <si>
    <t>Date</t>
  </si>
  <si>
    <t>Interest Rate</t>
  </si>
  <si>
    <t>Jan</t>
  </si>
  <si>
    <t>Feb</t>
  </si>
  <si>
    <t>Mar</t>
  </si>
  <si>
    <t>May</t>
  </si>
  <si>
    <t>Apr</t>
  </si>
  <si>
    <t>Start</t>
  </si>
  <si>
    <t>End</t>
  </si>
  <si>
    <t>Peak</t>
  </si>
  <si>
    <t>Daily Price Profile</t>
  </si>
  <si>
    <t>Jun</t>
  </si>
  <si>
    <t>Jul</t>
  </si>
  <si>
    <t>Aug</t>
  </si>
  <si>
    <t>Sep</t>
  </si>
  <si>
    <t>Oct</t>
  </si>
  <si>
    <t>Nov</t>
  </si>
  <si>
    <t>Dec</t>
  </si>
  <si>
    <t>HR</t>
  </si>
  <si>
    <t>P/OP</t>
  </si>
  <si>
    <t>Correlation</t>
  </si>
  <si>
    <t>Rate</t>
  </si>
  <si>
    <t>Volume (Mw)</t>
  </si>
  <si>
    <t>Table 4 - Power Region</t>
  </si>
  <si>
    <t>NY Zone G</t>
  </si>
  <si>
    <t>1B</t>
  </si>
  <si>
    <t>NEPOOL</t>
  </si>
  <si>
    <t>1C</t>
  </si>
  <si>
    <t>NY Zone A</t>
  </si>
  <si>
    <t>1E</t>
  </si>
  <si>
    <t>PJM West</t>
  </si>
  <si>
    <t>1M</t>
  </si>
  <si>
    <t>Nepool AGC</t>
  </si>
  <si>
    <t>1Z</t>
  </si>
  <si>
    <t>NY Zone J</t>
  </si>
  <si>
    <t>Cinergy</t>
  </si>
  <si>
    <t>Entergy</t>
  </si>
  <si>
    <t>Forward Power Price Curves, Volatilities and Price Profile</t>
  </si>
  <si>
    <t>Monthly Volatilities</t>
  </si>
  <si>
    <t>Intra-Month Volatilties</t>
  </si>
  <si>
    <t>Month</t>
  </si>
  <si>
    <t>PEAK</t>
  </si>
  <si>
    <t>OFF-PEAK</t>
  </si>
  <si>
    <t>Saturday</t>
  </si>
  <si>
    <t>Sunday</t>
  </si>
  <si>
    <t>Capacity</t>
  </si>
  <si>
    <t>OffPeak</t>
  </si>
  <si>
    <t>Group</t>
  </si>
  <si>
    <t>Prudent</t>
  </si>
  <si>
    <t>Mid</t>
  </si>
  <si>
    <t>Bid</t>
  </si>
  <si>
    <t>Offer</t>
  </si>
  <si>
    <t>Code</t>
  </si>
  <si>
    <t>Factor</t>
  </si>
  <si>
    <t>($/MWH)</t>
  </si>
  <si>
    <t>1</t>
  </si>
  <si>
    <t>2</t>
  </si>
  <si>
    <t>Volatility Smile</t>
  </si>
  <si>
    <t>Price Sensitivies</t>
  </si>
  <si>
    <t>Sat</t>
  </si>
  <si>
    <t>Sun</t>
  </si>
  <si>
    <t>Hol</t>
  </si>
  <si>
    <t>Week Day</t>
  </si>
  <si>
    <t>Weekday</t>
  </si>
  <si>
    <t>Gas-Power</t>
  </si>
  <si>
    <t>Basis Table</t>
  </si>
  <si>
    <t>Region</t>
  </si>
  <si>
    <t>#</t>
  </si>
  <si>
    <t>No Basis</t>
  </si>
  <si>
    <t>1  BUSBAR</t>
  </si>
  <si>
    <t>2  MID COLUMBIA</t>
  </si>
  <si>
    <t>3  MIDWAY</t>
  </si>
  <si>
    <t>4  MEAD</t>
  </si>
  <si>
    <t>5  PALO VERDE</t>
  </si>
  <si>
    <t>6  FOUR CORNERS</t>
  </si>
  <si>
    <t>7  CRAIG</t>
  </si>
  <si>
    <t>8  NW DELV</t>
  </si>
  <si>
    <t>10  Into EEI-R4</t>
  </si>
  <si>
    <t>11  WISCONSIN-R4</t>
  </si>
  <si>
    <t>12  MICHIGAN-R4</t>
  </si>
  <si>
    <t>14  EAST NY-R1A</t>
  </si>
  <si>
    <t>15  EASTERN ECAR-R1A</t>
  </si>
  <si>
    <t>OTHER</t>
  </si>
  <si>
    <t>Prices</t>
  </si>
  <si>
    <t>Vol</t>
  </si>
  <si>
    <t>Curve Date</t>
  </si>
  <si>
    <t>Buy 0 /Sell 1</t>
  </si>
  <si>
    <t xml:space="preserve">Call 1 /Put 0 </t>
  </si>
  <si>
    <t>Postion Type</t>
  </si>
  <si>
    <t>Week Table</t>
  </si>
  <si>
    <t>5 X 16</t>
  </si>
  <si>
    <t>7 X 24</t>
  </si>
  <si>
    <t>Expiration</t>
  </si>
  <si>
    <t>Price</t>
  </si>
  <si>
    <t>Override</t>
  </si>
  <si>
    <t>Additive</t>
  </si>
  <si>
    <t>Multiple</t>
  </si>
  <si>
    <t>Monthly Pricing Input</t>
  </si>
  <si>
    <t>Int. Rate</t>
  </si>
  <si>
    <t>Price Used</t>
  </si>
  <si>
    <t>Vol Used</t>
  </si>
  <si>
    <t>Type</t>
  </si>
  <si>
    <t>Option</t>
  </si>
  <si>
    <t>Greeks</t>
  </si>
  <si>
    <t>Delta</t>
  </si>
  <si>
    <t>Gamma</t>
  </si>
  <si>
    <t>Vega</t>
  </si>
  <si>
    <t>Theta</t>
  </si>
  <si>
    <t>Start Month</t>
  </si>
  <si>
    <t>End Month</t>
  </si>
  <si>
    <t>Pos1</t>
  </si>
  <si>
    <t>Pos2</t>
  </si>
  <si>
    <t>Pos3</t>
  </si>
  <si>
    <t>Pos4</t>
  </si>
  <si>
    <t>Pos5</t>
  </si>
  <si>
    <t>Pos6</t>
  </si>
  <si>
    <t>Swaption</t>
  </si>
  <si>
    <t>Buy=0 Sell=1</t>
  </si>
  <si>
    <t xml:space="preserve">Call=1 Put=0 </t>
  </si>
  <si>
    <t>Premium Input</t>
  </si>
  <si>
    <t>Volatility</t>
  </si>
  <si>
    <t>Summary</t>
  </si>
  <si>
    <t>Correlation Matrix for Swap Vol</t>
  </si>
  <si>
    <t>Swap  Vol</t>
  </si>
  <si>
    <t>Drift</t>
  </si>
  <si>
    <t>Weight</t>
  </si>
  <si>
    <t>Time</t>
  </si>
  <si>
    <t>For Swaption</t>
  </si>
  <si>
    <t>Vol Input</t>
  </si>
  <si>
    <t xml:space="preserve">End </t>
  </si>
  <si>
    <t>Vol input</t>
  </si>
  <si>
    <t>Week Def.</t>
  </si>
  <si>
    <t>Curve Input</t>
  </si>
  <si>
    <t>User Input</t>
  </si>
  <si>
    <t>None</t>
  </si>
  <si>
    <t>Call Out-of-Moneyness</t>
  </si>
  <si>
    <t>Put Out-of-Moneyness</t>
  </si>
  <si>
    <t>y</t>
  </si>
  <si>
    <t>=</t>
  </si>
  <si>
    <t>+</t>
  </si>
  <si>
    <t xml:space="preserve"> </t>
  </si>
  <si>
    <t>Cinergy Vol Skew Table</t>
  </si>
  <si>
    <t>ATM</t>
  </si>
  <si>
    <t>Monthly Curve Input</t>
  </si>
  <si>
    <t>Call</t>
  </si>
  <si>
    <t>Put</t>
  </si>
  <si>
    <t>0.2878279439x</t>
  </si>
  <si>
    <t>Report Unit</t>
  </si>
  <si>
    <t>Report</t>
  </si>
  <si>
    <t>Normalized</t>
  </si>
  <si>
    <t>MW</t>
  </si>
  <si>
    <t>Mwh</t>
  </si>
  <si>
    <t>REGION 4</t>
  </si>
  <si>
    <t>Into CINergy</t>
  </si>
  <si>
    <t>Daily Display</t>
  </si>
  <si>
    <t>Buy/Sell</t>
  </si>
  <si>
    <t>Put/Call</t>
  </si>
  <si>
    <t>Start Date</t>
  </si>
  <si>
    <t>First Exercise</t>
  </si>
  <si>
    <t>PRICE OPTIONS MONTHLY - NO PACKAGES PLEASE</t>
  </si>
  <si>
    <t>Pos7</t>
  </si>
  <si>
    <t>Pos8</t>
  </si>
  <si>
    <t>Pos9</t>
  </si>
  <si>
    <t>Pos10</t>
  </si>
  <si>
    <t>Pos11</t>
  </si>
  <si>
    <t>Pos12</t>
  </si>
  <si>
    <t>Valuation Date</t>
  </si>
  <si>
    <t>Days in Month</t>
  </si>
  <si>
    <t>Daily Pricing Input</t>
  </si>
  <si>
    <t>-</t>
  </si>
  <si>
    <t>-0.1021964613x2</t>
  </si>
  <si>
    <t>Daily Override</t>
  </si>
  <si>
    <t>Monthly Override</t>
  </si>
  <si>
    <t>Daily Pricing</t>
  </si>
  <si>
    <t>Monthly Pricing</t>
  </si>
  <si>
    <t>Number of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</si>
</sst>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dd\-mmm\-yy_);[Red]dd\-mmm\-yy_)"/>
    <numFmt numFmtId="169" formatCode="0_);[Red]\-0_)"/>
    <numFmt numFmtId="170" formatCode="mmm\-yy_)"/>
    <numFmt numFmtId="171" formatCode="#,##0.0000_);\(#,##0.0000\)"/>
    <numFmt numFmtId="177" formatCode="0.000%"/>
    <numFmt numFmtId="180" formatCode="0.0000"/>
    <numFmt numFmtId="190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Tahoma"/>
      <family val="2"/>
    </font>
    <font>
      <sz val="10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Times New Roman"/>
      <family val="1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Courier"/>
    </font>
    <font>
      <b/>
      <sz val="12"/>
      <name val="Arial"/>
      <family val="2"/>
    </font>
    <font>
      <sz val="8"/>
      <color indexed="12"/>
      <name val="Arial"/>
    </font>
    <font>
      <sz val="8"/>
      <color indexed="10"/>
      <name val="Arial"/>
      <family val="2"/>
    </font>
    <font>
      <b/>
      <i/>
      <sz val="12"/>
      <color indexed="10"/>
      <name val="Times New Roman"/>
      <family val="1"/>
    </font>
    <font>
      <b/>
      <i/>
      <sz val="12"/>
      <color indexed="12"/>
      <name val="Times New Roman"/>
      <family val="1"/>
    </font>
    <font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7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37" fontId="2" fillId="2" borderId="0" applyNumberFormat="0" applyBorder="0" applyAlignment="0" applyProtection="0"/>
    <xf numFmtId="37" fontId="5" fillId="0" borderId="0"/>
    <xf numFmtId="3" fontId="6" fillId="3" borderId="1" applyProtection="0"/>
  </cellStyleXfs>
  <cellXfs count="433">
    <xf numFmtId="0" fontId="0" fillId="0" borderId="0" xfId="0"/>
    <xf numFmtId="0" fontId="2" fillId="4" borderId="0" xfId="0" applyFont="1" applyFill="1"/>
    <xf numFmtId="0" fontId="2" fillId="5" borderId="2" xfId="0" applyFont="1" applyFill="1" applyBorder="1"/>
    <xf numFmtId="0" fontId="6" fillId="0" borderId="0" xfId="0" applyFont="1"/>
    <xf numFmtId="17" fontId="7" fillId="0" borderId="0" xfId="0" applyNumberFormat="1" applyFont="1" applyFill="1" applyBorder="1"/>
    <xf numFmtId="43" fontId="7" fillId="0" borderId="0" xfId="1" applyFont="1" applyFill="1" applyBorder="1" applyAlignment="1" applyProtection="1">
      <alignment horizontal="centerContinuous"/>
      <protection locked="0"/>
    </xf>
    <xf numFmtId="0" fontId="7" fillId="0" borderId="0" xfId="0" applyFont="1" applyFill="1" applyBorder="1" applyAlignment="1">
      <alignment horizontal="centerContinuous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43" fontId="7" fillId="0" borderId="0" xfId="0" applyNumberFormat="1" applyFont="1" applyFill="1" applyBorder="1"/>
    <xf numFmtId="170" fontId="7" fillId="0" borderId="0" xfId="0" applyNumberFormat="1" applyFont="1" applyFill="1" applyBorder="1" applyAlignment="1" applyProtection="1">
      <alignment horizontal="center"/>
    </xf>
    <xf numFmtId="43" fontId="7" fillId="0" borderId="0" xfId="1" applyFont="1" applyFill="1" applyBorder="1" applyAlignment="1">
      <alignment horizontal="center"/>
    </xf>
    <xf numFmtId="0" fontId="8" fillId="4" borderId="0" xfId="0" applyFont="1" applyFill="1"/>
    <xf numFmtId="0" fontId="8" fillId="5" borderId="2" xfId="0" applyFont="1" applyFill="1" applyBorder="1"/>
    <xf numFmtId="0" fontId="8" fillId="5" borderId="3" xfId="0" applyFont="1" applyFill="1" applyBorder="1"/>
    <xf numFmtId="0" fontId="8" fillId="5" borderId="4" xfId="0" applyFont="1" applyFill="1" applyBorder="1"/>
    <xf numFmtId="0" fontId="8" fillId="5" borderId="5" xfId="0" applyFont="1" applyFill="1" applyBorder="1"/>
    <xf numFmtId="0" fontId="9" fillId="0" borderId="6" xfId="0" applyFont="1" applyFill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9" fillId="6" borderId="6" xfId="0" applyFont="1" applyFill="1" applyBorder="1" applyAlignment="1">
      <alignment horizontal="center"/>
    </xf>
    <xf numFmtId="0" fontId="7" fillId="7" borderId="8" xfId="0" applyFont="1" applyFill="1" applyBorder="1" applyProtection="1">
      <protection locked="0"/>
    </xf>
    <xf numFmtId="0" fontId="2" fillId="0" borderId="0" xfId="0" applyFont="1"/>
    <xf numFmtId="0" fontId="2" fillId="4" borderId="0" xfId="0" applyFont="1" applyFill="1" applyAlignment="1">
      <alignment horizontal="center"/>
    </xf>
    <xf numFmtId="0" fontId="2" fillId="5" borderId="9" xfId="0" applyFont="1" applyFill="1" applyBorder="1"/>
    <xf numFmtId="0" fontId="11" fillId="5" borderId="9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2" fillId="4" borderId="0" xfId="0" applyFont="1" applyFill="1" applyBorder="1"/>
    <xf numFmtId="14" fontId="10" fillId="5" borderId="2" xfId="0" applyNumberFormat="1" applyFont="1" applyFill="1" applyBorder="1"/>
    <xf numFmtId="0" fontId="10" fillId="5" borderId="2" xfId="0" applyFont="1" applyFill="1" applyBorder="1"/>
    <xf numFmtId="17" fontId="2" fillId="0" borderId="0" xfId="0" applyNumberFormat="1" applyFont="1"/>
    <xf numFmtId="0" fontId="10" fillId="0" borderId="0" xfId="0" applyFont="1"/>
    <xf numFmtId="0" fontId="2" fillId="5" borderId="10" xfId="0" applyFont="1" applyFill="1" applyBorder="1"/>
    <xf numFmtId="0" fontId="2" fillId="5" borderId="11" xfId="0" applyFont="1" applyFill="1" applyBorder="1" applyAlignment="1">
      <alignment horizontal="center"/>
    </xf>
    <xf numFmtId="0" fontId="2" fillId="2" borderId="9" xfId="0" applyFont="1" applyFill="1" applyBorder="1"/>
    <xf numFmtId="0" fontId="2" fillId="8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9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17" fontId="2" fillId="10" borderId="2" xfId="0" applyNumberFormat="1" applyFont="1" applyFill="1" applyBorder="1"/>
    <xf numFmtId="14" fontId="2" fillId="5" borderId="2" xfId="0" applyNumberFormat="1" applyFont="1" applyFill="1" applyBorder="1"/>
    <xf numFmtId="0" fontId="2" fillId="5" borderId="11" xfId="0" applyFont="1" applyFill="1" applyBorder="1"/>
    <xf numFmtId="0" fontId="7" fillId="6" borderId="13" xfId="0" applyFont="1" applyFill="1" applyBorder="1" applyAlignment="1" applyProtection="1">
      <alignment horizontal="center"/>
      <protection locked="0"/>
    </xf>
    <xf numFmtId="0" fontId="9" fillId="7" borderId="8" xfId="0" applyFont="1" applyFill="1" applyBorder="1" applyAlignment="1" applyProtection="1">
      <alignment horizontal="center"/>
      <protection locked="0"/>
    </xf>
    <xf numFmtId="0" fontId="2" fillId="6" borderId="13" xfId="0" applyFont="1" applyFill="1" applyBorder="1"/>
    <xf numFmtId="0" fontId="2" fillId="7" borderId="8" xfId="0" applyFont="1" applyFill="1" applyBorder="1"/>
    <xf numFmtId="0" fontId="7" fillId="6" borderId="13" xfId="0" applyFont="1" applyFill="1" applyBorder="1" applyAlignment="1" applyProtection="1">
      <alignment horizontal="left"/>
      <protection locked="0"/>
    </xf>
    <xf numFmtId="0" fontId="7" fillId="7" borderId="8" xfId="0" applyFont="1" applyFill="1" applyBorder="1" applyAlignment="1" applyProtection="1">
      <alignment horizontal="center"/>
      <protection locked="0"/>
    </xf>
    <xf numFmtId="14" fontId="2" fillId="4" borderId="4" xfId="0" applyNumberFormat="1" applyFont="1" applyFill="1" applyBorder="1"/>
    <xf numFmtId="0" fontId="2" fillId="4" borderId="4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4" fontId="10" fillId="5" borderId="9" xfId="0" applyNumberFormat="1" applyFont="1" applyFill="1" applyBorder="1"/>
    <xf numFmtId="44" fontId="10" fillId="9" borderId="9" xfId="2" applyFont="1" applyFill="1" applyBorder="1" applyAlignment="1">
      <alignment horizontal="center"/>
    </xf>
    <xf numFmtId="10" fontId="10" fillId="9" borderId="9" xfId="12" applyNumberFormat="1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0" fillId="9" borderId="16" xfId="0" applyFont="1" applyFill="1" applyBorder="1" applyAlignment="1">
      <alignment horizontal="center"/>
    </xf>
    <xf numFmtId="0" fontId="10" fillId="5" borderId="15" xfId="0" applyFont="1" applyFill="1" applyBorder="1"/>
    <xf numFmtId="0" fontId="2" fillId="9" borderId="17" xfId="0" applyFont="1" applyFill="1" applyBorder="1"/>
    <xf numFmtId="0" fontId="10" fillId="9" borderId="18" xfId="0" applyFont="1" applyFill="1" applyBorder="1"/>
    <xf numFmtId="0" fontId="2" fillId="9" borderId="19" xfId="0" applyFont="1" applyFill="1" applyBorder="1"/>
    <xf numFmtId="0" fontId="2" fillId="9" borderId="20" xfId="0" applyFont="1" applyFill="1" applyBorder="1"/>
    <xf numFmtId="0" fontId="10" fillId="9" borderId="18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2" fillId="0" borderId="0" xfId="0" applyFont="1" applyFill="1"/>
    <xf numFmtId="10" fontId="12" fillId="4" borderId="0" xfId="0" applyNumberFormat="1" applyFont="1" applyFill="1" applyBorder="1" applyProtection="1"/>
    <xf numFmtId="44" fontId="11" fillId="2" borderId="9" xfId="2" applyFont="1" applyFill="1" applyBorder="1" applyAlignment="1">
      <alignment horizontal="center"/>
    </xf>
    <xf numFmtId="0" fontId="2" fillId="2" borderId="2" xfId="0" applyFont="1" applyFill="1" applyBorder="1"/>
    <xf numFmtId="44" fontId="11" fillId="2" borderId="2" xfId="2" applyFont="1" applyFill="1" applyBorder="1" applyAlignment="1">
      <alignment horizontal="center"/>
    </xf>
    <xf numFmtId="0" fontId="11" fillId="2" borderId="2" xfId="0" applyFont="1" applyFill="1" applyBorder="1"/>
    <xf numFmtId="0" fontId="11" fillId="2" borderId="15" xfId="0" applyFont="1" applyFill="1" applyBorder="1"/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0" fontId="11" fillId="2" borderId="9" xfId="12" applyNumberFormat="1" applyFont="1" applyFill="1" applyBorder="1"/>
    <xf numFmtId="10" fontId="11" fillId="2" borderId="2" xfId="12" applyNumberFormat="1" applyFont="1" applyFill="1" applyBorder="1"/>
    <xf numFmtId="43" fontId="11" fillId="2" borderId="14" xfId="1" applyFont="1" applyFill="1" applyBorder="1" applyAlignment="1">
      <alignment horizontal="center"/>
    </xf>
    <xf numFmtId="17" fontId="10" fillId="9" borderId="22" xfId="0" applyNumberFormat="1" applyFont="1" applyFill="1" applyBorder="1" applyAlignment="1">
      <alignment horizontal="center"/>
    </xf>
    <xf numFmtId="17" fontId="10" fillId="9" borderId="23" xfId="0" applyNumberFormat="1" applyFont="1" applyFill="1" applyBorder="1" applyAlignment="1">
      <alignment horizontal="center"/>
    </xf>
    <xf numFmtId="10" fontId="6" fillId="8" borderId="9" xfId="12" applyNumberFormat="1" applyFont="1" applyFill="1" applyBorder="1"/>
    <xf numFmtId="10" fontId="14" fillId="8" borderId="9" xfId="0" applyNumberFormat="1" applyFont="1" applyFill="1" applyBorder="1" applyProtection="1"/>
    <xf numFmtId="190" fontId="11" fillId="2" borderId="24" xfId="1" applyNumberFormat="1" applyFont="1" applyFill="1" applyBorder="1" applyAlignment="1">
      <alignment horizontal="center"/>
    </xf>
    <xf numFmtId="14" fontId="10" fillId="5" borderId="25" xfId="0" applyNumberFormat="1" applyFont="1" applyFill="1" applyBorder="1"/>
    <xf numFmtId="14" fontId="10" fillId="5" borderId="11" xfId="0" applyNumberFormat="1" applyFont="1" applyFill="1" applyBorder="1"/>
    <xf numFmtId="0" fontId="10" fillId="5" borderId="11" xfId="0" applyFont="1" applyFill="1" applyBorder="1"/>
    <xf numFmtId="0" fontId="10" fillId="5" borderId="26" xfId="0" applyFont="1" applyFill="1" applyBorder="1"/>
    <xf numFmtId="14" fontId="10" fillId="5" borderId="27" xfId="0" applyNumberFormat="1" applyFont="1" applyFill="1" applyBorder="1"/>
    <xf numFmtId="14" fontId="10" fillId="5" borderId="10" xfId="0" applyNumberFormat="1" applyFont="1" applyFill="1" applyBorder="1"/>
    <xf numFmtId="0" fontId="10" fillId="5" borderId="10" xfId="0" applyFont="1" applyFill="1" applyBorder="1"/>
    <xf numFmtId="0" fontId="10" fillId="5" borderId="28" xfId="0" applyFont="1" applyFill="1" applyBorder="1"/>
    <xf numFmtId="0" fontId="10" fillId="5" borderId="29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2" fillId="9" borderId="30" xfId="0" applyFont="1" applyFill="1" applyBorder="1"/>
    <xf numFmtId="0" fontId="10" fillId="9" borderId="31" xfId="0" applyFont="1" applyFill="1" applyBorder="1" applyAlignment="1">
      <alignment horizontal="center"/>
    </xf>
    <xf numFmtId="9" fontId="10" fillId="9" borderId="15" xfId="0" applyNumberFormat="1" applyFont="1" applyFill="1" applyBorder="1" applyAlignment="1" applyProtection="1">
      <alignment horizontal="center"/>
    </xf>
    <xf numFmtId="9" fontId="10" fillId="9" borderId="26" xfId="0" applyNumberFormat="1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44" fontId="2" fillId="2" borderId="2" xfId="2" applyFont="1" applyFill="1" applyBorder="1" applyAlignment="1">
      <alignment horizontal="center"/>
    </xf>
    <xf numFmtId="0" fontId="2" fillId="9" borderId="32" xfId="0" applyFont="1" applyFill="1" applyBorder="1"/>
    <xf numFmtId="0" fontId="2" fillId="9" borderId="33" xfId="0" applyFont="1" applyFill="1" applyBorder="1"/>
    <xf numFmtId="0" fontId="0" fillId="9" borderId="22" xfId="0" applyFill="1" applyBorder="1" applyAlignment="1">
      <alignment horizontal="center" vertical="center"/>
    </xf>
    <xf numFmtId="0" fontId="2" fillId="9" borderId="22" xfId="0" applyFont="1" applyFill="1" applyBorder="1"/>
    <xf numFmtId="190" fontId="11" fillId="2" borderId="14" xfId="1" applyNumberFormat="1" applyFont="1" applyFill="1" applyBorder="1" applyAlignment="1">
      <alignment horizontal="center"/>
    </xf>
    <xf numFmtId="0" fontId="10" fillId="9" borderId="32" xfId="0" applyFont="1" applyFill="1" applyBorder="1"/>
    <xf numFmtId="0" fontId="2" fillId="9" borderId="34" xfId="0" applyFont="1" applyFill="1" applyBorder="1"/>
    <xf numFmtId="0" fontId="10" fillId="9" borderId="35" xfId="0" applyFont="1" applyFill="1" applyBorder="1"/>
    <xf numFmtId="0" fontId="2" fillId="9" borderId="36" xfId="0" applyFont="1" applyFill="1" applyBorder="1"/>
    <xf numFmtId="0" fontId="8" fillId="5" borderId="37" xfId="0" applyFont="1" applyFill="1" applyBorder="1"/>
    <xf numFmtId="0" fontId="8" fillId="4" borderId="0" xfId="0" applyFont="1" applyFill="1" applyBorder="1"/>
    <xf numFmtId="17" fontId="10" fillId="9" borderId="22" xfId="0" applyNumberFormat="1" applyFont="1" applyFill="1" applyBorder="1"/>
    <xf numFmtId="10" fontId="14" fillId="8" borderId="38" xfId="0" applyNumberFormat="1" applyFont="1" applyFill="1" applyBorder="1" applyProtection="1"/>
    <xf numFmtId="0" fontId="2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44" fontId="11" fillId="4" borderId="0" xfId="2" applyNumberFormat="1" applyFont="1" applyFill="1" applyBorder="1" applyAlignment="1">
      <alignment horizontal="center"/>
    </xf>
    <xf numFmtId="43" fontId="11" fillId="4" borderId="0" xfId="1" applyFont="1" applyFill="1" applyBorder="1" applyAlignment="1">
      <alignment horizontal="center"/>
    </xf>
    <xf numFmtId="190" fontId="11" fillId="4" borderId="0" xfId="1" applyNumberFormat="1" applyFont="1" applyFill="1" applyBorder="1" applyAlignment="1">
      <alignment horizontal="center"/>
    </xf>
    <xf numFmtId="10" fontId="15" fillId="8" borderId="2" xfId="12" applyNumberFormat="1" applyFont="1" applyFill="1" applyBorder="1"/>
    <xf numFmtId="10" fontId="14" fillId="8" borderId="2" xfId="0" applyNumberFormat="1" applyFont="1" applyFill="1" applyBorder="1" applyProtection="1"/>
    <xf numFmtId="14" fontId="10" fillId="9" borderId="39" xfId="0" applyNumberFormat="1" applyFont="1" applyFill="1" applyBorder="1" applyAlignment="1">
      <alignment horizontal="center"/>
    </xf>
    <xf numFmtId="0" fontId="10" fillId="9" borderId="39" xfId="0" applyFont="1" applyFill="1" applyBorder="1"/>
    <xf numFmtId="0" fontId="2" fillId="9" borderId="40" xfId="0" applyFont="1" applyFill="1" applyBorder="1" applyAlignment="1">
      <alignment horizontal="center"/>
    </xf>
    <xf numFmtId="0" fontId="2" fillId="9" borderId="40" xfId="0" applyFont="1" applyFill="1" applyBorder="1"/>
    <xf numFmtId="0" fontId="2" fillId="9" borderId="39" xfId="0" applyFont="1" applyFill="1" applyBorder="1"/>
    <xf numFmtId="0" fontId="10" fillId="9" borderId="31" xfId="0" applyFont="1" applyFill="1" applyBorder="1"/>
    <xf numFmtId="0" fontId="2" fillId="9" borderId="41" xfId="0" applyFont="1" applyFill="1" applyBorder="1"/>
    <xf numFmtId="0" fontId="10" fillId="9" borderId="42" xfId="0" applyFont="1" applyFill="1" applyBorder="1"/>
    <xf numFmtId="0" fontId="2" fillId="9" borderId="28" xfId="0" applyFont="1" applyFill="1" applyBorder="1"/>
    <xf numFmtId="0" fontId="10" fillId="9" borderId="19" xfId="0" applyFont="1" applyFill="1" applyBorder="1"/>
    <xf numFmtId="0" fontId="2" fillId="9" borderId="43" xfId="0" applyFont="1" applyFill="1" applyBorder="1" applyAlignment="1">
      <alignment horizontal="center"/>
    </xf>
    <xf numFmtId="14" fontId="10" fillId="9" borderId="26" xfId="0" applyNumberFormat="1" applyFont="1" applyFill="1" applyBorder="1" applyAlignment="1">
      <alignment horizontal="center"/>
    </xf>
    <xf numFmtId="0" fontId="2" fillId="9" borderId="26" xfId="0" applyFont="1" applyFill="1" applyBorder="1"/>
    <xf numFmtId="0" fontId="10" fillId="9" borderId="15" xfId="0" applyFont="1" applyFill="1" applyBorder="1"/>
    <xf numFmtId="17" fontId="10" fillId="9" borderId="44" xfId="0" applyNumberFormat="1" applyFont="1" applyFill="1" applyBorder="1"/>
    <xf numFmtId="17" fontId="10" fillId="0" borderId="0" xfId="0" applyNumberFormat="1" applyFont="1" applyFill="1" applyBorder="1"/>
    <xf numFmtId="17" fontId="10" fillId="9" borderId="30" xfId="0" applyNumberFormat="1" applyFont="1" applyFill="1" applyBorder="1" applyAlignment="1">
      <alignment horizontal="center"/>
    </xf>
    <xf numFmtId="10" fontId="6" fillId="8" borderId="31" xfId="12" applyNumberFormat="1" applyFont="1" applyFill="1" applyBorder="1"/>
    <xf numFmtId="10" fontId="14" fillId="8" borderId="31" xfId="0" applyNumberFormat="1" applyFont="1" applyFill="1" applyBorder="1" applyProtection="1"/>
    <xf numFmtId="0" fontId="10" fillId="9" borderId="45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44" fontId="2" fillId="2" borderId="2" xfId="2" applyFont="1" applyFill="1" applyBorder="1"/>
    <xf numFmtId="44" fontId="2" fillId="2" borderId="31" xfId="2" applyFont="1" applyFill="1" applyBorder="1"/>
    <xf numFmtId="44" fontId="2" fillId="2" borderId="31" xfId="2" applyFont="1" applyFill="1" applyBorder="1" applyAlignment="1">
      <alignment horizontal="center"/>
    </xf>
    <xf numFmtId="177" fontId="2" fillId="2" borderId="39" xfId="12" applyNumberFormat="1" applyFont="1" applyFill="1" applyBorder="1"/>
    <xf numFmtId="177" fontId="2" fillId="2" borderId="11" xfId="12" applyNumberFormat="1" applyFont="1" applyFill="1" applyBorder="1"/>
    <xf numFmtId="44" fontId="2" fillId="2" borderId="37" xfId="2" applyFont="1" applyFill="1" applyBorder="1"/>
    <xf numFmtId="177" fontId="2" fillId="2" borderId="3" xfId="12" applyNumberFormat="1" applyFont="1" applyFill="1" applyBorder="1"/>
    <xf numFmtId="44" fontId="2" fillId="2" borderId="37" xfId="2" applyFont="1" applyFill="1" applyBorder="1" applyAlignment="1">
      <alignment horizontal="center"/>
    </xf>
    <xf numFmtId="177" fontId="2" fillId="2" borderId="2" xfId="12" applyNumberFormat="1" applyFont="1" applyFill="1" applyBorder="1"/>
    <xf numFmtId="10" fontId="6" fillId="8" borderId="2" xfId="12" applyNumberFormat="1" applyFont="1" applyFill="1" applyBorder="1"/>
    <xf numFmtId="2" fontId="2" fillId="0" borderId="0" xfId="1" applyNumberFormat="1" applyFont="1" applyFill="1" applyBorder="1"/>
    <xf numFmtId="0" fontId="11" fillId="2" borderId="2" xfId="0" applyFont="1" applyFill="1" applyBorder="1" applyAlignment="1">
      <alignment horizontal="center"/>
    </xf>
    <xf numFmtId="0" fontId="10" fillId="2" borderId="2" xfId="0" applyFont="1" applyFill="1" applyBorder="1"/>
    <xf numFmtId="0" fontId="11" fillId="2" borderId="9" xfId="0" applyFont="1" applyFill="1" applyBorder="1" applyAlignment="1">
      <alignment horizontal="center"/>
    </xf>
    <xf numFmtId="0" fontId="11" fillId="2" borderId="9" xfId="0" applyFont="1" applyFill="1" applyBorder="1"/>
    <xf numFmtId="0" fontId="10" fillId="2" borderId="9" xfId="0" applyFont="1" applyFill="1" applyBorder="1"/>
    <xf numFmtId="17" fontId="10" fillId="9" borderId="46" xfId="0" applyNumberFormat="1" applyFont="1" applyFill="1" applyBorder="1" applyAlignment="1">
      <alignment horizontal="center"/>
    </xf>
    <xf numFmtId="10" fontId="6" fillId="8" borderId="15" xfId="12" applyNumberFormat="1" applyFont="1" applyFill="1" applyBorder="1"/>
    <xf numFmtId="0" fontId="2" fillId="8" borderId="15" xfId="0" applyFont="1" applyFill="1" applyBorder="1"/>
    <xf numFmtId="10" fontId="14" fillId="8" borderId="39" xfId="0" applyNumberFormat="1" applyFont="1" applyFill="1" applyBorder="1" applyProtection="1"/>
    <xf numFmtId="10" fontId="14" fillId="8" borderId="25" xfId="0" applyNumberFormat="1" applyFont="1" applyFill="1" applyBorder="1" applyProtection="1"/>
    <xf numFmtId="10" fontId="14" fillId="8" borderId="29" xfId="0" applyNumberFormat="1" applyFont="1" applyFill="1" applyBorder="1" applyProtection="1"/>
    <xf numFmtId="10" fontId="14" fillId="8" borderId="11" xfId="0" applyNumberFormat="1" applyFont="1" applyFill="1" applyBorder="1" applyProtection="1"/>
    <xf numFmtId="0" fontId="2" fillId="8" borderId="11" xfId="0" applyFont="1" applyFill="1" applyBorder="1"/>
    <xf numFmtId="10" fontId="10" fillId="8" borderId="11" xfId="12" applyNumberFormat="1" applyFont="1" applyFill="1" applyBorder="1" applyAlignment="1">
      <alignment horizontal="center"/>
    </xf>
    <xf numFmtId="0" fontId="2" fillId="8" borderId="26" xfId="0" applyFont="1" applyFill="1" applyBorder="1"/>
    <xf numFmtId="15" fontId="10" fillId="9" borderId="30" xfId="0" applyNumberFormat="1" applyFont="1" applyFill="1" applyBorder="1" applyAlignment="1">
      <alignment horizontal="center"/>
    </xf>
    <xf numFmtId="15" fontId="10" fillId="9" borderId="23" xfId="0" applyNumberFormat="1" applyFont="1" applyFill="1" applyBorder="1" applyAlignment="1">
      <alignment horizontal="center"/>
    </xf>
    <xf numFmtId="15" fontId="10" fillId="9" borderId="47" xfId="0" applyNumberFormat="1" applyFont="1" applyFill="1" applyBorder="1" applyAlignment="1">
      <alignment horizontal="center"/>
    </xf>
    <xf numFmtId="0" fontId="11" fillId="5" borderId="46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44" fontId="10" fillId="9" borderId="14" xfId="2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0" fillId="2" borderId="15" xfId="0" applyFont="1" applyFill="1" applyBorder="1"/>
    <xf numFmtId="0" fontId="10" fillId="5" borderId="44" xfId="0" applyFont="1" applyFill="1" applyBorder="1" applyAlignment="1">
      <alignment horizontal="center"/>
    </xf>
    <xf numFmtId="0" fontId="10" fillId="5" borderId="48" xfId="0" applyFont="1" applyFill="1" applyBorder="1" applyAlignment="1">
      <alignment horizontal="center"/>
    </xf>
    <xf numFmtId="0" fontId="10" fillId="5" borderId="49" xfId="0" applyFont="1" applyFill="1" applyBorder="1" applyAlignment="1">
      <alignment horizontal="center"/>
    </xf>
    <xf numFmtId="177" fontId="2" fillId="2" borderId="37" xfId="12" applyNumberFormat="1" applyFont="1" applyFill="1" applyBorder="1"/>
    <xf numFmtId="9" fontId="10" fillId="9" borderId="46" xfId="0" applyNumberFormat="1" applyFont="1" applyFill="1" applyBorder="1" applyAlignment="1">
      <alignment horizontal="center"/>
    </xf>
    <xf numFmtId="9" fontId="10" fillId="9" borderId="15" xfId="0" applyNumberFormat="1" applyFont="1" applyFill="1" applyBorder="1" applyAlignment="1">
      <alignment horizontal="center"/>
    </xf>
    <xf numFmtId="9" fontId="10" fillId="9" borderId="16" xfId="0" applyNumberFormat="1" applyFont="1" applyFill="1" applyBorder="1" applyAlignment="1">
      <alignment horizontal="center"/>
    </xf>
    <xf numFmtId="10" fontId="2" fillId="10" borderId="30" xfId="12" applyNumberFormat="1" applyFont="1" applyFill="1" applyBorder="1" applyAlignment="1">
      <alignment horizontal="center"/>
    </xf>
    <xf numFmtId="10" fontId="2" fillId="10" borderId="31" xfId="12" applyNumberFormat="1" applyFont="1" applyFill="1" applyBorder="1" applyAlignment="1">
      <alignment horizontal="center"/>
    </xf>
    <xf numFmtId="0" fontId="2" fillId="10" borderId="50" xfId="0" applyFont="1" applyFill="1" applyBorder="1" applyAlignment="1">
      <alignment horizontal="center"/>
    </xf>
    <xf numFmtId="10" fontId="2" fillId="10" borderId="23" xfId="12" applyNumberFormat="1" applyFont="1" applyFill="1" applyBorder="1" applyAlignment="1">
      <alignment horizontal="center"/>
    </xf>
    <xf numFmtId="10" fontId="2" fillId="10" borderId="2" xfId="12" applyNumberFormat="1" applyFont="1" applyFill="1" applyBorder="1" applyAlignment="1">
      <alignment horizontal="center"/>
    </xf>
    <xf numFmtId="0" fontId="2" fillId="10" borderId="51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2" fillId="10" borderId="47" xfId="0" applyFont="1" applyFill="1" applyBorder="1" applyAlignment="1">
      <alignment horizontal="center"/>
    </xf>
    <xf numFmtId="0" fontId="2" fillId="10" borderId="37" xfId="0" applyFont="1" applyFill="1" applyBorder="1" applyAlignment="1">
      <alignment horizontal="center"/>
    </xf>
    <xf numFmtId="0" fontId="2" fillId="10" borderId="49" xfId="0" applyFont="1" applyFill="1" applyBorder="1" applyAlignment="1">
      <alignment horizontal="center"/>
    </xf>
    <xf numFmtId="10" fontId="14" fillId="10" borderId="47" xfId="0" applyNumberFormat="1" applyFont="1" applyFill="1" applyBorder="1" applyAlignment="1" applyProtection="1">
      <alignment horizontal="center"/>
    </xf>
    <xf numFmtId="7" fontId="5" fillId="10" borderId="51" xfId="0" applyNumberFormat="1" applyFont="1" applyFill="1" applyBorder="1" applyAlignment="1" applyProtection="1">
      <alignment horizontal="center"/>
    </xf>
    <xf numFmtId="0" fontId="2" fillId="10" borderId="46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43" fontId="10" fillId="8" borderId="9" xfId="1" applyFont="1" applyFill="1" applyBorder="1" applyAlignment="1">
      <alignment horizontal="center"/>
    </xf>
    <xf numFmtId="43" fontId="10" fillId="8" borderId="52" xfId="1" applyFont="1" applyFill="1" applyBorder="1" applyAlignment="1">
      <alignment horizontal="center"/>
    </xf>
    <xf numFmtId="43" fontId="10" fillId="8" borderId="14" xfId="1" applyFont="1" applyFill="1" applyBorder="1" applyAlignment="1">
      <alignment horizontal="center"/>
    </xf>
    <xf numFmtId="0" fontId="2" fillId="0" borderId="45" xfId="0" applyFont="1" applyBorder="1"/>
    <xf numFmtId="0" fontId="2" fillId="0" borderId="0" xfId="0" applyFont="1" applyBorder="1"/>
    <xf numFmtId="0" fontId="2" fillId="0" borderId="53" xfId="0" applyFont="1" applyBorder="1"/>
    <xf numFmtId="0" fontId="2" fillId="11" borderId="17" xfId="11" applyFont="1" applyFill="1" applyBorder="1" applyAlignment="1">
      <alignment horizontal="center"/>
    </xf>
    <xf numFmtId="0" fontId="2" fillId="11" borderId="41" xfId="11" applyFont="1" applyFill="1" applyBorder="1" applyAlignment="1">
      <alignment horizontal="center"/>
    </xf>
    <xf numFmtId="17" fontId="2" fillId="11" borderId="32" xfId="11" applyNumberFormat="1" applyFont="1" applyFill="1" applyBorder="1"/>
    <xf numFmtId="1" fontId="2" fillId="11" borderId="0" xfId="11" applyNumberFormat="1" applyFont="1" applyFill="1" applyBorder="1" applyAlignment="1">
      <alignment horizontal="center"/>
    </xf>
    <xf numFmtId="1" fontId="2" fillId="11" borderId="53" xfId="11" applyNumberFormat="1" applyFont="1" applyFill="1" applyBorder="1" applyAlignment="1">
      <alignment horizontal="center"/>
    </xf>
    <xf numFmtId="17" fontId="2" fillId="11" borderId="44" xfId="11" applyNumberFormat="1" applyFont="1" applyFill="1" applyBorder="1"/>
    <xf numFmtId="17" fontId="2" fillId="11" borderId="18" xfId="11" applyNumberFormat="1" applyFont="1" applyFill="1" applyBorder="1"/>
    <xf numFmtId="1" fontId="2" fillId="11" borderId="43" xfId="11" applyNumberFormat="1" applyFont="1" applyFill="1" applyBorder="1" applyAlignment="1">
      <alignment horizontal="center"/>
    </xf>
    <xf numFmtId="1" fontId="2" fillId="11" borderId="54" xfId="11" applyNumberFormat="1" applyFont="1" applyFill="1" applyBorder="1" applyAlignment="1">
      <alignment horizontal="center"/>
    </xf>
    <xf numFmtId="17" fontId="2" fillId="5" borderId="54" xfId="11" applyNumberFormat="1" applyFont="1" applyFill="1" applyBorder="1"/>
    <xf numFmtId="0" fontId="2" fillId="0" borderId="0" xfId="0" applyFont="1" applyBorder="1" applyAlignment="1"/>
    <xf numFmtId="2" fontId="2" fillId="0" borderId="0" xfId="1" applyNumberFormat="1" applyFont="1" applyBorder="1"/>
    <xf numFmtId="44" fontId="2" fillId="2" borderId="15" xfId="2" applyFont="1" applyFill="1" applyBorder="1"/>
    <xf numFmtId="177" fontId="2" fillId="2" borderId="15" xfId="12" applyNumberFormat="1" applyFont="1" applyFill="1" applyBorder="1"/>
    <xf numFmtId="15" fontId="10" fillId="9" borderId="46" xfId="0" applyNumberFormat="1" applyFont="1" applyFill="1" applyBorder="1" applyAlignment="1">
      <alignment horizontal="center"/>
    </xf>
    <xf numFmtId="44" fontId="2" fillId="2" borderId="15" xfId="2" applyFont="1" applyFill="1" applyBorder="1" applyAlignment="1">
      <alignment horizontal="center"/>
    </xf>
    <xf numFmtId="44" fontId="2" fillId="2" borderId="14" xfId="2" applyFont="1" applyFill="1" applyBorder="1"/>
    <xf numFmtId="177" fontId="2" fillId="2" borderId="14" xfId="12" applyNumberFormat="1" applyFont="1" applyFill="1" applyBorder="1"/>
    <xf numFmtId="0" fontId="2" fillId="4" borderId="45" xfId="0" applyFont="1" applyFill="1" applyBorder="1"/>
    <xf numFmtId="0" fontId="10" fillId="4" borderId="45" xfId="0" applyFont="1" applyFill="1" applyBorder="1" applyAlignment="1">
      <alignment horizontal="center"/>
    </xf>
    <xf numFmtId="15" fontId="10" fillId="4" borderId="45" xfId="0" applyNumberFormat="1" applyFont="1" applyFill="1" applyBorder="1" applyAlignment="1">
      <alignment horizontal="center"/>
    </xf>
    <xf numFmtId="44" fontId="2" fillId="4" borderId="0" xfId="2" applyFont="1" applyFill="1" applyBorder="1" applyAlignment="1">
      <alignment horizontal="center"/>
    </xf>
    <xf numFmtId="44" fontId="2" fillId="4" borderId="0" xfId="0" applyNumberFormat="1" applyFont="1" applyFill="1" applyBorder="1" applyAlignment="1">
      <alignment horizontal="center"/>
    </xf>
    <xf numFmtId="17" fontId="10" fillId="4" borderId="0" xfId="0" applyNumberFormat="1" applyFont="1" applyFill="1" applyBorder="1" applyAlignment="1">
      <alignment horizontal="center"/>
    </xf>
    <xf numFmtId="10" fontId="6" fillId="4" borderId="0" xfId="12" applyNumberFormat="1" applyFont="1" applyFill="1" applyBorder="1"/>
    <xf numFmtId="9" fontId="2" fillId="0" borderId="0" xfId="0" applyNumberFormat="1" applyFont="1" applyBorder="1"/>
    <xf numFmtId="0" fontId="10" fillId="4" borderId="0" xfId="0" applyFont="1" applyFill="1" applyBorder="1"/>
    <xf numFmtId="0" fontId="10" fillId="9" borderId="55" xfId="0" applyFont="1" applyFill="1" applyBorder="1"/>
    <xf numFmtId="0" fontId="10" fillId="9" borderId="6" xfId="0" applyFont="1" applyFill="1" applyBorder="1"/>
    <xf numFmtId="0" fontId="2" fillId="9" borderId="56" xfId="0" applyFont="1" applyFill="1" applyBorder="1"/>
    <xf numFmtId="0" fontId="2" fillId="9" borderId="7" xfId="0" applyFont="1" applyFill="1" applyBorder="1"/>
    <xf numFmtId="0" fontId="10" fillId="9" borderId="57" xfId="0" applyFont="1" applyFill="1" applyBorder="1"/>
    <xf numFmtId="37" fontId="6" fillId="2" borderId="0" xfId="0" applyNumberFormat="1" applyFont="1" applyFill="1" applyBorder="1" applyProtection="1"/>
    <xf numFmtId="17" fontId="2" fillId="8" borderId="58" xfId="0" applyNumberFormat="1" applyFont="1" applyFill="1" applyBorder="1"/>
    <xf numFmtId="10" fontId="2" fillId="0" borderId="0" xfId="0" applyNumberFormat="1" applyFont="1"/>
    <xf numFmtId="0" fontId="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4" fontId="7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14" fontId="2" fillId="0" borderId="0" xfId="0" applyNumberFormat="1" applyFont="1" applyFill="1" applyBorder="1"/>
    <xf numFmtId="14" fontId="7" fillId="0" borderId="0" xfId="0" applyNumberFormat="1" applyFont="1" applyFill="1" applyBorder="1"/>
    <xf numFmtId="0" fontId="7" fillId="0" borderId="30" xfId="0" applyFont="1" applyFill="1" applyBorder="1" applyAlignment="1" applyProtection="1">
      <alignment horizontal="center"/>
      <protection locked="0"/>
    </xf>
    <xf numFmtId="0" fontId="9" fillId="0" borderId="50" xfId="0" applyFont="1" applyFill="1" applyBorder="1" applyAlignment="1" applyProtection="1">
      <alignment horizontal="center"/>
      <protection locked="0"/>
    </xf>
    <xf numFmtId="0" fontId="2" fillId="0" borderId="23" xfId="0" applyFont="1" applyBorder="1"/>
    <xf numFmtId="0" fontId="2" fillId="0" borderId="51" xfId="0" applyFont="1" applyBorder="1"/>
    <xf numFmtId="0" fontId="7" fillId="0" borderId="23" xfId="0" applyFont="1" applyFill="1" applyBorder="1" applyAlignment="1" applyProtection="1">
      <alignment horizontal="left"/>
      <protection locked="0"/>
    </xf>
    <xf numFmtId="0" fontId="7" fillId="0" borderId="51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Protection="1">
      <protection locked="0"/>
    </xf>
    <xf numFmtId="168" fontId="7" fillId="0" borderId="0" xfId="0" applyNumberFormat="1" applyFont="1" applyFill="1" applyBorder="1" applyAlignment="1" applyProtection="1">
      <alignment horizontal="centerContinuous"/>
      <protection locked="0"/>
    </xf>
    <xf numFmtId="169" fontId="7" fillId="0" borderId="0" xfId="0" applyNumberFormat="1" applyFont="1" applyFill="1" applyBorder="1" applyAlignment="1" applyProtection="1">
      <alignment horizontal="centerContinuous"/>
    </xf>
    <xf numFmtId="14" fontId="7" fillId="0" borderId="0" xfId="0" applyNumberFormat="1" applyFont="1" applyFill="1" applyBorder="1" applyProtection="1"/>
    <xf numFmtId="2" fontId="2" fillId="0" borderId="0" xfId="0" applyNumberFormat="1" applyFont="1" applyFill="1" applyBorder="1"/>
    <xf numFmtId="10" fontId="7" fillId="0" borderId="0" xfId="0" applyNumberFormat="1" applyFont="1" applyFill="1" applyBorder="1"/>
    <xf numFmtId="171" fontId="7" fillId="0" borderId="0" xfId="0" applyNumberFormat="1" applyFont="1" applyFill="1" applyBorder="1" applyProtection="1">
      <protection locked="0"/>
    </xf>
    <xf numFmtId="0" fontId="7" fillId="0" borderId="46" xfId="0" applyFont="1" applyFill="1" applyBorder="1" applyAlignment="1" applyProtection="1">
      <alignment horizontal="left"/>
      <protection locked="0"/>
    </xf>
    <xf numFmtId="0" fontId="7" fillId="0" borderId="16" xfId="0" applyFont="1" applyFill="1" applyBorder="1" applyAlignment="1" applyProtection="1">
      <alignment horizontal="center"/>
      <protection locked="0"/>
    </xf>
    <xf numFmtId="0" fontId="2" fillId="0" borderId="58" xfId="0" applyFont="1" applyBorder="1"/>
    <xf numFmtId="10" fontId="2" fillId="0" borderId="0" xfId="0" applyNumberFormat="1" applyFont="1" applyFill="1" applyBorder="1"/>
    <xf numFmtId="43" fontId="2" fillId="0" borderId="0" xfId="0" applyNumberFormat="1" applyFont="1" applyFill="1" applyBorder="1"/>
    <xf numFmtId="2" fontId="2" fillId="0" borderId="0" xfId="0" applyNumberFormat="1" applyFont="1" applyBorder="1"/>
    <xf numFmtId="0" fontId="2" fillId="10" borderId="2" xfId="0" applyFont="1" applyFill="1" applyBorder="1"/>
    <xf numFmtId="15" fontId="2" fillId="10" borderId="2" xfId="0" applyNumberFormat="1" applyFont="1" applyFill="1" applyBorder="1"/>
    <xf numFmtId="2" fontId="2" fillId="8" borderId="2" xfId="0" applyNumberFormat="1" applyFont="1" applyFill="1" applyBorder="1"/>
    <xf numFmtId="15" fontId="2" fillId="5" borderId="2" xfId="0" applyNumberFormat="1" applyFont="1" applyFill="1" applyBorder="1"/>
    <xf numFmtId="2" fontId="2" fillId="5" borderId="2" xfId="0" applyNumberFormat="1" applyFont="1" applyFill="1" applyBorder="1"/>
    <xf numFmtId="0" fontId="2" fillId="0" borderId="59" xfId="0" applyFont="1" applyBorder="1"/>
    <xf numFmtId="0" fontId="2" fillId="0" borderId="0" xfId="0" applyFont="1" applyAlignment="1"/>
    <xf numFmtId="17" fontId="2" fillId="0" borderId="0" xfId="0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0" fontId="10" fillId="8" borderId="9" xfId="12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9" xfId="0" applyFont="1" applyFill="1" applyBorder="1"/>
    <xf numFmtId="0" fontId="2" fillId="0" borderId="60" xfId="0" applyFont="1" applyBorder="1"/>
    <xf numFmtId="0" fontId="2" fillId="0" borderId="0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9" borderId="61" xfId="0" applyFont="1" applyFill="1" applyBorder="1" applyAlignment="1">
      <alignment horizontal="center"/>
    </xf>
    <xf numFmtId="0" fontId="2" fillId="0" borderId="61" xfId="0" applyFont="1" applyBorder="1"/>
    <xf numFmtId="0" fontId="2" fillId="0" borderId="27" xfId="0" applyFont="1" applyBorder="1"/>
    <xf numFmtId="0" fontId="2" fillId="0" borderId="62" xfId="0" applyFont="1" applyBorder="1" applyAlignment="1">
      <alignment horizontal="center"/>
    </xf>
    <xf numFmtId="17" fontId="2" fillId="10" borderId="23" xfId="0" applyNumberFormat="1" applyFont="1" applyFill="1" applyBorder="1"/>
    <xf numFmtId="1" fontId="2" fillId="0" borderId="2" xfId="0" applyNumberFormat="1" applyFont="1" applyBorder="1" applyAlignment="1">
      <alignment horizontal="center"/>
    </xf>
    <xf numFmtId="1" fontId="2" fillId="0" borderId="51" xfId="0" applyNumberFormat="1" applyFont="1" applyBorder="1" applyAlignment="1">
      <alignment horizontal="center"/>
    </xf>
    <xf numFmtId="15" fontId="2" fillId="10" borderId="23" xfId="0" applyNumberFormat="1" applyFont="1" applyFill="1" applyBorder="1"/>
    <xf numFmtId="0" fontId="2" fillId="9" borderId="23" xfId="0" applyFont="1" applyFill="1" applyBorder="1" applyAlignment="1">
      <alignment horizontal="center"/>
    </xf>
    <xf numFmtId="0" fontId="2" fillId="9" borderId="51" xfId="0" applyFont="1" applyFill="1" applyBorder="1" applyAlignment="1">
      <alignment horizontal="center"/>
    </xf>
    <xf numFmtId="2" fontId="2" fillId="0" borderId="23" xfId="0" applyNumberFormat="1" applyFont="1" applyBorder="1"/>
    <xf numFmtId="2" fontId="2" fillId="0" borderId="23" xfId="0" applyNumberFormat="1" applyFont="1" applyFill="1" applyBorder="1"/>
    <xf numFmtId="0" fontId="2" fillId="0" borderId="51" xfId="0" applyFont="1" applyFill="1" applyBorder="1"/>
    <xf numFmtId="0" fontId="10" fillId="9" borderId="37" xfId="0" applyFont="1" applyFill="1" applyBorder="1" applyAlignment="1">
      <alignment horizontal="center"/>
    </xf>
    <xf numFmtId="0" fontId="2" fillId="0" borderId="37" xfId="0" applyFont="1" applyBorder="1"/>
    <xf numFmtId="14" fontId="2" fillId="0" borderId="37" xfId="0" applyNumberFormat="1" applyFont="1" applyBorder="1"/>
    <xf numFmtId="1" fontId="2" fillId="0" borderId="37" xfId="0" applyNumberFormat="1" applyFont="1" applyBorder="1" applyAlignment="1">
      <alignment horizontal="center"/>
    </xf>
    <xf numFmtId="180" fontId="2" fillId="0" borderId="37" xfId="0" applyNumberFormat="1" applyFont="1" applyBorder="1"/>
    <xf numFmtId="0" fontId="2" fillId="0" borderId="38" xfId="0" applyFont="1" applyBorder="1"/>
    <xf numFmtId="14" fontId="2" fillId="0" borderId="38" xfId="0" applyNumberFormat="1" applyFont="1" applyBorder="1"/>
    <xf numFmtId="1" fontId="2" fillId="0" borderId="38" xfId="0" applyNumberFormat="1" applyFont="1" applyBorder="1" applyAlignment="1">
      <alignment horizontal="center"/>
    </xf>
    <xf numFmtId="1" fontId="2" fillId="0" borderId="38" xfId="0" applyNumberFormat="1" applyFont="1" applyBorder="1"/>
    <xf numFmtId="0" fontId="2" fillId="0" borderId="9" xfId="0" applyFont="1" applyBorder="1"/>
    <xf numFmtId="14" fontId="2" fillId="0" borderId="9" xfId="0" applyNumberFormat="1" applyFont="1" applyBorder="1"/>
    <xf numFmtId="1" fontId="2" fillId="0" borderId="9" xfId="0" applyNumberFormat="1" applyFont="1" applyBorder="1" applyAlignment="1">
      <alignment horizontal="center"/>
    </xf>
    <xf numFmtId="1" fontId="2" fillId="0" borderId="9" xfId="0" applyNumberFormat="1" applyFont="1" applyBorder="1"/>
    <xf numFmtId="39" fontId="2" fillId="0" borderId="37" xfId="0" applyNumberFormat="1" applyFont="1" applyBorder="1"/>
    <xf numFmtId="39" fontId="2" fillId="0" borderId="38" xfId="0" applyNumberFormat="1" applyFont="1" applyBorder="1"/>
    <xf numFmtId="39" fontId="2" fillId="0" borderId="9" xfId="0" applyNumberFormat="1" applyFont="1" applyBorder="1"/>
    <xf numFmtId="0" fontId="2" fillId="2" borderId="2" xfId="0" applyFont="1" applyFill="1" applyBorder="1" applyAlignment="1">
      <alignment horizontal="center"/>
    </xf>
    <xf numFmtId="44" fontId="11" fillId="5" borderId="9" xfId="2" applyFont="1" applyFill="1" applyBorder="1" applyAlignment="1">
      <alignment horizontal="center"/>
    </xf>
    <xf numFmtId="44" fontId="11" fillId="5" borderId="2" xfId="2" applyFont="1" applyFill="1" applyBorder="1" applyAlignment="1">
      <alignment horizontal="center"/>
    </xf>
    <xf numFmtId="0" fontId="11" fillId="5" borderId="37" xfId="0" applyFont="1" applyFill="1" applyBorder="1" applyAlignment="1">
      <alignment horizontal="center"/>
    </xf>
    <xf numFmtId="44" fontId="11" fillId="5" borderId="37" xfId="2" applyFont="1" applyFill="1" applyBorder="1" applyAlignment="1">
      <alignment horizontal="center"/>
    </xf>
    <xf numFmtId="44" fontId="11" fillId="5" borderId="15" xfId="2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6" fillId="5" borderId="39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44" fontId="6" fillId="5" borderId="23" xfId="0" applyNumberFormat="1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44" fontId="6" fillId="5" borderId="47" xfId="0" applyNumberFormat="1" applyFont="1" applyFill="1" applyBorder="1" applyAlignment="1">
      <alignment horizontal="center"/>
    </xf>
    <xf numFmtId="44" fontId="6" fillId="5" borderId="18" xfId="0" applyNumberFormat="1" applyFont="1" applyFill="1" applyBorder="1" applyAlignment="1">
      <alignment horizontal="center"/>
    </xf>
    <xf numFmtId="0" fontId="6" fillId="5" borderId="35" xfId="0" applyFont="1" applyFill="1" applyBorder="1" applyAlignment="1">
      <alignment horizontal="center"/>
    </xf>
    <xf numFmtId="44" fontId="6" fillId="5" borderId="46" xfId="0" applyNumberFormat="1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44" fontId="6" fillId="5" borderId="50" xfId="0" applyNumberFormat="1" applyFont="1" applyFill="1" applyBorder="1" applyAlignment="1">
      <alignment horizontal="center"/>
    </xf>
    <xf numFmtId="44" fontId="6" fillId="5" borderId="51" xfId="0" applyNumberFormat="1" applyFont="1" applyFill="1" applyBorder="1" applyAlignment="1">
      <alignment horizontal="center"/>
    </xf>
    <xf numFmtId="44" fontId="6" fillId="5" borderId="49" xfId="0" applyNumberFormat="1" applyFont="1" applyFill="1" applyBorder="1" applyAlignment="1">
      <alignment horizontal="center"/>
    </xf>
    <xf numFmtId="44" fontId="6" fillId="5" borderId="16" xfId="0" applyNumberFormat="1" applyFont="1" applyFill="1" applyBorder="1" applyAlignment="1">
      <alignment horizontal="center"/>
    </xf>
    <xf numFmtId="0" fontId="2" fillId="0" borderId="37" xfId="0" applyFont="1" applyFill="1" applyBorder="1"/>
    <xf numFmtId="0" fontId="2" fillId="0" borderId="38" xfId="0" applyFont="1" applyFill="1" applyBorder="1"/>
    <xf numFmtId="0" fontId="2" fillId="0" borderId="9" xfId="0" applyFont="1" applyFill="1" applyBorder="1"/>
    <xf numFmtId="180" fontId="2" fillId="0" borderId="37" xfId="0" applyNumberFormat="1" applyFont="1" applyFill="1" applyBorder="1"/>
    <xf numFmtId="0" fontId="2" fillId="0" borderId="3" xfId="0" applyFont="1" applyFill="1" applyBorder="1"/>
    <xf numFmtId="0" fontId="2" fillId="0" borderId="29" xfId="0" applyFont="1" applyFill="1" applyBorder="1"/>
    <xf numFmtId="0" fontId="2" fillId="0" borderId="25" xfId="0" applyFont="1" applyFill="1" applyBorder="1"/>
    <xf numFmtId="0" fontId="10" fillId="9" borderId="3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10" fontId="11" fillId="2" borderId="9" xfId="12" applyNumberFormat="1" applyFont="1" applyFill="1" applyBorder="1" applyAlignment="1">
      <alignment horizontal="center"/>
    </xf>
    <xf numFmtId="10" fontId="11" fillId="2" borderId="2" xfId="12" applyNumberFormat="1" applyFont="1" applyFill="1" applyBorder="1" applyAlignment="1">
      <alignment horizontal="center"/>
    </xf>
    <xf numFmtId="0" fontId="10" fillId="4" borderId="45" xfId="0" applyFont="1" applyFill="1" applyBorder="1"/>
    <xf numFmtId="0" fontId="11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/>
    </xf>
    <xf numFmtId="0" fontId="10" fillId="2" borderId="59" xfId="0" applyFont="1" applyFill="1" applyBorder="1" applyAlignment="1">
      <alignment horizontal="center"/>
    </xf>
    <xf numFmtId="44" fontId="2" fillId="2" borderId="40" xfId="2" applyFont="1" applyFill="1" applyBorder="1"/>
    <xf numFmtId="44" fontId="2" fillId="2" borderId="10" xfId="2" applyFont="1" applyFill="1" applyBorder="1"/>
    <xf numFmtId="44" fontId="2" fillId="2" borderId="5" xfId="2" applyFont="1" applyFill="1" applyBorder="1"/>
    <xf numFmtId="0" fontId="2" fillId="9" borderId="63" xfId="0" applyFont="1" applyFill="1" applyBorder="1"/>
    <xf numFmtId="0" fontId="0" fillId="9" borderId="64" xfId="0" applyFill="1" applyBorder="1" applyAlignment="1">
      <alignment horizontal="center" vertical="center"/>
    </xf>
    <xf numFmtId="0" fontId="10" fillId="9" borderId="60" xfId="0" applyFont="1" applyFill="1" applyBorder="1" applyAlignment="1">
      <alignment horizontal="center"/>
    </xf>
    <xf numFmtId="17" fontId="10" fillId="9" borderId="65" xfId="0" applyNumberFormat="1" applyFont="1" applyFill="1" applyBorder="1" applyAlignment="1">
      <alignment horizontal="center"/>
    </xf>
    <xf numFmtId="17" fontId="10" fillId="9" borderId="58" xfId="0" applyNumberFormat="1" applyFont="1" applyFill="1" applyBorder="1" applyAlignment="1">
      <alignment horizontal="center"/>
    </xf>
    <xf numFmtId="0" fontId="2" fillId="6" borderId="32" xfId="0" applyFont="1" applyFill="1" applyBorder="1"/>
    <xf numFmtId="0" fontId="2" fillId="7" borderId="66" xfId="0" applyFont="1" applyFill="1" applyBorder="1"/>
    <xf numFmtId="0" fontId="7" fillId="4" borderId="0" xfId="0" applyFont="1" applyFill="1" applyBorder="1" applyAlignment="1" applyProtection="1">
      <alignment horizontal="left"/>
      <protection locked="0"/>
    </xf>
    <xf numFmtId="0" fontId="7" fillId="4" borderId="0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/>
    <xf numFmtId="0" fontId="2" fillId="2" borderId="56" xfId="0" applyFont="1" applyFill="1" applyBorder="1"/>
    <xf numFmtId="0" fontId="2" fillId="2" borderId="7" xfId="0" applyFont="1" applyFill="1" applyBorder="1"/>
    <xf numFmtId="180" fontId="2" fillId="0" borderId="38" xfId="0" applyNumberFormat="1" applyFont="1" applyFill="1" applyBorder="1"/>
    <xf numFmtId="180" fontId="2" fillId="0" borderId="9" xfId="0" applyNumberFormat="1" applyFont="1" applyFill="1" applyBorder="1"/>
    <xf numFmtId="0" fontId="10" fillId="5" borderId="50" xfId="0" applyFont="1" applyFill="1" applyBorder="1" applyAlignment="1">
      <alignment horizontal="center" vertical="center" wrapText="1"/>
    </xf>
    <xf numFmtId="0" fontId="10" fillId="5" borderId="51" xfId="0" applyFont="1" applyFill="1" applyBorder="1" applyAlignment="1">
      <alignment horizontal="center" vertical="center" wrapText="1"/>
    </xf>
    <xf numFmtId="0" fontId="10" fillId="9" borderId="3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41" xfId="0" applyFont="1" applyFill="1" applyBorder="1" applyAlignment="1">
      <alignment horizontal="center" vertical="center"/>
    </xf>
    <xf numFmtId="0" fontId="10" fillId="9" borderId="33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9" borderId="39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0" fillId="9" borderId="57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/>
    </xf>
    <xf numFmtId="0" fontId="0" fillId="0" borderId="21" xfId="0" applyBorder="1" applyAlignment="1"/>
    <xf numFmtId="44" fontId="11" fillId="2" borderId="14" xfId="2" applyNumberFormat="1" applyFont="1" applyFill="1" applyBorder="1" applyAlignment="1">
      <alignment horizontal="center"/>
    </xf>
    <xf numFmtId="0" fontId="0" fillId="0" borderId="14" xfId="0" applyBorder="1" applyAlignment="1"/>
    <xf numFmtId="0" fontId="0" fillId="0" borderId="14" xfId="0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51" xfId="0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9" borderId="4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0" fillId="9" borderId="31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/>
    </xf>
    <xf numFmtId="0" fontId="18" fillId="0" borderId="5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0" fillId="9" borderId="32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9" borderId="28" xfId="0" applyFont="1" applyFill="1" applyBorder="1" applyAlignment="1">
      <alignment horizontal="center" vertical="center" wrapText="1"/>
    </xf>
    <xf numFmtId="0" fontId="10" fillId="9" borderId="67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10" fillId="9" borderId="35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10" fillId="9" borderId="57" xfId="0" applyFont="1" applyFill="1" applyBorder="1" applyAlignment="1">
      <alignment horizontal="center"/>
    </xf>
    <xf numFmtId="0" fontId="10" fillId="9" borderId="41" xfId="0" applyFont="1" applyFill="1" applyBorder="1" applyAlignment="1">
      <alignment horizontal="center"/>
    </xf>
    <xf numFmtId="0" fontId="10" fillId="9" borderId="3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</cellXfs>
  <cellStyles count="16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Data" xfId="11"/>
    <cellStyle name="Percent" xfId="12" builtinId="5"/>
    <cellStyle name="Unprot" xfId="13"/>
    <cellStyle name="Unprot$" xfId="14"/>
    <cellStyle name="Unprotect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8487739010602"/>
          <c:y val="5.4166776869256326E-2"/>
          <c:w val="0.80182321529667844"/>
          <c:h val="0.893751818342729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Daily!$K$6</c:f>
              <c:strCache>
                <c:ptCount val="1"/>
                <c:pt idx="0">
                  <c:v>Apr-01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Mode val="edge"/>
                  <c:yMode val="edge"/>
                  <c:x val="0.21867905871727594"/>
                  <c:y val="0.52708440568930193"/>
                </c:manualLayout>
              </c:layout>
              <c:numFmt formatCode="0.000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Daily!$L$4:$O$4</c:f>
              <c:numCache>
                <c:formatCode>0%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Override!$Z$47:$AC$47</c:f>
              <c:numCache>
                <c:formatCode>0.00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28448"/>
        <c:axId val="234929008"/>
      </c:scatterChart>
      <c:valAx>
        <c:axId val="2349284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29008"/>
        <c:crosses val="autoZero"/>
        <c:crossBetween val="midCat"/>
      </c:valAx>
      <c:valAx>
        <c:axId val="23492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28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"/>
          <c:y val="5.4279749478079335E-2"/>
          <c:w val="0.82045454545454544"/>
          <c:h val="0.89352818371607512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FF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Mode val="edge"/>
                  <c:yMode val="edge"/>
                  <c:x val="0.20227272727272727"/>
                  <c:y val="0.53027139874739038"/>
                </c:manualLayout>
              </c:layout>
              <c:numFmt formatCode="0.000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Override!$AD$15:$AG$15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</c:numCache>
            </c:numRef>
          </c:xVal>
          <c:yVal>
            <c:numRef>
              <c:f>Override!$AD$47:$AG$47</c:f>
              <c:numCache>
                <c:formatCode>0.00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31248"/>
        <c:axId val="234931808"/>
      </c:scatterChart>
      <c:valAx>
        <c:axId val="23493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31808"/>
        <c:crosses val="autoZero"/>
        <c:crossBetween val="midCat"/>
      </c:valAx>
      <c:valAx>
        <c:axId val="23493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312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"/>
          <c:y val="5.4054108926419694E-2"/>
          <c:w val="0.80227272727272725"/>
          <c:h val="0.89397180147540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Daily!$K$6</c:f>
              <c:strCache>
                <c:ptCount val="1"/>
                <c:pt idx="0">
                  <c:v>Apr-01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Mode val="edge"/>
                  <c:yMode val="edge"/>
                  <c:x val="0.21818181818181817"/>
                  <c:y val="0.53014606831680855"/>
                </c:manualLayout>
              </c:layout>
              <c:numFmt formatCode="0.000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Daily!$L$4:$O$4</c:f>
              <c:numCache>
                <c:formatCode>0%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Override!$AX$47:$BA$47</c:f>
              <c:numCache>
                <c:formatCode>0.00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34048"/>
        <c:axId val="234934608"/>
      </c:scatterChart>
      <c:valAx>
        <c:axId val="2349340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34608"/>
        <c:crosses val="autoZero"/>
        <c:crossBetween val="midCat"/>
      </c:valAx>
      <c:valAx>
        <c:axId val="23493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34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"/>
          <c:y val="5.4166776869256326E-2"/>
          <c:w val="0.82045454545454544"/>
          <c:h val="0.89375181834272932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FF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Mode val="edge"/>
                  <c:yMode val="edge"/>
                  <c:x val="0.20227272727272727"/>
                  <c:y val="0.53125108083309092"/>
                </c:manualLayout>
              </c:layout>
              <c:numFmt formatCode="0.0000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Override!$AD$15:$AG$15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</c:numCache>
            </c:numRef>
          </c:xVal>
          <c:yVal>
            <c:numRef>
              <c:f>Override!$BB$47:$BE$47</c:f>
              <c:numCache>
                <c:formatCode>0.00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36848"/>
        <c:axId val="234937408"/>
      </c:scatterChart>
      <c:valAx>
        <c:axId val="23493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37408"/>
        <c:crosses val="autoZero"/>
        <c:crossBetween val="midCat"/>
      </c:valAx>
      <c:valAx>
        <c:axId val="23493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9368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2" fmlaLink="$AQ$11" fmlaRange="$AS$13:$AS$20" sel="7" val="0"/>
</file>

<file path=xl/ctrlProps/ctrlProp10.xml><?xml version="1.0" encoding="utf-8"?>
<formControlPr xmlns="http://schemas.microsoft.com/office/spreadsheetml/2009/9/main" objectType="Drop" dropLines="12" dropStyle="combo" dx="22" fmlaLink="$BO$14" fmlaRange="$BJ$12:$BJ$78" sel="5" val="3"/>
</file>

<file path=xl/ctrlProps/ctrlProp100.xml><?xml version="1.0" encoding="utf-8"?>
<formControlPr xmlns="http://schemas.microsoft.com/office/spreadsheetml/2009/9/main" objectType="Drop" dropLines="3" dropStyle="combo" dx="22" fmlaLink="$BR$17" fmlaRange="$BU$12:$BU$14" sel="2" val="0"/>
</file>

<file path=xl/ctrlProps/ctrlProp101.xml><?xml version="1.0" encoding="utf-8"?>
<formControlPr xmlns="http://schemas.microsoft.com/office/spreadsheetml/2009/9/main" objectType="CheckBox" fmlaLink="$BS$12" lockText="1"/>
</file>

<file path=xl/ctrlProps/ctrlProp102.xml><?xml version="1.0" encoding="utf-8"?>
<formControlPr xmlns="http://schemas.microsoft.com/office/spreadsheetml/2009/9/main" objectType="CheckBox" fmlaLink="$BS$13" lockText="1"/>
</file>

<file path=xl/ctrlProps/ctrlProp103.xml><?xml version="1.0" encoding="utf-8"?>
<formControlPr xmlns="http://schemas.microsoft.com/office/spreadsheetml/2009/9/main" objectType="CheckBox" fmlaLink="$BS$14" lockText="1"/>
</file>

<file path=xl/ctrlProps/ctrlProp104.xml><?xml version="1.0" encoding="utf-8"?>
<formControlPr xmlns="http://schemas.microsoft.com/office/spreadsheetml/2009/9/main" objectType="CheckBox" fmlaLink="$BS$15" lockText="1"/>
</file>

<file path=xl/ctrlProps/ctrlProp105.xml><?xml version="1.0" encoding="utf-8"?>
<formControlPr xmlns="http://schemas.microsoft.com/office/spreadsheetml/2009/9/main" objectType="CheckBox" fmlaLink="$BS$16" lockText="1"/>
</file>

<file path=xl/ctrlProps/ctrlProp106.xml><?xml version="1.0" encoding="utf-8"?>
<formControlPr xmlns="http://schemas.microsoft.com/office/spreadsheetml/2009/9/main" objectType="CheckBox" fmlaLink="$BS$17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Drop" dropLines="3" dropStyle="combo" dx="22" fmlaLink="$BH$15" fmlaRange="$BG$16:$BG$18" sel="1" val="0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Drop" dropLines="12" dropStyle="combo" dx="22" fmlaLink="$BO$15" fmlaRange="$BJ$12:$BJ$78" sel="6" val="2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CheckBox" fmlaLink="$BS$17" lockText="1"/>
</file>

<file path=xl/ctrlProps/ctrlProp112.xml><?xml version="1.0" encoding="utf-8"?>
<formControlPr xmlns="http://schemas.microsoft.com/office/spreadsheetml/2009/9/main" objectType="CheckBox" fmlaLink="$BS$18" lockText="1"/>
</file>

<file path=xl/ctrlProps/ctrlProp113.xml><?xml version="1.0" encoding="utf-8"?>
<formControlPr xmlns="http://schemas.microsoft.com/office/spreadsheetml/2009/9/main" objectType="CheckBox" fmlaLink="$BS$19" lockText="1"/>
</file>

<file path=xl/ctrlProps/ctrlProp114.xml><?xml version="1.0" encoding="utf-8"?>
<formControlPr xmlns="http://schemas.microsoft.com/office/spreadsheetml/2009/9/main" objectType="CheckBox" fmlaLink="$BS$20" lockText="1"/>
</file>

<file path=xl/ctrlProps/ctrlProp115.xml><?xml version="1.0" encoding="utf-8"?>
<formControlPr xmlns="http://schemas.microsoft.com/office/spreadsheetml/2009/9/main" objectType="CheckBox" fmlaLink="$BS$21" lockText="1"/>
</file>

<file path=xl/ctrlProps/ctrlProp116.xml><?xml version="1.0" encoding="utf-8"?>
<formControlPr xmlns="http://schemas.microsoft.com/office/spreadsheetml/2009/9/main" objectType="CheckBox" fmlaLink="$BS$22" lockText="1"/>
</file>

<file path=xl/ctrlProps/ctrlProp117.xml><?xml version="1.0" encoding="utf-8"?>
<formControlPr xmlns="http://schemas.microsoft.com/office/spreadsheetml/2009/9/main" objectType="CheckBox" fmlaLink="$BS$23" lockText="1"/>
</file>

<file path=xl/ctrlProps/ctrlProp118.xml><?xml version="1.0" encoding="utf-8"?>
<formControlPr xmlns="http://schemas.microsoft.com/office/spreadsheetml/2009/9/main" objectType="Drop" dropLines="12" dropStyle="combo" dx="22" fmlaLink="$BO$18" fmlaRange="$BJ$12:$BJ$78" sel="20" val="12"/>
</file>

<file path=xl/ctrlProps/ctrlProp119.xml><?xml version="1.0" encoding="utf-8"?>
<formControlPr xmlns="http://schemas.microsoft.com/office/spreadsheetml/2009/9/main" objectType="Drop" dropLines="12" dropStyle="combo" dx="22" fmlaLink="$BO$19" fmlaRange="$BJ$12:$BJ$78" sel="4" val="0"/>
</file>

<file path=xl/ctrlProps/ctrlProp12.xml><?xml version="1.0" encoding="utf-8"?>
<formControlPr xmlns="http://schemas.microsoft.com/office/spreadsheetml/2009/9/main" objectType="Drop" dropLines="12" dropStyle="combo" dx="22" fmlaLink="$BO$16" fmlaRange="$BJ$12:$BJ$78" sel="8" val="0"/>
</file>

<file path=xl/ctrlProps/ctrlProp120.xml><?xml version="1.0" encoding="utf-8"?>
<formControlPr xmlns="http://schemas.microsoft.com/office/spreadsheetml/2009/9/main" objectType="Drop" dropLines="12" dropStyle="combo" dx="22" fmlaLink="$BO$20" fmlaRange="$BJ$12:$BJ$78" sel="6" val="0"/>
</file>

<file path=xl/ctrlProps/ctrlProp121.xml><?xml version="1.0" encoding="utf-8"?>
<formControlPr xmlns="http://schemas.microsoft.com/office/spreadsheetml/2009/9/main" objectType="Drop" dropLines="12" dropStyle="combo" dx="22" fmlaLink="$BO$21" fmlaRange="$BJ$12:$BJ$78" sel="7" val="0"/>
</file>

<file path=xl/ctrlProps/ctrlProp122.xml><?xml version="1.0" encoding="utf-8"?>
<formControlPr xmlns="http://schemas.microsoft.com/office/spreadsheetml/2009/9/main" objectType="Drop" dropLines="12" dropStyle="combo" dx="22" fmlaLink="$BO$22" fmlaRange="$BJ$12:$BJ$78" sel="8" val="0"/>
</file>

<file path=xl/ctrlProps/ctrlProp123.xml><?xml version="1.0" encoding="utf-8"?>
<formControlPr xmlns="http://schemas.microsoft.com/office/spreadsheetml/2009/9/main" objectType="Drop" dropLines="12" dropStyle="combo" dx="22" fmlaLink="$BO$23" fmlaRange="$BJ$12:$BJ$78" sel="9" val="0"/>
</file>

<file path=xl/ctrlProps/ctrlProp124.xml><?xml version="1.0" encoding="utf-8"?>
<formControlPr xmlns="http://schemas.microsoft.com/office/spreadsheetml/2009/9/main" objectType="Drop" dropLines="12" dropStyle="combo" dx="22" fmlaLink="$BP$18" fmlaRange="$BK$12:$BK$78" sel="21" val="11"/>
</file>

<file path=xl/ctrlProps/ctrlProp125.xml><?xml version="1.0" encoding="utf-8"?>
<formControlPr xmlns="http://schemas.microsoft.com/office/spreadsheetml/2009/9/main" objectType="Drop" dropLines="12" dropStyle="combo" dx="22" fmlaLink="$BP$19" fmlaRange="$BK$12:$BK$78" sel="5" val="0"/>
</file>

<file path=xl/ctrlProps/ctrlProp126.xml><?xml version="1.0" encoding="utf-8"?>
<formControlPr xmlns="http://schemas.microsoft.com/office/spreadsheetml/2009/9/main" objectType="Drop" dropLines="12" dropStyle="combo" dx="22" fmlaLink="$BP$20" fmlaRange="$BK$12:$BK$78" sel="7" val="0"/>
</file>

<file path=xl/ctrlProps/ctrlProp127.xml><?xml version="1.0" encoding="utf-8"?>
<formControlPr xmlns="http://schemas.microsoft.com/office/spreadsheetml/2009/9/main" objectType="Drop" dropLines="12" dropStyle="combo" dx="22" fmlaLink="$BP$21" fmlaRange="$BK$12:$BK$78" sel="9" val="7"/>
</file>

<file path=xl/ctrlProps/ctrlProp128.xml><?xml version="1.0" encoding="utf-8"?>
<formControlPr xmlns="http://schemas.microsoft.com/office/spreadsheetml/2009/9/main" objectType="Drop" dropLines="12" dropStyle="combo" dx="22" fmlaLink="$BP$22" fmlaRange="$BK$12:$BK$78" sel="9" val="0"/>
</file>

<file path=xl/ctrlProps/ctrlProp129.xml><?xml version="1.0" encoding="utf-8"?>
<formControlPr xmlns="http://schemas.microsoft.com/office/spreadsheetml/2009/9/main" objectType="Drop" dropLines="12" dropStyle="combo" dx="22" fmlaLink="$BP$23" fmlaRange="$BK$12:$BK$78" sel="10" val="0"/>
</file>

<file path=xl/ctrlProps/ctrlProp13.xml><?xml version="1.0" encoding="utf-8"?>
<formControlPr xmlns="http://schemas.microsoft.com/office/spreadsheetml/2009/9/main" objectType="Drop" dropLines="12" dropStyle="combo" dx="22" fmlaLink="$BO$17" fmlaRange="$BJ$12:$BJ$78" sel="9" val="8"/>
</file>

<file path=xl/ctrlProps/ctrlProp130.xml><?xml version="1.0" encoding="utf-8"?>
<formControlPr xmlns="http://schemas.microsoft.com/office/spreadsheetml/2009/9/main" objectType="Drop" dropLines="3" dropStyle="combo" dx="22" fmlaLink="$BR$18" fmlaRange="$BU$12:$BU$14" sel="2" val="0"/>
</file>

<file path=xl/ctrlProps/ctrlProp131.xml><?xml version="1.0" encoding="utf-8"?>
<formControlPr xmlns="http://schemas.microsoft.com/office/spreadsheetml/2009/9/main" objectType="Drop" dropLines="3" dropStyle="combo" dx="22" fmlaLink="$BR$19" fmlaRange="$BU$12:$BU$14" sel="2" val="0"/>
</file>

<file path=xl/ctrlProps/ctrlProp132.xml><?xml version="1.0" encoding="utf-8"?>
<formControlPr xmlns="http://schemas.microsoft.com/office/spreadsheetml/2009/9/main" objectType="Drop" dropLines="3" dropStyle="combo" dx="22" fmlaLink="$BR$20" fmlaRange="$BU$12:$BU$14" sel="2" val="0"/>
</file>

<file path=xl/ctrlProps/ctrlProp133.xml><?xml version="1.0" encoding="utf-8"?>
<formControlPr xmlns="http://schemas.microsoft.com/office/spreadsheetml/2009/9/main" objectType="Drop" dropLines="3" dropStyle="combo" dx="22" fmlaLink="$BR$21" fmlaRange="$BU$12:$BU$14" sel="2" val="0"/>
</file>

<file path=xl/ctrlProps/ctrlProp134.xml><?xml version="1.0" encoding="utf-8"?>
<formControlPr xmlns="http://schemas.microsoft.com/office/spreadsheetml/2009/9/main" objectType="Drop" dropLines="3" dropStyle="combo" dx="22" fmlaLink="$BR$22" fmlaRange="$BU$12:$BU$14" sel="2" val="0"/>
</file>

<file path=xl/ctrlProps/ctrlProp135.xml><?xml version="1.0" encoding="utf-8"?>
<formControlPr xmlns="http://schemas.microsoft.com/office/spreadsheetml/2009/9/main" objectType="Drop" dropLines="3" dropStyle="combo" dx="22" fmlaLink="$BR$23" fmlaRange="$BU$12:$BU$14" sel="2" val="0"/>
</file>

<file path=xl/ctrlProps/ctrlProp136.xml><?xml version="1.0" encoding="utf-8"?>
<formControlPr xmlns="http://schemas.microsoft.com/office/spreadsheetml/2009/9/main" objectType="Drop" dropLines="12" dropStyle="combo" dx="22" fmlaLink="$BQ$18" fmlaRange="$BK$12:$BK$78" sel="20" val="12"/>
</file>

<file path=xl/ctrlProps/ctrlProp137.xml><?xml version="1.0" encoding="utf-8"?>
<formControlPr xmlns="http://schemas.microsoft.com/office/spreadsheetml/2009/9/main" objectType="Drop" dropLines="12" dropStyle="combo" dx="22" fmlaLink="$BQ$19" fmlaRange="$BK$12:$BK$78" sel="4" val="0"/>
</file>

<file path=xl/ctrlProps/ctrlProp138.xml><?xml version="1.0" encoding="utf-8"?>
<formControlPr xmlns="http://schemas.microsoft.com/office/spreadsheetml/2009/9/main" objectType="Drop" dropLines="12" dropStyle="combo" dx="22" fmlaLink="$BQ$20" fmlaRange="$BK$12:$BK$78" sel="6" val="0"/>
</file>

<file path=xl/ctrlProps/ctrlProp139.xml><?xml version="1.0" encoding="utf-8"?>
<formControlPr xmlns="http://schemas.microsoft.com/office/spreadsheetml/2009/9/main" objectType="Drop" dropLines="12" dropStyle="combo" dx="22" fmlaLink="$BQ$21" fmlaRange="$BK$12:$BK$78" sel="7" val="0"/>
</file>

<file path=xl/ctrlProps/ctrlProp14.xml><?xml version="1.0" encoding="utf-8"?>
<formControlPr xmlns="http://schemas.microsoft.com/office/spreadsheetml/2009/9/main" objectType="Drop" dropLines="12" dropStyle="combo" dx="22" fmlaLink="$BP$12" fmlaRange="$BK$12:$BK$78" sel="3" val="14"/>
</file>

<file path=xl/ctrlProps/ctrlProp140.xml><?xml version="1.0" encoding="utf-8"?>
<formControlPr xmlns="http://schemas.microsoft.com/office/spreadsheetml/2009/9/main" objectType="Drop" dropLines="12" dropStyle="combo" dx="22" fmlaLink="$BQ$22" fmlaRange="$BK$12:$BK$78" sel="8" val="0"/>
</file>

<file path=xl/ctrlProps/ctrlProp141.xml><?xml version="1.0" encoding="utf-8"?>
<formControlPr xmlns="http://schemas.microsoft.com/office/spreadsheetml/2009/9/main" objectType="Drop" dropLines="12" dropStyle="combo" dx="22" fmlaLink="$BQ$23" fmlaRange="$BK$12:$BK$78" sel="9" val="0"/>
</file>

<file path=xl/ctrlProps/ctrlProp142.xml><?xml version="1.0" encoding="utf-8"?>
<formControlPr xmlns="http://schemas.microsoft.com/office/spreadsheetml/2009/9/main" objectType="Drop" dropStyle="combo" dx="22" fmlaLink="$AV$12" fmlaRange="$AU$14:$AV$43" sel="1" val="0"/>
</file>

<file path=xl/ctrlProps/ctrlProp15.xml><?xml version="1.0" encoding="utf-8"?>
<formControlPr xmlns="http://schemas.microsoft.com/office/spreadsheetml/2009/9/main" objectType="Drop" dropLines="12" dropStyle="combo" dx="22" fmlaLink="$BP$13" fmlaRange="$BK$12:$BK$78" sel="6" val="5"/>
</file>

<file path=xl/ctrlProps/ctrlProp16.xml><?xml version="1.0" encoding="utf-8"?>
<formControlPr xmlns="http://schemas.microsoft.com/office/spreadsheetml/2009/9/main" objectType="Drop" dropLines="12" dropStyle="combo" dx="22" fmlaLink="$BP$14" fmlaRange="$BK$12:$BK$78" sel="6" val="5"/>
</file>

<file path=xl/ctrlProps/ctrlProp17.xml><?xml version="1.0" encoding="utf-8"?>
<formControlPr xmlns="http://schemas.microsoft.com/office/spreadsheetml/2009/9/main" objectType="Drop" dropLines="12" dropStyle="combo" dx="22" fmlaLink="$BP$15" fmlaRange="$BK$12:$BK$78" sel="7" val="0"/>
</file>

<file path=xl/ctrlProps/ctrlProp18.xml><?xml version="1.0" encoding="utf-8"?>
<formControlPr xmlns="http://schemas.microsoft.com/office/spreadsheetml/2009/9/main" objectType="Drop" dropLines="12" dropStyle="combo" dx="22" fmlaLink="$BP$16" fmlaRange="$BK$12:$BK$78" sel="9" val="0"/>
</file>

<file path=xl/ctrlProps/ctrlProp19.xml><?xml version="1.0" encoding="utf-8"?>
<formControlPr xmlns="http://schemas.microsoft.com/office/spreadsheetml/2009/9/main" objectType="Drop" dropLines="12" dropStyle="combo" dx="22" fmlaLink="$BP$17" fmlaRange="$BK$12:$BK$78" sel="10" val="4"/>
</file>

<file path=xl/ctrlProps/ctrlProp2.xml><?xml version="1.0" encoding="utf-8"?>
<formControlPr xmlns="http://schemas.microsoft.com/office/spreadsheetml/2009/9/main" objectType="Drop" dropStyle="combo" dx="22" fmlaLink="$AV$12" fmlaRange="$AU$14:$AV$43" sel="1" val="0"/>
</file>

<file path=xl/ctrlProps/ctrlProp20.xml><?xml version="1.0" encoding="utf-8"?>
<formControlPr xmlns="http://schemas.microsoft.com/office/spreadsheetml/2009/9/main" objectType="Drop" dropLines="12" dropStyle="combo" dx="22" fmlaLink="$BQ$12" fmlaRange="$BK$12:$BK$78" sel="2"/>
</file>

<file path=xl/ctrlProps/ctrlProp21.xml><?xml version="1.0" encoding="utf-8"?>
<formControlPr xmlns="http://schemas.microsoft.com/office/spreadsheetml/2009/9/main" objectType="Drop" dropLines="12" dropStyle="combo" dx="22" fmlaLink="$BQ$13" fmlaRange="$BK$12:$BK$78" sel="5" val="4"/>
</file>

<file path=xl/ctrlProps/ctrlProp22.xml><?xml version="1.0" encoding="utf-8"?>
<formControlPr xmlns="http://schemas.microsoft.com/office/spreadsheetml/2009/9/main" objectType="Drop" dropLines="12" dropStyle="combo" dx="22" fmlaLink="$BQ$14" fmlaRange="$BK$12:$BK$78" sel="5" val="4"/>
</file>

<file path=xl/ctrlProps/ctrlProp23.xml><?xml version="1.0" encoding="utf-8"?>
<formControlPr xmlns="http://schemas.microsoft.com/office/spreadsheetml/2009/9/main" objectType="Drop" dropLines="12" dropStyle="combo" dx="22" fmlaLink="$BQ$15" fmlaRange="$BK$12:$BK$78" sel="6" val="4"/>
</file>

<file path=xl/ctrlProps/ctrlProp24.xml><?xml version="1.0" encoding="utf-8"?>
<formControlPr xmlns="http://schemas.microsoft.com/office/spreadsheetml/2009/9/main" objectType="Drop" dropLines="12" dropStyle="combo" dx="22" fmlaLink="$BQ$16" fmlaRange="$BK$12:$BK$78" sel="8" val="7"/>
</file>

<file path=xl/ctrlProps/ctrlProp25.xml><?xml version="1.0" encoding="utf-8"?>
<formControlPr xmlns="http://schemas.microsoft.com/office/spreadsheetml/2009/9/main" objectType="Drop" dropLines="12" dropStyle="combo" dx="22" fmlaLink="$BQ$17" fmlaRange="$BK$12:$BK$78" sel="9" val="0"/>
</file>

<file path=xl/ctrlProps/ctrlProp26.xml><?xml version="1.0" encoding="utf-8"?>
<formControlPr xmlns="http://schemas.microsoft.com/office/spreadsheetml/2009/9/main" objectType="Drop" dropLines="2" dropStyle="combo" dx="22" fmlaLink="$BR$12" fmlaRange="$BU$12:$BU$13" sel="1" val="0"/>
</file>

<file path=xl/ctrlProps/ctrlProp27.xml><?xml version="1.0" encoding="utf-8"?>
<formControlPr xmlns="http://schemas.microsoft.com/office/spreadsheetml/2009/9/main" objectType="Drop" dropLines="2" dropStyle="combo" dx="22" fmlaLink="$BR$13" fmlaRange="$BU$12:$BU$13" sel="1" val="0"/>
</file>

<file path=xl/ctrlProps/ctrlProp28.xml><?xml version="1.0" encoding="utf-8"?>
<formControlPr xmlns="http://schemas.microsoft.com/office/spreadsheetml/2009/9/main" objectType="Drop" dropLines="2" dropStyle="combo" dx="22" fmlaLink="$BR$14" fmlaRange="$BU$12:$BU$13" sel="1" val="0"/>
</file>

<file path=xl/ctrlProps/ctrlProp29.xml><?xml version="1.0" encoding="utf-8"?>
<formControlPr xmlns="http://schemas.microsoft.com/office/spreadsheetml/2009/9/main" objectType="Drop" dropLines="2" dropStyle="combo" dx="22" fmlaLink="$BR$15" fmlaRange="$BU$12:$BU$13" sel="1" val="0"/>
</file>

<file path=xl/ctrlProps/ctrlProp3.xml><?xml version="1.0" encoding="utf-8"?>
<formControlPr xmlns="http://schemas.microsoft.com/office/spreadsheetml/2009/9/main" objectType="Drop" dropLines="2" dropStyle="combo" dx="22" fmlaLink="$AY$12" fmlaRange="$AX$13:$AX$14" sel="1" val="0"/>
</file>

<file path=xl/ctrlProps/ctrlProp30.xml><?xml version="1.0" encoding="utf-8"?>
<formControlPr xmlns="http://schemas.microsoft.com/office/spreadsheetml/2009/9/main" objectType="Drop" dropLines="2" dropStyle="combo" dx="22" fmlaLink="$BR$16" fmlaRange="$BU$12:$BU$13" sel="2" val="0"/>
</file>

<file path=xl/ctrlProps/ctrlProp31.xml><?xml version="1.0" encoding="utf-8"?>
<formControlPr xmlns="http://schemas.microsoft.com/office/spreadsheetml/2009/9/main" objectType="Drop" dropLines="2" dropStyle="combo" dx="22" fmlaLink="$BR$17" fmlaRange="$BU$12:$BU$13" sel="2" val="0"/>
</file>

<file path=xl/ctrlProps/ctrlProp32.xml><?xml version="1.0" encoding="utf-8"?>
<formControlPr xmlns="http://schemas.microsoft.com/office/spreadsheetml/2009/9/main" objectType="CheckBox" fmlaLink="$BS$12" lockText="1"/>
</file>

<file path=xl/ctrlProps/ctrlProp33.xml><?xml version="1.0" encoding="utf-8"?>
<formControlPr xmlns="http://schemas.microsoft.com/office/spreadsheetml/2009/9/main" objectType="CheckBox" fmlaLink="$BS$13" lockText="1"/>
</file>

<file path=xl/ctrlProps/ctrlProp34.xml><?xml version="1.0" encoding="utf-8"?>
<formControlPr xmlns="http://schemas.microsoft.com/office/spreadsheetml/2009/9/main" objectType="CheckBox" fmlaLink="$BS$14" lockText="1"/>
</file>

<file path=xl/ctrlProps/ctrlProp35.xml><?xml version="1.0" encoding="utf-8"?>
<formControlPr xmlns="http://schemas.microsoft.com/office/spreadsheetml/2009/9/main" objectType="CheckBox" fmlaLink="$BS$15" lockText="1"/>
</file>

<file path=xl/ctrlProps/ctrlProp36.xml><?xml version="1.0" encoding="utf-8"?>
<formControlPr xmlns="http://schemas.microsoft.com/office/spreadsheetml/2009/9/main" objectType="CheckBox" fmlaLink="$BS$16" lockText="1"/>
</file>

<file path=xl/ctrlProps/ctrlProp37.xml><?xml version="1.0" encoding="utf-8"?>
<formControlPr xmlns="http://schemas.microsoft.com/office/spreadsheetml/2009/9/main" objectType="CheckBox" fmlaLink="$BS$17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Drop" dropLines="3" dropStyle="combo" dx="22" fmlaLink="$BH$15" fmlaRange="$BG$16:$BG$18" sel="1" val="0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CheckBox" fmlaLink="$BS$17" lockText="1"/>
</file>

<file path=xl/ctrlProps/ctrlProp43.xml><?xml version="1.0" encoding="utf-8"?>
<formControlPr xmlns="http://schemas.microsoft.com/office/spreadsheetml/2009/9/main" objectType="CheckBox" fmlaLink="$BS$18" lockText="1"/>
</file>

<file path=xl/ctrlProps/ctrlProp44.xml><?xml version="1.0" encoding="utf-8"?>
<formControlPr xmlns="http://schemas.microsoft.com/office/spreadsheetml/2009/9/main" objectType="CheckBox" fmlaLink="$BS$19" lockText="1"/>
</file>

<file path=xl/ctrlProps/ctrlProp45.xml><?xml version="1.0" encoding="utf-8"?>
<formControlPr xmlns="http://schemas.microsoft.com/office/spreadsheetml/2009/9/main" objectType="CheckBox" fmlaLink="$BS$20" lockText="1"/>
</file>

<file path=xl/ctrlProps/ctrlProp46.xml><?xml version="1.0" encoding="utf-8"?>
<formControlPr xmlns="http://schemas.microsoft.com/office/spreadsheetml/2009/9/main" objectType="CheckBox" fmlaLink="$BS$21" lockText="1"/>
</file>

<file path=xl/ctrlProps/ctrlProp47.xml><?xml version="1.0" encoding="utf-8"?>
<formControlPr xmlns="http://schemas.microsoft.com/office/spreadsheetml/2009/9/main" objectType="CheckBox" fmlaLink="$BS$22" lockText="1"/>
</file>

<file path=xl/ctrlProps/ctrlProp48.xml><?xml version="1.0" encoding="utf-8"?>
<formControlPr xmlns="http://schemas.microsoft.com/office/spreadsheetml/2009/9/main" objectType="CheckBox" fmlaLink="$BS$23" lockText="1"/>
</file>

<file path=xl/ctrlProps/ctrlProp49.xml><?xml version="1.0" encoding="utf-8"?>
<formControlPr xmlns="http://schemas.microsoft.com/office/spreadsheetml/2009/9/main" objectType="Drop" dropLines="12" dropStyle="combo" dx="22" fmlaLink="$BO$18" fmlaRange="$BJ$12:$BJ$78" sel="20" val="12"/>
</file>

<file path=xl/ctrlProps/ctrlProp5.xml><?xml version="1.0" encoding="utf-8"?>
<formControlPr xmlns="http://schemas.microsoft.com/office/spreadsheetml/2009/9/main" objectType="Drop" dropLines="4" dropStyle="combo" dx="22" fmlaLink="$BB$12" fmlaRange="$BA$12:$BA$15" sel="4" val="0"/>
</file>

<file path=xl/ctrlProps/ctrlProp50.xml><?xml version="1.0" encoding="utf-8"?>
<formControlPr xmlns="http://schemas.microsoft.com/office/spreadsheetml/2009/9/main" objectType="Drop" dropLines="12" dropStyle="combo" dx="22" fmlaLink="$BO$19" fmlaRange="$BJ$12:$BJ$78" sel="4" val="0"/>
</file>

<file path=xl/ctrlProps/ctrlProp51.xml><?xml version="1.0" encoding="utf-8"?>
<formControlPr xmlns="http://schemas.microsoft.com/office/spreadsheetml/2009/9/main" objectType="Drop" dropLines="12" dropStyle="combo" dx="22" fmlaLink="$BO$20" fmlaRange="$BJ$12:$BJ$78" sel="6" val="0"/>
</file>

<file path=xl/ctrlProps/ctrlProp52.xml><?xml version="1.0" encoding="utf-8"?>
<formControlPr xmlns="http://schemas.microsoft.com/office/spreadsheetml/2009/9/main" objectType="Drop" dropLines="12" dropStyle="combo" dx="22" fmlaLink="$BO$21" fmlaRange="$BJ$12:$BJ$78" sel="7" val="0"/>
</file>

<file path=xl/ctrlProps/ctrlProp53.xml><?xml version="1.0" encoding="utf-8"?>
<formControlPr xmlns="http://schemas.microsoft.com/office/spreadsheetml/2009/9/main" objectType="Drop" dropLines="12" dropStyle="combo" dx="22" fmlaLink="$BO$22" fmlaRange="$BJ$12:$BJ$78" sel="8" val="0"/>
</file>

<file path=xl/ctrlProps/ctrlProp54.xml><?xml version="1.0" encoding="utf-8"?>
<formControlPr xmlns="http://schemas.microsoft.com/office/spreadsheetml/2009/9/main" objectType="Drop" dropLines="12" dropStyle="combo" dx="22" fmlaLink="$BO$23" fmlaRange="$BJ$12:$BJ$78" sel="9" val="0"/>
</file>

<file path=xl/ctrlProps/ctrlProp55.xml><?xml version="1.0" encoding="utf-8"?>
<formControlPr xmlns="http://schemas.microsoft.com/office/spreadsheetml/2009/9/main" objectType="Drop" dropLines="12" dropStyle="combo" dx="22" fmlaLink="$BP$18" fmlaRange="$BK$12:$BK$78" sel="21" val="11"/>
</file>

<file path=xl/ctrlProps/ctrlProp56.xml><?xml version="1.0" encoding="utf-8"?>
<formControlPr xmlns="http://schemas.microsoft.com/office/spreadsheetml/2009/9/main" objectType="Drop" dropLines="12" dropStyle="combo" dx="22" fmlaLink="$BP$19" fmlaRange="$BK$12:$BK$78" sel="5" val="0"/>
</file>

<file path=xl/ctrlProps/ctrlProp57.xml><?xml version="1.0" encoding="utf-8"?>
<formControlPr xmlns="http://schemas.microsoft.com/office/spreadsheetml/2009/9/main" objectType="Drop" dropLines="12" dropStyle="combo" dx="22" fmlaLink="$BP$20" fmlaRange="$BK$12:$BK$78" sel="7" val="0"/>
</file>

<file path=xl/ctrlProps/ctrlProp58.xml><?xml version="1.0" encoding="utf-8"?>
<formControlPr xmlns="http://schemas.microsoft.com/office/spreadsheetml/2009/9/main" objectType="Drop" dropLines="12" dropStyle="combo" dx="22" fmlaLink="$BP$21" fmlaRange="$BK$12:$BK$78" sel="9" val="7"/>
</file>

<file path=xl/ctrlProps/ctrlProp59.xml><?xml version="1.0" encoding="utf-8"?>
<formControlPr xmlns="http://schemas.microsoft.com/office/spreadsheetml/2009/9/main" objectType="Drop" dropLines="12" dropStyle="combo" dx="22" fmlaLink="$BP$22" fmlaRange="$BK$12:$BK$78" sel="9" val="0"/>
</file>

<file path=xl/ctrlProps/ctrlProp6.xml><?xml version="1.0" encoding="utf-8"?>
<formControlPr xmlns="http://schemas.microsoft.com/office/spreadsheetml/2009/9/main" objectType="Drop" dropLines="4" dropStyle="combo" dx="22" fmlaLink="$BB$13" fmlaRange="$BA$12:$BA$15" sel="4" val="0"/>
</file>

<file path=xl/ctrlProps/ctrlProp60.xml><?xml version="1.0" encoding="utf-8"?>
<formControlPr xmlns="http://schemas.microsoft.com/office/spreadsheetml/2009/9/main" objectType="Drop" dropLines="12" dropStyle="combo" dx="22" fmlaLink="$BP$23" fmlaRange="$BK$12:$BK$78" sel="10" val="0"/>
</file>

<file path=xl/ctrlProps/ctrlProp61.xml><?xml version="1.0" encoding="utf-8"?>
<formControlPr xmlns="http://schemas.microsoft.com/office/spreadsheetml/2009/9/main" objectType="Drop" dropLines="2" dropStyle="combo" dx="22" fmlaLink="$BR$18" fmlaRange="$BU$12:$BU$13" sel="2" val="0"/>
</file>

<file path=xl/ctrlProps/ctrlProp62.xml><?xml version="1.0" encoding="utf-8"?>
<formControlPr xmlns="http://schemas.microsoft.com/office/spreadsheetml/2009/9/main" objectType="Drop" dropLines="2" dropStyle="combo" dx="22" fmlaLink="$BR$19" fmlaRange="$BU$12:$BU$13" sel="2" val="0"/>
</file>

<file path=xl/ctrlProps/ctrlProp63.xml><?xml version="1.0" encoding="utf-8"?>
<formControlPr xmlns="http://schemas.microsoft.com/office/spreadsheetml/2009/9/main" objectType="Drop" dropLines="2" dropStyle="combo" dx="22" fmlaLink="$BR$20" fmlaRange="$BU$12:$BU$13" sel="2" val="0"/>
</file>

<file path=xl/ctrlProps/ctrlProp64.xml><?xml version="1.0" encoding="utf-8"?>
<formControlPr xmlns="http://schemas.microsoft.com/office/spreadsheetml/2009/9/main" objectType="Drop" dropLines="2" dropStyle="combo" dx="22" fmlaLink="$BR$21" fmlaRange="$BU$12:$BU$13" sel="2" val="0"/>
</file>

<file path=xl/ctrlProps/ctrlProp65.xml><?xml version="1.0" encoding="utf-8"?>
<formControlPr xmlns="http://schemas.microsoft.com/office/spreadsheetml/2009/9/main" objectType="Drop" dropLines="2" dropStyle="combo" dx="22" fmlaLink="$BR$22" fmlaRange="$BU$12:$BU$13" sel="2" val="0"/>
</file>

<file path=xl/ctrlProps/ctrlProp66.xml><?xml version="1.0" encoding="utf-8"?>
<formControlPr xmlns="http://schemas.microsoft.com/office/spreadsheetml/2009/9/main" objectType="Drop" dropLines="2" dropStyle="combo" dx="22" fmlaLink="$BR$23" fmlaRange="$BU$12:$BU$13" sel="2" val="0"/>
</file>

<file path=xl/ctrlProps/ctrlProp67.xml><?xml version="1.0" encoding="utf-8"?>
<formControlPr xmlns="http://schemas.microsoft.com/office/spreadsheetml/2009/9/main" objectType="Drop" dropLines="12" dropStyle="combo" dx="22" fmlaLink="$BQ$18" fmlaRange="$BK$12:$BK$78" sel="20" val="12"/>
</file>

<file path=xl/ctrlProps/ctrlProp68.xml><?xml version="1.0" encoding="utf-8"?>
<formControlPr xmlns="http://schemas.microsoft.com/office/spreadsheetml/2009/9/main" objectType="Drop" dropLines="12" dropStyle="combo" dx="22" fmlaLink="$BQ$19" fmlaRange="$BK$12:$BK$78" sel="4" val="0"/>
</file>

<file path=xl/ctrlProps/ctrlProp69.xml><?xml version="1.0" encoding="utf-8"?>
<formControlPr xmlns="http://schemas.microsoft.com/office/spreadsheetml/2009/9/main" objectType="Drop" dropLines="12" dropStyle="combo" dx="22" fmlaLink="$BQ$20" fmlaRange="$BK$12:$BK$78" sel="6" val="0"/>
</file>

<file path=xl/ctrlProps/ctrlProp7.xml><?xml version="1.0" encoding="utf-8"?>
<formControlPr xmlns="http://schemas.microsoft.com/office/spreadsheetml/2009/9/main" objectType="Drop" dropLines="2" dropStyle="combo" dx="22" fmlaLink="$BH$11" fmlaRange="$BG$12:$BG$13" sel="1" val="0"/>
</file>

<file path=xl/ctrlProps/ctrlProp70.xml><?xml version="1.0" encoding="utf-8"?>
<formControlPr xmlns="http://schemas.microsoft.com/office/spreadsheetml/2009/9/main" objectType="Drop" dropLines="12" dropStyle="combo" dx="22" fmlaLink="$BQ$21" fmlaRange="$BK$12:$BK$78" sel="7" val="0"/>
</file>

<file path=xl/ctrlProps/ctrlProp71.xml><?xml version="1.0" encoding="utf-8"?>
<formControlPr xmlns="http://schemas.microsoft.com/office/spreadsheetml/2009/9/main" objectType="Drop" dropLines="12" dropStyle="combo" dx="22" fmlaLink="$BQ$22" fmlaRange="$BK$12:$BK$78" sel="8" val="0"/>
</file>

<file path=xl/ctrlProps/ctrlProp72.xml><?xml version="1.0" encoding="utf-8"?>
<formControlPr xmlns="http://schemas.microsoft.com/office/spreadsheetml/2009/9/main" objectType="Drop" dropLines="12" dropStyle="combo" dx="22" fmlaLink="$BQ$23" fmlaRange="$BK$12:$BK$78" sel="9" val="0"/>
</file>

<file path=xl/ctrlProps/ctrlProp73.xml><?xml version="1.0" encoding="utf-8"?>
<formControlPr xmlns="http://schemas.microsoft.com/office/spreadsheetml/2009/9/main" objectType="Drop" dropLines="2" dropStyle="combo" dx="22" fmlaLink="$AY$12" fmlaRange="$AX$13:$AX$14" sel="1" val="0"/>
</file>

<file path=xl/ctrlProps/ctrlProp74.xml><?xml version="1.0" encoding="utf-8"?>
<formControlPr xmlns="http://schemas.microsoft.com/office/spreadsheetml/2009/9/main" objectType="Drop" dropLines="4" dropStyle="combo" dx="22" fmlaLink="$BB$12" fmlaRange="$BA$12:$BA$15" sel="4" val="0"/>
</file>

<file path=xl/ctrlProps/ctrlProp75.xml><?xml version="1.0" encoding="utf-8"?>
<formControlPr xmlns="http://schemas.microsoft.com/office/spreadsheetml/2009/9/main" objectType="Drop" dropLines="4" dropStyle="combo" dx="22" fmlaLink="$BB$13" fmlaRange="$BA$12:$BA$15" sel="4" val="0"/>
</file>

<file path=xl/ctrlProps/ctrlProp76.xml><?xml version="1.0" encoding="utf-8"?>
<formControlPr xmlns="http://schemas.microsoft.com/office/spreadsheetml/2009/9/main" objectType="Drop" dropLines="2" dropStyle="combo" dx="22" fmlaLink="$BH$11" fmlaRange="$BG$12:$BG$13" sel="2" val="0"/>
</file>

<file path=xl/ctrlProps/ctrlProp77.xml><?xml version="1.0" encoding="utf-8"?>
<formControlPr xmlns="http://schemas.microsoft.com/office/spreadsheetml/2009/9/main" objectType="Drop" dropLines="12" dropStyle="combo" dx="22" fmlaLink="$BO$12" fmlaRange="$BJ$12:$BJ$78" sel="3"/>
</file>

<file path=xl/ctrlProps/ctrlProp78.xml><?xml version="1.0" encoding="utf-8"?>
<formControlPr xmlns="http://schemas.microsoft.com/office/spreadsheetml/2009/9/main" objectType="Drop" dropLines="12" dropStyle="combo" dx="22" fmlaLink="$BO$13" fmlaRange="$BJ$12:$BJ$78" sel="6" val="4"/>
</file>

<file path=xl/ctrlProps/ctrlProp79.xml><?xml version="1.0" encoding="utf-8"?>
<formControlPr xmlns="http://schemas.microsoft.com/office/spreadsheetml/2009/9/main" objectType="Drop" dropLines="12" dropStyle="combo" dx="22" fmlaLink="$BO$14" fmlaRange="$BJ$12:$BJ$78" sel="5" val="3"/>
</file>

<file path=xl/ctrlProps/ctrlProp8.xml><?xml version="1.0" encoding="utf-8"?>
<formControlPr xmlns="http://schemas.microsoft.com/office/spreadsheetml/2009/9/main" objectType="Drop" dropLines="12" dropStyle="combo" dx="22" fmlaLink="$BO$12" fmlaRange="$BJ$12:$BJ$78" sel="2" val="13"/>
</file>

<file path=xl/ctrlProps/ctrlProp80.xml><?xml version="1.0" encoding="utf-8"?>
<formControlPr xmlns="http://schemas.microsoft.com/office/spreadsheetml/2009/9/main" objectType="Drop" dropLines="12" dropStyle="combo" dx="22" fmlaLink="$BO$15" fmlaRange="$BJ$12:$BJ$78" sel="6" val="2"/>
</file>

<file path=xl/ctrlProps/ctrlProp81.xml><?xml version="1.0" encoding="utf-8"?>
<formControlPr xmlns="http://schemas.microsoft.com/office/spreadsheetml/2009/9/main" objectType="Drop" dropLines="12" dropStyle="combo" dx="22" fmlaLink="$BO$16" fmlaRange="$BJ$12:$BJ$78" sel="8" val="0"/>
</file>

<file path=xl/ctrlProps/ctrlProp82.xml><?xml version="1.0" encoding="utf-8"?>
<formControlPr xmlns="http://schemas.microsoft.com/office/spreadsheetml/2009/9/main" objectType="Drop" dropLines="12" dropStyle="combo" dx="22" fmlaLink="$BO$17" fmlaRange="$BJ$12:$BJ$78" sel="9" val="8"/>
</file>

<file path=xl/ctrlProps/ctrlProp83.xml><?xml version="1.0" encoding="utf-8"?>
<formControlPr xmlns="http://schemas.microsoft.com/office/spreadsheetml/2009/9/main" objectType="Drop" dropLines="12" dropStyle="combo" dx="22" fmlaLink="$BP$12" fmlaRange="$BK$12:$BK$78" sel="4" val="2"/>
</file>

<file path=xl/ctrlProps/ctrlProp84.xml><?xml version="1.0" encoding="utf-8"?>
<formControlPr xmlns="http://schemas.microsoft.com/office/spreadsheetml/2009/9/main" objectType="Drop" dropLines="12" dropStyle="combo" dx="22" fmlaLink="$BP$13" fmlaRange="$BK$12:$BK$78" sel="8" val="6"/>
</file>

<file path=xl/ctrlProps/ctrlProp85.xml><?xml version="1.0" encoding="utf-8"?>
<formControlPr xmlns="http://schemas.microsoft.com/office/spreadsheetml/2009/9/main" objectType="Drop" dropLines="12" dropStyle="combo" dx="22" fmlaLink="$BP$14" fmlaRange="$BK$12:$BK$78" sel="6" val="5"/>
</file>

<file path=xl/ctrlProps/ctrlProp86.xml><?xml version="1.0" encoding="utf-8"?>
<formControlPr xmlns="http://schemas.microsoft.com/office/spreadsheetml/2009/9/main" objectType="Drop" dropLines="12" dropStyle="combo" dx="22" fmlaLink="$BP$15" fmlaRange="$BK$12:$BK$78" sel="7" val="0"/>
</file>

<file path=xl/ctrlProps/ctrlProp87.xml><?xml version="1.0" encoding="utf-8"?>
<formControlPr xmlns="http://schemas.microsoft.com/office/spreadsheetml/2009/9/main" objectType="Drop" dropLines="12" dropStyle="combo" dx="22" fmlaLink="$BP$16" fmlaRange="$BK$12:$BK$78" sel="9" val="0"/>
</file>

<file path=xl/ctrlProps/ctrlProp88.xml><?xml version="1.0" encoding="utf-8"?>
<formControlPr xmlns="http://schemas.microsoft.com/office/spreadsheetml/2009/9/main" objectType="Drop" dropLines="12" dropStyle="combo" dx="22" fmlaLink="$BP$17" fmlaRange="$BK$12:$BK$78" sel="10" val="4"/>
</file>

<file path=xl/ctrlProps/ctrlProp89.xml><?xml version="1.0" encoding="utf-8"?>
<formControlPr xmlns="http://schemas.microsoft.com/office/spreadsheetml/2009/9/main" objectType="Drop" dropLines="12" dropStyle="combo" dx="22" fmlaLink="$BQ$12" fmlaRange="$BK$12:$BK$78" sel="3"/>
</file>

<file path=xl/ctrlProps/ctrlProp9.xml><?xml version="1.0" encoding="utf-8"?>
<formControlPr xmlns="http://schemas.microsoft.com/office/spreadsheetml/2009/9/main" objectType="Drop" dropLines="12" dropStyle="combo" dx="22" fmlaLink="$BO$13" fmlaRange="$BJ$12:$BJ$78" sel="5" val="4"/>
</file>

<file path=xl/ctrlProps/ctrlProp90.xml><?xml version="1.0" encoding="utf-8"?>
<formControlPr xmlns="http://schemas.microsoft.com/office/spreadsheetml/2009/9/main" objectType="Drop" dropLines="12" dropStyle="combo" dx="22" fmlaLink="$BQ$13" fmlaRange="$BK$12:$BK$78" sel="5" val="4"/>
</file>

<file path=xl/ctrlProps/ctrlProp91.xml><?xml version="1.0" encoding="utf-8"?>
<formControlPr xmlns="http://schemas.microsoft.com/office/spreadsheetml/2009/9/main" objectType="Drop" dropLines="12" dropStyle="combo" dx="22" fmlaLink="$BQ$14" fmlaRange="$BK$12:$BK$78" sel="5" val="4"/>
</file>

<file path=xl/ctrlProps/ctrlProp92.xml><?xml version="1.0" encoding="utf-8"?>
<formControlPr xmlns="http://schemas.microsoft.com/office/spreadsheetml/2009/9/main" objectType="Drop" dropLines="12" dropStyle="combo" dx="22" fmlaLink="$BQ$15" fmlaRange="$BK$12:$BK$78" sel="6" val="4"/>
</file>

<file path=xl/ctrlProps/ctrlProp93.xml><?xml version="1.0" encoding="utf-8"?>
<formControlPr xmlns="http://schemas.microsoft.com/office/spreadsheetml/2009/9/main" objectType="Drop" dropLines="12" dropStyle="combo" dx="22" fmlaLink="$BQ$16" fmlaRange="$BK$12:$BK$78" sel="8" val="7"/>
</file>

<file path=xl/ctrlProps/ctrlProp94.xml><?xml version="1.0" encoding="utf-8"?>
<formControlPr xmlns="http://schemas.microsoft.com/office/spreadsheetml/2009/9/main" objectType="Drop" dropLines="12" dropStyle="combo" dx="22" fmlaLink="$BQ$17" fmlaRange="$BK$12:$BK$78" sel="9" val="0"/>
</file>

<file path=xl/ctrlProps/ctrlProp95.xml><?xml version="1.0" encoding="utf-8"?>
<formControlPr xmlns="http://schemas.microsoft.com/office/spreadsheetml/2009/9/main" objectType="Drop" dropLines="3" dropStyle="combo" dx="22" fmlaLink="$BR$12" fmlaRange="$BU$12:$BU$14" sel="1" val="0"/>
</file>

<file path=xl/ctrlProps/ctrlProp96.xml><?xml version="1.0" encoding="utf-8"?>
<formControlPr xmlns="http://schemas.microsoft.com/office/spreadsheetml/2009/9/main" objectType="Drop" dropLines="3" dropStyle="combo" dx="22" fmlaLink="$BR$13" fmlaRange="$BU$12:$BU$14" sel="3" val="0"/>
</file>

<file path=xl/ctrlProps/ctrlProp97.xml><?xml version="1.0" encoding="utf-8"?>
<formControlPr xmlns="http://schemas.microsoft.com/office/spreadsheetml/2009/9/main" objectType="Drop" dropLines="3" dropStyle="combo" dx="22" fmlaLink="$BR$14" fmlaRange="$BU$12:$BU$14" sel="1" val="0"/>
</file>

<file path=xl/ctrlProps/ctrlProp98.xml><?xml version="1.0" encoding="utf-8"?>
<formControlPr xmlns="http://schemas.microsoft.com/office/spreadsheetml/2009/9/main" objectType="Drop" dropLines="3" dropStyle="combo" dx="22" fmlaLink="$BR$15" fmlaRange="$BU$12:$BU$14" sel="1" val="0"/>
</file>

<file path=xl/ctrlProps/ctrlProp99.xml><?xml version="1.0" encoding="utf-8"?>
<formControlPr xmlns="http://schemas.microsoft.com/office/spreadsheetml/2009/9/main" objectType="Drop" dropLines="3" dropStyle="combo" dx="22" fmlaLink="$BR$16" fmlaRange="$BU$12:$BU$14" sel="2" val="0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37</xdr:row>
          <xdr:rowOff>9525</xdr:rowOff>
        </xdr:from>
        <xdr:to>
          <xdr:col>6</xdr:col>
          <xdr:colOff>704850</xdr:colOff>
          <xdr:row>37</xdr:row>
          <xdr:rowOff>209550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38</xdr:row>
          <xdr:rowOff>9525</xdr:rowOff>
        </xdr:from>
        <xdr:to>
          <xdr:col>6</xdr:col>
          <xdr:colOff>704850</xdr:colOff>
          <xdr:row>38</xdr:row>
          <xdr:rowOff>209550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37</xdr:row>
          <xdr:rowOff>9525</xdr:rowOff>
        </xdr:from>
        <xdr:to>
          <xdr:col>15</xdr:col>
          <xdr:colOff>647700</xdr:colOff>
          <xdr:row>37</xdr:row>
          <xdr:rowOff>209550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37</xdr:row>
          <xdr:rowOff>9525</xdr:rowOff>
        </xdr:from>
        <xdr:to>
          <xdr:col>3</xdr:col>
          <xdr:colOff>609600</xdr:colOff>
          <xdr:row>37</xdr:row>
          <xdr:rowOff>209550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37</xdr:row>
          <xdr:rowOff>9525</xdr:rowOff>
        </xdr:from>
        <xdr:to>
          <xdr:col>13</xdr:col>
          <xdr:colOff>428625</xdr:colOff>
          <xdr:row>37</xdr:row>
          <xdr:rowOff>209550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38</xdr:row>
          <xdr:rowOff>9525</xdr:rowOff>
        </xdr:from>
        <xdr:to>
          <xdr:col>13</xdr:col>
          <xdr:colOff>428625</xdr:colOff>
          <xdr:row>38</xdr:row>
          <xdr:rowOff>209550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38</xdr:row>
          <xdr:rowOff>9525</xdr:rowOff>
        </xdr:from>
        <xdr:to>
          <xdr:col>15</xdr:col>
          <xdr:colOff>647700</xdr:colOff>
          <xdr:row>38</xdr:row>
          <xdr:rowOff>209550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9525</xdr:rowOff>
        </xdr:from>
        <xdr:to>
          <xdr:col>3</xdr:col>
          <xdr:colOff>609600</xdr:colOff>
          <xdr:row>46</xdr:row>
          <xdr:rowOff>0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9525</xdr:rowOff>
        </xdr:from>
        <xdr:to>
          <xdr:col>3</xdr:col>
          <xdr:colOff>609600</xdr:colOff>
          <xdr:row>47</xdr:row>
          <xdr:rowOff>0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9525</xdr:rowOff>
        </xdr:from>
        <xdr:to>
          <xdr:col>3</xdr:col>
          <xdr:colOff>609600</xdr:colOff>
          <xdr:row>48</xdr:row>
          <xdr:rowOff>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9525</xdr:rowOff>
        </xdr:from>
        <xdr:to>
          <xdr:col>3</xdr:col>
          <xdr:colOff>609600</xdr:colOff>
          <xdr:row>49</xdr:row>
          <xdr:rowOff>0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9525</xdr:rowOff>
        </xdr:from>
        <xdr:to>
          <xdr:col>3</xdr:col>
          <xdr:colOff>609600</xdr:colOff>
          <xdr:row>50</xdr:row>
          <xdr:rowOff>0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9525</xdr:rowOff>
        </xdr:from>
        <xdr:to>
          <xdr:col>3</xdr:col>
          <xdr:colOff>609600</xdr:colOff>
          <xdr:row>51</xdr:row>
          <xdr:rowOff>0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45</xdr:row>
          <xdr:rowOff>9525</xdr:rowOff>
        </xdr:from>
        <xdr:to>
          <xdr:col>4</xdr:col>
          <xdr:colOff>666750</xdr:colOff>
          <xdr:row>46</xdr:row>
          <xdr:rowOff>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46</xdr:row>
          <xdr:rowOff>9525</xdr:rowOff>
        </xdr:from>
        <xdr:to>
          <xdr:col>4</xdr:col>
          <xdr:colOff>666750</xdr:colOff>
          <xdr:row>47</xdr:row>
          <xdr:rowOff>0</xdr:rowOff>
        </xdr:to>
        <xdr:sp macro="" textlink="">
          <xdr:nvSpPr>
            <xdr:cNvPr id="1093" name="Drop Dow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47</xdr:row>
          <xdr:rowOff>9525</xdr:rowOff>
        </xdr:from>
        <xdr:to>
          <xdr:col>4</xdr:col>
          <xdr:colOff>666750</xdr:colOff>
          <xdr:row>48</xdr:row>
          <xdr:rowOff>0</xdr:rowOff>
        </xdr:to>
        <xdr:sp macro="" textlink="">
          <xdr:nvSpPr>
            <xdr:cNvPr id="1094" name="Drop Dow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48</xdr:row>
          <xdr:rowOff>9525</xdr:rowOff>
        </xdr:from>
        <xdr:to>
          <xdr:col>4</xdr:col>
          <xdr:colOff>666750</xdr:colOff>
          <xdr:row>49</xdr:row>
          <xdr:rowOff>0</xdr:rowOff>
        </xdr:to>
        <xdr:sp macro="" textlink="">
          <xdr:nvSpPr>
            <xdr:cNvPr id="1095" name="Drop Down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49</xdr:row>
          <xdr:rowOff>9525</xdr:rowOff>
        </xdr:from>
        <xdr:to>
          <xdr:col>4</xdr:col>
          <xdr:colOff>666750</xdr:colOff>
          <xdr:row>50</xdr:row>
          <xdr:rowOff>0</xdr:rowOff>
        </xdr:to>
        <xdr:sp macro="" textlink="">
          <xdr:nvSpPr>
            <xdr:cNvPr id="1096" name="Drop Dow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50</xdr:row>
          <xdr:rowOff>9525</xdr:rowOff>
        </xdr:from>
        <xdr:to>
          <xdr:col>4</xdr:col>
          <xdr:colOff>666750</xdr:colOff>
          <xdr:row>51</xdr:row>
          <xdr:rowOff>0</xdr:rowOff>
        </xdr:to>
        <xdr:sp macro="" textlink="">
          <xdr:nvSpPr>
            <xdr:cNvPr id="1097" name="Drop Dow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45</xdr:row>
          <xdr:rowOff>9525</xdr:rowOff>
        </xdr:from>
        <xdr:to>
          <xdr:col>6</xdr:col>
          <xdr:colOff>704850</xdr:colOff>
          <xdr:row>46</xdr:row>
          <xdr:rowOff>0</xdr:rowOff>
        </xdr:to>
        <xdr:sp macro="" textlink="">
          <xdr:nvSpPr>
            <xdr:cNvPr id="1098" name="Drop Dow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46</xdr:row>
          <xdr:rowOff>9525</xdr:rowOff>
        </xdr:from>
        <xdr:to>
          <xdr:col>6</xdr:col>
          <xdr:colOff>704850</xdr:colOff>
          <xdr:row>47</xdr:row>
          <xdr:rowOff>0</xdr:rowOff>
        </xdr:to>
        <xdr:sp macro="" textlink="">
          <xdr:nvSpPr>
            <xdr:cNvPr id="1099" name="Drop Dow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47</xdr:row>
          <xdr:rowOff>9525</xdr:rowOff>
        </xdr:from>
        <xdr:to>
          <xdr:col>6</xdr:col>
          <xdr:colOff>704850</xdr:colOff>
          <xdr:row>48</xdr:row>
          <xdr:rowOff>0</xdr:rowOff>
        </xdr:to>
        <xdr:sp macro="" textlink="">
          <xdr:nvSpPr>
            <xdr:cNvPr id="1100" name="Drop Down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48</xdr:row>
          <xdr:rowOff>9525</xdr:rowOff>
        </xdr:from>
        <xdr:to>
          <xdr:col>6</xdr:col>
          <xdr:colOff>704850</xdr:colOff>
          <xdr:row>49</xdr:row>
          <xdr:rowOff>0</xdr:rowOff>
        </xdr:to>
        <xdr:sp macro="" textlink="">
          <xdr:nvSpPr>
            <xdr:cNvPr id="1101" name="Drop Down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49</xdr:row>
          <xdr:rowOff>9525</xdr:rowOff>
        </xdr:from>
        <xdr:to>
          <xdr:col>6</xdr:col>
          <xdr:colOff>704850</xdr:colOff>
          <xdr:row>50</xdr:row>
          <xdr:rowOff>0</xdr:rowOff>
        </xdr:to>
        <xdr:sp macro="" textlink="">
          <xdr:nvSpPr>
            <xdr:cNvPr id="1102" name="Drop Down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50</xdr:row>
          <xdr:rowOff>9525</xdr:rowOff>
        </xdr:from>
        <xdr:to>
          <xdr:col>6</xdr:col>
          <xdr:colOff>704850</xdr:colOff>
          <xdr:row>51</xdr:row>
          <xdr:rowOff>0</xdr:rowOff>
        </xdr:to>
        <xdr:sp macro="" textlink="">
          <xdr:nvSpPr>
            <xdr:cNvPr id="1103" name="Drop Down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45</xdr:row>
          <xdr:rowOff>9525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104" name="Drop Down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46</xdr:row>
          <xdr:rowOff>9525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105" name="Drop Down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47</xdr:row>
          <xdr:rowOff>9525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106" name="Drop Down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48</xdr:row>
          <xdr:rowOff>9525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107" name="Drop Down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49</xdr:row>
          <xdr:rowOff>9525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108" name="Drop Down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50</xdr:row>
          <xdr:rowOff>9525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109" name="Drop Down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45</xdr:row>
          <xdr:rowOff>19050</xdr:rowOff>
        </xdr:from>
        <xdr:to>
          <xdr:col>13</xdr:col>
          <xdr:colOff>314325</xdr:colOff>
          <xdr:row>46</xdr:row>
          <xdr:rowOff>19050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46</xdr:row>
          <xdr:rowOff>9525</xdr:rowOff>
        </xdr:from>
        <xdr:to>
          <xdr:col>13</xdr:col>
          <xdr:colOff>314325</xdr:colOff>
          <xdr:row>47</xdr:row>
          <xdr:rowOff>9525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47</xdr:row>
          <xdr:rowOff>0</xdr:rowOff>
        </xdr:from>
        <xdr:to>
          <xdr:col>13</xdr:col>
          <xdr:colOff>314325</xdr:colOff>
          <xdr:row>48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48</xdr:row>
          <xdr:rowOff>9525</xdr:rowOff>
        </xdr:from>
        <xdr:to>
          <xdr:col>13</xdr:col>
          <xdr:colOff>314325</xdr:colOff>
          <xdr:row>49</xdr:row>
          <xdr:rowOff>9525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49</xdr:row>
          <xdr:rowOff>0</xdr:rowOff>
        </xdr:from>
        <xdr:to>
          <xdr:col>13</xdr:col>
          <xdr:colOff>314325</xdr:colOff>
          <xdr:row>50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50</xdr:row>
          <xdr:rowOff>9525</xdr:rowOff>
        </xdr:from>
        <xdr:to>
          <xdr:col>13</xdr:col>
          <xdr:colOff>314325</xdr:colOff>
          <xdr:row>51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9525</xdr:rowOff>
        </xdr:from>
        <xdr:to>
          <xdr:col>9</xdr:col>
          <xdr:colOff>628650</xdr:colOff>
          <xdr:row>4</xdr:row>
          <xdr:rowOff>0</xdr:rowOff>
        </xdr:to>
        <xdr:sp macro="" textlink="">
          <xdr:nvSpPr>
            <xdr:cNvPr id="1119" name="Button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Fit Skew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38</xdr:row>
          <xdr:rowOff>9525</xdr:rowOff>
        </xdr:from>
        <xdr:to>
          <xdr:col>3</xdr:col>
          <xdr:colOff>609600</xdr:colOff>
          <xdr:row>38</xdr:row>
          <xdr:rowOff>209550</xdr:rowOff>
        </xdr:to>
        <xdr:sp macro="" textlink="">
          <xdr:nvSpPr>
            <xdr:cNvPr id="1121" name="Drop Down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</xdr:row>
          <xdr:rowOff>9525</xdr:rowOff>
        </xdr:from>
        <xdr:to>
          <xdr:col>9</xdr:col>
          <xdr:colOff>628650</xdr:colOff>
          <xdr:row>6</xdr:row>
          <xdr:rowOff>0</xdr:rowOff>
        </xdr:to>
        <xdr:sp macro="" textlink="">
          <xdr:nvSpPr>
            <xdr:cNvPr id="1126" name="Button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6</xdr:row>
          <xdr:rowOff>9525</xdr:rowOff>
        </xdr:from>
        <xdr:to>
          <xdr:col>9</xdr:col>
          <xdr:colOff>628650</xdr:colOff>
          <xdr:row>7</xdr:row>
          <xdr:rowOff>171450</xdr:rowOff>
        </xdr:to>
        <xdr:sp macro="" textlink="">
          <xdr:nvSpPr>
            <xdr:cNvPr id="1127" name="Button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50</xdr:row>
          <xdr:rowOff>9525</xdr:rowOff>
        </xdr:from>
        <xdr:to>
          <xdr:col>13</xdr:col>
          <xdr:colOff>314325</xdr:colOff>
          <xdr:row>51</xdr:row>
          <xdr:rowOff>9525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51</xdr:row>
          <xdr:rowOff>9525</xdr:rowOff>
        </xdr:from>
        <xdr:to>
          <xdr:col>13</xdr:col>
          <xdr:colOff>314325</xdr:colOff>
          <xdr:row>52</xdr:row>
          <xdr:rowOff>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52</xdr:row>
          <xdr:rowOff>9525</xdr:rowOff>
        </xdr:from>
        <xdr:to>
          <xdr:col>13</xdr:col>
          <xdr:colOff>314325</xdr:colOff>
          <xdr:row>53</xdr:row>
          <xdr:rowOff>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53</xdr:row>
          <xdr:rowOff>9525</xdr:rowOff>
        </xdr:from>
        <xdr:to>
          <xdr:col>13</xdr:col>
          <xdr:colOff>314325</xdr:colOff>
          <xdr:row>54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54</xdr:row>
          <xdr:rowOff>9525</xdr:rowOff>
        </xdr:from>
        <xdr:to>
          <xdr:col>13</xdr:col>
          <xdr:colOff>314325</xdr:colOff>
          <xdr:row>55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55</xdr:row>
          <xdr:rowOff>9525</xdr:rowOff>
        </xdr:from>
        <xdr:to>
          <xdr:col>13</xdr:col>
          <xdr:colOff>314325</xdr:colOff>
          <xdr:row>56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56</xdr:row>
          <xdr:rowOff>9525</xdr:rowOff>
        </xdr:from>
        <xdr:to>
          <xdr:col>13</xdr:col>
          <xdr:colOff>314325</xdr:colOff>
          <xdr:row>57</xdr:row>
          <xdr:rowOff>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9525</xdr:rowOff>
        </xdr:from>
        <xdr:to>
          <xdr:col>3</xdr:col>
          <xdr:colOff>609600</xdr:colOff>
          <xdr:row>51</xdr:row>
          <xdr:rowOff>219075</xdr:rowOff>
        </xdr:to>
        <xdr:sp macro="" textlink="">
          <xdr:nvSpPr>
            <xdr:cNvPr id="1138" name="Drop Down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9525</xdr:rowOff>
        </xdr:from>
        <xdr:to>
          <xdr:col>3</xdr:col>
          <xdr:colOff>609600</xdr:colOff>
          <xdr:row>52</xdr:row>
          <xdr:rowOff>219075</xdr:rowOff>
        </xdr:to>
        <xdr:sp macro="" textlink="">
          <xdr:nvSpPr>
            <xdr:cNvPr id="1139" name="Drop Down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9525</xdr:rowOff>
        </xdr:from>
        <xdr:to>
          <xdr:col>3</xdr:col>
          <xdr:colOff>609600</xdr:colOff>
          <xdr:row>53</xdr:row>
          <xdr:rowOff>219075</xdr:rowOff>
        </xdr:to>
        <xdr:sp macro="" textlink="">
          <xdr:nvSpPr>
            <xdr:cNvPr id="1140" name="Drop Down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9525</xdr:rowOff>
        </xdr:from>
        <xdr:to>
          <xdr:col>3</xdr:col>
          <xdr:colOff>609600</xdr:colOff>
          <xdr:row>54</xdr:row>
          <xdr:rowOff>219075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9525</xdr:rowOff>
        </xdr:from>
        <xdr:to>
          <xdr:col>3</xdr:col>
          <xdr:colOff>609600</xdr:colOff>
          <xdr:row>55</xdr:row>
          <xdr:rowOff>219075</xdr:rowOff>
        </xdr:to>
        <xdr:sp macro="" textlink="">
          <xdr:nvSpPr>
            <xdr:cNvPr id="1142" name="Drop Dow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9525</xdr:rowOff>
        </xdr:from>
        <xdr:to>
          <xdr:col>3</xdr:col>
          <xdr:colOff>609600</xdr:colOff>
          <xdr:row>56</xdr:row>
          <xdr:rowOff>219075</xdr:rowOff>
        </xdr:to>
        <xdr:sp macro="" textlink="">
          <xdr:nvSpPr>
            <xdr:cNvPr id="1143" name="Drop Down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51</xdr:row>
          <xdr:rowOff>9525</xdr:rowOff>
        </xdr:from>
        <xdr:to>
          <xdr:col>5</xdr:col>
          <xdr:colOff>0</xdr:colOff>
          <xdr:row>51</xdr:row>
          <xdr:rowOff>219075</xdr:rowOff>
        </xdr:to>
        <xdr:sp macro="" textlink="">
          <xdr:nvSpPr>
            <xdr:cNvPr id="1144" name="Drop Down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52</xdr:row>
          <xdr:rowOff>9525</xdr:rowOff>
        </xdr:from>
        <xdr:to>
          <xdr:col>5</xdr:col>
          <xdr:colOff>0</xdr:colOff>
          <xdr:row>52</xdr:row>
          <xdr:rowOff>219075</xdr:rowOff>
        </xdr:to>
        <xdr:sp macro="" textlink="">
          <xdr:nvSpPr>
            <xdr:cNvPr id="1145" name="Drop Down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53</xdr:row>
          <xdr:rowOff>9525</xdr:rowOff>
        </xdr:from>
        <xdr:to>
          <xdr:col>5</xdr:col>
          <xdr:colOff>0</xdr:colOff>
          <xdr:row>53</xdr:row>
          <xdr:rowOff>219075</xdr:rowOff>
        </xdr:to>
        <xdr:sp macro="" textlink="">
          <xdr:nvSpPr>
            <xdr:cNvPr id="1146" name="Drop Down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54</xdr:row>
          <xdr:rowOff>9525</xdr:rowOff>
        </xdr:from>
        <xdr:to>
          <xdr:col>5</xdr:col>
          <xdr:colOff>0</xdr:colOff>
          <xdr:row>54</xdr:row>
          <xdr:rowOff>219075</xdr:rowOff>
        </xdr:to>
        <xdr:sp macro="" textlink="">
          <xdr:nvSpPr>
            <xdr:cNvPr id="1147" name="Drop Dow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55</xdr:row>
          <xdr:rowOff>9525</xdr:rowOff>
        </xdr:from>
        <xdr:to>
          <xdr:col>5</xdr:col>
          <xdr:colOff>0</xdr:colOff>
          <xdr:row>55</xdr:row>
          <xdr:rowOff>219075</xdr:rowOff>
        </xdr:to>
        <xdr:sp macro="" textlink="">
          <xdr:nvSpPr>
            <xdr:cNvPr id="1148" name="Drop Down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56</xdr:row>
          <xdr:rowOff>9525</xdr:rowOff>
        </xdr:from>
        <xdr:to>
          <xdr:col>5</xdr:col>
          <xdr:colOff>0</xdr:colOff>
          <xdr:row>56</xdr:row>
          <xdr:rowOff>219075</xdr:rowOff>
        </xdr:to>
        <xdr:sp macro="" textlink="">
          <xdr:nvSpPr>
            <xdr:cNvPr id="1149" name="Drop Down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51</xdr:row>
          <xdr:rowOff>9525</xdr:rowOff>
        </xdr:from>
        <xdr:to>
          <xdr:col>6</xdr:col>
          <xdr:colOff>0</xdr:colOff>
          <xdr:row>51</xdr:row>
          <xdr:rowOff>219075</xdr:rowOff>
        </xdr:to>
        <xdr:sp macro="" textlink="">
          <xdr:nvSpPr>
            <xdr:cNvPr id="1150" name="Drop Down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52</xdr:row>
          <xdr:rowOff>9525</xdr:rowOff>
        </xdr:from>
        <xdr:to>
          <xdr:col>6</xdr:col>
          <xdr:colOff>0</xdr:colOff>
          <xdr:row>52</xdr:row>
          <xdr:rowOff>219075</xdr:rowOff>
        </xdr:to>
        <xdr:sp macro="" textlink="">
          <xdr:nvSpPr>
            <xdr:cNvPr id="1151" name="Drop Down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53</xdr:row>
          <xdr:rowOff>9525</xdr:rowOff>
        </xdr:from>
        <xdr:to>
          <xdr:col>6</xdr:col>
          <xdr:colOff>0</xdr:colOff>
          <xdr:row>53</xdr:row>
          <xdr:rowOff>219075</xdr:rowOff>
        </xdr:to>
        <xdr:sp macro="" textlink="">
          <xdr:nvSpPr>
            <xdr:cNvPr id="1152" name="Drop Down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54</xdr:row>
          <xdr:rowOff>9525</xdr:rowOff>
        </xdr:from>
        <xdr:to>
          <xdr:col>6</xdr:col>
          <xdr:colOff>0</xdr:colOff>
          <xdr:row>54</xdr:row>
          <xdr:rowOff>219075</xdr:rowOff>
        </xdr:to>
        <xdr:sp macro="" textlink="">
          <xdr:nvSpPr>
            <xdr:cNvPr id="1153" name="Drop Down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55</xdr:row>
          <xdr:rowOff>9525</xdr:rowOff>
        </xdr:from>
        <xdr:to>
          <xdr:col>6</xdr:col>
          <xdr:colOff>0</xdr:colOff>
          <xdr:row>55</xdr:row>
          <xdr:rowOff>219075</xdr:rowOff>
        </xdr:to>
        <xdr:sp macro="" textlink="">
          <xdr:nvSpPr>
            <xdr:cNvPr id="1154" name="Drop Down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56</xdr:row>
          <xdr:rowOff>9525</xdr:rowOff>
        </xdr:from>
        <xdr:to>
          <xdr:col>6</xdr:col>
          <xdr:colOff>0</xdr:colOff>
          <xdr:row>56</xdr:row>
          <xdr:rowOff>219075</xdr:rowOff>
        </xdr:to>
        <xdr:sp macro="" textlink="">
          <xdr:nvSpPr>
            <xdr:cNvPr id="1155" name="Drop Down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51</xdr:row>
          <xdr:rowOff>9525</xdr:rowOff>
        </xdr:from>
        <xdr:to>
          <xdr:col>6</xdr:col>
          <xdr:colOff>704850</xdr:colOff>
          <xdr:row>51</xdr:row>
          <xdr:rowOff>219075</xdr:rowOff>
        </xdr:to>
        <xdr:sp macro="" textlink="">
          <xdr:nvSpPr>
            <xdr:cNvPr id="1156" name="Drop Down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52</xdr:row>
          <xdr:rowOff>9525</xdr:rowOff>
        </xdr:from>
        <xdr:to>
          <xdr:col>6</xdr:col>
          <xdr:colOff>704850</xdr:colOff>
          <xdr:row>52</xdr:row>
          <xdr:rowOff>219075</xdr:rowOff>
        </xdr:to>
        <xdr:sp macro="" textlink="">
          <xdr:nvSpPr>
            <xdr:cNvPr id="1157" name="Drop Down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53</xdr:row>
          <xdr:rowOff>9525</xdr:rowOff>
        </xdr:from>
        <xdr:to>
          <xdr:col>6</xdr:col>
          <xdr:colOff>704850</xdr:colOff>
          <xdr:row>53</xdr:row>
          <xdr:rowOff>219075</xdr:rowOff>
        </xdr:to>
        <xdr:sp macro="" textlink="">
          <xdr:nvSpPr>
            <xdr:cNvPr id="1158" name="Drop Down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54</xdr:row>
          <xdr:rowOff>9525</xdr:rowOff>
        </xdr:from>
        <xdr:to>
          <xdr:col>6</xdr:col>
          <xdr:colOff>704850</xdr:colOff>
          <xdr:row>54</xdr:row>
          <xdr:rowOff>219075</xdr:rowOff>
        </xdr:to>
        <xdr:sp macro="" textlink="">
          <xdr:nvSpPr>
            <xdr:cNvPr id="1159" name="Drop Down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55</xdr:row>
          <xdr:rowOff>9525</xdr:rowOff>
        </xdr:from>
        <xdr:to>
          <xdr:col>6</xdr:col>
          <xdr:colOff>704850</xdr:colOff>
          <xdr:row>55</xdr:row>
          <xdr:rowOff>219075</xdr:rowOff>
        </xdr:to>
        <xdr:sp macro="" textlink="">
          <xdr:nvSpPr>
            <xdr:cNvPr id="1160" name="Drop Down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56</xdr:row>
          <xdr:rowOff>9525</xdr:rowOff>
        </xdr:from>
        <xdr:to>
          <xdr:col>6</xdr:col>
          <xdr:colOff>704850</xdr:colOff>
          <xdr:row>56</xdr:row>
          <xdr:rowOff>219075</xdr:rowOff>
        </xdr:to>
        <xdr:sp macro="" textlink="">
          <xdr:nvSpPr>
            <xdr:cNvPr id="1161" name="Drop Down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65</xdr:row>
          <xdr:rowOff>9525</xdr:rowOff>
        </xdr:from>
        <xdr:to>
          <xdr:col>15</xdr:col>
          <xdr:colOff>647700</xdr:colOff>
          <xdr:row>65</xdr:row>
          <xdr:rowOff>209550</xdr:rowOff>
        </xdr:to>
        <xdr:sp macro="" textlink="">
          <xdr:nvSpPr>
            <xdr:cNvPr id="6147" name="Drop Down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65</xdr:row>
          <xdr:rowOff>9525</xdr:rowOff>
        </xdr:from>
        <xdr:to>
          <xdr:col>13</xdr:col>
          <xdr:colOff>428625</xdr:colOff>
          <xdr:row>65</xdr:row>
          <xdr:rowOff>209550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66</xdr:row>
          <xdr:rowOff>9525</xdr:rowOff>
        </xdr:from>
        <xdr:to>
          <xdr:col>13</xdr:col>
          <xdr:colOff>428625</xdr:colOff>
          <xdr:row>66</xdr:row>
          <xdr:rowOff>209550</xdr:rowOff>
        </xdr:to>
        <xdr:sp macro="" textlink="">
          <xdr:nvSpPr>
            <xdr:cNvPr id="6150" name="Drop Down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66</xdr:row>
          <xdr:rowOff>9525</xdr:rowOff>
        </xdr:from>
        <xdr:to>
          <xdr:col>15</xdr:col>
          <xdr:colOff>647700</xdr:colOff>
          <xdr:row>66</xdr:row>
          <xdr:rowOff>209550</xdr:rowOff>
        </xdr:to>
        <xdr:sp macro="" textlink="">
          <xdr:nvSpPr>
            <xdr:cNvPr id="6151" name="Drop Down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9525</xdr:rowOff>
        </xdr:from>
        <xdr:to>
          <xdr:col>3</xdr:col>
          <xdr:colOff>609600</xdr:colOff>
          <xdr:row>74</xdr:row>
          <xdr:rowOff>0</xdr:rowOff>
        </xdr:to>
        <xdr:sp macro="" textlink="">
          <xdr:nvSpPr>
            <xdr:cNvPr id="6152" name="Drop Down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9525</xdr:rowOff>
        </xdr:from>
        <xdr:to>
          <xdr:col>3</xdr:col>
          <xdr:colOff>609600</xdr:colOff>
          <xdr:row>75</xdr:row>
          <xdr:rowOff>0</xdr:rowOff>
        </xdr:to>
        <xdr:sp macro="" textlink="">
          <xdr:nvSpPr>
            <xdr:cNvPr id="6153" name="Drop Down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9525</xdr:rowOff>
        </xdr:from>
        <xdr:to>
          <xdr:col>3</xdr:col>
          <xdr:colOff>609600</xdr:colOff>
          <xdr:row>76</xdr:row>
          <xdr:rowOff>0</xdr:rowOff>
        </xdr:to>
        <xdr:sp macro="" textlink="">
          <xdr:nvSpPr>
            <xdr:cNvPr id="6154" name="Drop Down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9525</xdr:rowOff>
        </xdr:from>
        <xdr:to>
          <xdr:col>3</xdr:col>
          <xdr:colOff>609600</xdr:colOff>
          <xdr:row>77</xdr:row>
          <xdr:rowOff>0</xdr:rowOff>
        </xdr:to>
        <xdr:sp macro="" textlink="">
          <xdr:nvSpPr>
            <xdr:cNvPr id="6155" name="Drop Down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9525</xdr:rowOff>
        </xdr:from>
        <xdr:to>
          <xdr:col>3</xdr:col>
          <xdr:colOff>609600</xdr:colOff>
          <xdr:row>78</xdr:row>
          <xdr:rowOff>0</xdr:rowOff>
        </xdr:to>
        <xdr:sp macro="" textlink="">
          <xdr:nvSpPr>
            <xdr:cNvPr id="6156" name="Drop Down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9525</xdr:rowOff>
        </xdr:from>
        <xdr:to>
          <xdr:col>3</xdr:col>
          <xdr:colOff>609600</xdr:colOff>
          <xdr:row>79</xdr:row>
          <xdr:rowOff>0</xdr:rowOff>
        </xdr:to>
        <xdr:sp macro="" textlink="">
          <xdr:nvSpPr>
            <xdr:cNvPr id="6157" name="Drop Down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73</xdr:row>
          <xdr:rowOff>9525</xdr:rowOff>
        </xdr:from>
        <xdr:to>
          <xdr:col>4</xdr:col>
          <xdr:colOff>666750</xdr:colOff>
          <xdr:row>74</xdr:row>
          <xdr:rowOff>0</xdr:rowOff>
        </xdr:to>
        <xdr:sp macro="" textlink="">
          <xdr:nvSpPr>
            <xdr:cNvPr id="6158" name="Drop Down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74</xdr:row>
          <xdr:rowOff>9525</xdr:rowOff>
        </xdr:from>
        <xdr:to>
          <xdr:col>4</xdr:col>
          <xdr:colOff>666750</xdr:colOff>
          <xdr:row>75</xdr:row>
          <xdr:rowOff>0</xdr:rowOff>
        </xdr:to>
        <xdr:sp macro="" textlink="">
          <xdr:nvSpPr>
            <xdr:cNvPr id="6159" name="Drop Down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75</xdr:row>
          <xdr:rowOff>9525</xdr:rowOff>
        </xdr:from>
        <xdr:to>
          <xdr:col>4</xdr:col>
          <xdr:colOff>666750</xdr:colOff>
          <xdr:row>76</xdr:row>
          <xdr:rowOff>0</xdr:rowOff>
        </xdr:to>
        <xdr:sp macro="" textlink="">
          <xdr:nvSpPr>
            <xdr:cNvPr id="6160" name="Drop Down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76</xdr:row>
          <xdr:rowOff>9525</xdr:rowOff>
        </xdr:from>
        <xdr:to>
          <xdr:col>4</xdr:col>
          <xdr:colOff>666750</xdr:colOff>
          <xdr:row>77</xdr:row>
          <xdr:rowOff>0</xdr:rowOff>
        </xdr:to>
        <xdr:sp macro="" textlink="">
          <xdr:nvSpPr>
            <xdr:cNvPr id="6161" name="Drop Down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77</xdr:row>
          <xdr:rowOff>9525</xdr:rowOff>
        </xdr:from>
        <xdr:to>
          <xdr:col>4</xdr:col>
          <xdr:colOff>666750</xdr:colOff>
          <xdr:row>78</xdr:row>
          <xdr:rowOff>0</xdr:rowOff>
        </xdr:to>
        <xdr:sp macro="" textlink="">
          <xdr:nvSpPr>
            <xdr:cNvPr id="6162" name="Drop Down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78</xdr:row>
          <xdr:rowOff>9525</xdr:rowOff>
        </xdr:from>
        <xdr:to>
          <xdr:col>4</xdr:col>
          <xdr:colOff>666750</xdr:colOff>
          <xdr:row>79</xdr:row>
          <xdr:rowOff>0</xdr:rowOff>
        </xdr:to>
        <xdr:sp macro="" textlink="">
          <xdr:nvSpPr>
            <xdr:cNvPr id="6163" name="Drop Down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73</xdr:row>
          <xdr:rowOff>9525</xdr:rowOff>
        </xdr:from>
        <xdr:to>
          <xdr:col>6</xdr:col>
          <xdr:colOff>704850</xdr:colOff>
          <xdr:row>74</xdr:row>
          <xdr:rowOff>0</xdr:rowOff>
        </xdr:to>
        <xdr:sp macro="" textlink="">
          <xdr:nvSpPr>
            <xdr:cNvPr id="6164" name="Drop Down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74</xdr:row>
          <xdr:rowOff>9525</xdr:rowOff>
        </xdr:from>
        <xdr:to>
          <xdr:col>6</xdr:col>
          <xdr:colOff>704850</xdr:colOff>
          <xdr:row>75</xdr:row>
          <xdr:rowOff>0</xdr:rowOff>
        </xdr:to>
        <xdr:sp macro="" textlink="">
          <xdr:nvSpPr>
            <xdr:cNvPr id="6165" name="Drop Down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75</xdr:row>
          <xdr:rowOff>9525</xdr:rowOff>
        </xdr:from>
        <xdr:to>
          <xdr:col>6</xdr:col>
          <xdr:colOff>704850</xdr:colOff>
          <xdr:row>76</xdr:row>
          <xdr:rowOff>0</xdr:rowOff>
        </xdr:to>
        <xdr:sp macro="" textlink="">
          <xdr:nvSpPr>
            <xdr:cNvPr id="6166" name="Drop Down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76</xdr:row>
          <xdr:rowOff>9525</xdr:rowOff>
        </xdr:from>
        <xdr:to>
          <xdr:col>6</xdr:col>
          <xdr:colOff>704850</xdr:colOff>
          <xdr:row>77</xdr:row>
          <xdr:rowOff>0</xdr:rowOff>
        </xdr:to>
        <xdr:sp macro="" textlink="">
          <xdr:nvSpPr>
            <xdr:cNvPr id="6167" name="Drop Down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77</xdr:row>
          <xdr:rowOff>9525</xdr:rowOff>
        </xdr:from>
        <xdr:to>
          <xdr:col>6</xdr:col>
          <xdr:colOff>704850</xdr:colOff>
          <xdr:row>78</xdr:row>
          <xdr:rowOff>0</xdr:rowOff>
        </xdr:to>
        <xdr:sp macro="" textlink="">
          <xdr:nvSpPr>
            <xdr:cNvPr id="6168" name="Drop Down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78</xdr:row>
          <xdr:rowOff>9525</xdr:rowOff>
        </xdr:from>
        <xdr:to>
          <xdr:col>6</xdr:col>
          <xdr:colOff>704850</xdr:colOff>
          <xdr:row>79</xdr:row>
          <xdr:rowOff>0</xdr:rowOff>
        </xdr:to>
        <xdr:sp macro="" textlink="">
          <xdr:nvSpPr>
            <xdr:cNvPr id="6169" name="Drop Down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73</xdr:row>
          <xdr:rowOff>9525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6170" name="Drop Down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74</xdr:row>
          <xdr:rowOff>9525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6171" name="Drop Down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75</xdr:row>
          <xdr:rowOff>9525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6172" name="Drop Down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76</xdr:row>
          <xdr:rowOff>9525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6173" name="Drop Down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77</xdr:row>
          <xdr:rowOff>9525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6174" name="Drop Down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78</xdr:row>
          <xdr:rowOff>9525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6175" name="Drop Down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73</xdr:row>
          <xdr:rowOff>19050</xdr:rowOff>
        </xdr:from>
        <xdr:to>
          <xdr:col>13</xdr:col>
          <xdr:colOff>314325</xdr:colOff>
          <xdr:row>74</xdr:row>
          <xdr:rowOff>19050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74</xdr:row>
          <xdr:rowOff>9525</xdr:rowOff>
        </xdr:from>
        <xdr:to>
          <xdr:col>13</xdr:col>
          <xdr:colOff>314325</xdr:colOff>
          <xdr:row>75</xdr:row>
          <xdr:rowOff>9525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75</xdr:row>
          <xdr:rowOff>0</xdr:rowOff>
        </xdr:from>
        <xdr:to>
          <xdr:col>13</xdr:col>
          <xdr:colOff>314325</xdr:colOff>
          <xdr:row>76</xdr:row>
          <xdr:rowOff>0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76</xdr:row>
          <xdr:rowOff>9525</xdr:rowOff>
        </xdr:from>
        <xdr:to>
          <xdr:col>13</xdr:col>
          <xdr:colOff>314325</xdr:colOff>
          <xdr:row>77</xdr:row>
          <xdr:rowOff>9525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77</xdr:row>
          <xdr:rowOff>0</xdr:rowOff>
        </xdr:from>
        <xdr:to>
          <xdr:col>13</xdr:col>
          <xdr:colOff>314325</xdr:colOff>
          <xdr:row>78</xdr:row>
          <xdr:rowOff>0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78</xdr:row>
          <xdr:rowOff>9525</xdr:rowOff>
        </xdr:from>
        <xdr:to>
          <xdr:col>13</xdr:col>
          <xdr:colOff>314325</xdr:colOff>
          <xdr:row>79</xdr:row>
          <xdr:rowOff>9525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9525</xdr:rowOff>
        </xdr:from>
        <xdr:to>
          <xdr:col>9</xdr:col>
          <xdr:colOff>628650</xdr:colOff>
          <xdr:row>4</xdr:row>
          <xdr:rowOff>0</xdr:rowOff>
        </xdr:to>
        <xdr:sp macro="" textlink="">
          <xdr:nvSpPr>
            <xdr:cNvPr id="6184" name="Button 40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Fit Skew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66</xdr:row>
          <xdr:rowOff>9525</xdr:rowOff>
        </xdr:from>
        <xdr:to>
          <xdr:col>3</xdr:col>
          <xdr:colOff>609600</xdr:colOff>
          <xdr:row>66</xdr:row>
          <xdr:rowOff>209550</xdr:rowOff>
        </xdr:to>
        <xdr:sp macro="" textlink="">
          <xdr:nvSpPr>
            <xdr:cNvPr id="6185" name="Drop Down 41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9525</xdr:rowOff>
        </xdr:from>
        <xdr:to>
          <xdr:col>9</xdr:col>
          <xdr:colOff>628650</xdr:colOff>
          <xdr:row>6</xdr:row>
          <xdr:rowOff>0</xdr:rowOff>
        </xdr:to>
        <xdr:sp macro="" textlink="">
          <xdr:nvSpPr>
            <xdr:cNvPr id="6186" name="Button 42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9525</xdr:rowOff>
        </xdr:from>
        <xdr:to>
          <xdr:col>9</xdr:col>
          <xdr:colOff>628650</xdr:colOff>
          <xdr:row>7</xdr:row>
          <xdr:rowOff>171450</xdr:rowOff>
        </xdr:to>
        <xdr:sp macro="" textlink="">
          <xdr:nvSpPr>
            <xdr:cNvPr id="6187" name="Button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78</xdr:row>
          <xdr:rowOff>9525</xdr:rowOff>
        </xdr:from>
        <xdr:to>
          <xdr:col>13</xdr:col>
          <xdr:colOff>314325</xdr:colOff>
          <xdr:row>79</xdr:row>
          <xdr:rowOff>9525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79</xdr:row>
          <xdr:rowOff>9525</xdr:rowOff>
        </xdr:from>
        <xdr:to>
          <xdr:col>13</xdr:col>
          <xdr:colOff>314325</xdr:colOff>
          <xdr:row>80</xdr:row>
          <xdr:rowOff>0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80</xdr:row>
          <xdr:rowOff>9525</xdr:rowOff>
        </xdr:from>
        <xdr:to>
          <xdr:col>13</xdr:col>
          <xdr:colOff>314325</xdr:colOff>
          <xdr:row>81</xdr:row>
          <xdr:rowOff>0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81</xdr:row>
          <xdr:rowOff>9525</xdr:rowOff>
        </xdr:from>
        <xdr:to>
          <xdr:col>13</xdr:col>
          <xdr:colOff>314325</xdr:colOff>
          <xdr:row>82</xdr:row>
          <xdr:rowOff>0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82</xdr:row>
          <xdr:rowOff>9525</xdr:rowOff>
        </xdr:from>
        <xdr:to>
          <xdr:col>13</xdr:col>
          <xdr:colOff>314325</xdr:colOff>
          <xdr:row>83</xdr:row>
          <xdr:rowOff>0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83</xdr:row>
          <xdr:rowOff>9525</xdr:rowOff>
        </xdr:from>
        <xdr:to>
          <xdr:col>13</xdr:col>
          <xdr:colOff>314325</xdr:colOff>
          <xdr:row>84</xdr:row>
          <xdr:rowOff>0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84</xdr:row>
          <xdr:rowOff>9525</xdr:rowOff>
        </xdr:from>
        <xdr:to>
          <xdr:col>13</xdr:col>
          <xdr:colOff>314325</xdr:colOff>
          <xdr:row>85</xdr:row>
          <xdr:rowOff>0</xdr:rowOff>
        </xdr:to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9525</xdr:rowOff>
        </xdr:from>
        <xdr:to>
          <xdr:col>3</xdr:col>
          <xdr:colOff>609600</xdr:colOff>
          <xdr:row>80</xdr:row>
          <xdr:rowOff>0</xdr:rowOff>
        </xdr:to>
        <xdr:sp macro="" textlink="">
          <xdr:nvSpPr>
            <xdr:cNvPr id="6195" name="Drop Down 51" hidden="1">
              <a:extLst>
                <a:ext uri="{63B3BB69-23CF-44E3-9099-C40C66FF867C}">
                  <a14:compatExt spid="_x0000_s6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9525</xdr:rowOff>
        </xdr:from>
        <xdr:to>
          <xdr:col>3</xdr:col>
          <xdr:colOff>609600</xdr:colOff>
          <xdr:row>81</xdr:row>
          <xdr:rowOff>0</xdr:rowOff>
        </xdr:to>
        <xdr:sp macro="" textlink="">
          <xdr:nvSpPr>
            <xdr:cNvPr id="6196" name="Drop Down 52" hidden="1">
              <a:extLst>
                <a:ext uri="{63B3BB69-23CF-44E3-9099-C40C66FF867C}">
                  <a14:compatExt spid="_x0000_s6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9525</xdr:rowOff>
        </xdr:from>
        <xdr:to>
          <xdr:col>3</xdr:col>
          <xdr:colOff>609600</xdr:colOff>
          <xdr:row>82</xdr:row>
          <xdr:rowOff>0</xdr:rowOff>
        </xdr:to>
        <xdr:sp macro="" textlink="">
          <xdr:nvSpPr>
            <xdr:cNvPr id="6197" name="Drop Down 53" hidden="1">
              <a:extLst>
                <a:ext uri="{63B3BB69-23CF-44E3-9099-C40C66FF867C}">
                  <a14:compatExt spid="_x0000_s6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9525</xdr:rowOff>
        </xdr:from>
        <xdr:to>
          <xdr:col>3</xdr:col>
          <xdr:colOff>609600</xdr:colOff>
          <xdr:row>83</xdr:row>
          <xdr:rowOff>0</xdr:rowOff>
        </xdr:to>
        <xdr:sp macro="" textlink="">
          <xdr:nvSpPr>
            <xdr:cNvPr id="6198" name="Drop Down 54" hidden="1">
              <a:extLst>
                <a:ext uri="{63B3BB69-23CF-44E3-9099-C40C66FF867C}">
                  <a14:compatExt spid="_x0000_s6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9525</xdr:rowOff>
        </xdr:from>
        <xdr:to>
          <xdr:col>3</xdr:col>
          <xdr:colOff>609600</xdr:colOff>
          <xdr:row>84</xdr:row>
          <xdr:rowOff>0</xdr:rowOff>
        </xdr:to>
        <xdr:sp macro="" textlink="">
          <xdr:nvSpPr>
            <xdr:cNvPr id="6199" name="Drop Down 55" hidden="1">
              <a:extLst>
                <a:ext uri="{63B3BB69-23CF-44E3-9099-C40C66FF867C}">
                  <a14:compatExt spid="_x0000_s6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9525</xdr:rowOff>
        </xdr:from>
        <xdr:to>
          <xdr:col>3</xdr:col>
          <xdr:colOff>609600</xdr:colOff>
          <xdr:row>85</xdr:row>
          <xdr:rowOff>0</xdr:rowOff>
        </xdr:to>
        <xdr:sp macro="" textlink="">
          <xdr:nvSpPr>
            <xdr:cNvPr id="6200" name="Drop Down 56" hidden="1">
              <a:extLst>
                <a:ext uri="{63B3BB69-23CF-44E3-9099-C40C66FF867C}">
                  <a14:compatExt spid="_x0000_s6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79</xdr:row>
          <xdr:rowOff>9525</xdr:rowOff>
        </xdr:from>
        <xdr:to>
          <xdr:col>5</xdr:col>
          <xdr:colOff>0</xdr:colOff>
          <xdr:row>80</xdr:row>
          <xdr:rowOff>0</xdr:rowOff>
        </xdr:to>
        <xdr:sp macro="" textlink="">
          <xdr:nvSpPr>
            <xdr:cNvPr id="6201" name="Drop Down 57" hidden="1">
              <a:extLst>
                <a:ext uri="{63B3BB69-23CF-44E3-9099-C40C66FF867C}">
                  <a14:compatExt spid="_x0000_s6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80</xdr:row>
          <xdr:rowOff>9525</xdr:rowOff>
        </xdr:from>
        <xdr:to>
          <xdr:col>5</xdr:col>
          <xdr:colOff>0</xdr:colOff>
          <xdr:row>81</xdr:row>
          <xdr:rowOff>0</xdr:rowOff>
        </xdr:to>
        <xdr:sp macro="" textlink="">
          <xdr:nvSpPr>
            <xdr:cNvPr id="6202" name="Drop Down 58" hidden="1">
              <a:extLst>
                <a:ext uri="{63B3BB69-23CF-44E3-9099-C40C66FF867C}">
                  <a14:compatExt spid="_x0000_s6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81</xdr:row>
          <xdr:rowOff>9525</xdr:rowOff>
        </xdr:from>
        <xdr:to>
          <xdr:col>5</xdr:col>
          <xdr:colOff>0</xdr:colOff>
          <xdr:row>82</xdr:row>
          <xdr:rowOff>0</xdr:rowOff>
        </xdr:to>
        <xdr:sp macro="" textlink="">
          <xdr:nvSpPr>
            <xdr:cNvPr id="6203" name="Drop Down 59" hidden="1">
              <a:extLst>
                <a:ext uri="{63B3BB69-23CF-44E3-9099-C40C66FF867C}">
                  <a14:compatExt spid="_x0000_s6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82</xdr:row>
          <xdr:rowOff>9525</xdr:rowOff>
        </xdr:from>
        <xdr:to>
          <xdr:col>5</xdr:col>
          <xdr:colOff>0</xdr:colOff>
          <xdr:row>83</xdr:row>
          <xdr:rowOff>0</xdr:rowOff>
        </xdr:to>
        <xdr:sp macro="" textlink="">
          <xdr:nvSpPr>
            <xdr:cNvPr id="6204" name="Drop Down 60" hidden="1">
              <a:extLst>
                <a:ext uri="{63B3BB69-23CF-44E3-9099-C40C66FF867C}">
                  <a14:compatExt spid="_x0000_s6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83</xdr:row>
          <xdr:rowOff>9525</xdr:rowOff>
        </xdr:from>
        <xdr:to>
          <xdr:col>5</xdr:col>
          <xdr:colOff>0</xdr:colOff>
          <xdr:row>84</xdr:row>
          <xdr:rowOff>0</xdr:rowOff>
        </xdr:to>
        <xdr:sp macro="" textlink="">
          <xdr:nvSpPr>
            <xdr:cNvPr id="6205" name="Drop Down 61" hidden="1">
              <a:extLst>
                <a:ext uri="{63B3BB69-23CF-44E3-9099-C40C66FF867C}">
                  <a14:compatExt spid="_x0000_s6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84</xdr:row>
          <xdr:rowOff>9525</xdr:rowOff>
        </xdr:from>
        <xdr:to>
          <xdr:col>5</xdr:col>
          <xdr:colOff>0</xdr:colOff>
          <xdr:row>85</xdr:row>
          <xdr:rowOff>0</xdr:rowOff>
        </xdr:to>
        <xdr:sp macro="" textlink="">
          <xdr:nvSpPr>
            <xdr:cNvPr id="6206" name="Drop Down 62" hidden="1">
              <a:extLst>
                <a:ext uri="{63B3BB69-23CF-44E3-9099-C40C66FF867C}">
                  <a14:compatExt spid="_x0000_s6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79</xdr:row>
          <xdr:rowOff>9525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6207" name="Drop Down 63" hidden="1">
              <a:extLst>
                <a:ext uri="{63B3BB69-23CF-44E3-9099-C40C66FF867C}">
                  <a14:compatExt spid="_x0000_s6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80</xdr:row>
          <xdr:rowOff>9525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6208" name="Drop Down 64" hidden="1">
              <a:extLst>
                <a:ext uri="{63B3BB69-23CF-44E3-9099-C40C66FF867C}">
                  <a14:compatExt spid="_x0000_s6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81</xdr:row>
          <xdr:rowOff>9525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6209" name="Drop Down 65" hidden="1">
              <a:extLst>
                <a:ext uri="{63B3BB69-23CF-44E3-9099-C40C66FF867C}">
                  <a14:compatExt spid="_x0000_s6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82</xdr:row>
          <xdr:rowOff>9525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6210" name="Drop Down 66" hidden="1">
              <a:extLst>
                <a:ext uri="{63B3BB69-23CF-44E3-9099-C40C66FF867C}">
                  <a14:compatExt spid="_x0000_s6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83</xdr:row>
          <xdr:rowOff>9525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6211" name="Drop Down 67" hidden="1">
              <a:extLst>
                <a:ext uri="{63B3BB69-23CF-44E3-9099-C40C66FF867C}">
                  <a14:compatExt spid="_x0000_s6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84</xdr:row>
          <xdr:rowOff>9525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6212" name="Drop Down 68" hidden="1">
              <a:extLst>
                <a:ext uri="{63B3BB69-23CF-44E3-9099-C40C66FF867C}">
                  <a14:compatExt spid="_x0000_s6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79</xdr:row>
          <xdr:rowOff>9525</xdr:rowOff>
        </xdr:from>
        <xdr:to>
          <xdr:col>6</xdr:col>
          <xdr:colOff>704850</xdr:colOff>
          <xdr:row>80</xdr:row>
          <xdr:rowOff>0</xdr:rowOff>
        </xdr:to>
        <xdr:sp macro="" textlink="">
          <xdr:nvSpPr>
            <xdr:cNvPr id="6213" name="Drop Down 69" hidden="1">
              <a:extLst>
                <a:ext uri="{63B3BB69-23CF-44E3-9099-C40C66FF867C}">
                  <a14:compatExt spid="_x0000_s6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80</xdr:row>
          <xdr:rowOff>9525</xdr:rowOff>
        </xdr:from>
        <xdr:to>
          <xdr:col>6</xdr:col>
          <xdr:colOff>704850</xdr:colOff>
          <xdr:row>81</xdr:row>
          <xdr:rowOff>0</xdr:rowOff>
        </xdr:to>
        <xdr:sp macro="" textlink="">
          <xdr:nvSpPr>
            <xdr:cNvPr id="6214" name="Drop Down 70" hidden="1">
              <a:extLst>
                <a:ext uri="{63B3BB69-23CF-44E3-9099-C40C66FF867C}">
                  <a14:compatExt spid="_x0000_s6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81</xdr:row>
          <xdr:rowOff>9525</xdr:rowOff>
        </xdr:from>
        <xdr:to>
          <xdr:col>6</xdr:col>
          <xdr:colOff>704850</xdr:colOff>
          <xdr:row>82</xdr:row>
          <xdr:rowOff>0</xdr:rowOff>
        </xdr:to>
        <xdr:sp macro="" textlink="">
          <xdr:nvSpPr>
            <xdr:cNvPr id="6215" name="Drop Down 71" hidden="1">
              <a:extLst>
                <a:ext uri="{63B3BB69-23CF-44E3-9099-C40C66FF867C}">
                  <a14:compatExt spid="_x0000_s6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82</xdr:row>
          <xdr:rowOff>9525</xdr:rowOff>
        </xdr:from>
        <xdr:to>
          <xdr:col>6</xdr:col>
          <xdr:colOff>704850</xdr:colOff>
          <xdr:row>83</xdr:row>
          <xdr:rowOff>0</xdr:rowOff>
        </xdr:to>
        <xdr:sp macro="" textlink="">
          <xdr:nvSpPr>
            <xdr:cNvPr id="6216" name="Drop Down 72" hidden="1">
              <a:extLst>
                <a:ext uri="{63B3BB69-23CF-44E3-9099-C40C66FF867C}">
                  <a14:compatExt spid="_x0000_s6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83</xdr:row>
          <xdr:rowOff>9525</xdr:rowOff>
        </xdr:from>
        <xdr:to>
          <xdr:col>6</xdr:col>
          <xdr:colOff>704850</xdr:colOff>
          <xdr:row>84</xdr:row>
          <xdr:rowOff>0</xdr:rowOff>
        </xdr:to>
        <xdr:sp macro="" textlink="">
          <xdr:nvSpPr>
            <xdr:cNvPr id="6217" name="Drop Down 73" hidden="1">
              <a:extLst>
                <a:ext uri="{63B3BB69-23CF-44E3-9099-C40C66FF867C}">
                  <a14:compatExt spid="_x0000_s6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84</xdr:row>
          <xdr:rowOff>9525</xdr:rowOff>
        </xdr:from>
        <xdr:to>
          <xdr:col>6</xdr:col>
          <xdr:colOff>704850</xdr:colOff>
          <xdr:row>85</xdr:row>
          <xdr:rowOff>0</xdr:rowOff>
        </xdr:to>
        <xdr:sp macro="" textlink="">
          <xdr:nvSpPr>
            <xdr:cNvPr id="6218" name="Drop Down 74" hidden="1">
              <a:extLst>
                <a:ext uri="{63B3BB69-23CF-44E3-9099-C40C66FF867C}">
                  <a14:compatExt spid="_x0000_s6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65</xdr:row>
          <xdr:rowOff>0</xdr:rowOff>
        </xdr:from>
        <xdr:to>
          <xdr:col>3</xdr:col>
          <xdr:colOff>590550</xdr:colOff>
          <xdr:row>65</xdr:row>
          <xdr:rowOff>200025</xdr:rowOff>
        </xdr:to>
        <xdr:sp macro="" textlink="">
          <xdr:nvSpPr>
            <xdr:cNvPr id="6219" name="Drop Down 75" hidden="1">
              <a:extLst>
                <a:ext uri="{63B3BB69-23CF-44E3-9099-C40C66FF867C}">
                  <a14:compatExt spid="_x0000_s6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76200</xdr:colOff>
      <xdr:row>3</xdr:row>
      <xdr:rowOff>0</xdr:rowOff>
    </xdr:from>
    <xdr:to>
      <xdr:col>45</xdr:col>
      <xdr:colOff>600075</xdr:colOff>
      <xdr:row>35</xdr:row>
      <xdr:rowOff>0</xdr:rowOff>
    </xdr:to>
    <xdr:graphicFrame macro="">
      <xdr:nvGraphicFramePr>
        <xdr:cNvPr id="307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76200</xdr:colOff>
      <xdr:row>35</xdr:row>
      <xdr:rowOff>9525</xdr:rowOff>
    </xdr:from>
    <xdr:to>
      <xdr:col>46</xdr:col>
      <xdr:colOff>0</xdr:colOff>
      <xdr:row>67</xdr:row>
      <xdr:rowOff>0</xdr:rowOff>
    </xdr:to>
    <xdr:graphicFrame macro="">
      <xdr:nvGraphicFramePr>
        <xdr:cNvPr id="3077" name="Chart 10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76200</xdr:colOff>
      <xdr:row>3</xdr:row>
      <xdr:rowOff>0</xdr:rowOff>
    </xdr:from>
    <xdr:to>
      <xdr:col>70</xdr:col>
      <xdr:colOff>0</xdr:colOff>
      <xdr:row>35</xdr:row>
      <xdr:rowOff>9525</xdr:rowOff>
    </xdr:to>
    <xdr:graphicFrame macro="">
      <xdr:nvGraphicFramePr>
        <xdr:cNvPr id="3083" name="Chart 10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76200</xdr:colOff>
      <xdr:row>35</xdr:row>
      <xdr:rowOff>19050</xdr:rowOff>
    </xdr:from>
    <xdr:to>
      <xdr:col>70</xdr:col>
      <xdr:colOff>0</xdr:colOff>
      <xdr:row>67</xdr:row>
      <xdr:rowOff>19050</xdr:rowOff>
    </xdr:to>
    <xdr:graphicFrame macro="">
      <xdr:nvGraphicFramePr>
        <xdr:cNvPr id="3084" name="Chart 10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95.xml"/><Relationship Id="rId21" Type="http://schemas.openxmlformats.org/officeDocument/2006/relationships/ctrlProp" Target="../ctrlProps/ctrlProp90.xml"/><Relationship Id="rId42" Type="http://schemas.openxmlformats.org/officeDocument/2006/relationships/ctrlProp" Target="../ctrlProps/ctrlProp111.xml"/><Relationship Id="rId47" Type="http://schemas.openxmlformats.org/officeDocument/2006/relationships/ctrlProp" Target="../ctrlProps/ctrlProp116.xml"/><Relationship Id="rId63" Type="http://schemas.openxmlformats.org/officeDocument/2006/relationships/ctrlProp" Target="../ctrlProps/ctrlProp132.xml"/><Relationship Id="rId68" Type="http://schemas.openxmlformats.org/officeDocument/2006/relationships/ctrlProp" Target="../ctrlProps/ctrlProp1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85.xml"/><Relationship Id="rId29" Type="http://schemas.openxmlformats.org/officeDocument/2006/relationships/ctrlProp" Target="../ctrlProps/ctrlProp98.xml"/><Relationship Id="rId11" Type="http://schemas.openxmlformats.org/officeDocument/2006/relationships/ctrlProp" Target="../ctrlProps/ctrlProp80.xml"/><Relationship Id="rId24" Type="http://schemas.openxmlformats.org/officeDocument/2006/relationships/ctrlProp" Target="../ctrlProps/ctrlProp93.xml"/><Relationship Id="rId32" Type="http://schemas.openxmlformats.org/officeDocument/2006/relationships/ctrlProp" Target="../ctrlProps/ctrlProp101.xml"/><Relationship Id="rId37" Type="http://schemas.openxmlformats.org/officeDocument/2006/relationships/ctrlProp" Target="../ctrlProps/ctrlProp106.xml"/><Relationship Id="rId40" Type="http://schemas.openxmlformats.org/officeDocument/2006/relationships/ctrlProp" Target="../ctrlProps/ctrlProp109.xml"/><Relationship Id="rId45" Type="http://schemas.openxmlformats.org/officeDocument/2006/relationships/ctrlProp" Target="../ctrlProps/ctrlProp114.xml"/><Relationship Id="rId53" Type="http://schemas.openxmlformats.org/officeDocument/2006/relationships/ctrlProp" Target="../ctrlProps/ctrlProp122.xml"/><Relationship Id="rId58" Type="http://schemas.openxmlformats.org/officeDocument/2006/relationships/ctrlProp" Target="../ctrlProps/ctrlProp127.xml"/><Relationship Id="rId66" Type="http://schemas.openxmlformats.org/officeDocument/2006/relationships/ctrlProp" Target="../ctrlProps/ctrlProp135.xml"/><Relationship Id="rId5" Type="http://schemas.openxmlformats.org/officeDocument/2006/relationships/ctrlProp" Target="../ctrlProps/ctrlProp74.xml"/><Relationship Id="rId61" Type="http://schemas.openxmlformats.org/officeDocument/2006/relationships/ctrlProp" Target="../ctrlProps/ctrlProp130.xml"/><Relationship Id="rId19" Type="http://schemas.openxmlformats.org/officeDocument/2006/relationships/ctrlProp" Target="../ctrlProps/ctrlProp88.xml"/><Relationship Id="rId14" Type="http://schemas.openxmlformats.org/officeDocument/2006/relationships/ctrlProp" Target="../ctrlProps/ctrlProp83.xml"/><Relationship Id="rId22" Type="http://schemas.openxmlformats.org/officeDocument/2006/relationships/ctrlProp" Target="../ctrlProps/ctrlProp91.xml"/><Relationship Id="rId27" Type="http://schemas.openxmlformats.org/officeDocument/2006/relationships/ctrlProp" Target="../ctrlProps/ctrlProp96.xml"/><Relationship Id="rId30" Type="http://schemas.openxmlformats.org/officeDocument/2006/relationships/ctrlProp" Target="../ctrlProps/ctrlProp99.xml"/><Relationship Id="rId35" Type="http://schemas.openxmlformats.org/officeDocument/2006/relationships/ctrlProp" Target="../ctrlProps/ctrlProp104.xml"/><Relationship Id="rId43" Type="http://schemas.openxmlformats.org/officeDocument/2006/relationships/ctrlProp" Target="../ctrlProps/ctrlProp112.xml"/><Relationship Id="rId48" Type="http://schemas.openxmlformats.org/officeDocument/2006/relationships/ctrlProp" Target="../ctrlProps/ctrlProp117.xml"/><Relationship Id="rId56" Type="http://schemas.openxmlformats.org/officeDocument/2006/relationships/ctrlProp" Target="../ctrlProps/ctrlProp125.xml"/><Relationship Id="rId64" Type="http://schemas.openxmlformats.org/officeDocument/2006/relationships/ctrlProp" Target="../ctrlProps/ctrlProp133.xml"/><Relationship Id="rId69" Type="http://schemas.openxmlformats.org/officeDocument/2006/relationships/ctrlProp" Target="../ctrlProps/ctrlProp138.xml"/><Relationship Id="rId8" Type="http://schemas.openxmlformats.org/officeDocument/2006/relationships/ctrlProp" Target="../ctrlProps/ctrlProp77.xml"/><Relationship Id="rId51" Type="http://schemas.openxmlformats.org/officeDocument/2006/relationships/ctrlProp" Target="../ctrlProps/ctrlProp120.xml"/><Relationship Id="rId72" Type="http://schemas.openxmlformats.org/officeDocument/2006/relationships/ctrlProp" Target="../ctrlProps/ctrlProp14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81.xml"/><Relationship Id="rId17" Type="http://schemas.openxmlformats.org/officeDocument/2006/relationships/ctrlProp" Target="../ctrlProps/ctrlProp86.xml"/><Relationship Id="rId25" Type="http://schemas.openxmlformats.org/officeDocument/2006/relationships/ctrlProp" Target="../ctrlProps/ctrlProp94.xml"/><Relationship Id="rId33" Type="http://schemas.openxmlformats.org/officeDocument/2006/relationships/ctrlProp" Target="../ctrlProps/ctrlProp102.xml"/><Relationship Id="rId38" Type="http://schemas.openxmlformats.org/officeDocument/2006/relationships/ctrlProp" Target="../ctrlProps/ctrlProp107.xml"/><Relationship Id="rId46" Type="http://schemas.openxmlformats.org/officeDocument/2006/relationships/ctrlProp" Target="../ctrlProps/ctrlProp115.xml"/><Relationship Id="rId59" Type="http://schemas.openxmlformats.org/officeDocument/2006/relationships/ctrlProp" Target="../ctrlProps/ctrlProp128.xml"/><Relationship Id="rId67" Type="http://schemas.openxmlformats.org/officeDocument/2006/relationships/ctrlProp" Target="../ctrlProps/ctrlProp136.xml"/><Relationship Id="rId20" Type="http://schemas.openxmlformats.org/officeDocument/2006/relationships/ctrlProp" Target="../ctrlProps/ctrlProp89.xml"/><Relationship Id="rId41" Type="http://schemas.openxmlformats.org/officeDocument/2006/relationships/ctrlProp" Target="../ctrlProps/ctrlProp110.xml"/><Relationship Id="rId54" Type="http://schemas.openxmlformats.org/officeDocument/2006/relationships/ctrlProp" Target="../ctrlProps/ctrlProp123.xml"/><Relationship Id="rId62" Type="http://schemas.openxmlformats.org/officeDocument/2006/relationships/ctrlProp" Target="../ctrlProps/ctrlProp131.xml"/><Relationship Id="rId70" Type="http://schemas.openxmlformats.org/officeDocument/2006/relationships/ctrlProp" Target="../ctrlProps/ctrlProp13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5.xml"/><Relationship Id="rId15" Type="http://schemas.openxmlformats.org/officeDocument/2006/relationships/ctrlProp" Target="../ctrlProps/ctrlProp84.xml"/><Relationship Id="rId23" Type="http://schemas.openxmlformats.org/officeDocument/2006/relationships/ctrlProp" Target="../ctrlProps/ctrlProp92.xml"/><Relationship Id="rId28" Type="http://schemas.openxmlformats.org/officeDocument/2006/relationships/ctrlProp" Target="../ctrlProps/ctrlProp97.xml"/><Relationship Id="rId36" Type="http://schemas.openxmlformats.org/officeDocument/2006/relationships/ctrlProp" Target="../ctrlProps/ctrlProp105.xml"/><Relationship Id="rId49" Type="http://schemas.openxmlformats.org/officeDocument/2006/relationships/ctrlProp" Target="../ctrlProps/ctrlProp118.xml"/><Relationship Id="rId57" Type="http://schemas.openxmlformats.org/officeDocument/2006/relationships/ctrlProp" Target="../ctrlProps/ctrlProp126.xml"/><Relationship Id="rId10" Type="http://schemas.openxmlformats.org/officeDocument/2006/relationships/ctrlProp" Target="../ctrlProps/ctrlProp79.xml"/><Relationship Id="rId31" Type="http://schemas.openxmlformats.org/officeDocument/2006/relationships/ctrlProp" Target="../ctrlProps/ctrlProp100.xml"/><Relationship Id="rId44" Type="http://schemas.openxmlformats.org/officeDocument/2006/relationships/ctrlProp" Target="../ctrlProps/ctrlProp113.xml"/><Relationship Id="rId52" Type="http://schemas.openxmlformats.org/officeDocument/2006/relationships/ctrlProp" Target="../ctrlProps/ctrlProp121.xml"/><Relationship Id="rId60" Type="http://schemas.openxmlformats.org/officeDocument/2006/relationships/ctrlProp" Target="../ctrlProps/ctrlProp129.xml"/><Relationship Id="rId65" Type="http://schemas.openxmlformats.org/officeDocument/2006/relationships/ctrlProp" Target="../ctrlProps/ctrlProp134.xml"/><Relationship Id="rId73" Type="http://schemas.openxmlformats.org/officeDocument/2006/relationships/ctrlProp" Target="../ctrlProps/ctrlProp142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Relationship Id="rId13" Type="http://schemas.openxmlformats.org/officeDocument/2006/relationships/ctrlProp" Target="../ctrlProps/ctrlProp82.xml"/><Relationship Id="rId18" Type="http://schemas.openxmlformats.org/officeDocument/2006/relationships/ctrlProp" Target="../ctrlProps/ctrlProp87.xml"/><Relationship Id="rId39" Type="http://schemas.openxmlformats.org/officeDocument/2006/relationships/ctrlProp" Target="../ctrlProps/ctrlProp108.xml"/><Relationship Id="rId34" Type="http://schemas.openxmlformats.org/officeDocument/2006/relationships/ctrlProp" Target="../ctrlProps/ctrlProp103.xml"/><Relationship Id="rId50" Type="http://schemas.openxmlformats.org/officeDocument/2006/relationships/ctrlProp" Target="../ctrlProps/ctrlProp119.xml"/><Relationship Id="rId55" Type="http://schemas.openxmlformats.org/officeDocument/2006/relationships/ctrlProp" Target="../ctrlProps/ctrlProp124.xml"/><Relationship Id="rId7" Type="http://schemas.openxmlformats.org/officeDocument/2006/relationships/ctrlProp" Target="../ctrlProps/ctrlProp76.xml"/><Relationship Id="rId71" Type="http://schemas.openxmlformats.org/officeDocument/2006/relationships/ctrlProp" Target="../ctrlProps/ctrlProp14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V96"/>
  <sheetViews>
    <sheetView zoomScale="85" workbookViewId="0">
      <selection activeCell="J41" sqref="J41"/>
    </sheetView>
  </sheetViews>
  <sheetFormatPr defaultColWidth="6.7109375" defaultRowHeight="11.25" x14ac:dyDescent="0.2"/>
  <cols>
    <col min="1" max="1" width="2.28515625" style="1" customWidth="1"/>
    <col min="2" max="3" width="7.140625" style="1" customWidth="1"/>
    <col min="4" max="4" width="9.28515625" style="1" customWidth="1"/>
    <col min="5" max="5" width="10.140625" style="1" customWidth="1"/>
    <col min="6" max="6" width="10.42578125" style="1" customWidth="1"/>
    <col min="7" max="7" width="10.7109375" style="1" customWidth="1"/>
    <col min="8" max="8" width="7.5703125" style="22" customWidth="1"/>
    <col min="9" max="9" width="8.7109375" style="22" customWidth="1"/>
    <col min="10" max="10" width="9.5703125" style="22" bestFit="1" customWidth="1"/>
    <col min="11" max="11" width="9.28515625" style="22" customWidth="1"/>
    <col min="12" max="12" width="9.42578125" style="1" customWidth="1"/>
    <col min="13" max="13" width="8.140625" style="1" customWidth="1"/>
    <col min="14" max="14" width="6.7109375" style="1" customWidth="1"/>
    <col min="15" max="15" width="12.5703125" style="1" customWidth="1"/>
    <col min="16" max="16" width="10" style="1" customWidth="1"/>
    <col min="17" max="17" width="10.5703125" style="1" customWidth="1"/>
    <col min="18" max="18" width="9" style="1" customWidth="1"/>
    <col min="19" max="19" width="10.7109375" style="1" customWidth="1"/>
    <col min="20" max="20" width="11.42578125" style="1" bestFit="1" customWidth="1"/>
    <col min="21" max="21" width="8.5703125" style="1" customWidth="1"/>
    <col min="22" max="35" width="6.7109375" style="1" customWidth="1"/>
    <col min="36" max="36" width="9.85546875" style="1" customWidth="1"/>
    <col min="37" max="44" width="6.7109375" style="1" customWidth="1"/>
    <col min="45" max="45" width="18.85546875" style="1" customWidth="1"/>
    <col min="46" max="46" width="6.7109375" style="1" customWidth="1"/>
    <col min="47" max="47" width="8.42578125" style="1" customWidth="1"/>
    <col min="48" max="52" width="6.7109375" style="1" customWidth="1"/>
    <col min="53" max="53" width="10.28515625" style="1" customWidth="1"/>
    <col min="54" max="56" width="6.7109375" style="1" customWidth="1"/>
    <col min="57" max="57" width="8.5703125" style="1" customWidth="1"/>
    <col min="58" max="61" width="6.7109375" style="1" customWidth="1"/>
    <col min="62" max="62" width="8.5703125" style="1" customWidth="1"/>
    <col min="63" max="64" width="6.7109375" style="1" customWidth="1"/>
    <col min="65" max="65" width="7" style="1" customWidth="1"/>
    <col min="66" max="66" width="6.7109375" style="1" customWidth="1"/>
    <col min="67" max="69" width="10.7109375" style="1" customWidth="1"/>
    <col min="70" max="72" width="6.7109375" style="1" customWidth="1"/>
    <col min="73" max="73" width="8.28515625" style="1" bestFit="1" customWidth="1"/>
    <col min="74" max="16384" width="6.7109375" style="1"/>
  </cols>
  <sheetData>
    <row r="1" spans="2:74" ht="12" thickBot="1" x14ac:dyDescent="0.25"/>
    <row r="2" spans="2:74" ht="16.5" thickBot="1" x14ac:dyDescent="0.25">
      <c r="B2" s="103"/>
      <c r="C2" s="393" t="s">
        <v>154</v>
      </c>
      <c r="D2" s="394"/>
      <c r="E2" s="389" t="s">
        <v>144</v>
      </c>
      <c r="F2" s="390"/>
      <c r="G2" s="103"/>
      <c r="H2" s="393" t="s">
        <v>143</v>
      </c>
      <c r="I2" s="368" t="s">
        <v>144</v>
      </c>
      <c r="K2" s="375" t="str">
        <f>CONCATENATE(VLOOKUP(RegionNumber,AQ13:AS20,3), " Vol Skew Table")</f>
        <v>Cinergy Vol Skew Table</v>
      </c>
      <c r="L2" s="376"/>
      <c r="M2" s="376"/>
      <c r="N2" s="376"/>
      <c r="O2" s="376"/>
      <c r="P2" s="376"/>
      <c r="Q2" s="376"/>
      <c r="R2" s="377"/>
    </row>
    <row r="3" spans="2:74" ht="13.5" customHeight="1" x14ac:dyDescent="0.2">
      <c r="B3" s="105"/>
      <c r="C3" s="395"/>
      <c r="D3" s="396"/>
      <c r="E3" s="391"/>
      <c r="F3" s="392"/>
      <c r="G3" s="106"/>
      <c r="H3" s="397"/>
      <c r="I3" s="369"/>
      <c r="K3" s="97"/>
      <c r="L3" s="98" t="s">
        <v>153</v>
      </c>
      <c r="M3" s="378" t="s">
        <v>146</v>
      </c>
      <c r="N3" s="379"/>
      <c r="O3" s="380"/>
      <c r="P3" s="381" t="s">
        <v>147</v>
      </c>
      <c r="Q3" s="379"/>
      <c r="R3" s="380"/>
    </row>
    <row r="4" spans="2:74" ht="12" thickBot="1" x14ac:dyDescent="0.25">
      <c r="B4" s="142" t="s">
        <v>11</v>
      </c>
      <c r="C4" s="143" t="s">
        <v>94</v>
      </c>
      <c r="D4" s="144" t="s">
        <v>95</v>
      </c>
      <c r="E4" s="181" t="s">
        <v>94</v>
      </c>
      <c r="F4" s="182" t="s">
        <v>95</v>
      </c>
      <c r="G4" s="142" t="s">
        <v>11</v>
      </c>
      <c r="H4" s="145" t="s">
        <v>94</v>
      </c>
      <c r="I4" s="183" t="s">
        <v>94</v>
      </c>
      <c r="K4" s="62" t="s">
        <v>103</v>
      </c>
      <c r="L4" s="99">
        <v>0</v>
      </c>
      <c r="M4" s="99">
        <v>0.25</v>
      </c>
      <c r="N4" s="99">
        <v>0.6</v>
      </c>
      <c r="O4" s="100">
        <v>0.8</v>
      </c>
      <c r="P4" s="185">
        <v>0.2</v>
      </c>
      <c r="Q4" s="186">
        <v>0.4</v>
      </c>
      <c r="R4" s="187">
        <v>0.7</v>
      </c>
    </row>
    <row r="5" spans="2:74" ht="15" customHeight="1" thickBot="1" x14ac:dyDescent="0.25">
      <c r="B5" s="139">
        <f ca="1">Override!K5</f>
        <v>36976</v>
      </c>
      <c r="C5" s="147">
        <f ca="1">VLOOKUP(B5, Calc!$AA$5:$AH$72,6)</f>
        <v>41.249996185302734</v>
      </c>
      <c r="D5" s="149">
        <f ca="1">VLOOKUP(B5, Calc!$AA$5:$AH$72,7)</f>
        <v>0.8</v>
      </c>
      <c r="E5" s="321">
        <v>0.25</v>
      </c>
      <c r="F5" s="322">
        <v>0.99</v>
      </c>
      <c r="G5" s="172">
        <f>Override!S5</f>
        <v>36972</v>
      </c>
      <c r="H5" s="148">
        <f>VLOOKUP(G5, 'Power Curves'!$D$9:$G$261, 3)</f>
        <v>39.499996185302734</v>
      </c>
      <c r="I5" s="332">
        <f>H5</f>
        <v>39.499996185302734</v>
      </c>
      <c r="K5" s="139">
        <f ca="1">Override!K5</f>
        <v>36976</v>
      </c>
      <c r="L5" s="140">
        <f ca="1">Override!M5</f>
        <v>0.8</v>
      </c>
      <c r="M5" s="141">
        <v>0</v>
      </c>
      <c r="N5" s="141"/>
      <c r="O5" s="165">
        <v>0.35</v>
      </c>
      <c r="P5" s="188">
        <v>-0.2</v>
      </c>
      <c r="Q5" s="189">
        <v>-0.3</v>
      </c>
      <c r="R5" s="190"/>
    </row>
    <row r="6" spans="2:74" ht="15" customHeight="1" thickBot="1" x14ac:dyDescent="0.25">
      <c r="B6" s="139">
        <f ca="1">Override!K6</f>
        <v>36982</v>
      </c>
      <c r="C6" s="146">
        <f ca="1">VLOOKUP(B6, Calc!$AA$5:$AH$72,6)</f>
        <v>25</v>
      </c>
      <c r="D6" s="150">
        <f ca="1">VLOOKUP(B6, Calc!$AA$5:$AH$72,7)</f>
        <v>0.75</v>
      </c>
      <c r="E6" s="323">
        <v>18</v>
      </c>
      <c r="F6" s="324">
        <v>0.99</v>
      </c>
      <c r="G6" s="173">
        <f>Override!S6</f>
        <v>36973</v>
      </c>
      <c r="H6" s="102">
        <f>VLOOKUP(G6, 'Power Curves'!$D$9:$G$261, 3)</f>
        <v>39.999996185302734</v>
      </c>
      <c r="I6" s="333">
        <f t="shared" ref="I6:I36" si="0">H6</f>
        <v>39.999996185302734</v>
      </c>
      <c r="K6" s="82">
        <f ca="1">Override!K6</f>
        <v>36982</v>
      </c>
      <c r="L6" s="84">
        <f ca="1">Override!M6</f>
        <v>0.75</v>
      </c>
      <c r="M6" s="85"/>
      <c r="N6" s="85">
        <v>0</v>
      </c>
      <c r="O6" s="166"/>
      <c r="P6" s="191">
        <v>-0.05</v>
      </c>
      <c r="Q6" s="192">
        <v>-0.1</v>
      </c>
      <c r="R6" s="193"/>
    </row>
    <row r="7" spans="2:74" ht="15" customHeight="1" thickBot="1" x14ac:dyDescent="0.25">
      <c r="B7" s="139">
        <f ca="1">Override!K7</f>
        <v>37012</v>
      </c>
      <c r="C7" s="146">
        <f ca="1">VLOOKUP(B7, Calc!$AA$5:$AH$72,6)</f>
        <v>47</v>
      </c>
      <c r="D7" s="150">
        <f ca="1">VLOOKUP(B7, Calc!$AA$5:$AH$72,7)</f>
        <v>0.75</v>
      </c>
      <c r="E7" s="323">
        <v>3</v>
      </c>
      <c r="F7" s="324">
        <v>0.99</v>
      </c>
      <c r="G7" s="173">
        <f>Override!S7</f>
        <v>36974</v>
      </c>
      <c r="H7" s="102">
        <f>VLOOKUP(G7, 'Power Curves'!$D$9:$G$261, 3)</f>
        <v>24.999996185302734</v>
      </c>
      <c r="I7" s="333">
        <f t="shared" si="0"/>
        <v>24.999996185302734</v>
      </c>
      <c r="K7" s="82">
        <f ca="1">Override!K7</f>
        <v>37012</v>
      </c>
      <c r="L7" s="84">
        <f ca="1">Override!M7</f>
        <v>0.75</v>
      </c>
      <c r="M7" s="85">
        <v>0.35</v>
      </c>
      <c r="N7" s="85">
        <v>0.25</v>
      </c>
      <c r="O7" s="166">
        <v>0.4</v>
      </c>
      <c r="P7" s="191">
        <v>0</v>
      </c>
      <c r="Q7" s="192">
        <v>0.15</v>
      </c>
      <c r="R7" s="193"/>
    </row>
    <row r="8" spans="2:74" ht="15" customHeight="1" thickBot="1" x14ac:dyDescent="0.25">
      <c r="B8" s="139">
        <f ca="1">Override!K8</f>
        <v>37043</v>
      </c>
      <c r="C8" s="146">
        <f ca="1">VLOOKUP(B8, Calc!$AA$5:$AH$72,6)</f>
        <v>72.999992370605469</v>
      </c>
      <c r="D8" s="150">
        <f ca="1">VLOOKUP(B8, Calc!$AA$5:$AH$72,7)</f>
        <v>0.7</v>
      </c>
      <c r="E8" s="323">
        <v>4</v>
      </c>
      <c r="F8" s="324">
        <v>0.99</v>
      </c>
      <c r="G8" s="173">
        <f>Override!S8</f>
        <v>36975</v>
      </c>
      <c r="H8" s="102">
        <f>VLOOKUP(G8, 'Power Curves'!$D$9:$G$261, 3)</f>
        <v>24.999996185302734</v>
      </c>
      <c r="I8" s="333">
        <f t="shared" si="0"/>
        <v>24.999996185302734</v>
      </c>
      <c r="K8" s="82">
        <f ca="1">Override!K8</f>
        <v>37043</v>
      </c>
      <c r="L8" s="84">
        <f ca="1">Override!M8</f>
        <v>0.7</v>
      </c>
      <c r="M8" s="85" t="s">
        <v>151</v>
      </c>
      <c r="N8" s="85">
        <v>0.7</v>
      </c>
      <c r="O8" s="166"/>
      <c r="P8" s="191">
        <v>0.5</v>
      </c>
      <c r="Q8" s="192">
        <v>0.4</v>
      </c>
      <c r="R8" s="193"/>
    </row>
    <row r="9" spans="2:74" ht="15" customHeight="1" thickBot="1" x14ac:dyDescent="0.25">
      <c r="B9" s="139">
        <f ca="1">Override!K9</f>
        <v>37073</v>
      </c>
      <c r="C9" s="146">
        <f ca="1">VLOOKUP(B9, Calc!$AA$5:$AH$72,6)</f>
        <v>115</v>
      </c>
      <c r="D9" s="150">
        <f ca="1">VLOOKUP(B9, Calc!$AA$5:$AH$72,7)</f>
        <v>0.85</v>
      </c>
      <c r="E9" s="323">
        <v>5</v>
      </c>
      <c r="F9" s="324">
        <v>0.99</v>
      </c>
      <c r="G9" s="173">
        <f>Override!S9</f>
        <v>36976</v>
      </c>
      <c r="H9" s="102">
        <f>VLOOKUP(G9, 'Power Curves'!$D$9:$G$261, 3)</f>
        <v>41.249996185302734</v>
      </c>
      <c r="I9" s="333">
        <f t="shared" si="0"/>
        <v>41.249996185302734</v>
      </c>
      <c r="K9" s="82">
        <f ca="1">Override!K9</f>
        <v>37073</v>
      </c>
      <c r="L9" s="84">
        <f ca="1">Override!M9</f>
        <v>0.85</v>
      </c>
      <c r="M9" s="85"/>
      <c r="N9" s="85"/>
      <c r="O9" s="166"/>
      <c r="P9" s="191"/>
      <c r="Q9" s="192"/>
      <c r="R9" s="193"/>
    </row>
    <row r="10" spans="2:74" ht="15" customHeight="1" thickBot="1" x14ac:dyDescent="0.25">
      <c r="B10" s="139">
        <f ca="1">Override!K10</f>
        <v>37104</v>
      </c>
      <c r="C10" s="146">
        <f ca="1">VLOOKUP(B10, Calc!$AA$5:$AH$72,6)</f>
        <v>115</v>
      </c>
      <c r="D10" s="150">
        <f ca="1">VLOOKUP(B10, Calc!$AA$5:$AH$72,7)</f>
        <v>0.7</v>
      </c>
      <c r="E10" s="323">
        <v>5</v>
      </c>
      <c r="F10" s="324">
        <v>0.99</v>
      </c>
      <c r="G10" s="173">
        <f>Override!S10</f>
        <v>36977</v>
      </c>
      <c r="H10" s="102">
        <f>VLOOKUP(G10, 'Power Curves'!$D$9:$G$261, 3)</f>
        <v>41.249996185302734</v>
      </c>
      <c r="I10" s="333">
        <f t="shared" si="0"/>
        <v>41.249996185302734</v>
      </c>
      <c r="K10" s="82">
        <f ca="1">Override!K10</f>
        <v>37104</v>
      </c>
      <c r="L10" s="84">
        <f ca="1">Override!M10</f>
        <v>0.7</v>
      </c>
      <c r="M10" s="85"/>
      <c r="N10" s="85"/>
      <c r="O10" s="166"/>
      <c r="P10" s="191"/>
      <c r="Q10" s="192"/>
      <c r="R10" s="193"/>
    </row>
    <row r="11" spans="2:74" ht="15" customHeight="1" thickBot="1" x14ac:dyDescent="0.25">
      <c r="B11" s="139">
        <f ca="1">Override!K11</f>
        <v>37135</v>
      </c>
      <c r="C11" s="146">
        <f ca="1">VLOOKUP(B11, Calc!$AA$5:$AH$72,6)</f>
        <v>43.500003814697266</v>
      </c>
      <c r="D11" s="150">
        <f ca="1">VLOOKUP(B11, Calc!$AA$5:$AH$72,7)</f>
        <v>0.6</v>
      </c>
      <c r="E11" s="323">
        <v>2.5</v>
      </c>
      <c r="F11" s="324">
        <v>0.99</v>
      </c>
      <c r="G11" s="173">
        <f>Override!S11</f>
        <v>36978</v>
      </c>
      <c r="H11" s="102">
        <f>VLOOKUP(G11, 'Power Curves'!$D$9:$G$261, 3)</f>
        <v>41.249996185302734</v>
      </c>
      <c r="I11" s="333">
        <f t="shared" si="0"/>
        <v>41.249996185302734</v>
      </c>
      <c r="K11" s="82">
        <f ca="1">Override!K11</f>
        <v>37135</v>
      </c>
      <c r="L11" s="84">
        <f ca="1">Override!M11</f>
        <v>0.6</v>
      </c>
      <c r="M11" s="85"/>
      <c r="N11" s="85"/>
      <c r="O11" s="166"/>
      <c r="P11" s="194"/>
      <c r="Q11" s="39"/>
      <c r="R11" s="193"/>
      <c r="AQ11" s="12">
        <v>7</v>
      </c>
      <c r="AR11" s="12"/>
      <c r="AS11" s="13">
        <f>VLOOKUP(AQ11, $AP$13:$AQ$20,2)</f>
        <v>7</v>
      </c>
      <c r="AU11" s="17" t="s">
        <v>76</v>
      </c>
      <c r="AV11" s="18"/>
      <c r="AX11" s="2" t="s">
        <v>100</v>
      </c>
      <c r="AY11" s="2"/>
      <c r="BA11" s="32" t="s">
        <v>105</v>
      </c>
      <c r="BB11" s="31"/>
      <c r="BC11" s="2"/>
      <c r="BE11" s="2" t="s">
        <v>0</v>
      </c>
      <c r="BG11" s="2" t="s">
        <v>1</v>
      </c>
      <c r="BH11" s="52">
        <v>1</v>
      </c>
      <c r="BJ11" s="2" t="s">
        <v>18</v>
      </c>
      <c r="BK11" s="2" t="s">
        <v>140</v>
      </c>
      <c r="BL11" s="31"/>
      <c r="BM11" s="26"/>
      <c r="BO11" s="2" t="s">
        <v>119</v>
      </c>
      <c r="BP11" s="2" t="s">
        <v>120</v>
      </c>
      <c r="BQ11" s="2" t="s">
        <v>103</v>
      </c>
      <c r="BR11" s="2" t="s">
        <v>112</v>
      </c>
      <c r="BS11" s="2" t="s">
        <v>141</v>
      </c>
      <c r="BU11" s="43" t="s">
        <v>112</v>
      </c>
      <c r="BV11" s="31"/>
    </row>
    <row r="12" spans="2:74" ht="15" customHeight="1" thickBot="1" x14ac:dyDescent="0.25">
      <c r="B12" s="139">
        <f ca="1">Override!K12</f>
        <v>37165</v>
      </c>
      <c r="C12" s="146">
        <f ca="1">VLOOKUP(B12, Calc!$AA$5:$AH$72,6)</f>
        <v>41.400001525878906</v>
      </c>
      <c r="D12" s="150">
        <f ca="1">VLOOKUP(B12, Calc!$AA$5:$AH$72,7)</f>
        <v>0.5</v>
      </c>
      <c r="E12" s="325">
        <f ca="1">C12</f>
        <v>41.400001525878906</v>
      </c>
      <c r="F12" s="324">
        <v>0.99</v>
      </c>
      <c r="G12" s="173">
        <f>Override!S12</f>
        <v>36979</v>
      </c>
      <c r="H12" s="102">
        <f>VLOOKUP(G12, 'Power Curves'!$D$9:$G$261, 3)</f>
        <v>41.249996185302734</v>
      </c>
      <c r="I12" s="333">
        <f t="shared" si="0"/>
        <v>41.249996185302734</v>
      </c>
      <c r="K12" s="82">
        <f ca="1">Override!K12</f>
        <v>37165</v>
      </c>
      <c r="L12" s="84">
        <f ca="1">Override!M12</f>
        <v>0.5</v>
      </c>
      <c r="M12" s="115"/>
      <c r="N12" s="115"/>
      <c r="O12" s="167"/>
      <c r="P12" s="195"/>
      <c r="Q12" s="196"/>
      <c r="R12" s="197"/>
      <c r="AQ12" s="14" t="s">
        <v>34</v>
      </c>
      <c r="AR12" s="15"/>
      <c r="AS12" s="16"/>
      <c r="AU12" s="19" t="s">
        <v>79</v>
      </c>
      <c r="AV12" s="20">
        <v>1</v>
      </c>
      <c r="AX12" s="2"/>
      <c r="AY12" s="52">
        <v>1</v>
      </c>
      <c r="BA12" s="23" t="s">
        <v>106</v>
      </c>
      <c r="BB12" s="53">
        <v>4</v>
      </c>
      <c r="BC12" s="2" t="s">
        <v>104</v>
      </c>
      <c r="BE12" s="2" t="b">
        <v>0</v>
      </c>
      <c r="BG12" s="43" t="s">
        <v>7</v>
      </c>
      <c r="BH12" s="31"/>
      <c r="BJ12" s="42">
        <f ca="1">Calc!AA5</f>
        <v>36976</v>
      </c>
      <c r="BK12" s="42">
        <f t="shared" ref="BK12:BK43" ca="1" si="1">EOMONTH(BJ12,-1)</f>
        <v>36950</v>
      </c>
      <c r="BL12" s="2">
        <v>1</v>
      </c>
      <c r="BM12" s="26"/>
      <c r="BN12" s="2" t="s">
        <v>121</v>
      </c>
      <c r="BO12" s="52">
        <v>2</v>
      </c>
      <c r="BP12" s="52">
        <v>3</v>
      </c>
      <c r="BQ12" s="52">
        <v>2</v>
      </c>
      <c r="BR12" s="52">
        <v>1</v>
      </c>
      <c r="BS12" s="52" t="b">
        <v>0</v>
      </c>
      <c r="BU12" s="43" t="s">
        <v>113</v>
      </c>
      <c r="BV12" s="52">
        <v>1</v>
      </c>
    </row>
    <row r="13" spans="2:74" ht="15" customHeight="1" thickBot="1" x14ac:dyDescent="0.25">
      <c r="B13" s="139">
        <f ca="1">Override!K13</f>
        <v>37196</v>
      </c>
      <c r="C13" s="146">
        <f ca="1">VLOOKUP(B13, Calc!$AA$5:$AH$72,6)</f>
        <v>41.5</v>
      </c>
      <c r="D13" s="150">
        <f ca="1">VLOOKUP(B13, Calc!$AA$5:$AH$72,7)</f>
        <v>0.47499999999999998</v>
      </c>
      <c r="E13" s="325">
        <f t="shared" ref="E13:E36" ca="1" si="2">C13</f>
        <v>41.5</v>
      </c>
      <c r="F13" s="324">
        <v>0.99</v>
      </c>
      <c r="G13" s="173">
        <f>Override!S13</f>
        <v>36980</v>
      </c>
      <c r="H13" s="102">
        <f>VLOOKUP(G13, 'Power Curves'!$D$9:$G$261, 3)</f>
        <v>41.249996185302734</v>
      </c>
      <c r="I13" s="333">
        <f t="shared" si="0"/>
        <v>41.249996185302734</v>
      </c>
      <c r="K13" s="82">
        <f ca="1">Override!K13</f>
        <v>37196</v>
      </c>
      <c r="L13" s="84">
        <f ca="1">Override!M13</f>
        <v>0.47499999999999998</v>
      </c>
      <c r="M13" s="121"/>
      <c r="N13" s="122"/>
      <c r="O13" s="168"/>
      <c r="P13" s="198"/>
      <c r="Q13" s="196"/>
      <c r="R13" s="197"/>
      <c r="AO13" s="1">
        <v>1</v>
      </c>
      <c r="AP13" s="1">
        <v>1</v>
      </c>
      <c r="AQ13" s="13">
        <v>1</v>
      </c>
      <c r="AR13" s="13">
        <v>1</v>
      </c>
      <c r="AS13" s="13" t="s">
        <v>35</v>
      </c>
      <c r="AU13" s="44" t="s">
        <v>77</v>
      </c>
      <c r="AV13" s="45" t="s">
        <v>78</v>
      </c>
      <c r="AX13" s="2" t="s">
        <v>101</v>
      </c>
      <c r="AY13" s="2"/>
      <c r="BA13" s="2" t="s">
        <v>107</v>
      </c>
      <c r="BB13" s="52">
        <v>4</v>
      </c>
      <c r="BC13" s="23" t="s">
        <v>95</v>
      </c>
      <c r="BE13" s="2" t="s">
        <v>2</v>
      </c>
      <c r="BG13" s="43" t="s">
        <v>131</v>
      </c>
      <c r="BH13" s="31"/>
      <c r="BJ13" s="42">
        <f ca="1">Calc!AA6</f>
        <v>36982</v>
      </c>
      <c r="BK13" s="42">
        <f t="shared" ca="1" si="1"/>
        <v>36981</v>
      </c>
      <c r="BL13" s="2">
        <v>2</v>
      </c>
      <c r="BM13" s="26"/>
      <c r="BN13" s="2" t="s">
        <v>122</v>
      </c>
      <c r="BO13" s="52">
        <v>5</v>
      </c>
      <c r="BP13" s="52">
        <v>6</v>
      </c>
      <c r="BQ13" s="52">
        <v>5</v>
      </c>
      <c r="BR13" s="52">
        <v>1</v>
      </c>
      <c r="BS13" s="52" t="b">
        <v>0</v>
      </c>
      <c r="BU13" s="2" t="s">
        <v>5</v>
      </c>
      <c r="BV13" s="52">
        <v>2</v>
      </c>
    </row>
    <row r="14" spans="2:74" ht="15" customHeight="1" thickBot="1" x14ac:dyDescent="0.25">
      <c r="B14" s="139">
        <f ca="1">Override!K14</f>
        <v>37226</v>
      </c>
      <c r="C14" s="146">
        <f ca="1">VLOOKUP(B14, Calc!$AA$5:$AH$72,6)</f>
        <v>41.599998474121094</v>
      </c>
      <c r="D14" s="150">
        <f ca="1">VLOOKUP(B14, Calc!$AA$5:$AH$72,7)</f>
        <v>0.52500000000000002</v>
      </c>
      <c r="E14" s="325">
        <f t="shared" ca="1" si="2"/>
        <v>41.599998474121094</v>
      </c>
      <c r="F14" s="324">
        <v>0.99</v>
      </c>
      <c r="G14" s="173">
        <f>Override!S14</f>
        <v>36981</v>
      </c>
      <c r="H14" s="102">
        <f>VLOOKUP(G14, 'Power Curves'!$D$9:$G$261, 3)</f>
        <v>24.999996185302734</v>
      </c>
      <c r="I14" s="333">
        <f t="shared" si="0"/>
        <v>24.999996185302734</v>
      </c>
      <c r="K14" s="82">
        <f ca="1">Override!K14</f>
        <v>37226</v>
      </c>
      <c r="L14" s="84">
        <f ca="1">Override!M14</f>
        <v>0.52500000000000002</v>
      </c>
      <c r="M14" s="35"/>
      <c r="N14" s="35"/>
      <c r="O14" s="169"/>
      <c r="P14" s="194"/>
      <c r="Q14" s="39"/>
      <c r="R14" s="193"/>
      <c r="AO14" s="1">
        <v>3</v>
      </c>
      <c r="AP14" s="1">
        <v>2</v>
      </c>
      <c r="AQ14" s="13">
        <v>2</v>
      </c>
      <c r="AR14" s="13" t="s">
        <v>36</v>
      </c>
      <c r="AS14" s="13" t="s">
        <v>37</v>
      </c>
      <c r="AU14" s="46" t="s">
        <v>79</v>
      </c>
      <c r="AV14" s="47"/>
      <c r="AX14" s="2" t="s">
        <v>102</v>
      </c>
      <c r="AY14" s="2"/>
      <c r="BA14" s="43" t="s">
        <v>105</v>
      </c>
      <c r="BB14" s="281"/>
      <c r="BC14" s="51"/>
      <c r="BE14" s="2" t="b">
        <v>1</v>
      </c>
      <c r="BJ14" s="42">
        <f ca="1">Calc!AA7</f>
        <v>37012</v>
      </c>
      <c r="BK14" s="42">
        <f t="shared" ca="1" si="1"/>
        <v>37011</v>
      </c>
      <c r="BL14" s="2">
        <v>3</v>
      </c>
      <c r="BM14" s="26"/>
      <c r="BN14" s="2" t="s">
        <v>123</v>
      </c>
      <c r="BO14" s="52">
        <v>5</v>
      </c>
      <c r="BP14" s="52">
        <v>6</v>
      </c>
      <c r="BQ14" s="52">
        <v>5</v>
      </c>
      <c r="BR14" s="52">
        <v>1</v>
      </c>
      <c r="BS14" s="52" t="b">
        <v>0</v>
      </c>
      <c r="BU14" s="2" t="s">
        <v>127</v>
      </c>
      <c r="BV14" s="52">
        <v>3</v>
      </c>
    </row>
    <row r="15" spans="2:74" ht="15" customHeight="1" thickBot="1" x14ac:dyDescent="0.25">
      <c r="B15" s="139">
        <f ca="1">Override!K15</f>
        <v>37257</v>
      </c>
      <c r="C15" s="146">
        <f ca="1">VLOOKUP(B15, Calc!$AA$5:$AH$72,6)</f>
        <v>47.037143707275391</v>
      </c>
      <c r="D15" s="150">
        <f ca="1">VLOOKUP(B15, Calc!$AA$5:$AH$72,7)</f>
        <v>0.47499999999999998</v>
      </c>
      <c r="E15" s="325">
        <f t="shared" ca="1" si="2"/>
        <v>47.037143707275391</v>
      </c>
      <c r="F15" s="324">
        <v>0.99</v>
      </c>
      <c r="G15" s="173">
        <f>Override!S15</f>
        <v>36982</v>
      </c>
      <c r="H15" s="102">
        <f>VLOOKUP(G15, 'Power Curves'!$D$9:$G$261, 3)</f>
        <v>25</v>
      </c>
      <c r="I15" s="333">
        <f t="shared" si="0"/>
        <v>25</v>
      </c>
      <c r="K15" s="82">
        <f ca="1">Override!K15</f>
        <v>37257</v>
      </c>
      <c r="L15" s="84">
        <f ca="1">Override!M15</f>
        <v>0.47499999999999998</v>
      </c>
      <c r="M15" s="35"/>
      <c r="N15" s="35"/>
      <c r="O15" s="169"/>
      <c r="P15" s="194"/>
      <c r="Q15" s="39"/>
      <c r="R15" s="193"/>
      <c r="AO15" s="1">
        <v>4</v>
      </c>
      <c r="AP15" s="1">
        <v>3</v>
      </c>
      <c r="AQ15" s="13">
        <v>3</v>
      </c>
      <c r="AR15" s="13" t="s">
        <v>38</v>
      </c>
      <c r="AS15" s="13" t="s">
        <v>39</v>
      </c>
      <c r="AU15" s="48" t="s">
        <v>80</v>
      </c>
      <c r="AV15" s="49">
        <v>1</v>
      </c>
      <c r="AX15" s="26"/>
      <c r="AY15" s="26"/>
      <c r="BA15" s="2" t="s">
        <v>145</v>
      </c>
      <c r="BB15" s="282"/>
      <c r="BC15" s="26"/>
      <c r="BE15" s="2" t="s">
        <v>134</v>
      </c>
      <c r="BG15" s="2" t="s">
        <v>159</v>
      </c>
      <c r="BH15" s="2">
        <v>1</v>
      </c>
      <c r="BJ15" s="42">
        <f ca="1">Calc!AA8</f>
        <v>37043</v>
      </c>
      <c r="BK15" s="42">
        <f t="shared" ca="1" si="1"/>
        <v>37042</v>
      </c>
      <c r="BL15" s="2">
        <v>4</v>
      </c>
      <c r="BM15" s="26"/>
      <c r="BN15" s="2" t="s">
        <v>124</v>
      </c>
      <c r="BO15" s="52">
        <v>6</v>
      </c>
      <c r="BP15" s="52">
        <v>7</v>
      </c>
      <c r="BQ15" s="52">
        <v>6</v>
      </c>
      <c r="BR15" s="52">
        <v>1</v>
      </c>
      <c r="BS15" s="52" t="b">
        <v>0</v>
      </c>
    </row>
    <row r="16" spans="2:74" ht="15" customHeight="1" thickBot="1" x14ac:dyDescent="0.25">
      <c r="B16" s="139">
        <f ca="1">Override!K16</f>
        <v>37288</v>
      </c>
      <c r="C16" s="146">
        <f ca="1">VLOOKUP(B16, Calc!$AA$5:$AH$72,6)</f>
        <v>46.437141418457031</v>
      </c>
      <c r="D16" s="150">
        <f ca="1">VLOOKUP(B16, Calc!$AA$5:$AH$72,7)</f>
        <v>0.42499999999999999</v>
      </c>
      <c r="E16" s="325">
        <f t="shared" ca="1" si="2"/>
        <v>46.437141418457031</v>
      </c>
      <c r="F16" s="324">
        <v>0.99</v>
      </c>
      <c r="G16" s="173">
        <f>Override!S16</f>
        <v>36983</v>
      </c>
      <c r="H16" s="102">
        <f>VLOOKUP(G16, 'Power Curves'!$D$9:$G$261, 3)</f>
        <v>40.25</v>
      </c>
      <c r="I16" s="333">
        <f t="shared" si="0"/>
        <v>40.25</v>
      </c>
      <c r="K16" s="82">
        <f ca="1">Override!K16</f>
        <v>37288</v>
      </c>
      <c r="L16" s="84">
        <f ca="1">Override!M16</f>
        <v>0.42499999999999999</v>
      </c>
      <c r="M16" s="35"/>
      <c r="N16" s="35"/>
      <c r="O16" s="169"/>
      <c r="P16" s="194"/>
      <c r="Q16" s="39"/>
      <c r="R16" s="193"/>
      <c r="AO16" s="1">
        <v>6</v>
      </c>
      <c r="AP16" s="1">
        <v>4</v>
      </c>
      <c r="AQ16" s="13">
        <v>4</v>
      </c>
      <c r="AR16" s="13" t="s">
        <v>40</v>
      </c>
      <c r="AS16" s="13" t="s">
        <v>41</v>
      </c>
      <c r="AU16" s="48" t="s">
        <v>81</v>
      </c>
      <c r="AV16" s="49">
        <v>2</v>
      </c>
      <c r="AX16" s="26"/>
      <c r="AY16" s="26"/>
      <c r="BA16" s="26"/>
      <c r="BB16" s="26"/>
      <c r="BC16" s="26"/>
      <c r="BE16" s="2" t="b">
        <v>1</v>
      </c>
      <c r="BG16" s="2" t="s">
        <v>160</v>
      </c>
      <c r="BH16" s="2"/>
      <c r="BJ16" s="42">
        <f ca="1">Calc!AA9</f>
        <v>37073</v>
      </c>
      <c r="BK16" s="42">
        <f t="shared" ca="1" si="1"/>
        <v>37072</v>
      </c>
      <c r="BL16" s="2">
        <v>5</v>
      </c>
      <c r="BM16" s="26"/>
      <c r="BN16" s="2" t="s">
        <v>125</v>
      </c>
      <c r="BO16" s="52">
        <v>8</v>
      </c>
      <c r="BP16" s="52">
        <v>9</v>
      </c>
      <c r="BQ16" s="52">
        <v>8</v>
      </c>
      <c r="BR16" s="52">
        <v>2</v>
      </c>
      <c r="BS16" s="52" t="b">
        <v>0</v>
      </c>
    </row>
    <row r="17" spans="1:71" ht="15" hidden="1" customHeight="1" thickBot="1" x14ac:dyDescent="0.25">
      <c r="A17" s="1" t="s">
        <v>151</v>
      </c>
      <c r="B17" s="139">
        <f ca="1">Override!K17</f>
        <v>37316</v>
      </c>
      <c r="C17" s="146">
        <f ca="1">VLOOKUP(B17, Calc!$AA$5:$AH$72,6)</f>
        <v>36.651039123535156</v>
      </c>
      <c r="D17" s="150">
        <f ca="1">VLOOKUP(B17, Calc!$AA$5:$AH$72,7)</f>
        <v>0.38600000000000001</v>
      </c>
      <c r="E17" s="325">
        <f t="shared" ca="1" si="2"/>
        <v>36.651039123535156</v>
      </c>
      <c r="F17" s="324">
        <v>0.99</v>
      </c>
      <c r="G17" s="173">
        <f>Override!S17</f>
        <v>36984</v>
      </c>
      <c r="H17" s="102">
        <f>VLOOKUP(G17, 'Power Curves'!$D$9:$G$261, 3)</f>
        <v>40.25</v>
      </c>
      <c r="I17" s="333">
        <f t="shared" si="0"/>
        <v>40.25</v>
      </c>
      <c r="K17" s="82">
        <f ca="1">Override!K17</f>
        <v>37316</v>
      </c>
      <c r="L17" s="84">
        <f ca="1">Override!M17</f>
        <v>0.38600000000000001</v>
      </c>
      <c r="M17" s="35"/>
      <c r="N17" s="35"/>
      <c r="O17" s="169"/>
      <c r="P17" s="194"/>
      <c r="Q17" s="39"/>
      <c r="R17" s="193"/>
      <c r="AO17" s="1">
        <v>12</v>
      </c>
      <c r="AP17" s="1">
        <v>5</v>
      </c>
      <c r="AQ17" s="13">
        <v>5</v>
      </c>
      <c r="AR17" s="13" t="s">
        <v>42</v>
      </c>
      <c r="AS17" s="13" t="s">
        <v>43</v>
      </c>
      <c r="AU17" s="48" t="s">
        <v>82</v>
      </c>
      <c r="AV17" s="49">
        <v>3</v>
      </c>
      <c r="AX17" s="26"/>
      <c r="AY17" s="26"/>
      <c r="BA17" s="26"/>
      <c r="BB17" s="26"/>
      <c r="BC17" s="26"/>
      <c r="BG17" s="2" t="s">
        <v>161</v>
      </c>
      <c r="BH17" s="2"/>
      <c r="BJ17" s="42">
        <f ca="1">Calc!AA10</f>
        <v>37104</v>
      </c>
      <c r="BK17" s="42">
        <f t="shared" ca="1" si="1"/>
        <v>37103</v>
      </c>
      <c r="BL17" s="2">
        <v>6</v>
      </c>
      <c r="BM17" s="26"/>
      <c r="BN17" s="2" t="s">
        <v>126</v>
      </c>
      <c r="BO17" s="52">
        <v>9</v>
      </c>
      <c r="BP17" s="52">
        <v>10</v>
      </c>
      <c r="BQ17" s="52">
        <v>9</v>
      </c>
      <c r="BR17" s="52">
        <v>2</v>
      </c>
      <c r="BS17" s="52" t="b">
        <v>0</v>
      </c>
    </row>
    <row r="18" spans="1:71" ht="15" hidden="1" customHeight="1" thickBot="1" x14ac:dyDescent="0.25">
      <c r="B18" s="139">
        <f ca="1">Override!K18</f>
        <v>37347</v>
      </c>
      <c r="C18" s="146">
        <f ca="1">VLOOKUP(B18, Calc!$AA$5:$AH$72,6)</f>
        <v>36.851043701171875</v>
      </c>
      <c r="D18" s="150">
        <f ca="1">VLOOKUP(B18, Calc!$AA$5:$AH$72,7)</f>
        <v>0.38600000000000001</v>
      </c>
      <c r="E18" s="325">
        <f t="shared" ca="1" si="2"/>
        <v>36.851043701171875</v>
      </c>
      <c r="F18" s="324">
        <v>0.99</v>
      </c>
      <c r="G18" s="173">
        <f>Override!S18</f>
        <v>36985</v>
      </c>
      <c r="H18" s="102">
        <f>VLOOKUP(G18, 'Power Curves'!$D$9:$G$261, 3)</f>
        <v>40.25</v>
      </c>
      <c r="I18" s="333">
        <f t="shared" si="0"/>
        <v>40.25</v>
      </c>
      <c r="K18" s="82">
        <f ca="1">Override!K18</f>
        <v>37347</v>
      </c>
      <c r="L18" s="84">
        <f ca="1">Override!M18</f>
        <v>0.38600000000000001</v>
      </c>
      <c r="M18" s="35"/>
      <c r="N18" s="35"/>
      <c r="O18" s="169"/>
      <c r="P18" s="194"/>
      <c r="Q18" s="39"/>
      <c r="R18" s="193"/>
      <c r="AO18" s="1">
        <v>13</v>
      </c>
      <c r="AP18" s="1">
        <v>6</v>
      </c>
      <c r="AQ18" s="13">
        <v>6</v>
      </c>
      <c r="AR18" s="13" t="s">
        <v>44</v>
      </c>
      <c r="AS18" s="13" t="s">
        <v>45</v>
      </c>
      <c r="AU18" s="48" t="s">
        <v>83</v>
      </c>
      <c r="AV18" s="49">
        <v>4</v>
      </c>
      <c r="AX18" s="26"/>
      <c r="AY18" s="26"/>
      <c r="BA18" s="26"/>
      <c r="BB18" s="26"/>
      <c r="BC18" s="26"/>
      <c r="BG18" s="2" t="s">
        <v>162</v>
      </c>
      <c r="BH18" s="2"/>
      <c r="BJ18" s="42">
        <f ca="1">Calc!AA11</f>
        <v>37135</v>
      </c>
      <c r="BK18" s="42">
        <f t="shared" ca="1" si="1"/>
        <v>37134</v>
      </c>
      <c r="BL18" s="2">
        <v>7</v>
      </c>
      <c r="BM18" s="26"/>
      <c r="BN18" s="2" t="s">
        <v>171</v>
      </c>
      <c r="BO18" s="52">
        <v>20</v>
      </c>
      <c r="BP18" s="52">
        <v>21</v>
      </c>
      <c r="BQ18" s="52">
        <v>20</v>
      </c>
      <c r="BR18" s="52">
        <v>2</v>
      </c>
      <c r="BS18" s="2" t="b">
        <v>0</v>
      </c>
    </row>
    <row r="19" spans="1:71" ht="15" hidden="1" customHeight="1" thickBot="1" x14ac:dyDescent="0.25">
      <c r="B19" s="139">
        <f ca="1">Override!K19</f>
        <v>37377</v>
      </c>
      <c r="C19" s="146">
        <f ca="1">VLOOKUP(B19, Calc!$AA$5:$AH$72,6)</f>
        <v>40.999996185302734</v>
      </c>
      <c r="D19" s="150">
        <f ca="1">VLOOKUP(B19, Calc!$AA$5:$AH$72,7)</f>
        <v>0.41600000000000004</v>
      </c>
      <c r="E19" s="325">
        <f t="shared" ca="1" si="2"/>
        <v>40.999996185302734</v>
      </c>
      <c r="F19" s="324">
        <v>0.99</v>
      </c>
      <c r="G19" s="173">
        <f>Override!S19</f>
        <v>36986</v>
      </c>
      <c r="H19" s="102">
        <f>VLOOKUP(G19, 'Power Curves'!$D$9:$G$261, 3)</f>
        <v>40.25</v>
      </c>
      <c r="I19" s="333">
        <f t="shared" si="0"/>
        <v>40.25</v>
      </c>
      <c r="K19" s="82">
        <f ca="1">Override!K19</f>
        <v>37377</v>
      </c>
      <c r="L19" s="84">
        <f ca="1">Override!M19</f>
        <v>0.41600000000000004</v>
      </c>
      <c r="M19" s="35"/>
      <c r="N19" s="35"/>
      <c r="O19" s="169"/>
      <c r="P19" s="194"/>
      <c r="Q19" s="39"/>
      <c r="R19" s="193"/>
      <c r="AO19" s="1">
        <v>21</v>
      </c>
      <c r="AP19" s="1">
        <v>7</v>
      </c>
      <c r="AQ19" s="13">
        <v>7</v>
      </c>
      <c r="AR19" s="13">
        <v>4</v>
      </c>
      <c r="AS19" s="13" t="s">
        <v>46</v>
      </c>
      <c r="AU19" s="48" t="s">
        <v>84</v>
      </c>
      <c r="AV19" s="49">
        <v>5</v>
      </c>
      <c r="AX19" s="26"/>
      <c r="AY19" s="26"/>
      <c r="BA19" s="26"/>
      <c r="BB19" s="26"/>
      <c r="BC19" s="26"/>
      <c r="BJ19" s="42">
        <f ca="1">Calc!AA12</f>
        <v>37165</v>
      </c>
      <c r="BK19" s="42">
        <f t="shared" ca="1" si="1"/>
        <v>37164</v>
      </c>
      <c r="BL19" s="2">
        <v>8</v>
      </c>
      <c r="BM19" s="26"/>
      <c r="BN19" s="2" t="s">
        <v>172</v>
      </c>
      <c r="BO19" s="52">
        <v>4</v>
      </c>
      <c r="BP19" s="52">
        <v>5</v>
      </c>
      <c r="BQ19" s="52">
        <v>4</v>
      </c>
      <c r="BR19" s="52">
        <v>2</v>
      </c>
      <c r="BS19" s="2" t="b">
        <v>0</v>
      </c>
    </row>
    <row r="20" spans="1:71" ht="15" hidden="1" customHeight="1" thickBot="1" x14ac:dyDescent="0.25">
      <c r="B20" s="139">
        <f ca="1">Override!K20</f>
        <v>37408</v>
      </c>
      <c r="C20" s="146">
        <f ca="1">VLOOKUP(B20, Calc!$AA$5:$AH$72,6)</f>
        <v>59.5</v>
      </c>
      <c r="D20" s="150">
        <f ca="1">VLOOKUP(B20, Calc!$AA$5:$AH$72,7)</f>
        <v>0.45050000000000001</v>
      </c>
      <c r="E20" s="325">
        <f t="shared" ca="1" si="2"/>
        <v>59.5</v>
      </c>
      <c r="F20" s="324">
        <v>0.99</v>
      </c>
      <c r="G20" s="173">
        <f>Override!S20</f>
        <v>36987</v>
      </c>
      <c r="H20" s="102">
        <f>VLOOKUP(G20, 'Power Curves'!$D$9:$G$261, 3)</f>
        <v>40.25</v>
      </c>
      <c r="I20" s="333">
        <f t="shared" si="0"/>
        <v>40.25</v>
      </c>
      <c r="K20" s="82">
        <f ca="1">Override!K20</f>
        <v>37408</v>
      </c>
      <c r="L20" s="84">
        <f ca="1">Override!M20</f>
        <v>0.45050000000000001</v>
      </c>
      <c r="M20" s="35"/>
      <c r="N20" s="35"/>
      <c r="O20" s="169"/>
      <c r="P20" s="194"/>
      <c r="Q20" s="39"/>
      <c r="R20" s="193"/>
      <c r="AO20" s="1">
        <v>25</v>
      </c>
      <c r="AP20" s="1">
        <v>8</v>
      </c>
      <c r="AQ20" s="13">
        <v>8</v>
      </c>
      <c r="AR20" s="112">
        <v>5</v>
      </c>
      <c r="AS20" s="112" t="s">
        <v>47</v>
      </c>
      <c r="AU20" s="48" t="s">
        <v>85</v>
      </c>
      <c r="AV20" s="49">
        <v>6</v>
      </c>
      <c r="AX20" s="26"/>
      <c r="AY20" s="26"/>
      <c r="BA20" s="26"/>
      <c r="BB20" s="26"/>
      <c r="BC20" s="26"/>
      <c r="BJ20" s="42">
        <f ca="1">Calc!AA13</f>
        <v>37196</v>
      </c>
      <c r="BK20" s="42">
        <f t="shared" ca="1" si="1"/>
        <v>37195</v>
      </c>
      <c r="BL20" s="2">
        <v>9</v>
      </c>
      <c r="BM20" s="26"/>
      <c r="BN20" s="2" t="s">
        <v>173</v>
      </c>
      <c r="BO20" s="52">
        <v>6</v>
      </c>
      <c r="BP20" s="52">
        <v>7</v>
      </c>
      <c r="BQ20" s="52">
        <v>6</v>
      </c>
      <c r="BR20" s="52">
        <v>2</v>
      </c>
      <c r="BS20" s="2" t="b">
        <v>0</v>
      </c>
    </row>
    <row r="21" spans="1:71" ht="15" hidden="1" customHeight="1" thickBot="1" x14ac:dyDescent="0.25">
      <c r="B21" s="139">
        <f ca="1">Override!K21</f>
        <v>37438</v>
      </c>
      <c r="C21" s="146">
        <f ca="1">VLOOKUP(B21, Calc!$AA$5:$AH$72,6)</f>
        <v>85.5</v>
      </c>
      <c r="D21" s="150">
        <f ca="1">VLOOKUP(B21, Calc!$AA$5:$AH$72,7)</f>
        <v>0.51550000000000007</v>
      </c>
      <c r="E21" s="325">
        <f t="shared" ca="1" si="2"/>
        <v>85.5</v>
      </c>
      <c r="F21" s="324">
        <v>0.99</v>
      </c>
      <c r="G21" s="173">
        <f>Override!S21</f>
        <v>36988</v>
      </c>
      <c r="H21" s="102">
        <f>VLOOKUP(G21, 'Power Curves'!$D$9:$G$261, 3)</f>
        <v>25</v>
      </c>
      <c r="I21" s="333">
        <f t="shared" si="0"/>
        <v>25</v>
      </c>
      <c r="K21" s="82">
        <f ca="1">Override!K21</f>
        <v>37438</v>
      </c>
      <c r="L21" s="84">
        <f ca="1">Override!M21</f>
        <v>0.51550000000000007</v>
      </c>
      <c r="M21" s="35"/>
      <c r="N21" s="35"/>
      <c r="O21" s="169"/>
      <c r="P21" s="194"/>
      <c r="Q21" s="39"/>
      <c r="R21" s="193"/>
      <c r="AQ21" s="113"/>
      <c r="AR21" s="113"/>
      <c r="AS21" s="113"/>
      <c r="AU21" s="48" t="s">
        <v>86</v>
      </c>
      <c r="AV21" s="49">
        <v>7</v>
      </c>
      <c r="AX21" s="26"/>
      <c r="AY21" s="26"/>
      <c r="BJ21" s="42">
        <f ca="1">Calc!AA14</f>
        <v>37226</v>
      </c>
      <c r="BK21" s="42">
        <f t="shared" ca="1" si="1"/>
        <v>37225</v>
      </c>
      <c r="BL21" s="2">
        <v>10</v>
      </c>
      <c r="BM21" s="26"/>
      <c r="BN21" s="2" t="s">
        <v>174</v>
      </c>
      <c r="BO21" s="52">
        <v>7</v>
      </c>
      <c r="BP21" s="52">
        <v>9</v>
      </c>
      <c r="BQ21" s="52">
        <v>7</v>
      </c>
      <c r="BR21" s="52">
        <v>2</v>
      </c>
      <c r="BS21" s="2" t="b">
        <v>0</v>
      </c>
    </row>
    <row r="22" spans="1:71" ht="15" hidden="1" customHeight="1" thickBot="1" x14ac:dyDescent="0.25">
      <c r="B22" s="139">
        <f ca="1">Override!K22</f>
        <v>37469</v>
      </c>
      <c r="C22" s="146">
        <f ca="1">VLOOKUP(B22, Calc!$AA$5:$AH$72,6)</f>
        <v>85.5</v>
      </c>
      <c r="D22" s="150">
        <f ca="1">VLOOKUP(B22, Calc!$AA$5:$AH$72,7)</f>
        <v>0.51550000000000007</v>
      </c>
      <c r="E22" s="325">
        <f t="shared" ca="1" si="2"/>
        <v>85.5</v>
      </c>
      <c r="F22" s="324">
        <v>0.99</v>
      </c>
      <c r="G22" s="173">
        <f>Override!S22</f>
        <v>36989</v>
      </c>
      <c r="H22" s="102">
        <f>VLOOKUP(G22, 'Power Curves'!$D$9:$G$261, 3)</f>
        <v>25</v>
      </c>
      <c r="I22" s="333">
        <f t="shared" si="0"/>
        <v>25</v>
      </c>
      <c r="K22" s="82">
        <f ca="1">Override!K22</f>
        <v>37469</v>
      </c>
      <c r="L22" s="84">
        <f ca="1">Override!M22</f>
        <v>0.51550000000000007</v>
      </c>
      <c r="M22" s="35"/>
      <c r="N22" s="35"/>
      <c r="O22" s="169"/>
      <c r="P22" s="194"/>
      <c r="Q22" s="39"/>
      <c r="R22" s="193"/>
      <c r="AQ22" s="113"/>
      <c r="AR22" s="113"/>
      <c r="AS22" s="113"/>
      <c r="AU22" s="48" t="s">
        <v>87</v>
      </c>
      <c r="AV22" s="49">
        <v>8</v>
      </c>
      <c r="AX22" s="26"/>
      <c r="AY22" s="26"/>
      <c r="BJ22" s="42">
        <f ca="1">Calc!AA15</f>
        <v>37257</v>
      </c>
      <c r="BK22" s="42">
        <f t="shared" ca="1" si="1"/>
        <v>37256</v>
      </c>
      <c r="BL22" s="2">
        <v>11</v>
      </c>
      <c r="BM22" s="26"/>
      <c r="BN22" s="2" t="s">
        <v>175</v>
      </c>
      <c r="BO22" s="52">
        <v>8</v>
      </c>
      <c r="BP22" s="52">
        <v>9</v>
      </c>
      <c r="BQ22" s="52">
        <v>8</v>
      </c>
      <c r="BR22" s="52">
        <v>2</v>
      </c>
      <c r="BS22" s="2" t="b">
        <v>0</v>
      </c>
    </row>
    <row r="23" spans="1:71" ht="15" hidden="1" customHeight="1" thickBot="1" x14ac:dyDescent="0.25">
      <c r="B23" s="139">
        <f ca="1">Override!K23</f>
        <v>37500</v>
      </c>
      <c r="C23" s="146">
        <f ca="1">VLOOKUP(B23, Calc!$AA$5:$AH$72,6)</f>
        <v>37.500003814697266</v>
      </c>
      <c r="D23" s="150">
        <f ca="1">VLOOKUP(B23, Calc!$AA$5:$AH$72,7)</f>
        <v>0.37050000000000005</v>
      </c>
      <c r="E23" s="325">
        <f t="shared" ca="1" si="2"/>
        <v>37.500003814697266</v>
      </c>
      <c r="F23" s="324">
        <v>0.99</v>
      </c>
      <c r="G23" s="173">
        <f>Override!S23</f>
        <v>36990</v>
      </c>
      <c r="H23" s="102">
        <f>VLOOKUP(G23, 'Power Curves'!$D$9:$G$261, 3)</f>
        <v>40.25</v>
      </c>
      <c r="I23" s="333">
        <f t="shared" si="0"/>
        <v>40.25</v>
      </c>
      <c r="K23" s="82">
        <f ca="1">Override!K23</f>
        <v>37500</v>
      </c>
      <c r="L23" s="84">
        <f ca="1">Override!M23</f>
        <v>0.37050000000000005</v>
      </c>
      <c r="M23" s="35"/>
      <c r="N23" s="35"/>
      <c r="O23" s="169"/>
      <c r="P23" s="194"/>
      <c r="Q23" s="39"/>
      <c r="R23" s="199"/>
      <c r="S23" s="71"/>
      <c r="T23" s="26"/>
      <c r="AQ23" s="113"/>
      <c r="AR23" s="113"/>
      <c r="AS23" s="113"/>
      <c r="AU23" s="48" t="s">
        <v>88</v>
      </c>
      <c r="AV23" s="49">
        <v>10</v>
      </c>
      <c r="AX23" s="26"/>
      <c r="AY23" s="26"/>
      <c r="BJ23" s="42">
        <f ca="1">Calc!AA16</f>
        <v>37288</v>
      </c>
      <c r="BK23" s="42">
        <f t="shared" ca="1" si="1"/>
        <v>37287</v>
      </c>
      <c r="BL23" s="2">
        <v>12</v>
      </c>
      <c r="BM23" s="26"/>
      <c r="BN23" s="2" t="s">
        <v>176</v>
      </c>
      <c r="BO23" s="52">
        <v>9</v>
      </c>
      <c r="BP23" s="52">
        <v>10</v>
      </c>
      <c r="BQ23" s="52">
        <v>9</v>
      </c>
      <c r="BR23" s="52">
        <v>2</v>
      </c>
      <c r="BS23" s="2" t="b">
        <v>0</v>
      </c>
    </row>
    <row r="24" spans="1:71" ht="15" hidden="1" customHeight="1" thickBot="1" x14ac:dyDescent="0.25">
      <c r="B24" s="139">
        <f ca="1">Override!K24</f>
        <v>37530</v>
      </c>
      <c r="C24" s="146">
        <f ca="1">VLOOKUP(B24, Calc!$AA$5:$AH$72,6)</f>
        <v>35.904998779296875</v>
      </c>
      <c r="D24" s="150">
        <f ca="1">VLOOKUP(B24, Calc!$AA$5:$AH$72,7)</f>
        <v>0.33050000000000002</v>
      </c>
      <c r="E24" s="325">
        <f t="shared" ca="1" si="2"/>
        <v>35.904998779296875</v>
      </c>
      <c r="F24" s="324">
        <v>0.99</v>
      </c>
      <c r="G24" s="173">
        <f>Override!S24</f>
        <v>36991</v>
      </c>
      <c r="H24" s="102">
        <f>VLOOKUP(G24, 'Power Curves'!$D$9:$G$261, 3)</f>
        <v>40.25</v>
      </c>
      <c r="I24" s="333">
        <f t="shared" si="0"/>
        <v>40.25</v>
      </c>
      <c r="K24" s="82">
        <f ca="1">Override!K24</f>
        <v>37530</v>
      </c>
      <c r="L24" s="84">
        <f ca="1">Override!M24</f>
        <v>0.33050000000000002</v>
      </c>
      <c r="M24" s="35"/>
      <c r="N24" s="35"/>
      <c r="O24" s="170"/>
      <c r="P24" s="194"/>
      <c r="Q24" s="39"/>
      <c r="R24" s="199"/>
      <c r="S24" s="71"/>
      <c r="AQ24" s="26"/>
      <c r="AR24" s="26"/>
      <c r="AS24" s="26"/>
      <c r="AU24" s="48" t="s">
        <v>89</v>
      </c>
      <c r="AV24" s="49">
        <v>11</v>
      </c>
      <c r="AX24" s="26"/>
      <c r="AY24" s="26"/>
      <c r="BJ24" s="42">
        <f ca="1">Calc!AA17</f>
        <v>37316</v>
      </c>
      <c r="BK24" s="42">
        <f t="shared" ca="1" si="1"/>
        <v>37315</v>
      </c>
      <c r="BL24" s="2">
        <v>13</v>
      </c>
      <c r="BM24" s="26"/>
    </row>
    <row r="25" spans="1:71" ht="15" hidden="1" customHeight="1" thickBot="1" x14ac:dyDescent="0.25">
      <c r="B25" s="139">
        <f ca="1">Override!K25</f>
        <v>37561</v>
      </c>
      <c r="C25" s="146">
        <f ca="1">VLOOKUP(B25, Calc!$AA$5:$AH$72,6)</f>
        <v>36.004997253417969</v>
      </c>
      <c r="D25" s="150">
        <f ca="1">VLOOKUP(B25, Calc!$AA$5:$AH$72,7)</f>
        <v>0.33050000000000002</v>
      </c>
      <c r="E25" s="325">
        <f t="shared" ca="1" si="2"/>
        <v>36.004997253417969</v>
      </c>
      <c r="F25" s="324">
        <v>0.99</v>
      </c>
      <c r="G25" s="173">
        <f>Override!S25</f>
        <v>36992</v>
      </c>
      <c r="H25" s="102">
        <f>VLOOKUP(G25, 'Power Curves'!$D$9:$G$261, 3)</f>
        <v>40.25</v>
      </c>
      <c r="I25" s="333">
        <f t="shared" si="0"/>
        <v>40.25</v>
      </c>
      <c r="K25" s="82">
        <f ca="1">Override!K25</f>
        <v>37561</v>
      </c>
      <c r="L25" s="84">
        <f ca="1">Override!M25</f>
        <v>0.33050000000000002</v>
      </c>
      <c r="M25" s="35"/>
      <c r="N25" s="35"/>
      <c r="O25" s="169"/>
      <c r="P25" s="194"/>
      <c r="Q25" s="39"/>
      <c r="R25" s="193"/>
      <c r="AQ25" s="26"/>
      <c r="AR25" s="26"/>
      <c r="AS25" s="26"/>
      <c r="AU25" s="48" t="s">
        <v>90</v>
      </c>
      <c r="AV25" s="49">
        <v>12</v>
      </c>
      <c r="AX25" s="26"/>
      <c r="AY25" s="26"/>
      <c r="BJ25" s="42">
        <f ca="1">Calc!AA18</f>
        <v>37347</v>
      </c>
      <c r="BK25" s="42">
        <f t="shared" ca="1" si="1"/>
        <v>37346</v>
      </c>
      <c r="BL25" s="2">
        <v>14</v>
      </c>
      <c r="BM25" s="26"/>
    </row>
    <row r="26" spans="1:71" ht="15" hidden="1" customHeight="1" thickBot="1" x14ac:dyDescent="0.25">
      <c r="B26" s="139">
        <f ca="1">Override!K26</f>
        <v>37591</v>
      </c>
      <c r="C26" s="146">
        <f ca="1">VLOOKUP(B26, Calc!$AA$5:$AH$72,6)</f>
        <v>36.104995727539063</v>
      </c>
      <c r="D26" s="150">
        <f ca="1">VLOOKUP(B26, Calc!$AA$5:$AH$72,7)</f>
        <v>0.33050000000000002</v>
      </c>
      <c r="E26" s="325">
        <f t="shared" ca="1" si="2"/>
        <v>36.104995727539063</v>
      </c>
      <c r="F26" s="324">
        <v>0.99</v>
      </c>
      <c r="G26" s="173">
        <f>Override!S26</f>
        <v>36993</v>
      </c>
      <c r="H26" s="102">
        <f>VLOOKUP(G26, 'Power Curves'!$D$9:$G$261, 3)</f>
        <v>40.25</v>
      </c>
      <c r="I26" s="333">
        <f t="shared" si="0"/>
        <v>40.25</v>
      </c>
      <c r="K26" s="82">
        <f ca="1">Override!K26</f>
        <v>37591</v>
      </c>
      <c r="L26" s="84">
        <f ca="1">Override!M26</f>
        <v>0.33050000000000002</v>
      </c>
      <c r="M26" s="35"/>
      <c r="N26" s="35"/>
      <c r="O26" s="169"/>
      <c r="P26" s="194"/>
      <c r="Q26" s="39"/>
      <c r="R26" s="193"/>
      <c r="AQ26" s="113"/>
      <c r="AR26" s="113"/>
      <c r="AS26" s="113"/>
      <c r="AU26" s="48" t="s">
        <v>91</v>
      </c>
      <c r="AV26" s="49">
        <v>14</v>
      </c>
      <c r="AX26" s="26"/>
      <c r="AY26" s="26"/>
      <c r="BJ26" s="42">
        <f ca="1">Calc!AA19</f>
        <v>37377</v>
      </c>
      <c r="BK26" s="42">
        <f t="shared" ca="1" si="1"/>
        <v>37376</v>
      </c>
      <c r="BL26" s="2">
        <v>15</v>
      </c>
      <c r="BM26" s="26"/>
    </row>
    <row r="27" spans="1:71" ht="12" hidden="1" thickBot="1" x14ac:dyDescent="0.25">
      <c r="B27" s="139">
        <f ca="1">Override!K27</f>
        <v>37622</v>
      </c>
      <c r="C27" s="146">
        <f ca="1">VLOOKUP(B27, Calc!$AA$5:$AH$72,6)</f>
        <v>40.287864685058594</v>
      </c>
      <c r="D27" s="150">
        <f ca="1">VLOOKUP(B27, Calc!$AA$5:$AH$72,7)</f>
        <v>0.42600000000000005</v>
      </c>
      <c r="E27" s="325">
        <f t="shared" ca="1" si="2"/>
        <v>40.287864685058594</v>
      </c>
      <c r="F27" s="324">
        <v>0.99</v>
      </c>
      <c r="G27" s="173">
        <f>Override!S27</f>
        <v>36994</v>
      </c>
      <c r="H27" s="102">
        <f>VLOOKUP(G27, 'Power Curves'!$D$9:$G$261, 3)</f>
        <v>40.25</v>
      </c>
      <c r="I27" s="333">
        <f t="shared" si="0"/>
        <v>40.25</v>
      </c>
      <c r="K27" s="82">
        <f ca="1">Override!K27</f>
        <v>37622</v>
      </c>
      <c r="L27" s="84">
        <f ca="1">Override!M27</f>
        <v>0.42600000000000005</v>
      </c>
      <c r="M27" s="35"/>
      <c r="N27" s="35"/>
      <c r="O27" s="169"/>
      <c r="P27" s="194"/>
      <c r="Q27" s="39"/>
      <c r="R27" s="193"/>
      <c r="AQ27" s="113"/>
      <c r="AR27" s="113"/>
      <c r="AS27" s="113"/>
      <c r="AU27" s="359" t="s">
        <v>93</v>
      </c>
      <c r="AV27" s="360"/>
      <c r="AX27" s="26"/>
      <c r="AY27" s="26"/>
      <c r="BJ27" s="42">
        <f ca="1">Calc!AA20</f>
        <v>37408</v>
      </c>
      <c r="BK27" s="42">
        <f t="shared" ca="1" si="1"/>
        <v>37407</v>
      </c>
      <c r="BL27" s="2">
        <v>16</v>
      </c>
      <c r="BM27" s="26"/>
    </row>
    <row r="28" spans="1:71" ht="12" hidden="1" thickBot="1" x14ac:dyDescent="0.25">
      <c r="B28" s="139">
        <f ca="1">Override!K28</f>
        <v>37653</v>
      </c>
      <c r="C28" s="151">
        <f ca="1">VLOOKUP(B28, Calc!$AA$5:$AH$72,6)</f>
        <v>39.687862396240234</v>
      </c>
      <c r="D28" s="152">
        <f ca="1">VLOOKUP(B28, Calc!$AA$5:$AH$72,7)</f>
        <v>0.42600000000000005</v>
      </c>
      <c r="E28" s="325">
        <f t="shared" ca="1" si="2"/>
        <v>39.687862396240234</v>
      </c>
      <c r="F28" s="326">
        <v>0.99</v>
      </c>
      <c r="G28" s="174">
        <f>Override!S28</f>
        <v>36995</v>
      </c>
      <c r="H28" s="153">
        <f>VLOOKUP(G28, 'Power Curves'!$D$9:$G$261, 3)</f>
        <v>25</v>
      </c>
      <c r="I28" s="334">
        <f t="shared" si="0"/>
        <v>25</v>
      </c>
      <c r="K28" s="83">
        <f ca="1">Override!K28</f>
        <v>37653</v>
      </c>
      <c r="L28" s="155">
        <f ca="1">Override!M28</f>
        <v>0.42600000000000005</v>
      </c>
      <c r="M28" s="35"/>
      <c r="N28" s="35"/>
      <c r="O28" s="169"/>
      <c r="P28" s="194"/>
      <c r="Q28" s="39"/>
      <c r="R28" s="193"/>
      <c r="AQ28" s="113"/>
      <c r="AR28" s="113"/>
      <c r="AS28" s="113"/>
      <c r="AU28" s="361"/>
      <c r="AV28" s="362"/>
      <c r="AW28" s="26"/>
      <c r="AX28" s="26"/>
      <c r="AY28" s="26"/>
      <c r="BJ28" s="42">
        <f ca="1">Calc!AA21</f>
        <v>37438</v>
      </c>
      <c r="BK28" s="42">
        <f t="shared" ca="1" si="1"/>
        <v>37437</v>
      </c>
      <c r="BL28" s="2">
        <v>17</v>
      </c>
      <c r="BM28" s="26"/>
    </row>
    <row r="29" spans="1:71" ht="12" hidden="1" thickBot="1" x14ac:dyDescent="0.25">
      <c r="B29" s="139">
        <f ca="1">Override!K29</f>
        <v>37681</v>
      </c>
      <c r="C29" s="146">
        <f ca="1">VLOOKUP(B29, Calc!$AA$5:$AH$72,6)</f>
        <v>33.898544311523438</v>
      </c>
      <c r="D29" s="154">
        <f ca="1">VLOOKUP(B29, Calc!$AA$5:$AH$72,7)</f>
        <v>0.25</v>
      </c>
      <c r="E29" s="325">
        <f t="shared" ca="1" si="2"/>
        <v>33.898544311523438</v>
      </c>
      <c r="F29" s="324">
        <v>0.99</v>
      </c>
      <c r="G29" s="173">
        <f>Override!S29</f>
        <v>36996</v>
      </c>
      <c r="H29" s="102">
        <f>VLOOKUP(G29, 'Power Curves'!$D$9:$G$261, 3)</f>
        <v>25</v>
      </c>
      <c r="I29" s="333">
        <f t="shared" si="0"/>
        <v>25</v>
      </c>
      <c r="K29" s="83">
        <f ca="1">Override!K29</f>
        <v>37681</v>
      </c>
      <c r="L29" s="155">
        <f ca="1">Override!M29</f>
        <v>0.25</v>
      </c>
      <c r="M29" s="35"/>
      <c r="N29" s="35"/>
      <c r="O29" s="169"/>
      <c r="P29" s="194"/>
      <c r="Q29" s="39"/>
      <c r="R29" s="193"/>
      <c r="AQ29" s="113"/>
      <c r="AR29" s="113"/>
      <c r="AS29" s="113"/>
      <c r="AU29" s="361"/>
      <c r="AV29" s="362"/>
      <c r="AW29" s="26"/>
      <c r="AX29" s="26"/>
      <c r="AY29" s="26"/>
      <c r="BJ29" s="42">
        <f ca="1">Calc!AA22</f>
        <v>37469</v>
      </c>
      <c r="BK29" s="42">
        <f t="shared" ca="1" si="1"/>
        <v>37468</v>
      </c>
      <c r="BL29" s="2">
        <v>18</v>
      </c>
      <c r="BM29" s="26"/>
    </row>
    <row r="30" spans="1:71" ht="12" hidden="1" thickBot="1" x14ac:dyDescent="0.25">
      <c r="B30" s="139">
        <f ca="1">Override!K30</f>
        <v>37712</v>
      </c>
      <c r="C30" s="146">
        <f ca="1">VLOOKUP(B30, Calc!$AA$5:$AH$72,6)</f>
        <v>34.098545074462891</v>
      </c>
      <c r="D30" s="154">
        <f ca="1">VLOOKUP(B30, Calc!$AA$5:$AH$72,7)</f>
        <v>0.25</v>
      </c>
      <c r="E30" s="325">
        <f t="shared" ca="1" si="2"/>
        <v>34.098545074462891</v>
      </c>
      <c r="F30" s="324">
        <v>0.99</v>
      </c>
      <c r="G30" s="173">
        <f>Override!S30</f>
        <v>36997</v>
      </c>
      <c r="H30" s="102">
        <f>VLOOKUP(G30, 'Power Curves'!$D$9:$G$261, 3)</f>
        <v>40.25</v>
      </c>
      <c r="I30" s="333">
        <f t="shared" si="0"/>
        <v>40.25</v>
      </c>
      <c r="K30" s="83">
        <f ca="1">Override!K30</f>
        <v>37712</v>
      </c>
      <c r="L30" s="155">
        <f ca="1">Override!M30</f>
        <v>0.25</v>
      </c>
      <c r="M30" s="35"/>
      <c r="N30" s="35"/>
      <c r="O30" s="169"/>
      <c r="P30" s="194"/>
      <c r="Q30" s="39"/>
      <c r="R30" s="193"/>
      <c r="AQ30" s="113"/>
      <c r="AR30" s="113"/>
      <c r="AS30" s="113"/>
      <c r="AU30" s="361"/>
      <c r="AV30" s="362"/>
      <c r="AW30" s="26"/>
      <c r="AX30" s="26"/>
      <c r="AY30" s="26"/>
      <c r="BJ30" s="42">
        <f ca="1">Calc!AA23</f>
        <v>37500</v>
      </c>
      <c r="BK30" s="42">
        <f t="shared" ca="1" si="1"/>
        <v>37499</v>
      </c>
      <c r="BL30" s="2">
        <v>19</v>
      </c>
      <c r="BM30" s="26"/>
    </row>
    <row r="31" spans="1:71" ht="12" hidden="1" thickBot="1" x14ac:dyDescent="0.25">
      <c r="B31" s="139">
        <f ca="1">Override!K31</f>
        <v>37742</v>
      </c>
      <c r="C31" s="146">
        <f ca="1">VLOOKUP(B31, Calc!$AA$5:$AH$72,6)</f>
        <v>35.003566741943359</v>
      </c>
      <c r="D31" s="154">
        <f ca="1">VLOOKUP(B31, Calc!$AA$5:$AH$72,7)</f>
        <v>0.42600000000000005</v>
      </c>
      <c r="E31" s="325">
        <f t="shared" ca="1" si="2"/>
        <v>35.003566741943359</v>
      </c>
      <c r="F31" s="324">
        <v>0.99</v>
      </c>
      <c r="G31" s="173">
        <f>Override!S31</f>
        <v>36998</v>
      </c>
      <c r="H31" s="102">
        <f>VLOOKUP(G31, 'Power Curves'!$D$9:$G$261, 3)</f>
        <v>40.25</v>
      </c>
      <c r="I31" s="333">
        <f t="shared" si="0"/>
        <v>40.25</v>
      </c>
      <c r="K31" s="83">
        <f ca="1">Override!K31</f>
        <v>37742</v>
      </c>
      <c r="L31" s="155">
        <f ca="1">Override!M31</f>
        <v>0.42600000000000005</v>
      </c>
      <c r="M31" s="35"/>
      <c r="N31" s="35"/>
      <c r="O31" s="169"/>
      <c r="P31" s="194"/>
      <c r="Q31" s="39"/>
      <c r="R31" s="193"/>
      <c r="AQ31" s="113"/>
      <c r="AR31" s="113"/>
      <c r="AS31" s="113"/>
      <c r="AU31" s="361"/>
      <c r="AV31" s="362"/>
      <c r="AW31" s="26"/>
      <c r="AX31" s="26"/>
      <c r="AY31" s="26"/>
      <c r="BJ31" s="42">
        <f ca="1">Calc!AA24</f>
        <v>37530</v>
      </c>
      <c r="BK31" s="42">
        <f t="shared" ca="1" si="1"/>
        <v>37529</v>
      </c>
      <c r="BL31" s="2">
        <v>20</v>
      </c>
      <c r="BM31" s="26"/>
    </row>
    <row r="32" spans="1:71" ht="12" hidden="1" thickBot="1" x14ac:dyDescent="0.25">
      <c r="B32" s="139">
        <f ca="1">Override!K32</f>
        <v>37773</v>
      </c>
      <c r="C32" s="146">
        <f ca="1">VLOOKUP(B32, Calc!$AA$5:$AH$72,6)</f>
        <v>51.747856140136719</v>
      </c>
      <c r="D32" s="154">
        <f ca="1">VLOOKUP(B32, Calc!$AA$5:$AH$72,7)</f>
        <v>0.46550000000000002</v>
      </c>
      <c r="E32" s="325">
        <f t="shared" ca="1" si="2"/>
        <v>51.747856140136719</v>
      </c>
      <c r="F32" s="324">
        <v>0.99</v>
      </c>
      <c r="G32" s="173">
        <f>Override!S32</f>
        <v>36999</v>
      </c>
      <c r="H32" s="102">
        <f>VLOOKUP(G32, 'Power Curves'!$D$9:$G$261, 3)</f>
        <v>40.25</v>
      </c>
      <c r="I32" s="333">
        <f t="shared" si="0"/>
        <v>40.25</v>
      </c>
      <c r="K32" s="83">
        <f ca="1">Override!K32</f>
        <v>37773</v>
      </c>
      <c r="L32" s="155">
        <f ca="1">Override!M32</f>
        <v>0.46550000000000002</v>
      </c>
      <c r="M32" s="35"/>
      <c r="N32" s="35"/>
      <c r="O32" s="169"/>
      <c r="P32" s="194"/>
      <c r="Q32" s="39"/>
      <c r="R32" s="193"/>
      <c r="AQ32" s="113"/>
      <c r="AR32" s="113"/>
      <c r="AS32" s="113"/>
      <c r="AU32" s="361"/>
      <c r="AV32" s="362"/>
      <c r="AW32" s="26"/>
      <c r="AX32" s="26"/>
      <c r="AY32" s="26"/>
      <c r="BJ32" s="42">
        <f ca="1">Calc!AA25</f>
        <v>37561</v>
      </c>
      <c r="BK32" s="42">
        <f t="shared" ca="1" si="1"/>
        <v>37560</v>
      </c>
      <c r="BL32" s="2">
        <v>21</v>
      </c>
      <c r="BM32" s="26"/>
    </row>
    <row r="33" spans="1:65" ht="12" hidden="1" thickBot="1" x14ac:dyDescent="0.25">
      <c r="B33" s="139">
        <f ca="1">Override!K33</f>
        <v>37803</v>
      </c>
      <c r="C33" s="146">
        <f ca="1">VLOOKUP(B33, Calc!$AA$5:$AH$72,6)</f>
        <v>76.997146606445313</v>
      </c>
      <c r="D33" s="154">
        <f ca="1">VLOOKUP(B33, Calc!$AA$5:$AH$72,7)</f>
        <v>0.4955</v>
      </c>
      <c r="E33" s="325">
        <f t="shared" ca="1" si="2"/>
        <v>76.997146606445313</v>
      </c>
      <c r="F33" s="324">
        <v>0.99</v>
      </c>
      <c r="G33" s="173">
        <f>Override!S33</f>
        <v>37000</v>
      </c>
      <c r="H33" s="102">
        <f>VLOOKUP(G33, 'Power Curves'!$D$9:$G$261, 3)</f>
        <v>40.25</v>
      </c>
      <c r="I33" s="333">
        <f t="shared" si="0"/>
        <v>40.25</v>
      </c>
      <c r="K33" s="83">
        <f ca="1">Override!K33</f>
        <v>37803</v>
      </c>
      <c r="L33" s="155">
        <f ca="1">Override!M33</f>
        <v>0.4955</v>
      </c>
      <c r="M33" s="35"/>
      <c r="N33" s="35"/>
      <c r="O33" s="169"/>
      <c r="P33" s="194"/>
      <c r="Q33" s="39"/>
      <c r="R33" s="193"/>
      <c r="AQ33" s="113"/>
      <c r="AR33" s="113"/>
      <c r="AS33" s="113"/>
      <c r="AU33" s="361"/>
      <c r="AV33" s="362"/>
      <c r="AW33" s="26"/>
      <c r="AX33" s="26"/>
      <c r="AY33" s="26"/>
      <c r="BJ33" s="42">
        <f ca="1">Calc!AA26</f>
        <v>37591</v>
      </c>
      <c r="BK33" s="42">
        <f t="shared" ca="1" si="1"/>
        <v>37590</v>
      </c>
      <c r="BL33" s="2">
        <v>22</v>
      </c>
      <c r="BM33" s="26"/>
    </row>
    <row r="34" spans="1:65" ht="12" hidden="1" thickBot="1" x14ac:dyDescent="0.25">
      <c r="B34" s="139">
        <f ca="1">Override!K34</f>
        <v>37834</v>
      </c>
      <c r="C34" s="146">
        <f ca="1">VLOOKUP(B34, Calc!$AA$5:$AH$72,6)</f>
        <v>76.997146606445313</v>
      </c>
      <c r="D34" s="154">
        <f ca="1">VLOOKUP(B34, Calc!$AA$5:$AH$72,7)</f>
        <v>0.4955</v>
      </c>
      <c r="E34" s="325">
        <f t="shared" ca="1" si="2"/>
        <v>76.997146606445313</v>
      </c>
      <c r="F34" s="324">
        <v>0.99</v>
      </c>
      <c r="G34" s="173">
        <f>Override!S34</f>
        <v>37001</v>
      </c>
      <c r="H34" s="102">
        <f>VLOOKUP(G34, 'Power Curves'!$D$9:$G$261, 3)</f>
        <v>40.25</v>
      </c>
      <c r="I34" s="333">
        <f t="shared" si="0"/>
        <v>40.25</v>
      </c>
      <c r="K34" s="83">
        <f ca="1">Override!K34</f>
        <v>37834</v>
      </c>
      <c r="L34" s="155">
        <f ca="1">Override!M34</f>
        <v>0.4955</v>
      </c>
      <c r="M34" s="35"/>
      <c r="N34" s="35"/>
      <c r="O34" s="169"/>
      <c r="P34" s="194"/>
      <c r="Q34" s="39"/>
      <c r="R34" s="193"/>
      <c r="AQ34" s="113"/>
      <c r="AR34" s="113"/>
      <c r="AS34" s="113"/>
      <c r="AU34" s="361"/>
      <c r="AV34" s="362"/>
      <c r="AW34" s="26"/>
      <c r="AX34" s="26"/>
      <c r="AY34" s="26"/>
      <c r="BJ34" s="42">
        <f ca="1">Calc!AA27</f>
        <v>37622</v>
      </c>
      <c r="BK34" s="42">
        <f t="shared" ca="1" si="1"/>
        <v>37621</v>
      </c>
      <c r="BL34" s="2">
        <v>23</v>
      </c>
      <c r="BM34" s="26"/>
    </row>
    <row r="35" spans="1:65" ht="12" hidden="1" thickBot="1" x14ac:dyDescent="0.25">
      <c r="B35" s="139">
        <f ca="1">Override!K35</f>
        <v>37865</v>
      </c>
      <c r="C35" s="151">
        <f ca="1">VLOOKUP(B35, Calc!$AA$5:$AH$72,6)</f>
        <v>34.502143859863281</v>
      </c>
      <c r="D35" s="184">
        <f ca="1">VLOOKUP(B35, Calc!$AA$5:$AH$72,7)</f>
        <v>0.42600000000000005</v>
      </c>
      <c r="E35" s="327">
        <f t="shared" ca="1" si="2"/>
        <v>34.502143859863281</v>
      </c>
      <c r="F35" s="326">
        <v>0.99</v>
      </c>
      <c r="G35" s="174">
        <f>Override!S35</f>
        <v>37002</v>
      </c>
      <c r="H35" s="153">
        <f>VLOOKUP(G35, 'Power Curves'!$D$9:$G$261, 3)</f>
        <v>25</v>
      </c>
      <c r="I35" s="334">
        <f t="shared" si="0"/>
        <v>25</v>
      </c>
      <c r="K35" s="83">
        <f ca="1">Override!K35</f>
        <v>37865</v>
      </c>
      <c r="L35" s="155">
        <f ca="1">Override!M35</f>
        <v>0.42600000000000005</v>
      </c>
      <c r="M35" s="35"/>
      <c r="N35" s="35"/>
      <c r="O35" s="169"/>
      <c r="P35" s="194"/>
      <c r="Q35" s="39"/>
      <c r="R35" s="193"/>
      <c r="AQ35" s="113"/>
      <c r="AR35" s="113"/>
      <c r="AS35" s="113"/>
      <c r="AU35" s="361"/>
      <c r="AV35" s="362"/>
      <c r="AW35" s="26"/>
      <c r="AX35" s="26"/>
      <c r="AY35" s="26"/>
      <c r="BJ35" s="42">
        <f ca="1">Calc!AA28</f>
        <v>37653</v>
      </c>
      <c r="BK35" s="42">
        <f t="shared" ca="1" si="1"/>
        <v>37652</v>
      </c>
      <c r="BL35" s="2">
        <v>24</v>
      </c>
      <c r="BM35" s="26"/>
    </row>
    <row r="36" spans="1:65" ht="12" thickBot="1" x14ac:dyDescent="0.25">
      <c r="B36" s="139">
        <f ca="1">Override!K36</f>
        <v>37895</v>
      </c>
      <c r="C36" s="221">
        <f ca="1">VLOOKUP(B36, Calc!$AA$5:$AH$72,6)</f>
        <v>32.648933410644531</v>
      </c>
      <c r="D36" s="222">
        <f ca="1">VLOOKUP(B36, Calc!$AA$5:$AH$72,7)</f>
        <v>0.19500000000000001</v>
      </c>
      <c r="E36" s="330">
        <f t="shared" ca="1" si="2"/>
        <v>32.648933410644531</v>
      </c>
      <c r="F36" s="331">
        <v>0.99</v>
      </c>
      <c r="G36" s="223">
        <f>Override!S36</f>
        <v>37011</v>
      </c>
      <c r="H36" s="224">
        <f>VLOOKUP(G36, 'Power Curves'!$D$9:$G$261, 3)</f>
        <v>40.25</v>
      </c>
      <c r="I36" s="335">
        <f t="shared" si="0"/>
        <v>40.25</v>
      </c>
      <c r="K36" s="162">
        <f ca="1">Override!K36</f>
        <v>37895</v>
      </c>
      <c r="L36" s="163">
        <f ca="1">Override!M36</f>
        <v>0.19500000000000001</v>
      </c>
      <c r="M36" s="164"/>
      <c r="N36" s="164"/>
      <c r="O36" s="171"/>
      <c r="P36" s="200"/>
      <c r="Q36" s="201"/>
      <c r="R36" s="202"/>
      <c r="AQ36" s="113"/>
      <c r="AR36" s="113"/>
      <c r="AS36" s="113"/>
      <c r="AU36" s="361"/>
      <c r="AV36" s="362"/>
      <c r="AW36" s="26"/>
      <c r="AX36" s="26"/>
      <c r="AY36" s="26"/>
      <c r="BJ36" s="42">
        <f ca="1">Calc!AA29</f>
        <v>37681</v>
      </c>
      <c r="BK36" s="42">
        <f t="shared" ca="1" si="1"/>
        <v>37680</v>
      </c>
      <c r="BL36" s="2">
        <v>25</v>
      </c>
      <c r="BM36" s="26"/>
    </row>
    <row r="37" spans="1:65" ht="17.25" customHeight="1" thickBot="1" x14ac:dyDescent="0.25">
      <c r="Q37" s="26"/>
      <c r="R37" s="26"/>
      <c r="S37" s="26"/>
      <c r="AQ37" s="113"/>
      <c r="AR37" s="113"/>
      <c r="AS37" s="113"/>
      <c r="AU37" s="361"/>
      <c r="AV37" s="362"/>
      <c r="AW37" s="26"/>
      <c r="AX37" s="26"/>
      <c r="AY37" s="26"/>
      <c r="BJ37" s="42">
        <f ca="1">Calc!AA30</f>
        <v>37712</v>
      </c>
      <c r="BK37" s="42">
        <f t="shared" ca="1" si="1"/>
        <v>37711</v>
      </c>
      <c r="BL37" s="2">
        <v>26</v>
      </c>
      <c r="BM37" s="26"/>
    </row>
    <row r="38" spans="1:65" ht="17.25" customHeight="1" x14ac:dyDescent="0.2">
      <c r="B38" s="111"/>
      <c r="C38" s="109"/>
      <c r="D38" s="109"/>
      <c r="E38" s="108" t="s">
        <v>3</v>
      </c>
      <c r="F38" s="104"/>
      <c r="G38" s="61"/>
      <c r="H38" s="124" t="s">
        <v>177</v>
      </c>
      <c r="I38" s="125"/>
      <c r="J38" s="123">
        <f ca="1">TODAY()</f>
        <v>36976</v>
      </c>
      <c r="K38" s="124" t="s">
        <v>9</v>
      </c>
      <c r="L38" s="126"/>
      <c r="M38" s="127"/>
      <c r="N38" s="61"/>
      <c r="O38" s="128" t="s">
        <v>142</v>
      </c>
      <c r="P38" s="129"/>
      <c r="Q38" s="26"/>
      <c r="R38" s="26"/>
      <c r="S38" s="26"/>
      <c r="AQ38" s="113"/>
      <c r="AR38" s="113"/>
      <c r="AS38" s="113"/>
      <c r="AU38" s="361"/>
      <c r="AV38" s="362"/>
      <c r="AW38" s="26"/>
      <c r="AX38" s="26"/>
      <c r="AY38" s="26"/>
      <c r="BJ38" s="42">
        <f ca="1">Calc!AA31</f>
        <v>37742</v>
      </c>
      <c r="BK38" s="42">
        <f t="shared" ca="1" si="1"/>
        <v>37741</v>
      </c>
      <c r="BL38" s="2">
        <v>27</v>
      </c>
      <c r="BM38" s="26"/>
    </row>
    <row r="39" spans="1:65" ht="17.25" customHeight="1" thickBot="1" x14ac:dyDescent="0.25">
      <c r="B39" s="130" t="s">
        <v>158</v>
      </c>
      <c r="C39" s="63"/>
      <c r="D39" s="131"/>
      <c r="E39" s="132" t="s">
        <v>4</v>
      </c>
      <c r="F39" s="131"/>
      <c r="G39" s="63"/>
      <c r="H39" s="110" t="s">
        <v>96</v>
      </c>
      <c r="I39" s="133"/>
      <c r="J39" s="134">
        <v>36972</v>
      </c>
      <c r="K39" s="110" t="s">
        <v>10</v>
      </c>
      <c r="L39" s="63"/>
      <c r="M39" s="135"/>
      <c r="N39" s="63"/>
      <c r="O39" s="136" t="s">
        <v>1</v>
      </c>
      <c r="P39" s="64"/>
      <c r="Q39" s="26"/>
      <c r="R39" s="26"/>
      <c r="S39" s="26"/>
      <c r="AQ39" s="113"/>
      <c r="AR39" s="113"/>
      <c r="AS39" s="113"/>
      <c r="AU39" s="361"/>
      <c r="AV39" s="362"/>
      <c r="AW39" s="26"/>
      <c r="AX39" s="26"/>
      <c r="AY39" s="26"/>
      <c r="BJ39" s="42">
        <f ca="1">Calc!AA32</f>
        <v>37773</v>
      </c>
      <c r="BK39" s="42">
        <f t="shared" ca="1" si="1"/>
        <v>37772</v>
      </c>
      <c r="BL39" s="2">
        <v>28</v>
      </c>
      <c r="BM39" s="26"/>
    </row>
    <row r="40" spans="1:65" ht="12" thickBot="1" x14ac:dyDescent="0.25">
      <c r="A40" s="26"/>
      <c r="B40" s="116"/>
      <c r="C40" s="26"/>
      <c r="D40" s="26"/>
      <c r="E40" s="26"/>
      <c r="H40" s="1"/>
      <c r="I40" s="1"/>
      <c r="K40" s="117"/>
      <c r="P40" s="120"/>
      <c r="AQ40" s="113"/>
      <c r="AR40" s="113"/>
      <c r="AS40" s="113"/>
      <c r="AU40" s="361"/>
      <c r="AV40" s="362"/>
      <c r="AW40" s="26"/>
      <c r="AX40" s="26"/>
      <c r="AY40" s="26"/>
      <c r="BJ40" s="42">
        <f ca="1">Calc!AA33</f>
        <v>37803</v>
      </c>
      <c r="BK40" s="42">
        <f t="shared" ca="1" si="1"/>
        <v>37802</v>
      </c>
      <c r="BL40" s="2">
        <v>29</v>
      </c>
      <c r="BM40" s="26"/>
    </row>
    <row r="41" spans="1:65" ht="13.5" thickBot="1" x14ac:dyDescent="0.25">
      <c r="H41" s="1"/>
      <c r="I41" s="1"/>
      <c r="J41" s="1"/>
      <c r="K41" s="26"/>
      <c r="L41" s="66"/>
      <c r="M41" s="382" t="s">
        <v>7</v>
      </c>
      <c r="N41" s="383"/>
      <c r="O41" s="67" t="s">
        <v>115</v>
      </c>
      <c r="P41" s="67" t="s">
        <v>116</v>
      </c>
      <c r="Q41" s="67" t="s">
        <v>117</v>
      </c>
      <c r="R41" s="68" t="s">
        <v>118</v>
      </c>
      <c r="AQ41" s="113"/>
      <c r="AR41" s="113"/>
      <c r="AS41" s="113"/>
      <c r="AU41" s="361"/>
      <c r="AV41" s="362"/>
      <c r="AW41" s="26"/>
      <c r="AX41" s="26"/>
      <c r="AY41" s="26"/>
      <c r="BJ41" s="42">
        <f ca="1">Calc!AA34</f>
        <v>37834</v>
      </c>
      <c r="BK41" s="42">
        <f t="shared" ca="1" si="1"/>
        <v>37833</v>
      </c>
      <c r="BL41" s="2">
        <v>30</v>
      </c>
      <c r="BM41" s="26"/>
    </row>
    <row r="42" spans="1:65" ht="13.5" thickBot="1" x14ac:dyDescent="0.25">
      <c r="B42" s="401" t="s">
        <v>170</v>
      </c>
      <c r="C42" s="402"/>
      <c r="D42" s="402"/>
      <c r="E42" s="402"/>
      <c r="F42" s="402"/>
      <c r="G42" s="403"/>
      <c r="H42" s="1"/>
      <c r="I42" s="1"/>
      <c r="J42" s="1"/>
      <c r="K42" s="26"/>
      <c r="L42" s="65" t="s">
        <v>132</v>
      </c>
      <c r="M42" s="384">
        <f ca="1">SUM(O46:O57)</f>
        <v>47</v>
      </c>
      <c r="N42" s="385"/>
      <c r="O42" s="81">
        <f ca="1">SUM(Q46:Q57)</f>
        <v>1.668070132207305</v>
      </c>
      <c r="P42" s="81">
        <f ca="1">SUM(R46:R57)</f>
        <v>-2.6951387438958682E-2</v>
      </c>
      <c r="Q42" s="107">
        <f ca="1">SUM(S46:S57)</f>
        <v>0.74090210116503319</v>
      </c>
      <c r="R42" s="86">
        <f ca="1">SUM(T46:T57)</f>
        <v>7.0222950436110154E-3</v>
      </c>
      <c r="AQ42" s="113"/>
      <c r="AR42" s="113"/>
      <c r="AS42" s="113"/>
      <c r="AU42" s="361"/>
      <c r="AV42" s="362"/>
      <c r="AW42" s="26"/>
      <c r="AX42" s="26"/>
      <c r="AY42" s="26"/>
      <c r="BJ42" s="42">
        <f ca="1">Calc!AA35</f>
        <v>37865</v>
      </c>
      <c r="BK42" s="42">
        <f t="shared" ca="1" si="1"/>
        <v>37864</v>
      </c>
      <c r="BL42" s="2">
        <v>31</v>
      </c>
      <c r="BM42" s="26"/>
    </row>
    <row r="43" spans="1:65" ht="12" thickBot="1" x14ac:dyDescent="0.25">
      <c r="H43" s="1"/>
      <c r="I43" s="1"/>
      <c r="K43" s="117"/>
      <c r="L43" s="118"/>
      <c r="M43" s="119"/>
      <c r="N43" s="119"/>
      <c r="O43" s="120"/>
      <c r="P43" s="120"/>
      <c r="AQ43" s="113"/>
      <c r="AR43" s="113"/>
      <c r="AS43" s="113"/>
      <c r="AU43" s="361"/>
      <c r="AV43" s="362"/>
      <c r="AW43" s="26"/>
      <c r="AX43" s="26"/>
      <c r="AY43" s="26"/>
      <c r="BJ43" s="42">
        <f ca="1">Calc!AA36</f>
        <v>37895</v>
      </c>
      <c r="BK43" s="42">
        <f t="shared" ca="1" si="1"/>
        <v>37894</v>
      </c>
      <c r="BL43" s="2">
        <v>32</v>
      </c>
      <c r="BM43" s="26"/>
    </row>
    <row r="44" spans="1:65" ht="11.25" customHeight="1" x14ac:dyDescent="0.2">
      <c r="B44" s="404" t="s">
        <v>128</v>
      </c>
      <c r="C44" s="400" t="s">
        <v>129</v>
      </c>
      <c r="D44" s="370" t="s">
        <v>5</v>
      </c>
      <c r="E44" s="406"/>
      <c r="F44" s="407"/>
      <c r="G44" s="398" t="s">
        <v>169</v>
      </c>
      <c r="H44" s="373" t="s">
        <v>33</v>
      </c>
      <c r="I44" s="373" t="s">
        <v>6</v>
      </c>
      <c r="J44" s="373" t="s">
        <v>110</v>
      </c>
      <c r="K44" s="373" t="s">
        <v>111</v>
      </c>
      <c r="L44" s="398" t="s">
        <v>130</v>
      </c>
      <c r="M44" s="409" t="s">
        <v>139</v>
      </c>
      <c r="N44" s="410"/>
      <c r="O44" s="387" t="s">
        <v>7</v>
      </c>
      <c r="P44" s="373" t="s">
        <v>8</v>
      </c>
      <c r="Q44" s="370" t="s">
        <v>114</v>
      </c>
      <c r="R44" s="371"/>
      <c r="S44" s="371"/>
      <c r="T44" s="372"/>
      <c r="AQ44" s="113"/>
      <c r="AR44" s="113"/>
      <c r="AS44" s="113"/>
      <c r="AW44" s="26"/>
      <c r="AX44" s="26"/>
      <c r="BJ44" s="42">
        <f ca="1">Calc!AA37</f>
        <v>37926</v>
      </c>
      <c r="BK44" s="42">
        <f t="shared" ref="BK44:BK75" ca="1" si="3">EOMONTH(BJ44,-1)</f>
        <v>37925</v>
      </c>
      <c r="BL44" s="2">
        <v>33</v>
      </c>
    </row>
    <row r="45" spans="1:65" ht="11.25" customHeight="1" thickBot="1" x14ac:dyDescent="0.25">
      <c r="B45" s="405"/>
      <c r="C45" s="399"/>
      <c r="D45" s="57" t="s">
        <v>18</v>
      </c>
      <c r="E45" s="57" t="s">
        <v>19</v>
      </c>
      <c r="F45" s="101" t="s">
        <v>112</v>
      </c>
      <c r="G45" s="399"/>
      <c r="H45" s="386"/>
      <c r="I45" s="386"/>
      <c r="J45" s="386"/>
      <c r="K45" s="386"/>
      <c r="L45" s="408"/>
      <c r="M45" s="411"/>
      <c r="N45" s="412"/>
      <c r="O45" s="388"/>
      <c r="P45" s="374"/>
      <c r="Q45" s="58" t="s">
        <v>115</v>
      </c>
      <c r="R45" s="58" t="s">
        <v>116</v>
      </c>
      <c r="S45" s="58" t="s">
        <v>117</v>
      </c>
      <c r="T45" s="59" t="s">
        <v>118</v>
      </c>
      <c r="AQ45" s="113"/>
      <c r="AR45" s="113"/>
      <c r="AS45" s="113"/>
      <c r="BJ45" s="42">
        <f ca="1">Calc!AA38</f>
        <v>37956</v>
      </c>
      <c r="BK45" s="42">
        <f t="shared" ca="1" si="3"/>
        <v>37955</v>
      </c>
      <c r="BL45" s="2">
        <v>34</v>
      </c>
    </row>
    <row r="46" spans="1:65" ht="17.25" customHeight="1" x14ac:dyDescent="0.2">
      <c r="B46" s="77">
        <v>1</v>
      </c>
      <c r="C46" s="24">
        <v>0</v>
      </c>
      <c r="D46" s="54"/>
      <c r="E46" s="87"/>
      <c r="F46" s="95"/>
      <c r="G46" s="91"/>
      <c r="H46" s="24">
        <v>50</v>
      </c>
      <c r="I46" s="316">
        <v>40</v>
      </c>
      <c r="J46" s="55">
        <f ca="1">Calc!K6</f>
        <v>33.351190294538227</v>
      </c>
      <c r="K46" s="56">
        <f ca="1">IF(AND(driver=1,BR12=1),P46,Calc!L6)</f>
        <v>1.1199792724380346</v>
      </c>
      <c r="L46" s="72">
        <v>8</v>
      </c>
      <c r="M46" s="79">
        <v>1.7</v>
      </c>
      <c r="N46" s="33"/>
      <c r="O46" s="203">
        <f ca="1">IF(AND(H46&lt;&gt;0, ISNUMBER(Calc!M6)),  IF(driver=2,Calc!M6*IF(unit=1,1,IF(unit=2,H46,IF(peak_base=1,NETWORKDAYS(Calc!E6,Calc!F6)*H46*16,(Calc!F6-Calc!E6)*H46*24))),L46)*IF(B46=1,-1,1),"")</f>
        <v>-8</v>
      </c>
      <c r="P46" s="279">
        <f ca="1" xml:space="preserve"> IF(OR(driver=2, AND(driver=1, L46&lt;&gt;0)), IF(AND(H46&lt;&gt;0, ISNUMBER(Calc!N6)), Calc!N6,""), "")</f>
        <v>1.1199792724380346</v>
      </c>
      <c r="Q46" s="203">
        <f ca="1" xml:space="preserve"> IF(OR(driver=2, AND(driver=1, L46&lt;&gt;0)), IF(AND(H46&lt;&gt;0,ISNUMBER(Calc!O6)), Calc!O6*IF(B46=1, -1,1)*IF(unit=1, 1, IF(unit=2, H46, IF(peak_base=1,NETWORKDAYS(Calc!E6,Calc!F6)*H46*16,(-Calc!E6+Calc!F6)*H46*24))),""), "")</f>
        <v>0.75955611088052866</v>
      </c>
      <c r="R46" s="203">
        <f ca="1" xml:space="preserve"> IF(OR(driver=2, AND(driver=1, L46&lt;&gt;0)),  IF(AND(H46&lt;&gt;0,ISNUMBER(Calc!P6)), Calc!P6*IF(B46=1, -1,1)*IF(unit=1, 1, IF(unit=2,H46,IF(peak_base=1,NETWORKDAYS(Calc!E6,Calc!F6)*H46*16,(-Calc!E6+Calc!F6)*H46*24))),""),"")</f>
        <v>-2.9586881144818462E-2</v>
      </c>
      <c r="S46" s="203">
        <f ca="1" xml:space="preserve"> IF(OR(driver=2, AND(driver=1, L46&lt;&gt;0)), IF(AND(H46&lt;&gt;0,ISNUMBER(Calc!Q6)), Calc!Q6*IF(B46=1,-1,1)*IF(unit=1,1,IF(peak_base=1,NETWORKDAYS(Calc!E6,Calc!F6)*H46*16,(-Calc!E6+Calc!F6)*H46*24))*0.1,""),"")</f>
        <v>-0.14780016250945641</v>
      </c>
      <c r="T46" s="204">
        <f ca="1" xml:space="preserve"> IF(OR(driver=2, AND(driver=1, L46&lt;&gt;0)), IF(AND(H46&lt;&gt;0,ISNUMBER(Calc!R6)), Calc!R6*IF(B46=1,-1,1)*IF(unit=1,1,IF(peak_base=1,NETWORKDAYS(Calc!E6,Calc!F6)*H46*16,(-Calc!E6+Calc!F6)*H46*24))/365.25,""),"")</f>
        <v>3.3857225624122869E-2</v>
      </c>
      <c r="AQ46" s="113"/>
      <c r="AR46" s="113"/>
      <c r="AS46" s="113"/>
      <c r="BJ46" s="42">
        <f ca="1">Calc!AA39</f>
        <v>37987</v>
      </c>
      <c r="BK46" s="42">
        <f t="shared" ca="1" si="3"/>
        <v>37986</v>
      </c>
      <c r="BL46" s="2">
        <v>35</v>
      </c>
    </row>
    <row r="47" spans="1:65" ht="17.25" customHeight="1" x14ac:dyDescent="0.2">
      <c r="B47" s="78">
        <v>0</v>
      </c>
      <c r="C47" s="25">
        <v>1</v>
      </c>
      <c r="D47" s="27"/>
      <c r="E47" s="88"/>
      <c r="F47" s="96"/>
      <c r="G47" s="92"/>
      <c r="H47" s="25">
        <v>50</v>
      </c>
      <c r="I47" s="317">
        <v>65.89</v>
      </c>
      <c r="J47" s="55">
        <f ca="1">Calc!K7</f>
        <v>115</v>
      </c>
      <c r="K47" s="56">
        <f ca="1">IF(AND(driver=1,BR13=1),P47,Calc!L7)</f>
        <v>1.2467007896646136</v>
      </c>
      <c r="L47" s="74">
        <v>55</v>
      </c>
      <c r="M47" s="80">
        <v>2.14</v>
      </c>
      <c r="N47" s="73"/>
      <c r="O47" s="203">
        <f ca="1">IF(AND(H47&lt;&gt;0, ISNUMBER(Calc!M7)),  IF(driver=2,Calc!M7*IF(unit=1,1,IF(unit=2,H47,IF(peak_base=1,NETWORKDAYS(Calc!E7,Calc!F7)*H47*16,(Calc!F7-Calc!E7)*H47*24))),L47)*IF(B47=1,-1,1),"")</f>
        <v>55</v>
      </c>
      <c r="P47" s="279">
        <f ca="1" xml:space="preserve"> IF(OR(driver=2, AND(driver=1, L47&lt;&gt;0)), IF(AND(H47&lt;&gt;0, ISNUMBER(Calc!N7)), Calc!N7,""), "")</f>
        <v>1.2467007896646136</v>
      </c>
      <c r="Q47" s="203">
        <f ca="1" xml:space="preserve"> IF(OR(driver=2, AND(driver=1, L47&lt;&gt;0)), IF(AND(H47&lt;&gt;0,ISNUMBER(Calc!O7)), Calc!O7*IF(B47=1, -1,1)*IF(unit=1, 1, IF(unit=2, H47, IF(peak_base=1,NETWORKDAYS(Calc!E7,Calc!F7)*H47*16,(-Calc!E7+Calc!F7)*H47*24))),""), "")</f>
        <v>0.90851402132677639</v>
      </c>
      <c r="R47" s="203">
        <f ca="1" xml:space="preserve"> IF(OR(driver=2, AND(driver=1, L47&lt;&gt;0)),  IF(AND(H47&lt;&gt;0,ISNUMBER(Calc!P7)), Calc!P7*IF(B47=1, -1,1)*IF(unit=1, 1, IF(unit=2,H47,IF(peak_base=1,NETWORKDAYS(Calc!E7,Calc!F7)*H47*16,(-Calc!E7+Calc!F7)*H47*24))),""),"")</f>
        <v>2.6354937058597813E-3</v>
      </c>
      <c r="S47" s="203">
        <f ca="1" xml:space="preserve"> IF(OR(driver=2, AND(driver=1, L47&lt;&gt;0)), IF(AND(H47&lt;&gt;0,ISNUMBER(Calc!Q7)), Calc!Q7*IF(B47=1,-1,1)*IF(unit=1,1,IF(peak_base=1,NETWORKDAYS(Calc!E7,Calc!F7)*H47*16,(-Calc!E7+Calc!F7)*H47*24))*0.1,""),"")</f>
        <v>0.88870226367448957</v>
      </c>
      <c r="T47" s="204">
        <f ca="1" xml:space="preserve"> IF(OR(driver=2, AND(driver=1, L47&lt;&gt;0)), IF(AND(H47&lt;&gt;0,ISNUMBER(Calc!R7)), Calc!R7*IF(B47=1,-1,1)*IF(unit=1,1,IF(peak_base=1,NETWORKDAYS(Calc!E7,Calc!F7)*H47*16,(-Calc!E7+Calc!F7)*H47*24))/365.25,""),"")</f>
        <v>-2.6834930580511854E-2</v>
      </c>
      <c r="AQ47" s="113"/>
      <c r="AR47" s="113"/>
      <c r="AS47" s="113"/>
      <c r="BJ47" s="42">
        <f ca="1">Calc!AA40</f>
        <v>38018</v>
      </c>
      <c r="BK47" s="42">
        <f t="shared" ca="1" si="3"/>
        <v>38017</v>
      </c>
      <c r="BL47" s="2">
        <v>36</v>
      </c>
    </row>
    <row r="48" spans="1:65" ht="17.25" customHeight="1" x14ac:dyDescent="0.2">
      <c r="B48" s="78">
        <v>0</v>
      </c>
      <c r="C48" s="25">
        <v>1</v>
      </c>
      <c r="D48" s="28"/>
      <c r="E48" s="89"/>
      <c r="F48" s="95"/>
      <c r="G48" s="93"/>
      <c r="H48" s="25">
        <v>50</v>
      </c>
      <c r="I48" s="317">
        <v>90</v>
      </c>
      <c r="J48" s="55">
        <f ca="1">Calc!K8</f>
        <v>115</v>
      </c>
      <c r="K48" s="56" t="str">
        <f>IF(AND(driver=1,BR14=1),P48,Calc!L8)</f>
        <v/>
      </c>
      <c r="L48" s="75"/>
      <c r="M48" s="73"/>
      <c r="N48" s="73"/>
      <c r="O48" s="203">
        <f ca="1">IF(AND(H48&lt;&gt;0, ISNUMBER(Calc!M8)),  IF(driver=2,Calc!M8*IF(unit=1,1,IF(unit=2,H48,IF(peak_base=1,NETWORKDAYS(Calc!E8,Calc!F8)*H48*16,(Calc!F8-Calc!E8)*H48*24))),L48)*IF(B48=1,-1,1),"")</f>
        <v>0</v>
      </c>
      <c r="P48" s="279" t="str">
        <f xml:space="preserve"> IF(OR(driver=2, AND(driver=1, L48&lt;&gt;0)), IF(AND(H48&lt;&gt;0, ISNUMBER(Calc!N8)), Calc!N8,""), "")</f>
        <v/>
      </c>
      <c r="Q48" s="203" t="str">
        <f xml:space="preserve"> IF(OR(driver=2, AND(driver=1, L48&lt;&gt;0)), IF(AND(H48&lt;&gt;0,ISNUMBER(Calc!O8)), Calc!O8*IF(B48=1, -1,1)*IF(unit=1, 1, IF(unit=2, H48, IF(peak_base=1,NETWORKDAYS(Calc!E8,Calc!F8)*H48*16,(-Calc!E8+Calc!F8)*H48*24))),""), "")</f>
        <v/>
      </c>
      <c r="R48" s="203" t="str">
        <f xml:space="preserve"> IF(OR(driver=2, AND(driver=1, L48&lt;&gt;0)),  IF(AND(H48&lt;&gt;0,ISNUMBER(Calc!P8)), Calc!P8*IF(B48=1, -1,1)*IF(unit=1, 1, IF(unit=2,H48,IF(peak_base=1,NETWORKDAYS(Calc!E8,Calc!F8)*H48*16,(-Calc!E8+Calc!F8)*H48*24))),""),"")</f>
        <v/>
      </c>
      <c r="S48" s="203" t="str">
        <f xml:space="preserve"> IF(OR(driver=2, AND(driver=1, L48&lt;&gt;0)), IF(AND(H48&lt;&gt;0,ISNUMBER(Calc!Q8)), Calc!Q8*IF(B48=1,-1,1)*IF(unit=1,1,IF(peak_base=1,NETWORKDAYS(Calc!E8,Calc!F8)*H48*16,(-Calc!E8+Calc!F8)*H48*24))*0.1,""),"")</f>
        <v/>
      </c>
      <c r="T48" s="204" t="str">
        <f xml:space="preserve"> IF(OR(driver=2, AND(driver=1, L48&lt;&gt;0)), IF(AND(H48&lt;&gt;0,ISNUMBER(Calc!R8)), Calc!R8*IF(B48=1,-1,1)*IF(unit=1,1,IF(peak_base=1,NETWORKDAYS(Calc!E8,Calc!F8)*H48*16,(-Calc!E8+Calc!F8)*H48*24))/365.25,""),"")</f>
        <v/>
      </c>
      <c r="AQ48" s="113"/>
      <c r="AR48" s="113"/>
      <c r="AS48" s="113"/>
      <c r="BJ48" s="42">
        <f ca="1">Calc!AA41</f>
        <v>38047</v>
      </c>
      <c r="BK48" s="42">
        <f t="shared" ca="1" si="3"/>
        <v>38046</v>
      </c>
      <c r="BL48" s="2">
        <v>37</v>
      </c>
    </row>
    <row r="49" spans="2:65" ht="17.25" customHeight="1" x14ac:dyDescent="0.2">
      <c r="B49" s="78">
        <v>0</v>
      </c>
      <c r="C49" s="25">
        <v>1</v>
      </c>
      <c r="D49" s="28"/>
      <c r="E49" s="89"/>
      <c r="F49" s="96"/>
      <c r="G49" s="93"/>
      <c r="H49" s="25">
        <v>50</v>
      </c>
      <c r="I49" s="317">
        <v>90</v>
      </c>
      <c r="J49" s="55">
        <f ca="1">Calc!K9</f>
        <v>115</v>
      </c>
      <c r="K49" s="56" t="str">
        <f>IF(AND(driver=1,BR15=1),P49,Calc!L9)</f>
        <v/>
      </c>
      <c r="L49" s="75"/>
      <c r="M49" s="73"/>
      <c r="N49" s="73"/>
      <c r="O49" s="203">
        <f ca="1">IF(AND(H49&lt;&gt;0, ISNUMBER(Calc!M9)),  IF(driver=2,Calc!M9*IF(unit=1,1,IF(unit=2,H49,IF(peak_base=1,NETWORKDAYS(Calc!E9,Calc!F9)*H49*16,(Calc!F9-Calc!E9)*H49*24))),L49)*IF(B49=1,-1,1),"")</f>
        <v>0</v>
      </c>
      <c r="P49" s="279" t="str">
        <f xml:space="preserve"> IF(OR(driver=2, AND(driver=1, L49&lt;&gt;0)), IF(AND(H49&lt;&gt;0, ISNUMBER(Calc!N9)), Calc!N9,""), "")</f>
        <v/>
      </c>
      <c r="Q49" s="203" t="str">
        <f xml:space="preserve"> IF(OR(driver=2, AND(driver=1, L49&lt;&gt;0)), IF(AND(H49&lt;&gt;0,ISNUMBER(Calc!O9)), Calc!O9*IF(B49=1, -1,1)*IF(unit=1, 1, IF(unit=2, H49, IF(peak_base=1,NETWORKDAYS(Calc!E9,Calc!F9)*H49*16,(-Calc!E9+Calc!F9)*H49*24))),""), "")</f>
        <v/>
      </c>
      <c r="R49" s="203" t="str">
        <f xml:space="preserve"> IF(OR(driver=2, AND(driver=1, L49&lt;&gt;0)),  IF(AND(H49&lt;&gt;0,ISNUMBER(Calc!P9)), Calc!P9*IF(B49=1, -1,1)*IF(unit=1, 1, IF(unit=2,H49,IF(peak_base=1,NETWORKDAYS(Calc!E9,Calc!F9)*H49*16,(-Calc!E9+Calc!F9)*H49*24))),""),"")</f>
        <v/>
      </c>
      <c r="S49" s="203" t="str">
        <f xml:space="preserve"> IF(OR(driver=2, AND(driver=1, L49&lt;&gt;0)), IF(AND(H49&lt;&gt;0,ISNUMBER(Calc!Q9)), Calc!Q9*IF(B49=1,-1,1)*IF(unit=1,1,IF(peak_base=1,NETWORKDAYS(Calc!E9,Calc!F9)*H49*16,(-Calc!E9+Calc!F9)*H49*24))*0.1,""),"")</f>
        <v/>
      </c>
      <c r="T49" s="204" t="str">
        <f xml:space="preserve"> IF(OR(driver=2, AND(driver=1, L49&lt;&gt;0)), IF(AND(H49&lt;&gt;0,ISNUMBER(Calc!R9)), Calc!R9*IF(B49=1,-1,1)*IF(unit=1,1,IF(peak_base=1,NETWORKDAYS(Calc!E9,Calc!F9)*H49*16,(-Calc!E9+Calc!F9)*H49*24))/365.25,""),"")</f>
        <v/>
      </c>
      <c r="AQ49" s="26"/>
      <c r="AR49" s="26"/>
      <c r="AS49" s="26"/>
      <c r="BJ49" s="42">
        <f ca="1">Calc!AA42</f>
        <v>38078</v>
      </c>
      <c r="BK49" s="42">
        <f t="shared" ca="1" si="3"/>
        <v>38077</v>
      </c>
      <c r="BL49" s="2">
        <v>38</v>
      </c>
    </row>
    <row r="50" spans="2:65" ht="17.25" customHeight="1" x14ac:dyDescent="0.2">
      <c r="B50" s="78">
        <v>0</v>
      </c>
      <c r="C50" s="25">
        <v>1</v>
      </c>
      <c r="D50" s="28"/>
      <c r="E50" s="89"/>
      <c r="F50" s="95"/>
      <c r="G50" s="93"/>
      <c r="H50" s="25">
        <v>50</v>
      </c>
      <c r="I50" s="317">
        <v>75</v>
      </c>
      <c r="J50" s="55">
        <f ca="1">Calc!K10</f>
        <v>41.400001525878906</v>
      </c>
      <c r="K50" s="56">
        <f ca="1">IF(AND(driver=1,BR16=1),P50,Calc!L10)</f>
        <v>0.65893311177089542</v>
      </c>
      <c r="L50" s="75"/>
      <c r="M50" s="73"/>
      <c r="N50" s="73"/>
      <c r="O50" s="203">
        <f ca="1">IF(AND(H50&lt;&gt;0, ISNUMBER(Calc!M10)),  IF(driver=2,Calc!M10*IF(unit=1,1,IF(unit=2,H50,IF(peak_base=1,NETWORKDAYS(Calc!E10,Calc!F10)*H50*16,(Calc!F10-Calc!E10)*H50*24))),L50)*IF(B50=1,-1,1),"")</f>
        <v>0</v>
      </c>
      <c r="P50" s="279" t="str">
        <f xml:space="preserve"> IF(OR(driver=2, AND(driver=1, L50&lt;&gt;0)), IF(AND(H50&lt;&gt;0, ISNUMBER(Calc!N10)), Calc!N10,""), "")</f>
        <v/>
      </c>
      <c r="Q50" s="203" t="str">
        <f xml:space="preserve"> IF(OR(driver=2, AND(driver=1, L50&lt;&gt;0)), IF(AND(H50&lt;&gt;0,ISNUMBER(Calc!O10)), Calc!O10*IF(B50=1, -1,1)*IF(unit=1, 1, IF(unit=2, H50, IF(peak_base=1,NETWORKDAYS(Calc!E10,Calc!F10)*H50*16,(-Calc!E10+Calc!F10)*H50*24))),""), "")</f>
        <v/>
      </c>
      <c r="R50" s="203" t="str">
        <f xml:space="preserve"> IF(OR(driver=2, AND(driver=1, L50&lt;&gt;0)),  IF(AND(H50&lt;&gt;0,ISNUMBER(Calc!P10)), Calc!P10*IF(B50=1, -1,1)*IF(unit=1, 1, IF(unit=2,H50,IF(peak_base=1,NETWORKDAYS(Calc!E10,Calc!F10)*H50*16,(-Calc!E10+Calc!F10)*H50*24))),""),"")</f>
        <v/>
      </c>
      <c r="S50" s="203" t="str">
        <f xml:space="preserve"> IF(OR(driver=2, AND(driver=1, L50&lt;&gt;0)), IF(AND(H50&lt;&gt;0,ISNUMBER(Calc!Q10)), Calc!Q10*IF(B50=1,-1,1)*IF(unit=1,1,IF(peak_base=1,NETWORKDAYS(Calc!E10,Calc!F10)*H50*16,(-Calc!E10+Calc!F10)*H50*24))*0.1,""),"")</f>
        <v/>
      </c>
      <c r="T50" s="204" t="str">
        <f xml:space="preserve"> IF(OR(driver=2, AND(driver=1, L50&lt;&gt;0)), IF(AND(H50&lt;&gt;0,ISNUMBER(Calc!R10)), Calc!R10*IF(B50=1,-1,1)*IF(unit=1,1,IF(peak_base=1,NETWORKDAYS(Calc!E10,Calc!F10)*H50*16,(-Calc!E10+Calc!F10)*H50*24))/365.25,""),"")</f>
        <v/>
      </c>
      <c r="AQ50" s="26"/>
      <c r="AR50" s="26"/>
      <c r="AS50" s="26"/>
      <c r="BJ50" s="42">
        <f ca="1">Calc!AA43</f>
        <v>38108</v>
      </c>
      <c r="BK50" s="42">
        <f t="shared" ca="1" si="3"/>
        <v>38107</v>
      </c>
      <c r="BL50" s="2">
        <v>39</v>
      </c>
    </row>
    <row r="51" spans="2:65" ht="17.25" customHeight="1" thickBot="1" x14ac:dyDescent="0.25">
      <c r="B51" s="78">
        <v>0</v>
      </c>
      <c r="C51" s="25">
        <v>1</v>
      </c>
      <c r="D51" s="60"/>
      <c r="E51" s="90"/>
      <c r="F51" s="96"/>
      <c r="G51" s="94"/>
      <c r="H51" s="25">
        <v>50</v>
      </c>
      <c r="I51" s="317">
        <v>65.89</v>
      </c>
      <c r="J51" s="55">
        <f ca="1">Calc!K11</f>
        <v>41.5</v>
      </c>
      <c r="K51" s="56">
        <f ca="1">IF(AND(driver=1,BR17=1),P51,Calc!L11)</f>
        <v>0.6066824766508927</v>
      </c>
      <c r="L51" s="75"/>
      <c r="M51" s="73"/>
      <c r="N51" s="73"/>
      <c r="O51" s="203">
        <f ca="1">IF(AND(H51&lt;&gt;0, ISNUMBER(Calc!M11)),  IF(driver=2,Calc!M11*IF(unit=1,1,IF(unit=2,H51,IF(peak_base=1,NETWORKDAYS(Calc!E11,Calc!F11)*H51*16,(Calc!F11-Calc!E11)*H51*24))),L51)*IF(B51=1,-1,1),"")</f>
        <v>0</v>
      </c>
      <c r="P51" s="279" t="str">
        <f xml:space="preserve"> IF(OR(driver=2, AND(driver=1, L51&lt;&gt;0)), IF(AND(H51&lt;&gt;0, ISNUMBER(Calc!N11)), Calc!N11,""), "")</f>
        <v/>
      </c>
      <c r="Q51" s="203" t="str">
        <f xml:space="preserve"> IF(OR(driver=2, AND(driver=1, L51&lt;&gt;0)), IF(AND(H51&lt;&gt;0,ISNUMBER(Calc!O11)), Calc!O11*IF(B51=1, -1,1)*IF(unit=1, 1, IF(unit=2, H51, IF(peak_base=1,NETWORKDAYS(Calc!E11,Calc!F11)*H51*16,(-Calc!E11+Calc!F11)*H51*24))),""), "")</f>
        <v/>
      </c>
      <c r="R51" s="203" t="str">
        <f xml:space="preserve"> IF(OR(driver=2, AND(driver=1, L51&lt;&gt;0)),  IF(AND(H51&lt;&gt;0,ISNUMBER(Calc!P11)), Calc!P11*IF(B51=1, -1,1)*IF(unit=1, 1, IF(unit=2,H51,IF(peak_base=1,NETWORKDAYS(Calc!E11,Calc!F11)*H51*16,(-Calc!E11+Calc!F11)*H51*24))),""),"")</f>
        <v/>
      </c>
      <c r="S51" s="203" t="str">
        <f xml:space="preserve"> IF(OR(driver=2, AND(driver=1, L51&lt;&gt;0)), IF(AND(H51&lt;&gt;0,ISNUMBER(Calc!Q11)), Calc!Q11*IF(B51=1,-1,1)*IF(unit=1,1,IF(peak_base=1,NETWORKDAYS(Calc!E11,Calc!F11)*H51*16,(-Calc!E11+Calc!F11)*H51*24))*0.1,""),"")</f>
        <v/>
      </c>
      <c r="T51" s="204" t="str">
        <f xml:space="preserve"> IF(OR(driver=2, AND(driver=1, L51&lt;&gt;0)), IF(AND(H51&lt;&gt;0,ISNUMBER(Calc!R11)), Calc!R11*IF(B51=1,-1,1)*IF(unit=1,1,IF(peak_base=1,NETWORKDAYS(Calc!E11,Calc!F11)*H51*16,(-Calc!E11+Calc!F11)*H51*24))/365.25,""),"")</f>
        <v/>
      </c>
      <c r="AQ51" s="113"/>
      <c r="AR51" s="113"/>
      <c r="AS51" s="113"/>
      <c r="BJ51" s="42">
        <f ca="1">Calc!AA44</f>
        <v>38139</v>
      </c>
      <c r="BK51" s="42">
        <f t="shared" ca="1" si="3"/>
        <v>38138</v>
      </c>
      <c r="BL51" s="2">
        <v>40</v>
      </c>
    </row>
    <row r="52" spans="2:65" ht="18" customHeight="1" x14ac:dyDescent="0.2">
      <c r="B52" s="78">
        <v>0</v>
      </c>
      <c r="C52" s="25">
        <v>1</v>
      </c>
      <c r="D52" s="52"/>
      <c r="E52" s="52"/>
      <c r="F52" s="52"/>
      <c r="G52" s="52"/>
      <c r="H52" s="318">
        <v>50</v>
      </c>
      <c r="I52" s="319">
        <v>65.89</v>
      </c>
      <c r="J52" s="55">
        <f ca="1">Calc!K12</f>
        <v>35.904998779296875</v>
      </c>
      <c r="K52" s="56">
        <f ca="1">IF(AND(driver=1,BR18=1),P52,Calc!L12)</f>
        <v>0.4914923988723886</v>
      </c>
      <c r="L52" s="159"/>
      <c r="M52" s="160"/>
      <c r="N52" s="161"/>
      <c r="O52" s="203">
        <f ca="1">IF(AND(H52&lt;&gt;0, ISNUMBER(Calc!M12)),  IF(driver=2,Calc!M12*IF(unit=1,1,IF(unit=2,H52,IF(peak_base=1,NETWORKDAYS(Calc!E12,Calc!F12)*H52*16,(Calc!F12-Calc!E12)*H52*24))),L52)*IF(B52=1,-1,1),"")</f>
        <v>0</v>
      </c>
      <c r="P52" s="279" t="str">
        <f xml:space="preserve"> IF(OR(driver=2, AND(driver=1, L52&lt;&gt;0)), IF(AND(H52&lt;&gt;0, ISNUMBER(Calc!N12)), Calc!N12,""), "")</f>
        <v/>
      </c>
      <c r="Q52" s="203" t="str">
        <f xml:space="preserve"> IF(OR(driver=2, AND(driver=1, L52&lt;&gt;0)), IF(AND(H52&lt;&gt;0,ISNUMBER(Calc!O12)), Calc!O12*IF(B52=1, -1,1)*IF(unit=1, 1, IF(unit=2, H52, IF(peak_base=1,NETWORKDAYS(Calc!E12,Calc!F12)*H52*16,(-Calc!E12+Calc!F12)*H52*24))),""), "")</f>
        <v/>
      </c>
      <c r="R52" s="203" t="str">
        <f xml:space="preserve"> IF(OR(driver=2, AND(driver=1, L52&lt;&gt;0)),  IF(AND(H52&lt;&gt;0,ISNUMBER(Calc!P12)), Calc!P12*IF(B52=1, -1,1)*IF(unit=1, 1, IF(unit=2,H52,IF(peak_base=1,NETWORKDAYS(Calc!E12,Calc!F12)*H52*16,(-Calc!E12+Calc!F12)*H52*24))),""),"")</f>
        <v/>
      </c>
      <c r="S52" s="203" t="str">
        <f xml:space="preserve"> IF(OR(driver=2, AND(driver=1, L52&lt;&gt;0)), IF(AND(H52&lt;&gt;0,ISNUMBER(Calc!Q12)), Calc!Q12*IF(B52=1,-1,1)*IF(unit=1,1,IF(peak_base=1,NETWORKDAYS(Calc!E12,Calc!F12)*H52*16,(-Calc!E12+Calc!F12)*H52*24))*0.1,""),"")</f>
        <v/>
      </c>
      <c r="T52" s="204" t="str">
        <f xml:space="preserve"> IF(OR(driver=2, AND(driver=1, L52&lt;&gt;0)), IF(AND(H52&lt;&gt;0,ISNUMBER(Calc!R12)), Calc!R12*IF(B52=1,-1,1)*IF(unit=1,1,IF(peak_base=1,NETWORKDAYS(Calc!E12,Calc!F12)*H52*16,(-Calc!E12+Calc!F12)*H52*24))/365.25,""),"")</f>
        <v/>
      </c>
      <c r="AQ52" s="113"/>
      <c r="AR52" s="113"/>
      <c r="AS52" s="113"/>
      <c r="BJ52" s="42">
        <f ca="1">Calc!AA45</f>
        <v>38169</v>
      </c>
      <c r="BK52" s="42">
        <f t="shared" ca="1" si="3"/>
        <v>38168</v>
      </c>
      <c r="BL52" s="2">
        <v>41</v>
      </c>
      <c r="BM52" s="26"/>
    </row>
    <row r="53" spans="2:65" ht="18" customHeight="1" x14ac:dyDescent="0.2">
      <c r="B53" s="78">
        <v>0</v>
      </c>
      <c r="C53" s="25">
        <v>1</v>
      </c>
      <c r="D53" s="52"/>
      <c r="E53" s="52"/>
      <c r="F53" s="52"/>
      <c r="G53" s="52"/>
      <c r="H53" s="318">
        <v>50</v>
      </c>
      <c r="I53" s="319">
        <v>65.89</v>
      </c>
      <c r="J53" s="55">
        <f ca="1">Calc!K13</f>
        <v>72.999992370605469</v>
      </c>
      <c r="K53" s="56">
        <f ca="1">IF(AND(driver=1,BR19=1),P53,Calc!L13)</f>
        <v>0.7</v>
      </c>
      <c r="L53" s="157"/>
      <c r="M53" s="75"/>
      <c r="N53" s="158"/>
      <c r="O53" s="203">
        <f ca="1">IF(AND(H53&lt;&gt;0, ISNUMBER(Calc!M13)),  IF(driver=2,Calc!M13*IF(unit=1,1,IF(unit=2,H53,IF(peak_base=1,NETWORKDAYS(Calc!E13,Calc!F13)*H53*16,(Calc!F13-Calc!E13)*H53*24))),L53)*IF(B53=1,-1,1),"")</f>
        <v>0</v>
      </c>
      <c r="P53" s="279" t="str">
        <f xml:space="preserve"> IF(OR(driver=2, AND(driver=1, L53&lt;&gt;0)), IF(AND(H53&lt;&gt;0, ISNUMBER(Calc!N13)), Calc!N13,""), "")</f>
        <v/>
      </c>
      <c r="Q53" s="203" t="str">
        <f xml:space="preserve"> IF(OR(driver=2, AND(driver=1, L53&lt;&gt;0)), IF(AND(H53&lt;&gt;0,ISNUMBER(Calc!O13)), Calc!O13*IF(B53=1, -1,1)*IF(unit=1, 1, IF(unit=2, H53, IF(peak_base=1,NETWORKDAYS(Calc!E13,Calc!F13)*H53*16,(-Calc!E13+Calc!F13)*H53*24))),""), "")</f>
        <v/>
      </c>
      <c r="R53" s="203" t="str">
        <f xml:space="preserve"> IF(OR(driver=2, AND(driver=1, L53&lt;&gt;0)),  IF(AND(H53&lt;&gt;0,ISNUMBER(Calc!P13)), Calc!P13*IF(B53=1, -1,1)*IF(unit=1, 1, IF(unit=2,H53,IF(peak_base=1,NETWORKDAYS(Calc!E13,Calc!F13)*H53*16,(-Calc!E13+Calc!F13)*H53*24))),""),"")</f>
        <v/>
      </c>
      <c r="S53" s="203" t="str">
        <f xml:space="preserve"> IF(OR(driver=2, AND(driver=1, L53&lt;&gt;0)), IF(AND(H53&lt;&gt;0,ISNUMBER(Calc!Q13)), Calc!Q13*IF(B53=1,-1,1)*IF(unit=1,1,IF(peak_base=1,NETWORKDAYS(Calc!E13,Calc!F13)*H53*16,(-Calc!E13+Calc!F13)*H53*24))*0.1,""),"")</f>
        <v/>
      </c>
      <c r="T53" s="204" t="str">
        <f xml:space="preserve"> IF(OR(driver=2, AND(driver=1, L53&lt;&gt;0)), IF(AND(H53&lt;&gt;0,ISNUMBER(Calc!R13)), Calc!R13*IF(B53=1,-1,1)*IF(unit=1,1,IF(peak_base=1,NETWORKDAYS(Calc!E13,Calc!F13)*H53*16,(-Calc!E13+Calc!F13)*H53*24))/365.25,""),"")</f>
        <v/>
      </c>
      <c r="AQ53" s="26"/>
      <c r="AR53" s="26"/>
      <c r="AS53" s="26"/>
      <c r="BJ53" s="42">
        <f ca="1">Calc!AA46</f>
        <v>38200</v>
      </c>
      <c r="BK53" s="42">
        <f t="shared" ca="1" si="3"/>
        <v>38199</v>
      </c>
      <c r="BL53" s="2">
        <v>42</v>
      </c>
      <c r="BM53" s="26"/>
    </row>
    <row r="54" spans="2:65" ht="18" customHeight="1" x14ac:dyDescent="0.2">
      <c r="B54" s="78">
        <v>0</v>
      </c>
      <c r="C54" s="25">
        <v>1</v>
      </c>
      <c r="D54" s="52"/>
      <c r="E54" s="52"/>
      <c r="F54" s="52"/>
      <c r="G54" s="52"/>
      <c r="H54" s="318">
        <v>50</v>
      </c>
      <c r="I54" s="319">
        <v>65.89</v>
      </c>
      <c r="J54" s="55">
        <f ca="1">Calc!K14</f>
        <v>115</v>
      </c>
      <c r="K54" s="56">
        <f ca="1">IF(AND(driver=1,BR20=1),P54,Calc!L14)</f>
        <v>0.7</v>
      </c>
      <c r="L54" s="157"/>
      <c r="M54" s="75"/>
      <c r="N54" s="158"/>
      <c r="O54" s="203">
        <f ca="1">IF(AND(H54&lt;&gt;0, ISNUMBER(Calc!M14)),  IF(driver=2,Calc!M14*IF(unit=1,1,IF(unit=2,H54,IF(peak_base=1,NETWORKDAYS(Calc!E14,Calc!F14)*H54*16,(Calc!F14-Calc!E14)*H54*24))),L54)*IF(B54=1,-1,1),"")</f>
        <v>0</v>
      </c>
      <c r="P54" s="279" t="str">
        <f xml:space="preserve"> IF(OR(driver=2, AND(driver=1, L54&lt;&gt;0)), IF(AND(H54&lt;&gt;0, ISNUMBER(Calc!N14)), Calc!N14,""), "")</f>
        <v/>
      </c>
      <c r="Q54" s="203" t="str">
        <f xml:space="preserve"> IF(OR(driver=2, AND(driver=1, L54&lt;&gt;0)), IF(AND(H54&lt;&gt;0,ISNUMBER(Calc!O14)), Calc!O14*IF(B54=1, -1,1)*IF(unit=1, 1, IF(unit=2, H54, IF(peak_base=1,NETWORKDAYS(Calc!E14,Calc!F14)*H54*16,(-Calc!E14+Calc!F14)*H54*24))),""), "")</f>
        <v/>
      </c>
      <c r="R54" s="203" t="str">
        <f xml:space="preserve"> IF(OR(driver=2, AND(driver=1, L54&lt;&gt;0)),  IF(AND(H54&lt;&gt;0,ISNUMBER(Calc!P14)), Calc!P14*IF(B54=1, -1,1)*IF(unit=1, 1, IF(unit=2,H54,IF(peak_base=1,NETWORKDAYS(Calc!E14,Calc!F14)*H54*16,(-Calc!E14+Calc!F14)*H54*24))),""),"")</f>
        <v/>
      </c>
      <c r="S54" s="203" t="str">
        <f xml:space="preserve"> IF(OR(driver=2, AND(driver=1, L54&lt;&gt;0)), IF(AND(H54&lt;&gt;0,ISNUMBER(Calc!Q14)), Calc!Q14*IF(B54=1,-1,1)*IF(unit=1,1,IF(peak_base=1,NETWORKDAYS(Calc!E14,Calc!F14)*H54*16,(-Calc!E14+Calc!F14)*H54*24))*0.1,""),"")</f>
        <v/>
      </c>
      <c r="T54" s="204" t="str">
        <f xml:space="preserve"> IF(OR(driver=2, AND(driver=1, L54&lt;&gt;0)), IF(AND(H54&lt;&gt;0,ISNUMBER(Calc!R14)), Calc!R14*IF(B54=1,-1,1)*IF(unit=1,1,IF(peak_base=1,NETWORKDAYS(Calc!E14,Calc!F14)*H54*16,(-Calc!E14+Calc!F14)*H54*24))/365.25,""),"")</f>
        <v/>
      </c>
      <c r="AQ54" s="113"/>
      <c r="AR54" s="113"/>
      <c r="AS54" s="113"/>
      <c r="BJ54" s="42">
        <f ca="1">Calc!AA47</f>
        <v>38231</v>
      </c>
      <c r="BK54" s="42">
        <f t="shared" ca="1" si="3"/>
        <v>38230</v>
      </c>
      <c r="BL54" s="2">
        <v>43</v>
      </c>
      <c r="BM54" s="26"/>
    </row>
    <row r="55" spans="2:65" ht="18" customHeight="1" x14ac:dyDescent="0.2">
      <c r="B55" s="78">
        <v>0</v>
      </c>
      <c r="C55" s="25">
        <v>1</v>
      </c>
      <c r="D55" s="52"/>
      <c r="E55" s="52"/>
      <c r="F55" s="52"/>
      <c r="G55" s="52"/>
      <c r="H55" s="318">
        <v>50</v>
      </c>
      <c r="I55" s="319">
        <v>65.89</v>
      </c>
      <c r="J55" s="55">
        <f ca="1">Calc!K15</f>
        <v>43.500003814697266</v>
      </c>
      <c r="K55" s="56">
        <f ca="1">IF(AND(driver=1,BR21=1),P55,Calc!L15)</f>
        <v>0.71980264473066891</v>
      </c>
      <c r="L55" s="157"/>
      <c r="M55" s="75"/>
      <c r="N55" s="158"/>
      <c r="O55" s="203">
        <f ca="1">IF(AND(H55&lt;&gt;0, ISNUMBER(Calc!M15)),  IF(driver=2,Calc!M15*IF(unit=1,1,IF(unit=2,H55,IF(peak_base=1,NETWORKDAYS(Calc!E15,Calc!F15)*H55*16,(Calc!F15-Calc!E15)*H55*24))),L55)*IF(B55=1,-1,1),"")</f>
        <v>0</v>
      </c>
      <c r="P55" s="279" t="str">
        <f xml:space="preserve"> IF(OR(driver=2, AND(driver=1, L55&lt;&gt;0)), IF(AND(H55&lt;&gt;0, ISNUMBER(Calc!N15)), Calc!N15,""), "")</f>
        <v/>
      </c>
      <c r="Q55" s="203" t="str">
        <f xml:space="preserve"> IF(OR(driver=2, AND(driver=1, L55&lt;&gt;0)), IF(AND(H55&lt;&gt;0,ISNUMBER(Calc!O15)), Calc!O15*IF(B55=1, -1,1)*IF(unit=1, 1, IF(unit=2, H55, IF(peak_base=1,NETWORKDAYS(Calc!E15,Calc!F15)*H55*16,(-Calc!E15+Calc!F15)*H55*24))),""), "")</f>
        <v/>
      </c>
      <c r="R55" s="203" t="str">
        <f xml:space="preserve"> IF(OR(driver=2, AND(driver=1, L55&lt;&gt;0)),  IF(AND(H55&lt;&gt;0,ISNUMBER(Calc!P15)), Calc!P15*IF(B55=1, -1,1)*IF(unit=1, 1, IF(unit=2,H55,IF(peak_base=1,NETWORKDAYS(Calc!E15,Calc!F15)*H55*16,(-Calc!E15+Calc!F15)*H55*24))),""),"")</f>
        <v/>
      </c>
      <c r="S55" s="203" t="str">
        <f xml:space="preserve"> IF(OR(driver=2, AND(driver=1, L55&lt;&gt;0)), IF(AND(H55&lt;&gt;0,ISNUMBER(Calc!Q15)), Calc!Q15*IF(B55=1,-1,1)*IF(unit=1,1,IF(peak_base=1,NETWORKDAYS(Calc!E15,Calc!F15)*H55*16,(-Calc!E15+Calc!F15)*H55*24))*0.1,""),"")</f>
        <v/>
      </c>
      <c r="T55" s="204" t="str">
        <f xml:space="preserve"> IF(OR(driver=2, AND(driver=1, L55&lt;&gt;0)), IF(AND(H55&lt;&gt;0,ISNUMBER(Calc!R15)), Calc!R15*IF(B55=1,-1,1)*IF(unit=1,1,IF(peak_base=1,NETWORKDAYS(Calc!E15,Calc!F15)*H55*16,(-Calc!E15+Calc!F15)*H55*24))/365.25,""),"")</f>
        <v/>
      </c>
      <c r="AQ55" s="113"/>
      <c r="AR55" s="113"/>
      <c r="AS55" s="113"/>
      <c r="BJ55" s="42">
        <f ca="1">Calc!AA48</f>
        <v>38261</v>
      </c>
      <c r="BK55" s="42">
        <f t="shared" ca="1" si="3"/>
        <v>38260</v>
      </c>
      <c r="BL55" s="2">
        <v>44</v>
      </c>
      <c r="BM55" s="26"/>
    </row>
    <row r="56" spans="2:65" ht="18" customHeight="1" x14ac:dyDescent="0.2">
      <c r="B56" s="78">
        <v>0</v>
      </c>
      <c r="C56" s="25">
        <v>1</v>
      </c>
      <c r="D56" s="52"/>
      <c r="E56" s="52"/>
      <c r="F56" s="52"/>
      <c r="G56" s="52"/>
      <c r="H56" s="318">
        <v>50</v>
      </c>
      <c r="I56" s="319">
        <v>65.89</v>
      </c>
      <c r="J56" s="55">
        <f ca="1">Calc!K16</f>
        <v>41.400001525878906</v>
      </c>
      <c r="K56" s="56">
        <f ca="1">IF(AND(driver=1,BR22=1),P56,Calc!L16)</f>
        <v>0.63226587212343155</v>
      </c>
      <c r="L56" s="157"/>
      <c r="M56" s="75"/>
      <c r="N56" s="158"/>
      <c r="O56" s="203">
        <f ca="1">IF(AND(H56&lt;&gt;0, ISNUMBER(Calc!M16)),  IF(driver=2,Calc!M16*IF(unit=1,1,IF(unit=2,H56,IF(peak_base=1,NETWORKDAYS(Calc!E16,Calc!F16)*H56*16,(Calc!F16-Calc!E16)*H56*24))),L56)*IF(B56=1,-1,1),"")</f>
        <v>0</v>
      </c>
      <c r="P56" s="279" t="str">
        <f xml:space="preserve"> IF(OR(driver=2, AND(driver=1, L56&lt;&gt;0)), IF(AND(H56&lt;&gt;0, ISNUMBER(Calc!N16)), Calc!N16,""), "")</f>
        <v/>
      </c>
      <c r="Q56" s="203" t="str">
        <f xml:space="preserve"> IF(OR(driver=2, AND(driver=1, L56&lt;&gt;0)), IF(AND(H56&lt;&gt;0,ISNUMBER(Calc!O16)), Calc!O16*IF(B56=1, -1,1)*IF(unit=1, 1, IF(unit=2, H56, IF(peak_base=1,NETWORKDAYS(Calc!E16,Calc!F16)*H56*16,(-Calc!E16+Calc!F16)*H56*24))),""), "")</f>
        <v/>
      </c>
      <c r="R56" s="203" t="str">
        <f xml:space="preserve"> IF(OR(driver=2, AND(driver=1, L56&lt;&gt;0)),  IF(AND(H56&lt;&gt;0,ISNUMBER(Calc!P16)), Calc!P16*IF(B56=1, -1,1)*IF(unit=1, 1, IF(unit=2,H56,IF(peak_base=1,NETWORKDAYS(Calc!E16,Calc!F16)*H56*16,(-Calc!E16+Calc!F16)*H56*24))),""),"")</f>
        <v/>
      </c>
      <c r="S56" s="203" t="str">
        <f xml:space="preserve"> IF(OR(driver=2, AND(driver=1, L56&lt;&gt;0)), IF(AND(H56&lt;&gt;0,ISNUMBER(Calc!Q16)), Calc!Q16*IF(B56=1,-1,1)*IF(unit=1,1,IF(peak_base=1,NETWORKDAYS(Calc!E16,Calc!F16)*H56*16,(-Calc!E16+Calc!F16)*H56*24))*0.1,""),"")</f>
        <v/>
      </c>
      <c r="T56" s="204" t="str">
        <f xml:space="preserve"> IF(OR(driver=2, AND(driver=1, L56&lt;&gt;0)), IF(AND(H56&lt;&gt;0,ISNUMBER(Calc!R16)), Calc!R16*IF(B56=1,-1,1)*IF(unit=1,1,IF(peak_base=1,NETWORKDAYS(Calc!E16,Calc!F16)*H56*16,(-Calc!E16+Calc!F16)*H56*24))/365.25,""),"")</f>
        <v/>
      </c>
      <c r="AQ56" s="113"/>
      <c r="AR56" s="113"/>
      <c r="AS56" s="113"/>
      <c r="BJ56" s="42">
        <f ca="1">Calc!AA49</f>
        <v>38292</v>
      </c>
      <c r="BK56" s="42">
        <f t="shared" ca="1" si="3"/>
        <v>38291</v>
      </c>
      <c r="BL56" s="2">
        <v>45</v>
      </c>
      <c r="BM56" s="26"/>
    </row>
    <row r="57" spans="2:65" ht="18" customHeight="1" thickBot="1" x14ac:dyDescent="0.25">
      <c r="B57" s="175">
        <v>0</v>
      </c>
      <c r="C57" s="176">
        <v>1</v>
      </c>
      <c r="D57" s="177"/>
      <c r="E57" s="177"/>
      <c r="F57" s="177"/>
      <c r="G57" s="177"/>
      <c r="H57" s="176">
        <v>50</v>
      </c>
      <c r="I57" s="320">
        <v>65.89</v>
      </c>
      <c r="J57" s="178">
        <f ca="1">Calc!K17</f>
        <v>41.5</v>
      </c>
      <c r="K57" s="56">
        <f ca="1">IF(AND(driver=1,BR23=1),P57,Calc!L17)</f>
        <v>0.6066824766508927</v>
      </c>
      <c r="L57" s="179"/>
      <c r="M57" s="76"/>
      <c r="N57" s="180"/>
      <c r="O57" s="205">
        <f ca="1">IF(AND(H57&lt;&gt;0, ISNUMBER(Calc!M17)),  IF(driver=2,Calc!M17*IF(unit=1,1,IF(unit=2,H57,IF(peak_base=1,NETWORKDAYS(Calc!E17,Calc!F17)*H57*16,(Calc!F17-Calc!E17)*H57*24))),L57)*IF(B57=1,-1,1),"")</f>
        <v>0</v>
      </c>
      <c r="P57" s="279" t="str">
        <f xml:space="preserve"> IF(OR(driver=2, AND(driver=1, L57&lt;&gt;0)), IF(AND(H57&lt;&gt;0, ISNUMBER(Calc!N17)), Calc!N17,""), "")</f>
        <v/>
      </c>
      <c r="Q57" s="203" t="str">
        <f xml:space="preserve"> IF(OR(driver=2, AND(driver=1, L57&lt;&gt;0)), IF(AND(H57&lt;&gt;0,ISNUMBER(Calc!O17)), Calc!O17*IF(B57=1, -1,1)*IF(unit=1, 1, IF(unit=2, H57, IF(peak_base=1,NETWORKDAYS(Calc!E17,Calc!F17)*H57*16,(-Calc!E17+Calc!F17)*H57*24))),""), "")</f>
        <v/>
      </c>
      <c r="R57" s="203" t="str">
        <f xml:space="preserve"> IF(OR(driver=2, AND(driver=1, L57&lt;&gt;0)),  IF(AND(H57&lt;&gt;0,ISNUMBER(Calc!P17)), Calc!P17*IF(B57=1, -1,1)*IF(unit=1, 1, IF(unit=2,H57,IF(peak_base=1,NETWORKDAYS(Calc!E17,Calc!F17)*H57*16,(-Calc!E17+Calc!F17)*H57*24))),""),"")</f>
        <v/>
      </c>
      <c r="S57" s="203" t="str">
        <f xml:space="preserve"> IF(OR(driver=2, AND(driver=1, L57&lt;&gt;0)), IF(AND(H57&lt;&gt;0,ISNUMBER(Calc!Q17)), Calc!Q17*IF(B57=1,-1,1)*IF(unit=1,1,IF(peak_base=1,NETWORKDAYS(Calc!E17,Calc!F17)*H57*16,(-Calc!E17+Calc!F17)*H57*24))*0.1,""),"")</f>
        <v/>
      </c>
      <c r="T57" s="204" t="str">
        <f xml:space="preserve"> IF(OR(driver=2, AND(driver=1, L57&lt;&gt;0)), IF(AND(H57&lt;&gt;0,ISNUMBER(Calc!R17)), Calc!R17*IF(B57=1,-1,1)*IF(unit=1,1,IF(peak_base=1,NETWORKDAYS(Calc!E17,Calc!F17)*H57*16,(-Calc!E17+Calc!F17)*H57*24))/365.25,""),"")</f>
        <v/>
      </c>
      <c r="AQ57" s="113"/>
      <c r="AR57" s="113"/>
      <c r="AS57" s="113"/>
      <c r="BJ57" s="42">
        <f ca="1">Calc!AA50</f>
        <v>38322</v>
      </c>
      <c r="BK57" s="42">
        <f t="shared" ca="1" si="3"/>
        <v>38321</v>
      </c>
      <c r="BL57" s="2">
        <v>46</v>
      </c>
      <c r="BM57" s="26"/>
    </row>
    <row r="58" spans="2:65" x14ac:dyDescent="0.2">
      <c r="AQ58" s="113"/>
      <c r="AR58" s="113"/>
      <c r="AS58" s="113"/>
      <c r="BJ58" s="42">
        <f ca="1">Calc!AA51</f>
        <v>38353</v>
      </c>
      <c r="BK58" s="42">
        <f t="shared" ca="1" si="3"/>
        <v>38352</v>
      </c>
      <c r="BL58" s="2">
        <v>47</v>
      </c>
      <c r="BM58" s="26"/>
    </row>
    <row r="59" spans="2:65" x14ac:dyDescent="0.2">
      <c r="AQ59" s="113"/>
      <c r="AR59" s="113"/>
      <c r="AS59" s="113"/>
      <c r="BJ59" s="42">
        <f ca="1">Calc!AA52</f>
        <v>38384</v>
      </c>
      <c r="BK59" s="42">
        <f t="shared" ca="1" si="3"/>
        <v>38383</v>
      </c>
      <c r="BL59" s="2">
        <v>48</v>
      </c>
      <c r="BM59" s="26"/>
    </row>
    <row r="60" spans="2:65" x14ac:dyDescent="0.2">
      <c r="AQ60" s="113"/>
      <c r="AR60" s="113"/>
      <c r="AS60" s="113"/>
      <c r="BJ60" s="42">
        <f ca="1">Calc!AA53</f>
        <v>38412</v>
      </c>
      <c r="BK60" s="42">
        <f t="shared" ca="1" si="3"/>
        <v>38411</v>
      </c>
      <c r="BL60" s="2">
        <v>49</v>
      </c>
      <c r="BM60" s="26"/>
    </row>
    <row r="61" spans="2:65" x14ac:dyDescent="0.2">
      <c r="AQ61" s="113"/>
      <c r="AR61" s="113"/>
      <c r="AS61" s="113"/>
      <c r="BJ61" s="42">
        <f ca="1">Calc!AA54</f>
        <v>38443</v>
      </c>
      <c r="BK61" s="42">
        <f t="shared" ca="1" si="3"/>
        <v>38442</v>
      </c>
      <c r="BL61" s="2">
        <v>50</v>
      </c>
      <c r="BM61" s="26"/>
    </row>
    <row r="62" spans="2:65" x14ac:dyDescent="0.2">
      <c r="AQ62" s="113"/>
      <c r="AR62" s="113"/>
      <c r="AS62" s="113"/>
      <c r="BJ62" s="42">
        <f ca="1">Calc!AA55</f>
        <v>38473</v>
      </c>
      <c r="BK62" s="42">
        <f t="shared" ca="1" si="3"/>
        <v>38472</v>
      </c>
      <c r="BL62" s="2">
        <v>51</v>
      </c>
      <c r="BM62" s="26"/>
    </row>
    <row r="63" spans="2:65" x14ac:dyDescent="0.2">
      <c r="AQ63" s="113"/>
      <c r="AR63" s="113"/>
      <c r="AS63" s="113"/>
      <c r="BJ63" s="42">
        <f ca="1">Calc!AA56</f>
        <v>38504</v>
      </c>
      <c r="BK63" s="42">
        <f t="shared" ca="1" si="3"/>
        <v>38503</v>
      </c>
      <c r="BL63" s="2">
        <v>52</v>
      </c>
      <c r="BM63" s="26"/>
    </row>
    <row r="64" spans="2:65" x14ac:dyDescent="0.2">
      <c r="AQ64" s="113"/>
      <c r="AR64" s="113"/>
      <c r="AS64" s="113"/>
      <c r="BJ64" s="42">
        <f ca="1">Calc!AA57</f>
        <v>38534</v>
      </c>
      <c r="BK64" s="42">
        <f t="shared" ca="1" si="3"/>
        <v>38533</v>
      </c>
      <c r="BL64" s="2">
        <v>53</v>
      </c>
      <c r="BM64" s="26"/>
    </row>
    <row r="65" spans="43:65" x14ac:dyDescent="0.2">
      <c r="AQ65" s="26"/>
      <c r="AR65" s="26"/>
      <c r="AS65" s="26"/>
      <c r="BJ65" s="42">
        <f ca="1">Calc!AA58</f>
        <v>38565</v>
      </c>
      <c r="BK65" s="42">
        <f t="shared" ca="1" si="3"/>
        <v>38564</v>
      </c>
      <c r="BL65" s="2">
        <v>54</v>
      </c>
      <c r="BM65" s="26"/>
    </row>
    <row r="66" spans="43:65" x14ac:dyDescent="0.2">
      <c r="AQ66" s="26"/>
      <c r="AR66" s="26"/>
      <c r="AS66" s="26"/>
      <c r="BJ66" s="42">
        <f ca="1">Calc!AA59</f>
        <v>38596</v>
      </c>
      <c r="BK66" s="42">
        <f t="shared" ca="1" si="3"/>
        <v>38595</v>
      </c>
      <c r="BL66" s="2">
        <v>55</v>
      </c>
      <c r="BM66" s="26"/>
    </row>
    <row r="67" spans="43:65" x14ac:dyDescent="0.2">
      <c r="AQ67" s="26"/>
      <c r="AR67" s="26"/>
      <c r="AS67" s="26"/>
      <c r="BJ67" s="42">
        <f ca="1">Calc!AA60</f>
        <v>38626</v>
      </c>
      <c r="BK67" s="42">
        <f t="shared" ca="1" si="3"/>
        <v>38625</v>
      </c>
      <c r="BL67" s="2">
        <v>56</v>
      </c>
      <c r="BM67" s="26"/>
    </row>
    <row r="68" spans="43:65" x14ac:dyDescent="0.2">
      <c r="AQ68" s="26"/>
      <c r="AR68" s="26"/>
      <c r="AS68" s="26"/>
      <c r="BJ68" s="42">
        <f ca="1">Calc!AA61</f>
        <v>38657</v>
      </c>
      <c r="BK68" s="42">
        <f t="shared" ca="1" si="3"/>
        <v>38656</v>
      </c>
      <c r="BL68" s="2">
        <v>57</v>
      </c>
      <c r="BM68" s="26"/>
    </row>
    <row r="69" spans="43:65" x14ac:dyDescent="0.2">
      <c r="AQ69" s="26"/>
      <c r="AR69" s="26"/>
      <c r="AS69" s="26"/>
      <c r="BJ69" s="42">
        <f ca="1">Calc!AA62</f>
        <v>38687</v>
      </c>
      <c r="BK69" s="42">
        <f t="shared" ca="1" si="3"/>
        <v>38686</v>
      </c>
      <c r="BL69" s="2">
        <v>58</v>
      </c>
      <c r="BM69" s="26"/>
    </row>
    <row r="70" spans="43:65" x14ac:dyDescent="0.2">
      <c r="BJ70" s="42">
        <f ca="1">Calc!AA63</f>
        <v>38718</v>
      </c>
      <c r="BK70" s="42">
        <f t="shared" ca="1" si="3"/>
        <v>38717</v>
      </c>
      <c r="BL70" s="2">
        <v>59</v>
      </c>
      <c r="BM70" s="26"/>
    </row>
    <row r="71" spans="43:65" x14ac:dyDescent="0.2">
      <c r="BJ71" s="42">
        <f ca="1">Calc!AA64</f>
        <v>38749</v>
      </c>
      <c r="BK71" s="42">
        <f t="shared" ca="1" si="3"/>
        <v>38748</v>
      </c>
      <c r="BL71" s="2">
        <v>60</v>
      </c>
      <c r="BM71" s="26"/>
    </row>
    <row r="72" spans="43:65" x14ac:dyDescent="0.2">
      <c r="BJ72" s="42">
        <f ca="1">Calc!AA65</f>
        <v>38777</v>
      </c>
      <c r="BK72" s="42">
        <f t="shared" ca="1" si="3"/>
        <v>38776</v>
      </c>
      <c r="BL72" s="2">
        <v>61</v>
      </c>
      <c r="BM72" s="26"/>
    </row>
    <row r="73" spans="43:65" x14ac:dyDescent="0.2">
      <c r="BJ73" s="42">
        <f ca="1">Calc!AA66</f>
        <v>38808</v>
      </c>
      <c r="BK73" s="42">
        <f t="shared" ca="1" si="3"/>
        <v>38807</v>
      </c>
      <c r="BL73" s="2">
        <v>62</v>
      </c>
      <c r="BM73" s="26"/>
    </row>
    <row r="74" spans="43:65" x14ac:dyDescent="0.2">
      <c r="BJ74" s="42">
        <f ca="1">Calc!AA67</f>
        <v>38838</v>
      </c>
      <c r="BK74" s="42">
        <f t="shared" ca="1" si="3"/>
        <v>38837</v>
      </c>
      <c r="BL74" s="2">
        <v>63</v>
      </c>
      <c r="BM74" s="26"/>
    </row>
    <row r="75" spans="43:65" x14ac:dyDescent="0.2">
      <c r="BJ75" s="42">
        <f ca="1">Calc!AA68</f>
        <v>38869</v>
      </c>
      <c r="BK75" s="42">
        <f t="shared" ca="1" si="3"/>
        <v>38868</v>
      </c>
      <c r="BL75" s="2">
        <v>64</v>
      </c>
      <c r="BM75" s="26"/>
    </row>
    <row r="76" spans="43:65" x14ac:dyDescent="0.2">
      <c r="BJ76" s="42">
        <f ca="1">Calc!AA69</f>
        <v>38899</v>
      </c>
      <c r="BK76" s="42">
        <f t="shared" ref="BK76:BK107" ca="1" si="4">EOMONTH(BJ76,-1)</f>
        <v>38898</v>
      </c>
      <c r="BL76" s="2">
        <v>65</v>
      </c>
      <c r="BM76" s="26"/>
    </row>
    <row r="77" spans="43:65" x14ac:dyDescent="0.2">
      <c r="BJ77" s="42">
        <f ca="1">Calc!AA70</f>
        <v>38930</v>
      </c>
      <c r="BK77" s="42">
        <f t="shared" ca="1" si="4"/>
        <v>38929</v>
      </c>
      <c r="BL77" s="2">
        <v>66</v>
      </c>
      <c r="BM77" s="26"/>
    </row>
    <row r="78" spans="43:65" x14ac:dyDescent="0.2">
      <c r="BJ78" s="42">
        <f ca="1">Calc!AA71</f>
        <v>38961</v>
      </c>
      <c r="BK78" s="42">
        <f t="shared" ca="1" si="4"/>
        <v>38960</v>
      </c>
      <c r="BL78" s="2">
        <v>67</v>
      </c>
      <c r="BM78" s="26"/>
    </row>
    <row r="79" spans="43:65" x14ac:dyDescent="0.2">
      <c r="BM79" s="26"/>
    </row>
    <row r="80" spans="43:65" x14ac:dyDescent="0.2">
      <c r="BM80" s="26"/>
    </row>
    <row r="81" spans="62:65" x14ac:dyDescent="0.2">
      <c r="BM81" s="26"/>
    </row>
    <row r="82" spans="62:65" x14ac:dyDescent="0.2">
      <c r="BM82" s="26"/>
    </row>
    <row r="83" spans="62:65" x14ac:dyDescent="0.2">
      <c r="BM83" s="26"/>
    </row>
    <row r="84" spans="62:65" x14ac:dyDescent="0.2">
      <c r="BM84" s="26"/>
    </row>
    <row r="85" spans="62:65" x14ac:dyDescent="0.2">
      <c r="BM85" s="26"/>
    </row>
    <row r="86" spans="62:65" x14ac:dyDescent="0.2">
      <c r="BM86" s="26"/>
    </row>
    <row r="87" spans="62:65" x14ac:dyDescent="0.2">
      <c r="BM87" s="26"/>
    </row>
    <row r="88" spans="62:65" x14ac:dyDescent="0.2">
      <c r="BM88" s="26"/>
    </row>
    <row r="89" spans="62:65" x14ac:dyDescent="0.2">
      <c r="BM89" s="26"/>
    </row>
    <row r="90" spans="62:65" x14ac:dyDescent="0.2">
      <c r="BM90" s="26"/>
    </row>
    <row r="91" spans="62:65" x14ac:dyDescent="0.2">
      <c r="BM91" s="26"/>
    </row>
    <row r="92" spans="62:65" x14ac:dyDescent="0.2">
      <c r="BM92" s="26"/>
    </row>
    <row r="93" spans="62:65" x14ac:dyDescent="0.2">
      <c r="BM93" s="26"/>
    </row>
    <row r="94" spans="62:65" x14ac:dyDescent="0.2">
      <c r="BM94" s="26"/>
    </row>
    <row r="95" spans="62:65" x14ac:dyDescent="0.2">
      <c r="BM95" s="26"/>
    </row>
    <row r="96" spans="62:65" x14ac:dyDescent="0.2">
      <c r="BJ96" s="50"/>
      <c r="BK96" s="50"/>
      <c r="BL96" s="51"/>
      <c r="BM96" s="26"/>
    </row>
  </sheetData>
  <mergeCells count="23">
    <mergeCell ref="L44:L45"/>
    <mergeCell ref="M44:N45"/>
    <mergeCell ref="K44:K45"/>
    <mergeCell ref="I44:I45"/>
    <mergeCell ref="E2:F3"/>
    <mergeCell ref="C2:D3"/>
    <mergeCell ref="H2:H3"/>
    <mergeCell ref="G44:G45"/>
    <mergeCell ref="H44:H45"/>
    <mergeCell ref="C44:C45"/>
    <mergeCell ref="B42:G42"/>
    <mergeCell ref="B44:B45"/>
    <mergeCell ref="D44:F44"/>
    <mergeCell ref="I2:I3"/>
    <mergeCell ref="Q44:T44"/>
    <mergeCell ref="P44:P45"/>
    <mergeCell ref="K2:R2"/>
    <mergeCell ref="M3:O3"/>
    <mergeCell ref="P3:R3"/>
    <mergeCell ref="M41:N41"/>
    <mergeCell ref="M42:N42"/>
    <mergeCell ref="J44:J45"/>
    <mergeCell ref="O44:O45"/>
  </mergeCells>
  <dataValidations count="1">
    <dataValidation type="whole" allowBlank="1" showInputMessage="1" showErrorMessage="1" sqref="BR12:BR23">
      <formula1>1</formula1>
      <formula2>2</formula2>
    </dataValidation>
  </dataValidations>
  <pageMargins left="0.75" right="0.75" top="1" bottom="1" header="0.5" footer="0.5"/>
  <pageSetup orientation="portrait" verticalDpi="196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6</xdr:col>
                    <xdr:colOff>9525</xdr:colOff>
                    <xdr:row>37</xdr:row>
                    <xdr:rowOff>9525</xdr:rowOff>
                  </from>
                  <to>
                    <xdr:col>6</xdr:col>
                    <xdr:colOff>704850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6</xdr:col>
                    <xdr:colOff>9525</xdr:colOff>
                    <xdr:row>38</xdr:row>
                    <xdr:rowOff>9525</xdr:rowOff>
                  </from>
                  <to>
                    <xdr:col>6</xdr:col>
                    <xdr:colOff>704850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6" name="Drop Down 41">
              <controlPr defaultSize="0" autoLine="0" autoPict="0">
                <anchor moveWithCells="1">
                  <from>
                    <xdr:col>15</xdr:col>
                    <xdr:colOff>9525</xdr:colOff>
                    <xdr:row>37</xdr:row>
                    <xdr:rowOff>9525</xdr:rowOff>
                  </from>
                  <to>
                    <xdr:col>15</xdr:col>
                    <xdr:colOff>647700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7" name="Button 42">
              <controlPr defaultSize="0" print="0" autoFill="0" autoPict="0" macro="[0]!CurveFetching">
                <anchor moveWithCells="1">
                  <from>
                    <xdr:col>1</xdr:col>
                    <xdr:colOff>9525</xdr:colOff>
                    <xdr:row>37</xdr:row>
                    <xdr:rowOff>9525</xdr:rowOff>
                  </from>
                  <to>
                    <xdr:col>3</xdr:col>
                    <xdr:colOff>609600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8" name="Drop Down 44">
              <controlPr defaultSize="0" autoLine="0" autoPict="0">
                <anchor moveWithCells="1">
                  <from>
                    <xdr:col>12</xdr:col>
                    <xdr:colOff>9525</xdr:colOff>
                    <xdr:row>37</xdr:row>
                    <xdr:rowOff>9525</xdr:rowOff>
                  </from>
                  <to>
                    <xdr:col>13</xdr:col>
                    <xdr:colOff>428625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9" name="Drop Down 45">
              <controlPr defaultSize="0" autoLine="0" autoPict="0">
                <anchor moveWithCells="1">
                  <from>
                    <xdr:col>12</xdr:col>
                    <xdr:colOff>9525</xdr:colOff>
                    <xdr:row>38</xdr:row>
                    <xdr:rowOff>9525</xdr:rowOff>
                  </from>
                  <to>
                    <xdr:col>13</xdr:col>
                    <xdr:colOff>428625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0" name="Drop Down 49">
              <controlPr defaultSize="0" autoLine="0" autoPict="0">
                <anchor moveWithCells="1">
                  <from>
                    <xdr:col>15</xdr:col>
                    <xdr:colOff>9525</xdr:colOff>
                    <xdr:row>38</xdr:row>
                    <xdr:rowOff>9525</xdr:rowOff>
                  </from>
                  <to>
                    <xdr:col>15</xdr:col>
                    <xdr:colOff>647700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1" name="Drop Down 56">
              <controlPr defaultSize="0" autoLine="0" autoPict="0">
                <anchor moveWithCells="1">
                  <from>
                    <xdr:col>3</xdr:col>
                    <xdr:colOff>9525</xdr:colOff>
                    <xdr:row>45</xdr:row>
                    <xdr:rowOff>9525</xdr:rowOff>
                  </from>
                  <to>
                    <xdr:col>3</xdr:col>
                    <xdr:colOff>609600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2" name="Drop Down 57">
              <controlPr defaultSize="0" autoLine="0" autoPict="0">
                <anchor moveWithCells="1">
                  <from>
                    <xdr:col>3</xdr:col>
                    <xdr:colOff>9525</xdr:colOff>
                    <xdr:row>46</xdr:row>
                    <xdr:rowOff>9525</xdr:rowOff>
                  </from>
                  <to>
                    <xdr:col>3</xdr:col>
                    <xdr:colOff>609600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3" name="Drop Down 58">
              <controlPr defaultSize="0" autoLine="0" autoPict="0">
                <anchor moveWithCells="1">
                  <from>
                    <xdr:col>3</xdr:col>
                    <xdr:colOff>9525</xdr:colOff>
                    <xdr:row>47</xdr:row>
                    <xdr:rowOff>9525</xdr:rowOff>
                  </from>
                  <to>
                    <xdr:col>3</xdr:col>
                    <xdr:colOff>609600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4" name="Drop Down 59">
              <controlPr defaultSize="0" autoLine="0" autoPict="0">
                <anchor moveWithCells="1">
                  <from>
                    <xdr:col>3</xdr:col>
                    <xdr:colOff>9525</xdr:colOff>
                    <xdr:row>48</xdr:row>
                    <xdr:rowOff>9525</xdr:rowOff>
                  </from>
                  <to>
                    <xdr:col>3</xdr:col>
                    <xdr:colOff>609600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15" name="Drop Down 60">
              <controlPr defaultSize="0" autoLine="0" autoPict="0">
                <anchor moveWithCells="1">
                  <from>
                    <xdr:col>3</xdr:col>
                    <xdr:colOff>9525</xdr:colOff>
                    <xdr:row>49</xdr:row>
                    <xdr:rowOff>9525</xdr:rowOff>
                  </from>
                  <to>
                    <xdr:col>3</xdr:col>
                    <xdr:colOff>609600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6" name="Drop Down 61">
              <controlPr defaultSize="0" autoLine="0" autoPict="0">
                <anchor moveWithCells="1">
                  <from>
                    <xdr:col>3</xdr:col>
                    <xdr:colOff>9525</xdr:colOff>
                    <xdr:row>50</xdr:row>
                    <xdr:rowOff>9525</xdr:rowOff>
                  </from>
                  <to>
                    <xdr:col>3</xdr:col>
                    <xdr:colOff>609600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7" name="Drop Down 62">
              <controlPr defaultSize="0" autoLine="0" autoPict="0">
                <anchor moveWithCells="1">
                  <from>
                    <xdr:col>4</xdr:col>
                    <xdr:colOff>9525</xdr:colOff>
                    <xdr:row>45</xdr:row>
                    <xdr:rowOff>9525</xdr:rowOff>
                  </from>
                  <to>
                    <xdr:col>4</xdr:col>
                    <xdr:colOff>666750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8" name="Drop Down 69">
              <controlPr defaultSize="0" autoLine="0" autoPict="0">
                <anchor moveWithCells="1">
                  <from>
                    <xdr:col>4</xdr:col>
                    <xdr:colOff>9525</xdr:colOff>
                    <xdr:row>46</xdr:row>
                    <xdr:rowOff>9525</xdr:rowOff>
                  </from>
                  <to>
                    <xdr:col>4</xdr:col>
                    <xdr:colOff>666750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9" name="Drop Down 70">
              <controlPr defaultSize="0" autoLine="0" autoPict="0">
                <anchor moveWithCells="1">
                  <from>
                    <xdr:col>4</xdr:col>
                    <xdr:colOff>9525</xdr:colOff>
                    <xdr:row>47</xdr:row>
                    <xdr:rowOff>9525</xdr:rowOff>
                  </from>
                  <to>
                    <xdr:col>4</xdr:col>
                    <xdr:colOff>666750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0" name="Drop Down 71">
              <controlPr defaultSize="0" autoLine="0" autoPict="0">
                <anchor moveWithCells="1">
                  <from>
                    <xdr:col>4</xdr:col>
                    <xdr:colOff>9525</xdr:colOff>
                    <xdr:row>48</xdr:row>
                    <xdr:rowOff>9525</xdr:rowOff>
                  </from>
                  <to>
                    <xdr:col>4</xdr:col>
                    <xdr:colOff>666750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1" name="Drop Down 72">
              <controlPr defaultSize="0" autoLine="0" autoPict="0">
                <anchor moveWithCells="1">
                  <from>
                    <xdr:col>4</xdr:col>
                    <xdr:colOff>9525</xdr:colOff>
                    <xdr:row>49</xdr:row>
                    <xdr:rowOff>9525</xdr:rowOff>
                  </from>
                  <to>
                    <xdr:col>4</xdr:col>
                    <xdr:colOff>666750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2" name="Drop Down 73">
              <controlPr defaultSize="0" autoLine="0" autoPict="0">
                <anchor moveWithCells="1">
                  <from>
                    <xdr:col>4</xdr:col>
                    <xdr:colOff>9525</xdr:colOff>
                    <xdr:row>50</xdr:row>
                    <xdr:rowOff>9525</xdr:rowOff>
                  </from>
                  <to>
                    <xdr:col>4</xdr:col>
                    <xdr:colOff>666750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3" name="Drop Down 74">
              <controlPr defaultSize="0" autoLine="0" autoPict="0">
                <anchor moveWithCells="1">
                  <from>
                    <xdr:col>6</xdr:col>
                    <xdr:colOff>9525</xdr:colOff>
                    <xdr:row>45</xdr:row>
                    <xdr:rowOff>9525</xdr:rowOff>
                  </from>
                  <to>
                    <xdr:col>6</xdr:col>
                    <xdr:colOff>704850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24" name="Drop Down 75">
              <controlPr defaultSize="0" autoLine="0" autoPict="0">
                <anchor moveWithCells="1">
                  <from>
                    <xdr:col>6</xdr:col>
                    <xdr:colOff>9525</xdr:colOff>
                    <xdr:row>46</xdr:row>
                    <xdr:rowOff>9525</xdr:rowOff>
                  </from>
                  <to>
                    <xdr:col>6</xdr:col>
                    <xdr:colOff>704850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" name="Drop Down 76">
              <controlPr defaultSize="0" autoLine="0" autoPict="0">
                <anchor moveWithCells="1">
                  <from>
                    <xdr:col>6</xdr:col>
                    <xdr:colOff>9525</xdr:colOff>
                    <xdr:row>47</xdr:row>
                    <xdr:rowOff>9525</xdr:rowOff>
                  </from>
                  <to>
                    <xdr:col>6</xdr:col>
                    <xdr:colOff>704850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6" name="Drop Down 77">
              <controlPr defaultSize="0" autoLine="0" autoPict="0">
                <anchor moveWithCells="1">
                  <from>
                    <xdr:col>6</xdr:col>
                    <xdr:colOff>9525</xdr:colOff>
                    <xdr:row>48</xdr:row>
                    <xdr:rowOff>9525</xdr:rowOff>
                  </from>
                  <to>
                    <xdr:col>6</xdr:col>
                    <xdr:colOff>704850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7" name="Drop Down 78">
              <controlPr defaultSize="0" autoLine="0" autoPict="0">
                <anchor moveWithCells="1">
                  <from>
                    <xdr:col>6</xdr:col>
                    <xdr:colOff>9525</xdr:colOff>
                    <xdr:row>49</xdr:row>
                    <xdr:rowOff>9525</xdr:rowOff>
                  </from>
                  <to>
                    <xdr:col>6</xdr:col>
                    <xdr:colOff>704850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8" name="Drop Down 79">
              <controlPr defaultSize="0" autoLine="0" autoPict="0">
                <anchor moveWithCells="1">
                  <from>
                    <xdr:col>6</xdr:col>
                    <xdr:colOff>9525</xdr:colOff>
                    <xdr:row>50</xdr:row>
                    <xdr:rowOff>9525</xdr:rowOff>
                  </from>
                  <to>
                    <xdr:col>6</xdr:col>
                    <xdr:colOff>704850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9" name="Drop Down 80">
              <controlPr defaultSize="0" autoLine="0" autoPict="0">
                <anchor moveWithCells="1">
                  <from>
                    <xdr:col>5</xdr:col>
                    <xdr:colOff>9525</xdr:colOff>
                    <xdr:row>45</xdr:row>
                    <xdr:rowOff>9525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0" name="Drop Down 81">
              <controlPr defaultSize="0" autoLine="0" autoPict="0">
                <anchor moveWithCells="1">
                  <from>
                    <xdr:col>5</xdr:col>
                    <xdr:colOff>9525</xdr:colOff>
                    <xdr:row>46</xdr:row>
                    <xdr:rowOff>9525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1" name="Drop Down 82">
              <controlPr defaultSize="0" autoLine="0" autoPict="0">
                <anchor moveWithCells="1">
                  <from>
                    <xdr:col>5</xdr:col>
                    <xdr:colOff>9525</xdr:colOff>
                    <xdr:row>47</xdr:row>
                    <xdr:rowOff>9525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2" name="Drop Down 83">
              <controlPr defaultSize="0" autoLine="0" autoPict="0">
                <anchor moveWithCells="1">
                  <from>
                    <xdr:col>5</xdr:col>
                    <xdr:colOff>9525</xdr:colOff>
                    <xdr:row>48</xdr:row>
                    <xdr:rowOff>9525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3" name="Drop Down 84">
              <controlPr defaultSize="0" autoLine="0" autoPict="0">
                <anchor moveWithCells="1">
                  <from>
                    <xdr:col>5</xdr:col>
                    <xdr:colOff>9525</xdr:colOff>
                    <xdr:row>49</xdr:row>
                    <xdr:rowOff>9525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4" name="Drop Down 85">
              <controlPr defaultSize="0" autoLine="0" autoPict="0">
                <anchor moveWithCells="1">
                  <from>
                    <xdr:col>5</xdr:col>
                    <xdr:colOff>9525</xdr:colOff>
                    <xdr:row>50</xdr:row>
                    <xdr:rowOff>9525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5" name="Check Box 87">
              <controlPr defaultSize="0" autoFill="0" autoLine="0" autoPict="0">
                <anchor moveWithCells="1">
                  <from>
                    <xdr:col>13</xdr:col>
                    <xdr:colOff>9525</xdr:colOff>
                    <xdr:row>45</xdr:row>
                    <xdr:rowOff>19050</xdr:rowOff>
                  </from>
                  <to>
                    <xdr:col>13</xdr:col>
                    <xdr:colOff>314325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6" name="Check Box 88">
              <controlPr defaultSize="0" autoFill="0" autoLine="0" autoPict="0">
                <anchor moveWithCells="1">
                  <from>
                    <xdr:col>13</xdr:col>
                    <xdr:colOff>9525</xdr:colOff>
                    <xdr:row>46</xdr:row>
                    <xdr:rowOff>9525</xdr:rowOff>
                  </from>
                  <to>
                    <xdr:col>13</xdr:col>
                    <xdr:colOff>314325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7" name="Check Box 89">
              <controlPr defaultSize="0" autoFill="0" autoLine="0" autoPict="0">
                <anchor moveWithCells="1">
                  <from>
                    <xdr:col>13</xdr:col>
                    <xdr:colOff>9525</xdr:colOff>
                    <xdr:row>47</xdr:row>
                    <xdr:rowOff>0</xdr:rowOff>
                  </from>
                  <to>
                    <xdr:col>13</xdr:col>
                    <xdr:colOff>314325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8" name="Check Box 90">
              <controlPr defaultSize="0" autoFill="0" autoLine="0" autoPict="0">
                <anchor moveWithCells="1">
                  <from>
                    <xdr:col>13</xdr:col>
                    <xdr:colOff>9525</xdr:colOff>
                    <xdr:row>48</xdr:row>
                    <xdr:rowOff>9525</xdr:rowOff>
                  </from>
                  <to>
                    <xdr:col>13</xdr:col>
                    <xdr:colOff>314325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9" name="Check Box 91">
              <controlPr defaultSize="0" autoFill="0" autoLine="0" autoPict="0">
                <anchor moveWithCells="1">
                  <from>
                    <xdr:col>13</xdr:col>
                    <xdr:colOff>9525</xdr:colOff>
                    <xdr:row>49</xdr:row>
                    <xdr:rowOff>0</xdr:rowOff>
                  </from>
                  <to>
                    <xdr:col>13</xdr:col>
                    <xdr:colOff>314325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0" name="Check Box 92">
              <controlPr defaultSize="0" autoFill="0" autoLine="0" autoPict="0">
                <anchor moveWithCells="1">
                  <from>
                    <xdr:col>13</xdr:col>
                    <xdr:colOff>9525</xdr:colOff>
                    <xdr:row>50</xdr:row>
                    <xdr:rowOff>9525</xdr:rowOff>
                  </from>
                  <to>
                    <xdr:col>13</xdr:col>
                    <xdr:colOff>314325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1" name="Button 95">
              <controlPr defaultSize="0" print="0" autoFill="0" autoPict="0" macro="[0]!skewcoeff">
                <anchor moveWithCells="1">
                  <from>
                    <xdr:col>9</xdr:col>
                    <xdr:colOff>9525</xdr:colOff>
                    <xdr:row>1</xdr:row>
                    <xdr:rowOff>9525</xdr:rowOff>
                  </from>
                  <to>
                    <xdr:col>9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2" name="Drop Down 97">
              <controlPr defaultSize="0" autoLine="0" autoPict="0">
                <anchor moveWithCells="1">
                  <from>
                    <xdr:col>2</xdr:col>
                    <xdr:colOff>266700</xdr:colOff>
                    <xdr:row>38</xdr:row>
                    <xdr:rowOff>9525</xdr:rowOff>
                  </from>
                  <to>
                    <xdr:col>3</xdr:col>
                    <xdr:colOff>609600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43" name="Button 102">
              <controlPr defaultSize="0" print="0" autoFill="0" autoPict="0" macro="[0]!_xludf.Hide">
                <anchor moveWithCells="1">
                  <from>
                    <xdr:col>9</xdr:col>
                    <xdr:colOff>9525</xdr:colOff>
                    <xdr:row>4</xdr:row>
                    <xdr:rowOff>9525</xdr:rowOff>
                  </from>
                  <to>
                    <xdr:col>9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4" name="Button 103">
              <controlPr defaultSize="0" print="0" autoFill="0" autoPict="0" macro="[0]!_xludf.Unhide">
                <anchor moveWithCells="1">
                  <from>
                    <xdr:col>9</xdr:col>
                    <xdr:colOff>9525</xdr:colOff>
                    <xdr:row>6</xdr:row>
                    <xdr:rowOff>9525</xdr:rowOff>
                  </from>
                  <to>
                    <xdr:col>9</xdr:col>
                    <xdr:colOff>628650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45" name="Check Box 107">
              <controlPr defaultSize="0" autoFill="0" autoLine="0" autoPict="0">
                <anchor moveWithCells="1">
                  <from>
                    <xdr:col>13</xdr:col>
                    <xdr:colOff>9525</xdr:colOff>
                    <xdr:row>50</xdr:row>
                    <xdr:rowOff>9525</xdr:rowOff>
                  </from>
                  <to>
                    <xdr:col>13</xdr:col>
                    <xdr:colOff>314325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46" name="Check Box 108">
              <controlPr defaultSize="0" autoFill="0" autoLine="0" autoPict="0">
                <anchor moveWithCells="1">
                  <from>
                    <xdr:col>13</xdr:col>
                    <xdr:colOff>9525</xdr:colOff>
                    <xdr:row>51</xdr:row>
                    <xdr:rowOff>9525</xdr:rowOff>
                  </from>
                  <to>
                    <xdr:col>13</xdr:col>
                    <xdr:colOff>314325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7" name="Check Box 109">
              <controlPr defaultSize="0" autoFill="0" autoLine="0" autoPict="0">
                <anchor moveWithCells="1">
                  <from>
                    <xdr:col>13</xdr:col>
                    <xdr:colOff>9525</xdr:colOff>
                    <xdr:row>52</xdr:row>
                    <xdr:rowOff>9525</xdr:rowOff>
                  </from>
                  <to>
                    <xdr:col>13</xdr:col>
                    <xdr:colOff>314325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8" name="Check Box 110">
              <controlPr defaultSize="0" autoFill="0" autoLine="0" autoPict="0">
                <anchor moveWithCells="1">
                  <from>
                    <xdr:col>13</xdr:col>
                    <xdr:colOff>9525</xdr:colOff>
                    <xdr:row>53</xdr:row>
                    <xdr:rowOff>9525</xdr:rowOff>
                  </from>
                  <to>
                    <xdr:col>13</xdr:col>
                    <xdr:colOff>314325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9" name="Check Box 111">
              <controlPr defaultSize="0" autoFill="0" autoLine="0" autoPict="0">
                <anchor moveWithCells="1">
                  <from>
                    <xdr:col>13</xdr:col>
                    <xdr:colOff>9525</xdr:colOff>
                    <xdr:row>54</xdr:row>
                    <xdr:rowOff>9525</xdr:rowOff>
                  </from>
                  <to>
                    <xdr:col>13</xdr:col>
                    <xdr:colOff>314325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0" name="Check Box 112">
              <controlPr defaultSize="0" autoFill="0" autoLine="0" autoPict="0">
                <anchor moveWithCells="1">
                  <from>
                    <xdr:col>13</xdr:col>
                    <xdr:colOff>9525</xdr:colOff>
                    <xdr:row>55</xdr:row>
                    <xdr:rowOff>9525</xdr:rowOff>
                  </from>
                  <to>
                    <xdr:col>13</xdr:col>
                    <xdr:colOff>314325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1" name="Check Box 113">
              <controlPr defaultSize="0" autoFill="0" autoLine="0" autoPict="0">
                <anchor moveWithCells="1">
                  <from>
                    <xdr:col>13</xdr:col>
                    <xdr:colOff>9525</xdr:colOff>
                    <xdr:row>56</xdr:row>
                    <xdr:rowOff>9525</xdr:rowOff>
                  </from>
                  <to>
                    <xdr:col>13</xdr:col>
                    <xdr:colOff>314325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52" name="Drop Down 114">
              <controlPr defaultSize="0" autoLine="0" autoPict="0">
                <anchor moveWithCells="1">
                  <from>
                    <xdr:col>3</xdr:col>
                    <xdr:colOff>9525</xdr:colOff>
                    <xdr:row>51</xdr:row>
                    <xdr:rowOff>9525</xdr:rowOff>
                  </from>
                  <to>
                    <xdr:col>3</xdr:col>
                    <xdr:colOff>609600</xdr:colOff>
                    <xdr:row>51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53" name="Drop Down 115">
              <controlPr defaultSize="0" autoLine="0" autoPict="0">
                <anchor moveWithCells="1">
                  <from>
                    <xdr:col>3</xdr:col>
                    <xdr:colOff>9525</xdr:colOff>
                    <xdr:row>52</xdr:row>
                    <xdr:rowOff>9525</xdr:rowOff>
                  </from>
                  <to>
                    <xdr:col>3</xdr:col>
                    <xdr:colOff>609600</xdr:colOff>
                    <xdr:row>52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54" name="Drop Down 116">
              <controlPr defaultSize="0" autoLine="0" autoPict="0">
                <anchor moveWithCells="1">
                  <from>
                    <xdr:col>3</xdr:col>
                    <xdr:colOff>9525</xdr:colOff>
                    <xdr:row>53</xdr:row>
                    <xdr:rowOff>9525</xdr:rowOff>
                  </from>
                  <to>
                    <xdr:col>3</xdr:col>
                    <xdr:colOff>609600</xdr:colOff>
                    <xdr:row>53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55" name="Drop Down 117">
              <controlPr defaultSize="0" autoLine="0" autoPict="0">
                <anchor moveWithCells="1">
                  <from>
                    <xdr:col>3</xdr:col>
                    <xdr:colOff>9525</xdr:colOff>
                    <xdr:row>54</xdr:row>
                    <xdr:rowOff>9525</xdr:rowOff>
                  </from>
                  <to>
                    <xdr:col>3</xdr:col>
                    <xdr:colOff>609600</xdr:colOff>
                    <xdr:row>54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56" name="Drop Down 118">
              <controlPr defaultSize="0" autoLine="0" autoPict="0">
                <anchor moveWithCells="1">
                  <from>
                    <xdr:col>3</xdr:col>
                    <xdr:colOff>9525</xdr:colOff>
                    <xdr:row>55</xdr:row>
                    <xdr:rowOff>9525</xdr:rowOff>
                  </from>
                  <to>
                    <xdr:col>3</xdr:col>
                    <xdr:colOff>609600</xdr:colOff>
                    <xdr:row>55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7" name="Drop Down 119">
              <controlPr defaultSize="0" autoLine="0" autoPict="0">
                <anchor moveWithCells="1">
                  <from>
                    <xdr:col>3</xdr:col>
                    <xdr:colOff>9525</xdr:colOff>
                    <xdr:row>56</xdr:row>
                    <xdr:rowOff>9525</xdr:rowOff>
                  </from>
                  <to>
                    <xdr:col>3</xdr:col>
                    <xdr:colOff>609600</xdr:colOff>
                    <xdr:row>56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8" name="Drop Down 120">
              <controlPr defaultSize="0" autoLine="0" autoPict="0">
                <anchor moveWithCells="1">
                  <from>
                    <xdr:col>4</xdr:col>
                    <xdr:colOff>9525</xdr:colOff>
                    <xdr:row>51</xdr:row>
                    <xdr:rowOff>9525</xdr:rowOff>
                  </from>
                  <to>
                    <xdr:col>5</xdr:col>
                    <xdr:colOff>0</xdr:colOff>
                    <xdr:row>51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9" name="Drop Down 121">
              <controlPr defaultSize="0" autoLine="0" autoPict="0">
                <anchor moveWithCells="1">
                  <from>
                    <xdr:col>4</xdr:col>
                    <xdr:colOff>9525</xdr:colOff>
                    <xdr:row>52</xdr:row>
                    <xdr:rowOff>9525</xdr:rowOff>
                  </from>
                  <to>
                    <xdr:col>5</xdr:col>
                    <xdr:colOff>0</xdr:colOff>
                    <xdr:row>52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0" name="Drop Down 122">
              <controlPr defaultSize="0" autoLine="0" autoPict="0">
                <anchor moveWithCells="1">
                  <from>
                    <xdr:col>4</xdr:col>
                    <xdr:colOff>9525</xdr:colOff>
                    <xdr:row>53</xdr:row>
                    <xdr:rowOff>9525</xdr:rowOff>
                  </from>
                  <to>
                    <xdr:col>5</xdr:col>
                    <xdr:colOff>0</xdr:colOff>
                    <xdr:row>53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1" name="Drop Down 123">
              <controlPr defaultSize="0" autoLine="0" autoPict="0">
                <anchor moveWithCells="1">
                  <from>
                    <xdr:col>4</xdr:col>
                    <xdr:colOff>9525</xdr:colOff>
                    <xdr:row>54</xdr:row>
                    <xdr:rowOff>9525</xdr:rowOff>
                  </from>
                  <to>
                    <xdr:col>5</xdr:col>
                    <xdr:colOff>0</xdr:colOff>
                    <xdr:row>54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62" name="Drop Down 124">
              <controlPr defaultSize="0" autoLine="0" autoPict="0">
                <anchor moveWithCells="1">
                  <from>
                    <xdr:col>4</xdr:col>
                    <xdr:colOff>9525</xdr:colOff>
                    <xdr:row>55</xdr:row>
                    <xdr:rowOff>9525</xdr:rowOff>
                  </from>
                  <to>
                    <xdr:col>5</xdr:col>
                    <xdr:colOff>0</xdr:colOff>
                    <xdr:row>55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3" name="Drop Down 125">
              <controlPr defaultSize="0" autoLine="0" autoPict="0">
                <anchor moveWithCells="1">
                  <from>
                    <xdr:col>4</xdr:col>
                    <xdr:colOff>9525</xdr:colOff>
                    <xdr:row>56</xdr:row>
                    <xdr:rowOff>9525</xdr:rowOff>
                  </from>
                  <to>
                    <xdr:col>5</xdr:col>
                    <xdr:colOff>0</xdr:colOff>
                    <xdr:row>56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64" name="Drop Down 126">
              <controlPr defaultSize="0" autoLine="0" autoPict="0">
                <anchor moveWithCells="1">
                  <from>
                    <xdr:col>5</xdr:col>
                    <xdr:colOff>9525</xdr:colOff>
                    <xdr:row>51</xdr:row>
                    <xdr:rowOff>9525</xdr:rowOff>
                  </from>
                  <to>
                    <xdr:col>6</xdr:col>
                    <xdr:colOff>0</xdr:colOff>
                    <xdr:row>51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65" name="Drop Down 127">
              <controlPr defaultSize="0" autoLine="0" autoPict="0">
                <anchor moveWithCells="1">
                  <from>
                    <xdr:col>5</xdr:col>
                    <xdr:colOff>9525</xdr:colOff>
                    <xdr:row>52</xdr:row>
                    <xdr:rowOff>9525</xdr:rowOff>
                  </from>
                  <to>
                    <xdr:col>6</xdr:col>
                    <xdr:colOff>0</xdr:colOff>
                    <xdr:row>52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66" name="Drop Down 128">
              <controlPr defaultSize="0" autoLine="0" autoPict="0">
                <anchor moveWithCells="1">
                  <from>
                    <xdr:col>5</xdr:col>
                    <xdr:colOff>9525</xdr:colOff>
                    <xdr:row>53</xdr:row>
                    <xdr:rowOff>9525</xdr:rowOff>
                  </from>
                  <to>
                    <xdr:col>6</xdr:col>
                    <xdr:colOff>0</xdr:colOff>
                    <xdr:row>53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67" name="Drop Down 129">
              <controlPr defaultSize="0" autoLine="0" autoPict="0">
                <anchor moveWithCells="1">
                  <from>
                    <xdr:col>5</xdr:col>
                    <xdr:colOff>9525</xdr:colOff>
                    <xdr:row>54</xdr:row>
                    <xdr:rowOff>9525</xdr:rowOff>
                  </from>
                  <to>
                    <xdr:col>6</xdr:col>
                    <xdr:colOff>0</xdr:colOff>
                    <xdr:row>54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8" name="Drop Down 130">
              <controlPr defaultSize="0" autoLine="0" autoPict="0">
                <anchor moveWithCells="1">
                  <from>
                    <xdr:col>5</xdr:col>
                    <xdr:colOff>9525</xdr:colOff>
                    <xdr:row>55</xdr:row>
                    <xdr:rowOff>9525</xdr:rowOff>
                  </from>
                  <to>
                    <xdr:col>6</xdr:col>
                    <xdr:colOff>0</xdr:colOff>
                    <xdr:row>55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9" name="Drop Down 131">
              <controlPr defaultSize="0" autoLine="0" autoPict="0">
                <anchor moveWithCells="1">
                  <from>
                    <xdr:col>5</xdr:col>
                    <xdr:colOff>9525</xdr:colOff>
                    <xdr:row>56</xdr:row>
                    <xdr:rowOff>9525</xdr:rowOff>
                  </from>
                  <to>
                    <xdr:col>6</xdr:col>
                    <xdr:colOff>0</xdr:colOff>
                    <xdr:row>56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0" name="Drop Down 132">
              <controlPr defaultSize="0" autoLine="0" autoPict="0">
                <anchor moveWithCells="1">
                  <from>
                    <xdr:col>6</xdr:col>
                    <xdr:colOff>9525</xdr:colOff>
                    <xdr:row>51</xdr:row>
                    <xdr:rowOff>9525</xdr:rowOff>
                  </from>
                  <to>
                    <xdr:col>6</xdr:col>
                    <xdr:colOff>704850</xdr:colOff>
                    <xdr:row>51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1" name="Drop Down 133">
              <controlPr defaultSize="0" autoLine="0" autoPict="0">
                <anchor moveWithCells="1">
                  <from>
                    <xdr:col>6</xdr:col>
                    <xdr:colOff>9525</xdr:colOff>
                    <xdr:row>52</xdr:row>
                    <xdr:rowOff>9525</xdr:rowOff>
                  </from>
                  <to>
                    <xdr:col>6</xdr:col>
                    <xdr:colOff>704850</xdr:colOff>
                    <xdr:row>52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2" name="Drop Down 134">
              <controlPr defaultSize="0" autoLine="0" autoPict="0">
                <anchor moveWithCells="1">
                  <from>
                    <xdr:col>6</xdr:col>
                    <xdr:colOff>9525</xdr:colOff>
                    <xdr:row>53</xdr:row>
                    <xdr:rowOff>9525</xdr:rowOff>
                  </from>
                  <to>
                    <xdr:col>6</xdr:col>
                    <xdr:colOff>704850</xdr:colOff>
                    <xdr:row>53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3" name="Drop Down 135">
              <controlPr defaultSize="0" autoLine="0" autoPict="0">
                <anchor moveWithCells="1">
                  <from>
                    <xdr:col>6</xdr:col>
                    <xdr:colOff>9525</xdr:colOff>
                    <xdr:row>54</xdr:row>
                    <xdr:rowOff>9525</xdr:rowOff>
                  </from>
                  <to>
                    <xdr:col>6</xdr:col>
                    <xdr:colOff>704850</xdr:colOff>
                    <xdr:row>54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74" name="Drop Down 136">
              <controlPr defaultSize="0" autoLine="0" autoPict="0">
                <anchor moveWithCells="1">
                  <from>
                    <xdr:col>6</xdr:col>
                    <xdr:colOff>9525</xdr:colOff>
                    <xdr:row>55</xdr:row>
                    <xdr:rowOff>9525</xdr:rowOff>
                  </from>
                  <to>
                    <xdr:col>6</xdr:col>
                    <xdr:colOff>704850</xdr:colOff>
                    <xdr:row>55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75" name="Drop Down 137">
              <controlPr defaultSize="0" autoLine="0" autoPict="0">
                <anchor moveWithCells="1">
                  <from>
                    <xdr:col>6</xdr:col>
                    <xdr:colOff>9525</xdr:colOff>
                    <xdr:row>56</xdr:row>
                    <xdr:rowOff>9525</xdr:rowOff>
                  </from>
                  <to>
                    <xdr:col>6</xdr:col>
                    <xdr:colOff>704850</xdr:colOff>
                    <xdr:row>56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BV124"/>
  <sheetViews>
    <sheetView topLeftCell="A2" zoomScale="85" workbookViewId="0">
      <selection activeCell="J75" sqref="J75"/>
    </sheetView>
  </sheetViews>
  <sheetFormatPr defaultColWidth="6.7109375" defaultRowHeight="11.25" x14ac:dyDescent="0.2"/>
  <cols>
    <col min="1" max="1" width="2.28515625" style="1" customWidth="1"/>
    <col min="2" max="2" width="7.28515625" style="1" customWidth="1"/>
    <col min="3" max="3" width="7.140625" style="1" customWidth="1"/>
    <col min="4" max="4" width="9.28515625" style="1" customWidth="1"/>
    <col min="5" max="5" width="10.140625" style="1" customWidth="1"/>
    <col min="6" max="6" width="10.42578125" style="1" customWidth="1"/>
    <col min="7" max="7" width="10.7109375" style="1" customWidth="1"/>
    <col min="8" max="8" width="7.5703125" style="22" customWidth="1"/>
    <col min="9" max="9" width="8.7109375" style="22" customWidth="1"/>
    <col min="10" max="10" width="9.5703125" style="22" bestFit="1" customWidth="1"/>
    <col min="11" max="11" width="9.28515625" style="22" customWidth="1"/>
    <col min="12" max="12" width="9.42578125" style="1" customWidth="1"/>
    <col min="13" max="13" width="8.140625" style="1" customWidth="1"/>
    <col min="14" max="14" width="6.7109375" style="1" customWidth="1"/>
    <col min="15" max="15" width="12.5703125" style="1" customWidth="1"/>
    <col min="16" max="16" width="10" style="1" customWidth="1"/>
    <col min="17" max="17" width="10.5703125" style="1" customWidth="1"/>
    <col min="18" max="18" width="9" style="1" customWidth="1"/>
    <col min="19" max="19" width="10.7109375" style="1" customWidth="1"/>
    <col min="20" max="20" width="11.42578125" style="1" bestFit="1" customWidth="1"/>
    <col min="21" max="21" width="8.5703125" style="1" customWidth="1"/>
    <col min="22" max="44" width="6.7109375" style="1" customWidth="1"/>
    <col min="45" max="45" width="18.85546875" style="1" customWidth="1"/>
    <col min="46" max="46" width="6.7109375" style="1" customWidth="1"/>
    <col min="47" max="47" width="8.42578125" style="1" customWidth="1"/>
    <col min="48" max="52" width="6.7109375" style="1" customWidth="1"/>
    <col min="53" max="53" width="10.28515625" style="1" customWidth="1"/>
    <col min="54" max="56" width="6.7109375" style="1" customWidth="1"/>
    <col min="57" max="57" width="8.5703125" style="1" customWidth="1"/>
    <col min="58" max="61" width="6.7109375" style="1" customWidth="1"/>
    <col min="62" max="62" width="8.5703125" style="1" customWidth="1"/>
    <col min="63" max="64" width="6.7109375" style="1" customWidth="1"/>
    <col min="65" max="65" width="7" style="1" customWidth="1"/>
    <col min="66" max="66" width="6.7109375" style="1" customWidth="1"/>
    <col min="67" max="69" width="10.7109375" style="1" customWidth="1"/>
    <col min="70" max="72" width="6.7109375" style="1" customWidth="1"/>
    <col min="73" max="73" width="8.28515625" style="1" bestFit="1" customWidth="1"/>
    <col min="74" max="16384" width="6.7109375" style="1"/>
  </cols>
  <sheetData>
    <row r="1" spans="2:74" ht="12" thickBot="1" x14ac:dyDescent="0.25"/>
    <row r="2" spans="2:74" ht="16.5" thickBot="1" x14ac:dyDescent="0.25">
      <c r="B2" s="354"/>
      <c r="C2" s="393" t="s">
        <v>154</v>
      </c>
      <c r="D2" s="394"/>
      <c r="E2" s="389" t="s">
        <v>144</v>
      </c>
      <c r="F2" s="390"/>
      <c r="G2" s="227"/>
      <c r="H2" s="413"/>
      <c r="I2" s="413"/>
      <c r="K2" s="375" t="s">
        <v>152</v>
      </c>
      <c r="L2" s="376"/>
      <c r="M2" s="376"/>
      <c r="N2" s="376"/>
      <c r="O2" s="376"/>
      <c r="P2" s="376"/>
      <c r="Q2" s="376"/>
      <c r="R2" s="377"/>
    </row>
    <row r="3" spans="2:74" ht="13.5" customHeight="1" x14ac:dyDescent="0.2">
      <c r="B3" s="355"/>
      <c r="C3" s="395"/>
      <c r="D3" s="396"/>
      <c r="E3" s="391"/>
      <c r="F3" s="392"/>
      <c r="G3" s="227"/>
      <c r="H3" s="413"/>
      <c r="I3" s="413"/>
      <c r="K3" s="97"/>
      <c r="L3" s="98" t="s">
        <v>153</v>
      </c>
      <c r="M3" s="378" t="s">
        <v>146</v>
      </c>
      <c r="N3" s="379"/>
      <c r="O3" s="380"/>
      <c r="P3" s="381" t="s">
        <v>147</v>
      </c>
      <c r="Q3" s="379"/>
      <c r="R3" s="380"/>
    </row>
    <row r="4" spans="2:74" ht="12" thickBot="1" x14ac:dyDescent="0.25">
      <c r="B4" s="356" t="s">
        <v>11</v>
      </c>
      <c r="C4" s="350" t="s">
        <v>94</v>
      </c>
      <c r="D4" s="144" t="s">
        <v>95</v>
      </c>
      <c r="E4" s="181" t="s">
        <v>94</v>
      </c>
      <c r="F4" s="182" t="s">
        <v>95</v>
      </c>
      <c r="G4" s="228"/>
      <c r="H4" s="117"/>
      <c r="I4" s="117"/>
      <c r="K4" s="62" t="s">
        <v>103</v>
      </c>
      <c r="L4" s="99">
        <v>0</v>
      </c>
      <c r="M4" s="99">
        <v>0.25</v>
      </c>
      <c r="N4" s="99">
        <v>0.6</v>
      </c>
      <c r="O4" s="100">
        <v>0.8</v>
      </c>
      <c r="P4" s="185">
        <v>0.2</v>
      </c>
      <c r="Q4" s="186">
        <v>0.4</v>
      </c>
      <c r="R4" s="187">
        <v>0.7</v>
      </c>
    </row>
    <row r="5" spans="2:74" ht="15" customHeight="1" thickBot="1" x14ac:dyDescent="0.25">
      <c r="B5" s="357">
        <f ca="1">Override!K5</f>
        <v>36976</v>
      </c>
      <c r="C5" s="351">
        <f ca="1">VLOOKUP(B5, Calc!$AA$5:$AJ$72,9)</f>
        <v>41.249996185302734</v>
      </c>
      <c r="D5" s="149">
        <f ca="1">VLOOKUP(B5, Calc!$AA$5:$AJ$72,10)</f>
        <v>0.8</v>
      </c>
      <c r="E5" s="321">
        <v>0.25</v>
      </c>
      <c r="F5" s="322">
        <v>0.99</v>
      </c>
      <c r="G5" s="229"/>
      <c r="H5" s="230"/>
      <c r="I5" s="231"/>
      <c r="K5" s="139">
        <f ca="1">Override!K5</f>
        <v>36976</v>
      </c>
      <c r="L5" s="140">
        <f ca="1">Override!M5</f>
        <v>0.8</v>
      </c>
      <c r="M5" s="141">
        <v>0</v>
      </c>
      <c r="N5" s="141"/>
      <c r="O5" s="165">
        <v>0.35</v>
      </c>
      <c r="P5" s="188">
        <v>-0.2</v>
      </c>
      <c r="Q5" s="189">
        <v>-0.3</v>
      </c>
      <c r="R5" s="190"/>
    </row>
    <row r="6" spans="2:74" ht="15" customHeight="1" thickBot="1" x14ac:dyDescent="0.25">
      <c r="B6" s="357">
        <f ca="1">Override!K6</f>
        <v>36982</v>
      </c>
      <c r="C6" s="352">
        <f ca="1">VLOOKUP(B6, Calc!$AA$5:$AJ$72,9)</f>
        <v>25</v>
      </c>
      <c r="D6" s="150">
        <f ca="1">VLOOKUP(B6, Calc!$AA$5:$AJ$72,10)</f>
        <v>0.75</v>
      </c>
      <c r="E6" s="323">
        <v>18</v>
      </c>
      <c r="F6" s="324">
        <v>0.99</v>
      </c>
      <c r="G6" s="229"/>
      <c r="H6" s="230"/>
      <c r="I6" s="231"/>
      <c r="K6" s="82">
        <f ca="1">Override!K6</f>
        <v>36982</v>
      </c>
      <c r="L6" s="84">
        <f ca="1">Override!M6</f>
        <v>0.75</v>
      </c>
      <c r="M6" s="85"/>
      <c r="N6" s="85">
        <v>0</v>
      </c>
      <c r="O6" s="166"/>
      <c r="P6" s="191">
        <v>-0.05</v>
      </c>
      <c r="Q6" s="192">
        <v>-0.1</v>
      </c>
      <c r="R6" s="193"/>
    </row>
    <row r="7" spans="2:74" ht="15" customHeight="1" thickBot="1" x14ac:dyDescent="0.25">
      <c r="B7" s="357">
        <f ca="1">Override!K7</f>
        <v>37012</v>
      </c>
      <c r="C7" s="352">
        <f ca="1">VLOOKUP(B7, Calc!$AA$5:$AJ$72,9)</f>
        <v>47</v>
      </c>
      <c r="D7" s="150">
        <f ca="1">VLOOKUP(B7, Calc!$AA$5:$AJ$72,10)</f>
        <v>0.75</v>
      </c>
      <c r="E7" s="323">
        <v>3</v>
      </c>
      <c r="F7" s="324">
        <v>0.99</v>
      </c>
      <c r="G7" s="229"/>
      <c r="H7" s="230"/>
      <c r="I7" s="231"/>
      <c r="K7" s="82">
        <f ca="1">Override!K7</f>
        <v>37012</v>
      </c>
      <c r="L7" s="84">
        <f ca="1">Override!M7</f>
        <v>0.75</v>
      </c>
      <c r="M7" s="85">
        <v>0.1</v>
      </c>
      <c r="N7" s="85">
        <v>0.2</v>
      </c>
      <c r="O7" s="166">
        <v>0.3</v>
      </c>
      <c r="P7" s="191">
        <v>0</v>
      </c>
      <c r="Q7" s="192">
        <v>0.15</v>
      </c>
      <c r="R7" s="193"/>
    </row>
    <row r="8" spans="2:74" ht="15" customHeight="1" thickBot="1" x14ac:dyDescent="0.25">
      <c r="B8" s="357">
        <f ca="1">Override!K8</f>
        <v>37043</v>
      </c>
      <c r="C8" s="352">
        <f ca="1">VLOOKUP(B8, Calc!$AA$5:$AJ$72,9)</f>
        <v>72.999992370605469</v>
      </c>
      <c r="D8" s="150">
        <f ca="1">VLOOKUP(B8, Calc!$AA$5:$AJ$72,10)</f>
        <v>0.7</v>
      </c>
      <c r="E8" s="323">
        <v>4</v>
      </c>
      <c r="F8" s="324">
        <v>0.99</v>
      </c>
      <c r="G8" s="229"/>
      <c r="H8" s="230"/>
      <c r="I8" s="231"/>
      <c r="K8" s="82">
        <f ca="1">Override!K8</f>
        <v>37043</v>
      </c>
      <c r="L8" s="84">
        <f ca="1">Override!M8</f>
        <v>0.7</v>
      </c>
      <c r="M8" s="85" t="s">
        <v>151</v>
      </c>
      <c r="N8" s="85">
        <v>0.7</v>
      </c>
      <c r="O8" s="166"/>
      <c r="P8" s="191">
        <v>0.5</v>
      </c>
      <c r="Q8" s="192">
        <v>0.4</v>
      </c>
      <c r="R8" s="193"/>
    </row>
    <row r="9" spans="2:74" ht="15" customHeight="1" thickBot="1" x14ac:dyDescent="0.25">
      <c r="B9" s="357">
        <f ca="1">Override!K9</f>
        <v>37073</v>
      </c>
      <c r="C9" s="352">
        <f ca="1">VLOOKUP(B9, Calc!$AA$5:$AJ$72,9)</f>
        <v>115</v>
      </c>
      <c r="D9" s="150">
        <f ca="1">VLOOKUP(B9, Calc!$AA$5:$AJ$72,10)</f>
        <v>0.85</v>
      </c>
      <c r="E9" s="323">
        <v>5</v>
      </c>
      <c r="F9" s="324">
        <v>0.99</v>
      </c>
      <c r="G9" s="229"/>
      <c r="H9" s="230"/>
      <c r="I9" s="231"/>
      <c r="K9" s="82">
        <f ca="1">Override!K9</f>
        <v>37073</v>
      </c>
      <c r="L9" s="84">
        <f ca="1">Override!M9</f>
        <v>0.85</v>
      </c>
      <c r="M9" s="85"/>
      <c r="N9" s="85"/>
      <c r="O9" s="166"/>
      <c r="P9" s="191"/>
      <c r="Q9" s="192"/>
      <c r="R9" s="193"/>
    </row>
    <row r="10" spans="2:74" ht="15" customHeight="1" thickBot="1" x14ac:dyDescent="0.25">
      <c r="B10" s="357">
        <f ca="1">Override!K10</f>
        <v>37104</v>
      </c>
      <c r="C10" s="352">
        <f ca="1">VLOOKUP(B10, Calc!$AA$5:$AJ$72,9)</f>
        <v>115</v>
      </c>
      <c r="D10" s="150">
        <f ca="1">VLOOKUP(B10, Calc!$AA$5:$AJ$72,10)</f>
        <v>0.7</v>
      </c>
      <c r="E10" s="323">
        <v>5</v>
      </c>
      <c r="F10" s="324">
        <v>0.99</v>
      </c>
      <c r="G10" s="229"/>
      <c r="H10" s="230"/>
      <c r="I10" s="231"/>
      <c r="K10" s="82">
        <f ca="1">Override!K10</f>
        <v>37104</v>
      </c>
      <c r="L10" s="84">
        <f ca="1">Override!M10</f>
        <v>0.7</v>
      </c>
      <c r="M10" s="85"/>
      <c r="N10" s="85"/>
      <c r="O10" s="166"/>
      <c r="P10" s="191"/>
      <c r="Q10" s="192"/>
      <c r="R10" s="193"/>
    </row>
    <row r="11" spans="2:74" ht="15" customHeight="1" thickBot="1" x14ac:dyDescent="0.25">
      <c r="B11" s="357">
        <f ca="1">Override!K11</f>
        <v>37135</v>
      </c>
      <c r="C11" s="352">
        <f ca="1">VLOOKUP(B11, Calc!$AA$5:$AJ$72,9)</f>
        <v>43.500003814697266</v>
      </c>
      <c r="D11" s="150">
        <f ca="1">VLOOKUP(B11, Calc!$AA$5:$AJ$72,10)</f>
        <v>0.6</v>
      </c>
      <c r="E11" s="323">
        <v>2.5</v>
      </c>
      <c r="F11" s="324">
        <v>0.99</v>
      </c>
      <c r="G11" s="229"/>
      <c r="H11" s="230"/>
      <c r="I11" s="231"/>
      <c r="K11" s="82">
        <f ca="1">Override!K11</f>
        <v>37135</v>
      </c>
      <c r="L11" s="84">
        <f ca="1">Override!M11</f>
        <v>0.6</v>
      </c>
      <c r="M11" s="85"/>
      <c r="N11" s="85"/>
      <c r="O11" s="166"/>
      <c r="P11" s="194"/>
      <c r="Q11" s="39"/>
      <c r="R11" s="193"/>
      <c r="AQ11" s="12">
        <v>7</v>
      </c>
      <c r="AR11" s="12"/>
      <c r="AS11" s="13">
        <f>VLOOKUP(AQ11, $AP$13:$AQ$20,2)</f>
        <v>7</v>
      </c>
      <c r="AU11" s="17" t="s">
        <v>76</v>
      </c>
      <c r="AV11" s="18"/>
      <c r="AX11" s="2" t="s">
        <v>100</v>
      </c>
      <c r="AY11" s="2"/>
      <c r="BA11" s="32" t="s">
        <v>105</v>
      </c>
      <c r="BB11" s="31"/>
      <c r="BC11" s="2"/>
      <c r="BE11" s="2" t="s">
        <v>0</v>
      </c>
      <c r="BG11" s="2" t="s">
        <v>1</v>
      </c>
      <c r="BH11" s="52">
        <v>2</v>
      </c>
      <c r="BJ11" s="2" t="s">
        <v>18</v>
      </c>
      <c r="BK11" s="2" t="s">
        <v>140</v>
      </c>
      <c r="BL11" s="31"/>
      <c r="BM11" s="26"/>
      <c r="BO11" s="2" t="s">
        <v>119</v>
      </c>
      <c r="BP11" s="2" t="s">
        <v>120</v>
      </c>
      <c r="BQ11" s="2" t="s">
        <v>103</v>
      </c>
      <c r="BR11" s="2" t="s">
        <v>112</v>
      </c>
      <c r="BS11" s="2" t="s">
        <v>141</v>
      </c>
      <c r="BU11" s="43" t="s">
        <v>112</v>
      </c>
      <c r="BV11" s="31"/>
    </row>
    <row r="12" spans="2:74" ht="15" customHeight="1" thickBot="1" x14ac:dyDescent="0.25">
      <c r="B12" s="357">
        <f ca="1">Override!K12</f>
        <v>37165</v>
      </c>
      <c r="C12" s="352">
        <f ca="1">VLOOKUP(B12, Calc!$AA$5:$AJ$72,9)</f>
        <v>41.400001525878906</v>
      </c>
      <c r="D12" s="150">
        <f ca="1">VLOOKUP(B12, Calc!$AA$5:$AJ$72,10)</f>
        <v>0.5</v>
      </c>
      <c r="E12" s="325">
        <f t="shared" ref="E12:E36" ca="1" si="0">C12</f>
        <v>41.400001525878906</v>
      </c>
      <c r="F12" s="324">
        <v>0.99</v>
      </c>
      <c r="G12" s="229"/>
      <c r="H12" s="230"/>
      <c r="I12" s="231"/>
      <c r="K12" s="82">
        <f ca="1">Override!K12</f>
        <v>37165</v>
      </c>
      <c r="L12" s="84">
        <f ca="1">Override!M12</f>
        <v>0.5</v>
      </c>
      <c r="M12" s="115"/>
      <c r="N12" s="115"/>
      <c r="O12" s="167"/>
      <c r="P12" s="195"/>
      <c r="Q12" s="196"/>
      <c r="R12" s="197"/>
      <c r="AQ12" s="14" t="s">
        <v>34</v>
      </c>
      <c r="AR12" s="15"/>
      <c r="AS12" s="16"/>
      <c r="AU12" s="19" t="s">
        <v>79</v>
      </c>
      <c r="AV12" s="20">
        <v>1</v>
      </c>
      <c r="AX12" s="2"/>
      <c r="AY12" s="52">
        <v>1</v>
      </c>
      <c r="BA12" s="23" t="s">
        <v>106</v>
      </c>
      <c r="BB12" s="53">
        <v>4</v>
      </c>
      <c r="BC12" s="2" t="s">
        <v>104</v>
      </c>
      <c r="BE12" s="2" t="b">
        <v>0</v>
      </c>
      <c r="BG12" s="43" t="s">
        <v>7</v>
      </c>
      <c r="BH12" s="31"/>
      <c r="BJ12" s="42">
        <f ca="1">Calc!AA5</f>
        <v>36976</v>
      </c>
      <c r="BK12" s="42">
        <f t="shared" ref="BK12:BK43" ca="1" si="1">EOMONTH(BJ12,-1)</f>
        <v>36950</v>
      </c>
      <c r="BL12" s="2">
        <v>1</v>
      </c>
      <c r="BM12" s="26"/>
      <c r="BN12" s="2" t="s">
        <v>121</v>
      </c>
      <c r="BO12" s="52">
        <v>3</v>
      </c>
      <c r="BP12" s="52">
        <v>4</v>
      </c>
      <c r="BQ12" s="52">
        <v>3</v>
      </c>
      <c r="BR12" s="52">
        <v>1</v>
      </c>
      <c r="BS12" s="52" t="b">
        <v>0</v>
      </c>
      <c r="BU12" s="43" t="s">
        <v>113</v>
      </c>
      <c r="BV12" s="52">
        <v>1</v>
      </c>
    </row>
    <row r="13" spans="2:74" ht="15" customHeight="1" thickBot="1" x14ac:dyDescent="0.25">
      <c r="B13" s="357">
        <f ca="1">Override!K13</f>
        <v>37196</v>
      </c>
      <c r="C13" s="352">
        <f ca="1">VLOOKUP(B13, Calc!$AA$5:$AJ$72,9)</f>
        <v>41.5</v>
      </c>
      <c r="D13" s="150">
        <f ca="1">VLOOKUP(B13, Calc!$AA$5:$AJ$72,10)</f>
        <v>0.47499999999999998</v>
      </c>
      <c r="E13" s="325">
        <f t="shared" ca="1" si="0"/>
        <v>41.5</v>
      </c>
      <c r="F13" s="324">
        <v>0.99</v>
      </c>
      <c r="G13" s="229"/>
      <c r="H13" s="230"/>
      <c r="I13" s="231"/>
      <c r="K13" s="82">
        <f ca="1">Override!K13</f>
        <v>37196</v>
      </c>
      <c r="L13" s="84">
        <f ca="1">Override!M13</f>
        <v>0.47499999999999998</v>
      </c>
      <c r="M13" s="121"/>
      <c r="N13" s="122"/>
      <c r="O13" s="168"/>
      <c r="P13" s="198"/>
      <c r="Q13" s="196"/>
      <c r="R13" s="197"/>
      <c r="AO13" s="1">
        <v>1</v>
      </c>
      <c r="AP13" s="1">
        <v>1</v>
      </c>
      <c r="AQ13" s="13">
        <v>1</v>
      </c>
      <c r="AR13" s="13">
        <v>1</v>
      </c>
      <c r="AS13" s="13" t="s">
        <v>35</v>
      </c>
      <c r="AU13" s="44" t="s">
        <v>77</v>
      </c>
      <c r="AV13" s="45" t="s">
        <v>78</v>
      </c>
      <c r="AX13" s="2" t="s">
        <v>101</v>
      </c>
      <c r="AY13" s="2"/>
      <c r="BA13" s="2" t="s">
        <v>107</v>
      </c>
      <c r="BB13" s="52">
        <v>4</v>
      </c>
      <c r="BC13" s="23" t="s">
        <v>95</v>
      </c>
      <c r="BE13" s="2" t="s">
        <v>2</v>
      </c>
      <c r="BG13" s="43" t="s">
        <v>131</v>
      </c>
      <c r="BH13" s="31"/>
      <c r="BJ13" s="42">
        <f ca="1">Calc!AA6</f>
        <v>36982</v>
      </c>
      <c r="BK13" s="42">
        <f t="shared" ca="1" si="1"/>
        <v>36981</v>
      </c>
      <c r="BL13" s="2">
        <v>2</v>
      </c>
      <c r="BM13" s="26"/>
      <c r="BN13" s="2" t="s">
        <v>122</v>
      </c>
      <c r="BO13" s="52">
        <v>6</v>
      </c>
      <c r="BP13" s="52">
        <v>8</v>
      </c>
      <c r="BQ13" s="52">
        <v>5</v>
      </c>
      <c r="BR13" s="52">
        <v>3</v>
      </c>
      <c r="BS13" s="52" t="b">
        <v>0</v>
      </c>
      <c r="BU13" s="2" t="s">
        <v>5</v>
      </c>
      <c r="BV13" s="52">
        <v>2</v>
      </c>
    </row>
    <row r="14" spans="2:74" ht="15" customHeight="1" thickBot="1" x14ac:dyDescent="0.25">
      <c r="B14" s="357">
        <f ca="1">Override!K14</f>
        <v>37226</v>
      </c>
      <c r="C14" s="352">
        <f ca="1">VLOOKUP(B14, Calc!$AA$5:$AJ$72,9)</f>
        <v>41.599998474121094</v>
      </c>
      <c r="D14" s="150">
        <f ca="1">VLOOKUP(B14, Calc!$AA$5:$AJ$72,10)</f>
        <v>0.52500000000000002</v>
      </c>
      <c r="E14" s="325">
        <f t="shared" ca="1" si="0"/>
        <v>41.599998474121094</v>
      </c>
      <c r="F14" s="324">
        <v>0.99</v>
      </c>
      <c r="G14" s="229"/>
      <c r="H14" s="230"/>
      <c r="I14" s="231"/>
      <c r="K14" s="82">
        <f ca="1">Override!K14</f>
        <v>37226</v>
      </c>
      <c r="L14" s="84">
        <f ca="1">Override!M14</f>
        <v>0.52500000000000002</v>
      </c>
      <c r="M14" s="35"/>
      <c r="N14" s="35"/>
      <c r="O14" s="169"/>
      <c r="P14" s="194"/>
      <c r="Q14" s="39"/>
      <c r="R14" s="193"/>
      <c r="AO14" s="1">
        <v>3</v>
      </c>
      <c r="AP14" s="1">
        <v>2</v>
      </c>
      <c r="AQ14" s="13">
        <v>2</v>
      </c>
      <c r="AR14" s="13" t="s">
        <v>36</v>
      </c>
      <c r="AS14" s="13" t="s">
        <v>37</v>
      </c>
      <c r="AU14" s="46" t="s">
        <v>79</v>
      </c>
      <c r="AV14" s="47"/>
      <c r="AX14" s="2" t="s">
        <v>102</v>
      </c>
      <c r="AY14" s="2"/>
      <c r="BA14" s="43" t="s">
        <v>105</v>
      </c>
      <c r="BB14" s="2"/>
      <c r="BC14" s="31"/>
      <c r="BE14" s="2" t="b">
        <v>1</v>
      </c>
      <c r="BJ14" s="42">
        <f ca="1">Calc!AA7</f>
        <v>37012</v>
      </c>
      <c r="BK14" s="42">
        <f t="shared" ca="1" si="1"/>
        <v>37011</v>
      </c>
      <c r="BL14" s="2">
        <v>3</v>
      </c>
      <c r="BM14" s="26"/>
      <c r="BN14" s="2" t="s">
        <v>123</v>
      </c>
      <c r="BO14" s="52">
        <v>5</v>
      </c>
      <c r="BP14" s="52">
        <v>6</v>
      </c>
      <c r="BQ14" s="52">
        <v>5</v>
      </c>
      <c r="BR14" s="52">
        <v>1</v>
      </c>
      <c r="BS14" s="52" t="b">
        <v>0</v>
      </c>
      <c r="BU14" s="2" t="s">
        <v>127</v>
      </c>
      <c r="BV14" s="52">
        <v>3</v>
      </c>
    </row>
    <row r="15" spans="2:74" ht="15" customHeight="1" thickBot="1" x14ac:dyDescent="0.25">
      <c r="B15" s="357">
        <f ca="1">Override!K15</f>
        <v>37257</v>
      </c>
      <c r="C15" s="352">
        <f ca="1">VLOOKUP(B15, Calc!$AA$5:$AJ$72,9)</f>
        <v>47.037143707275391</v>
      </c>
      <c r="D15" s="150">
        <f ca="1">VLOOKUP(B15, Calc!$AA$5:$AJ$72,10)</f>
        <v>0.47499999999999998</v>
      </c>
      <c r="E15" s="325">
        <f t="shared" ca="1" si="0"/>
        <v>47.037143707275391</v>
      </c>
      <c r="F15" s="324">
        <v>0.99</v>
      </c>
      <c r="G15" s="229"/>
      <c r="H15" s="230"/>
      <c r="I15" s="231"/>
      <c r="K15" s="82">
        <f ca="1">Override!K15</f>
        <v>37257</v>
      </c>
      <c r="L15" s="84">
        <f ca="1">Override!M15</f>
        <v>0.47499999999999998</v>
      </c>
      <c r="M15" s="35"/>
      <c r="N15" s="35"/>
      <c r="O15" s="169"/>
      <c r="P15" s="194"/>
      <c r="Q15" s="39"/>
      <c r="R15" s="193"/>
      <c r="AO15" s="1">
        <v>4</v>
      </c>
      <c r="AP15" s="1">
        <v>3</v>
      </c>
      <c r="AQ15" s="13">
        <v>3</v>
      </c>
      <c r="AR15" s="13" t="s">
        <v>38</v>
      </c>
      <c r="AS15" s="13" t="s">
        <v>39</v>
      </c>
      <c r="AU15" s="48" t="s">
        <v>80</v>
      </c>
      <c r="AV15" s="49">
        <v>1</v>
      </c>
      <c r="AX15" s="26"/>
      <c r="AY15" s="26"/>
      <c r="BA15" s="2" t="s">
        <v>145</v>
      </c>
      <c r="BB15" s="2"/>
      <c r="BC15" s="2"/>
      <c r="BE15" s="2" t="s">
        <v>134</v>
      </c>
      <c r="BG15" s="2" t="s">
        <v>159</v>
      </c>
      <c r="BH15" s="2">
        <v>1</v>
      </c>
      <c r="BJ15" s="42">
        <f ca="1">Calc!AA8</f>
        <v>37043</v>
      </c>
      <c r="BK15" s="42">
        <f t="shared" ca="1" si="1"/>
        <v>37042</v>
      </c>
      <c r="BL15" s="2">
        <v>4</v>
      </c>
      <c r="BM15" s="26"/>
      <c r="BN15" s="2" t="s">
        <v>124</v>
      </c>
      <c r="BO15" s="52">
        <v>6</v>
      </c>
      <c r="BP15" s="52">
        <v>7</v>
      </c>
      <c r="BQ15" s="52">
        <v>6</v>
      </c>
      <c r="BR15" s="52">
        <v>1</v>
      </c>
      <c r="BS15" s="52" t="b">
        <v>0</v>
      </c>
    </row>
    <row r="16" spans="2:74" ht="15" customHeight="1" thickBot="1" x14ac:dyDescent="0.25">
      <c r="B16" s="357">
        <f ca="1">Override!K16</f>
        <v>37288</v>
      </c>
      <c r="C16" s="352">
        <f ca="1">VLOOKUP(B16, Calc!$AA$5:$AJ$72,9)</f>
        <v>46.437141418457031</v>
      </c>
      <c r="D16" s="150">
        <f ca="1">VLOOKUP(B16, Calc!$AA$5:$AJ$72,10)</f>
        <v>0.42499999999999999</v>
      </c>
      <c r="E16" s="325">
        <f t="shared" ca="1" si="0"/>
        <v>46.437141418457031</v>
      </c>
      <c r="F16" s="324">
        <v>0.99</v>
      </c>
      <c r="G16" s="229"/>
      <c r="H16" s="230"/>
      <c r="I16" s="231"/>
      <c r="K16" s="82">
        <f ca="1">Override!K16</f>
        <v>37288</v>
      </c>
      <c r="L16" s="84">
        <f ca="1">Override!M16</f>
        <v>0.42499999999999999</v>
      </c>
      <c r="M16" s="35"/>
      <c r="N16" s="35"/>
      <c r="O16" s="169"/>
      <c r="P16" s="194"/>
      <c r="Q16" s="39"/>
      <c r="R16" s="193"/>
      <c r="AO16" s="1">
        <v>6</v>
      </c>
      <c r="AP16" s="1">
        <v>4</v>
      </c>
      <c r="AQ16" s="13">
        <v>4</v>
      </c>
      <c r="AR16" s="13" t="s">
        <v>40</v>
      </c>
      <c r="AS16" s="13" t="s">
        <v>41</v>
      </c>
      <c r="AU16" s="48" t="s">
        <v>81</v>
      </c>
      <c r="AV16" s="49">
        <v>2</v>
      </c>
      <c r="AX16" s="26"/>
      <c r="AY16" s="26"/>
      <c r="BA16" s="26"/>
      <c r="BB16" s="26"/>
      <c r="BC16" s="26"/>
      <c r="BE16" s="2" t="b">
        <v>1</v>
      </c>
      <c r="BG16" s="2" t="s">
        <v>160</v>
      </c>
      <c r="BH16" s="2"/>
      <c r="BJ16" s="42">
        <f ca="1">Calc!AA9</f>
        <v>37073</v>
      </c>
      <c r="BK16" s="42">
        <f t="shared" ca="1" si="1"/>
        <v>37072</v>
      </c>
      <c r="BL16" s="2">
        <v>5</v>
      </c>
      <c r="BM16" s="26"/>
      <c r="BN16" s="2" t="s">
        <v>125</v>
      </c>
      <c r="BO16" s="52">
        <v>8</v>
      </c>
      <c r="BP16" s="52">
        <v>9</v>
      </c>
      <c r="BQ16" s="52">
        <v>8</v>
      </c>
      <c r="BR16" s="52">
        <v>2</v>
      </c>
      <c r="BS16" s="52" t="b">
        <v>0</v>
      </c>
    </row>
    <row r="17" spans="1:71" ht="15" hidden="1" customHeight="1" thickBot="1" x14ac:dyDescent="0.25">
      <c r="A17" s="1" t="s">
        <v>151</v>
      </c>
      <c r="B17" s="357">
        <f ca="1">Override!K17</f>
        <v>37316</v>
      </c>
      <c r="C17" s="352">
        <f ca="1">VLOOKUP(B17, Calc!$AA$5:$AJ$72,9)</f>
        <v>36.651039123535156</v>
      </c>
      <c r="D17" s="150">
        <f ca="1">VLOOKUP(B17, Calc!$AA$5:$AJ$72,10)</f>
        <v>0.38600000000000001</v>
      </c>
      <c r="E17" s="325">
        <f t="shared" ca="1" si="0"/>
        <v>36.651039123535156</v>
      </c>
      <c r="F17" s="324">
        <v>0.99</v>
      </c>
      <c r="G17" s="229"/>
      <c r="H17" s="230"/>
      <c r="I17" s="231"/>
      <c r="K17" s="82">
        <f ca="1">Override!K17</f>
        <v>37316</v>
      </c>
      <c r="L17" s="84">
        <f ca="1">Override!M17</f>
        <v>0.38600000000000001</v>
      </c>
      <c r="M17" s="35"/>
      <c r="N17" s="35"/>
      <c r="O17" s="169"/>
      <c r="P17" s="194"/>
      <c r="Q17" s="39"/>
      <c r="R17" s="193"/>
      <c r="AO17" s="1">
        <v>12</v>
      </c>
      <c r="AP17" s="1">
        <v>5</v>
      </c>
      <c r="AQ17" s="13">
        <v>5</v>
      </c>
      <c r="AR17" s="13" t="s">
        <v>42</v>
      </c>
      <c r="AS17" s="13" t="s">
        <v>43</v>
      </c>
      <c r="AU17" s="48" t="s">
        <v>82</v>
      </c>
      <c r="AV17" s="49">
        <v>3</v>
      </c>
      <c r="AX17" s="26"/>
      <c r="AY17" s="26"/>
      <c r="BA17" s="26"/>
      <c r="BB17" s="26"/>
      <c r="BC17" s="26"/>
      <c r="BG17" s="2" t="s">
        <v>161</v>
      </c>
      <c r="BH17" s="2"/>
      <c r="BJ17" s="42">
        <f ca="1">Calc!AA10</f>
        <v>37104</v>
      </c>
      <c r="BK17" s="42">
        <f t="shared" ca="1" si="1"/>
        <v>37103</v>
      </c>
      <c r="BL17" s="2">
        <v>6</v>
      </c>
      <c r="BM17" s="26"/>
      <c r="BN17" s="2" t="s">
        <v>126</v>
      </c>
      <c r="BO17" s="52">
        <v>9</v>
      </c>
      <c r="BP17" s="52">
        <v>10</v>
      </c>
      <c r="BQ17" s="52">
        <v>9</v>
      </c>
      <c r="BR17" s="52">
        <v>2</v>
      </c>
      <c r="BS17" s="52" t="b">
        <v>0</v>
      </c>
    </row>
    <row r="18" spans="1:71" ht="15" hidden="1" customHeight="1" thickBot="1" x14ac:dyDescent="0.25">
      <c r="B18" s="357">
        <f ca="1">Override!K18</f>
        <v>37347</v>
      </c>
      <c r="C18" s="352">
        <f ca="1">VLOOKUP(B18, Calc!$AA$5:$AJ$72,9)</f>
        <v>36.851043701171875</v>
      </c>
      <c r="D18" s="150">
        <f ca="1">VLOOKUP(B18, Calc!$AA$5:$AJ$72,10)</f>
        <v>0.38600000000000001</v>
      </c>
      <c r="E18" s="325">
        <f t="shared" ca="1" si="0"/>
        <v>36.851043701171875</v>
      </c>
      <c r="F18" s="324">
        <v>0.99</v>
      </c>
      <c r="G18" s="229"/>
      <c r="H18" s="230"/>
      <c r="I18" s="231"/>
      <c r="K18" s="82">
        <f ca="1">Override!K18</f>
        <v>37347</v>
      </c>
      <c r="L18" s="84">
        <f ca="1">Override!M18</f>
        <v>0.38600000000000001</v>
      </c>
      <c r="M18" s="35"/>
      <c r="N18" s="35"/>
      <c r="O18" s="169"/>
      <c r="P18" s="194"/>
      <c r="Q18" s="39"/>
      <c r="R18" s="193"/>
      <c r="AO18" s="1">
        <v>13</v>
      </c>
      <c r="AP18" s="1">
        <v>6</v>
      </c>
      <c r="AQ18" s="13">
        <v>6</v>
      </c>
      <c r="AR18" s="13" t="s">
        <v>44</v>
      </c>
      <c r="AS18" s="13" t="s">
        <v>45</v>
      </c>
      <c r="AU18" s="48" t="s">
        <v>83</v>
      </c>
      <c r="AV18" s="49">
        <v>4</v>
      </c>
      <c r="AX18" s="26"/>
      <c r="AY18" s="26"/>
      <c r="BA18" s="26"/>
      <c r="BB18" s="26"/>
      <c r="BC18" s="26"/>
      <c r="BG18" s="2" t="s">
        <v>162</v>
      </c>
      <c r="BH18" s="2"/>
      <c r="BJ18" s="42">
        <f ca="1">Calc!AA11</f>
        <v>37135</v>
      </c>
      <c r="BK18" s="42">
        <f t="shared" ca="1" si="1"/>
        <v>37134</v>
      </c>
      <c r="BL18" s="2">
        <v>7</v>
      </c>
      <c r="BM18" s="26"/>
      <c r="BN18" s="2" t="s">
        <v>171</v>
      </c>
      <c r="BO18" s="52">
        <v>20</v>
      </c>
      <c r="BP18" s="52">
        <v>21</v>
      </c>
      <c r="BQ18" s="52">
        <v>20</v>
      </c>
      <c r="BR18" s="52">
        <v>2</v>
      </c>
      <c r="BS18" s="2" t="b">
        <v>0</v>
      </c>
    </row>
    <row r="19" spans="1:71" ht="15" hidden="1" customHeight="1" thickBot="1" x14ac:dyDescent="0.25">
      <c r="B19" s="357">
        <f ca="1">Override!K19</f>
        <v>37377</v>
      </c>
      <c r="C19" s="352">
        <f ca="1">VLOOKUP(B19, Calc!$AA$5:$AJ$72,9)</f>
        <v>40.999996185302734</v>
      </c>
      <c r="D19" s="150">
        <f ca="1">VLOOKUP(B19, Calc!$AA$5:$AJ$72,10)</f>
        <v>0.41600000000000004</v>
      </c>
      <c r="E19" s="325">
        <f t="shared" ca="1" si="0"/>
        <v>40.999996185302734</v>
      </c>
      <c r="F19" s="324">
        <v>0.99</v>
      </c>
      <c r="G19" s="229"/>
      <c r="H19" s="230"/>
      <c r="I19" s="231"/>
      <c r="K19" s="82">
        <f ca="1">Override!K19</f>
        <v>37377</v>
      </c>
      <c r="L19" s="84">
        <f ca="1">Override!M19</f>
        <v>0.41600000000000004</v>
      </c>
      <c r="M19" s="35"/>
      <c r="N19" s="35"/>
      <c r="O19" s="169"/>
      <c r="P19" s="194"/>
      <c r="Q19" s="39"/>
      <c r="R19" s="193"/>
      <c r="AO19" s="1">
        <v>21</v>
      </c>
      <c r="AP19" s="1">
        <v>7</v>
      </c>
      <c r="AQ19" s="13">
        <v>7</v>
      </c>
      <c r="AR19" s="13">
        <v>4</v>
      </c>
      <c r="AS19" s="13" t="s">
        <v>46</v>
      </c>
      <c r="AU19" s="48" t="s">
        <v>84</v>
      </c>
      <c r="AV19" s="49">
        <v>5</v>
      </c>
      <c r="AX19" s="26"/>
      <c r="AY19" s="26"/>
      <c r="BA19" s="26"/>
      <c r="BB19" s="26"/>
      <c r="BC19" s="26"/>
      <c r="BJ19" s="42">
        <f ca="1">Calc!AA12</f>
        <v>37165</v>
      </c>
      <c r="BK19" s="42">
        <f t="shared" ca="1" si="1"/>
        <v>37164</v>
      </c>
      <c r="BL19" s="2">
        <v>8</v>
      </c>
      <c r="BM19" s="26"/>
      <c r="BN19" s="2" t="s">
        <v>172</v>
      </c>
      <c r="BO19" s="52">
        <v>4</v>
      </c>
      <c r="BP19" s="52">
        <v>5</v>
      </c>
      <c r="BQ19" s="52">
        <v>4</v>
      </c>
      <c r="BR19" s="52">
        <v>2</v>
      </c>
      <c r="BS19" s="2" t="b">
        <v>0</v>
      </c>
    </row>
    <row r="20" spans="1:71" ht="15" hidden="1" customHeight="1" thickBot="1" x14ac:dyDescent="0.25">
      <c r="B20" s="357">
        <f ca="1">Override!K20</f>
        <v>37408</v>
      </c>
      <c r="C20" s="352">
        <f ca="1">VLOOKUP(B20, Calc!$AA$5:$AJ$72,9)</f>
        <v>59.5</v>
      </c>
      <c r="D20" s="150">
        <f ca="1">VLOOKUP(B20, Calc!$AA$5:$AJ$72,10)</f>
        <v>0.45050000000000001</v>
      </c>
      <c r="E20" s="325">
        <f t="shared" ca="1" si="0"/>
        <v>59.5</v>
      </c>
      <c r="F20" s="324">
        <v>0.99</v>
      </c>
      <c r="G20" s="229"/>
      <c r="H20" s="230"/>
      <c r="I20" s="231"/>
      <c r="K20" s="82">
        <f ca="1">Override!K20</f>
        <v>37408</v>
      </c>
      <c r="L20" s="84">
        <f ca="1">Override!M20</f>
        <v>0.45050000000000001</v>
      </c>
      <c r="M20" s="35"/>
      <c r="N20" s="35"/>
      <c r="O20" s="169"/>
      <c r="P20" s="194"/>
      <c r="Q20" s="39"/>
      <c r="R20" s="193"/>
      <c r="AO20" s="1">
        <v>25</v>
      </c>
      <c r="AP20" s="1">
        <v>8</v>
      </c>
      <c r="AQ20" s="13">
        <v>8</v>
      </c>
      <c r="AR20" s="112">
        <v>5</v>
      </c>
      <c r="AS20" s="112" t="s">
        <v>47</v>
      </c>
      <c r="AU20" s="48" t="s">
        <v>85</v>
      </c>
      <c r="AV20" s="49">
        <v>6</v>
      </c>
      <c r="AX20" s="26"/>
      <c r="AY20" s="26"/>
      <c r="BA20" s="26"/>
      <c r="BB20" s="26"/>
      <c r="BC20" s="26"/>
      <c r="BJ20" s="42">
        <f ca="1">Calc!AA13</f>
        <v>37196</v>
      </c>
      <c r="BK20" s="42">
        <f t="shared" ca="1" si="1"/>
        <v>37195</v>
      </c>
      <c r="BL20" s="2">
        <v>9</v>
      </c>
      <c r="BM20" s="26"/>
      <c r="BN20" s="2" t="s">
        <v>173</v>
      </c>
      <c r="BO20" s="52">
        <v>6</v>
      </c>
      <c r="BP20" s="52">
        <v>7</v>
      </c>
      <c r="BQ20" s="52">
        <v>6</v>
      </c>
      <c r="BR20" s="52">
        <v>2</v>
      </c>
      <c r="BS20" s="2" t="b">
        <v>0</v>
      </c>
    </row>
    <row r="21" spans="1:71" ht="15" hidden="1" customHeight="1" thickBot="1" x14ac:dyDescent="0.25">
      <c r="B21" s="357">
        <f ca="1">Override!K21</f>
        <v>37438</v>
      </c>
      <c r="C21" s="352">
        <f ca="1">VLOOKUP(B21, Calc!$AA$5:$AJ$72,9)</f>
        <v>85.5</v>
      </c>
      <c r="D21" s="150">
        <f ca="1">VLOOKUP(B21, Calc!$AA$5:$AJ$72,10)</f>
        <v>0.51550000000000007</v>
      </c>
      <c r="E21" s="325">
        <f t="shared" ca="1" si="0"/>
        <v>85.5</v>
      </c>
      <c r="F21" s="324">
        <v>0.99</v>
      </c>
      <c r="G21" s="229"/>
      <c r="H21" s="230"/>
      <c r="I21" s="231"/>
      <c r="K21" s="82">
        <f ca="1">Override!K21</f>
        <v>37438</v>
      </c>
      <c r="L21" s="84">
        <f ca="1">Override!M21</f>
        <v>0.51550000000000007</v>
      </c>
      <c r="M21" s="35"/>
      <c r="N21" s="35"/>
      <c r="O21" s="169"/>
      <c r="P21" s="194"/>
      <c r="Q21" s="39"/>
      <c r="R21" s="193"/>
      <c r="AQ21" s="113"/>
      <c r="AR21" s="113"/>
      <c r="AS21" s="113"/>
      <c r="AU21" s="48" t="s">
        <v>86</v>
      </c>
      <c r="AV21" s="49">
        <v>7</v>
      </c>
      <c r="AX21" s="26"/>
      <c r="AY21" s="26"/>
      <c r="BJ21" s="42">
        <f ca="1">Calc!AA14</f>
        <v>37226</v>
      </c>
      <c r="BK21" s="42">
        <f t="shared" ca="1" si="1"/>
        <v>37225</v>
      </c>
      <c r="BL21" s="2">
        <v>10</v>
      </c>
      <c r="BM21" s="26"/>
      <c r="BN21" s="2" t="s">
        <v>174</v>
      </c>
      <c r="BO21" s="52">
        <v>7</v>
      </c>
      <c r="BP21" s="52">
        <v>9</v>
      </c>
      <c r="BQ21" s="52">
        <v>7</v>
      </c>
      <c r="BR21" s="52">
        <v>2</v>
      </c>
      <c r="BS21" s="2" t="b">
        <v>0</v>
      </c>
    </row>
    <row r="22" spans="1:71" ht="15" hidden="1" customHeight="1" thickBot="1" x14ac:dyDescent="0.25">
      <c r="B22" s="357">
        <f ca="1">Override!K22</f>
        <v>37469</v>
      </c>
      <c r="C22" s="352">
        <f ca="1">VLOOKUP(B22, Calc!$AA$5:$AJ$72,9)</f>
        <v>85.5</v>
      </c>
      <c r="D22" s="150">
        <f ca="1">VLOOKUP(B22, Calc!$AA$5:$AJ$72,10)</f>
        <v>0.51550000000000007</v>
      </c>
      <c r="E22" s="325">
        <f t="shared" ca="1" si="0"/>
        <v>85.5</v>
      </c>
      <c r="F22" s="324">
        <v>0.99</v>
      </c>
      <c r="G22" s="229"/>
      <c r="H22" s="230"/>
      <c r="I22" s="231"/>
      <c r="K22" s="82">
        <f ca="1">Override!K22</f>
        <v>37469</v>
      </c>
      <c r="L22" s="84">
        <f ca="1">Override!M22</f>
        <v>0.51550000000000007</v>
      </c>
      <c r="M22" s="35"/>
      <c r="N22" s="35"/>
      <c r="O22" s="169"/>
      <c r="P22" s="194"/>
      <c r="Q22" s="39"/>
      <c r="R22" s="193"/>
      <c r="AQ22" s="113"/>
      <c r="AR22" s="113"/>
      <c r="AS22" s="113"/>
      <c r="AU22" s="48" t="s">
        <v>87</v>
      </c>
      <c r="AV22" s="49">
        <v>8</v>
      </c>
      <c r="AX22" s="26"/>
      <c r="AY22" s="26"/>
      <c r="BJ22" s="42">
        <f ca="1">Calc!AA15</f>
        <v>37257</v>
      </c>
      <c r="BK22" s="42">
        <f t="shared" ca="1" si="1"/>
        <v>37256</v>
      </c>
      <c r="BL22" s="2">
        <v>11</v>
      </c>
      <c r="BM22" s="26"/>
      <c r="BN22" s="2" t="s">
        <v>175</v>
      </c>
      <c r="BO22" s="52">
        <v>8</v>
      </c>
      <c r="BP22" s="52">
        <v>9</v>
      </c>
      <c r="BQ22" s="52">
        <v>8</v>
      </c>
      <c r="BR22" s="52">
        <v>2</v>
      </c>
      <c r="BS22" s="2" t="b">
        <v>0</v>
      </c>
    </row>
    <row r="23" spans="1:71" ht="15" hidden="1" customHeight="1" thickBot="1" x14ac:dyDescent="0.25">
      <c r="B23" s="357">
        <f ca="1">Override!K23</f>
        <v>37500</v>
      </c>
      <c r="C23" s="352">
        <f ca="1">VLOOKUP(B23, Calc!$AA$5:$AJ$72,9)</f>
        <v>37.500003814697266</v>
      </c>
      <c r="D23" s="150">
        <f ca="1">VLOOKUP(B23, Calc!$AA$5:$AJ$72,10)</f>
        <v>0.37050000000000005</v>
      </c>
      <c r="E23" s="325">
        <f t="shared" ca="1" si="0"/>
        <v>37.500003814697266</v>
      </c>
      <c r="F23" s="324">
        <v>0.99</v>
      </c>
      <c r="G23" s="229"/>
      <c r="H23" s="230"/>
      <c r="I23" s="231"/>
      <c r="K23" s="82">
        <f ca="1">Override!K23</f>
        <v>37500</v>
      </c>
      <c r="L23" s="84">
        <f ca="1">Override!M23</f>
        <v>0.37050000000000005</v>
      </c>
      <c r="M23" s="35"/>
      <c r="N23" s="35"/>
      <c r="O23" s="169"/>
      <c r="P23" s="194"/>
      <c r="Q23" s="39"/>
      <c r="R23" s="199"/>
      <c r="S23" s="71"/>
      <c r="T23" s="26"/>
      <c r="AQ23" s="113"/>
      <c r="AR23" s="113"/>
      <c r="AS23" s="113"/>
      <c r="AU23" s="48" t="s">
        <v>88</v>
      </c>
      <c r="AV23" s="49">
        <v>10</v>
      </c>
      <c r="AX23" s="26"/>
      <c r="AY23" s="26"/>
      <c r="BJ23" s="42">
        <f ca="1">Calc!AA16</f>
        <v>37288</v>
      </c>
      <c r="BK23" s="42">
        <f t="shared" ca="1" si="1"/>
        <v>37287</v>
      </c>
      <c r="BL23" s="2">
        <v>12</v>
      </c>
      <c r="BM23" s="26"/>
      <c r="BN23" s="2" t="s">
        <v>176</v>
      </c>
      <c r="BO23" s="52">
        <v>9</v>
      </c>
      <c r="BP23" s="52">
        <v>10</v>
      </c>
      <c r="BQ23" s="52">
        <v>9</v>
      </c>
      <c r="BR23" s="52">
        <v>2</v>
      </c>
      <c r="BS23" s="2" t="b">
        <v>0</v>
      </c>
    </row>
    <row r="24" spans="1:71" ht="15" hidden="1" customHeight="1" thickBot="1" x14ac:dyDescent="0.25">
      <c r="B24" s="357">
        <f ca="1">Override!K24</f>
        <v>37530</v>
      </c>
      <c r="C24" s="352">
        <f ca="1">VLOOKUP(B24, Calc!$AA$5:$AJ$72,9)</f>
        <v>35.904998779296875</v>
      </c>
      <c r="D24" s="150">
        <f ca="1">VLOOKUP(B24, Calc!$AA$5:$AJ$72,10)</f>
        <v>0.33050000000000002</v>
      </c>
      <c r="E24" s="325">
        <f t="shared" ca="1" si="0"/>
        <v>35.904998779296875</v>
      </c>
      <c r="F24" s="324">
        <v>0.99</v>
      </c>
      <c r="G24" s="229"/>
      <c r="H24" s="230"/>
      <c r="I24" s="231"/>
      <c r="K24" s="82">
        <f ca="1">Override!K24</f>
        <v>37530</v>
      </c>
      <c r="L24" s="84">
        <f ca="1">Override!M24</f>
        <v>0.33050000000000002</v>
      </c>
      <c r="M24" s="35"/>
      <c r="N24" s="35"/>
      <c r="O24" s="170"/>
      <c r="P24" s="194"/>
      <c r="Q24" s="39"/>
      <c r="R24" s="199"/>
      <c r="S24" s="71"/>
      <c r="AQ24" s="26"/>
      <c r="AR24" s="26"/>
      <c r="AS24" s="26"/>
      <c r="AU24" s="48" t="s">
        <v>89</v>
      </c>
      <c r="AV24" s="49">
        <v>11</v>
      </c>
      <c r="AX24" s="26"/>
      <c r="AY24" s="26"/>
      <c r="BJ24" s="42">
        <f ca="1">Calc!AA17</f>
        <v>37316</v>
      </c>
      <c r="BK24" s="42">
        <f t="shared" ca="1" si="1"/>
        <v>37315</v>
      </c>
      <c r="BL24" s="2">
        <v>13</v>
      </c>
      <c r="BM24" s="26"/>
    </row>
    <row r="25" spans="1:71" ht="15" hidden="1" customHeight="1" thickBot="1" x14ac:dyDescent="0.25">
      <c r="B25" s="357">
        <f ca="1">Override!K25</f>
        <v>37561</v>
      </c>
      <c r="C25" s="352">
        <f ca="1">VLOOKUP(B25, Calc!$AA$5:$AJ$72,9)</f>
        <v>36.004997253417969</v>
      </c>
      <c r="D25" s="150">
        <f ca="1">VLOOKUP(B25, Calc!$AA$5:$AJ$72,10)</f>
        <v>0.33050000000000002</v>
      </c>
      <c r="E25" s="325">
        <f t="shared" ca="1" si="0"/>
        <v>36.004997253417969</v>
      </c>
      <c r="F25" s="324">
        <v>0.99</v>
      </c>
      <c r="G25" s="229"/>
      <c r="H25" s="230"/>
      <c r="I25" s="231"/>
      <c r="K25" s="82">
        <f ca="1">Override!K25</f>
        <v>37561</v>
      </c>
      <c r="L25" s="84">
        <f ca="1">Override!M25</f>
        <v>0.33050000000000002</v>
      </c>
      <c r="M25" s="35"/>
      <c r="N25" s="35"/>
      <c r="O25" s="169"/>
      <c r="P25" s="194"/>
      <c r="Q25" s="39"/>
      <c r="R25" s="193"/>
      <c r="AQ25" s="26"/>
      <c r="AR25" s="26"/>
      <c r="AS25" s="26"/>
      <c r="AU25" s="48" t="s">
        <v>90</v>
      </c>
      <c r="AV25" s="49">
        <v>12</v>
      </c>
      <c r="AX25" s="26"/>
      <c r="AY25" s="26"/>
      <c r="BJ25" s="42">
        <f ca="1">Calc!AA18</f>
        <v>37347</v>
      </c>
      <c r="BK25" s="42">
        <f t="shared" ca="1" si="1"/>
        <v>37346</v>
      </c>
      <c r="BL25" s="2">
        <v>14</v>
      </c>
      <c r="BM25" s="26"/>
    </row>
    <row r="26" spans="1:71" ht="15" hidden="1" customHeight="1" thickBot="1" x14ac:dyDescent="0.25">
      <c r="B26" s="357">
        <f ca="1">Override!K26</f>
        <v>37591</v>
      </c>
      <c r="C26" s="352">
        <f ca="1">VLOOKUP(B26, Calc!$AA$5:$AJ$72,9)</f>
        <v>36.104995727539063</v>
      </c>
      <c r="D26" s="150">
        <f ca="1">VLOOKUP(B26, Calc!$AA$5:$AJ$72,10)</f>
        <v>0.33050000000000002</v>
      </c>
      <c r="E26" s="325">
        <f t="shared" ca="1" si="0"/>
        <v>36.104995727539063</v>
      </c>
      <c r="F26" s="324">
        <v>0.99</v>
      </c>
      <c r="G26" s="229"/>
      <c r="H26" s="230"/>
      <c r="I26" s="231"/>
      <c r="K26" s="82">
        <f ca="1">Override!K26</f>
        <v>37591</v>
      </c>
      <c r="L26" s="84">
        <f ca="1">Override!M26</f>
        <v>0.33050000000000002</v>
      </c>
      <c r="M26" s="35"/>
      <c r="N26" s="35"/>
      <c r="O26" s="169"/>
      <c r="P26" s="194"/>
      <c r="Q26" s="39"/>
      <c r="R26" s="193"/>
      <c r="AQ26" s="113"/>
      <c r="AR26" s="113"/>
      <c r="AS26" s="113"/>
      <c r="AU26" s="48" t="s">
        <v>91</v>
      </c>
      <c r="AV26" s="49">
        <v>14</v>
      </c>
      <c r="AX26" s="26"/>
      <c r="AY26" s="26"/>
      <c r="BJ26" s="42">
        <f ca="1">Calc!AA19</f>
        <v>37377</v>
      </c>
      <c r="BK26" s="42">
        <f t="shared" ca="1" si="1"/>
        <v>37376</v>
      </c>
      <c r="BL26" s="2">
        <v>15</v>
      </c>
      <c r="BM26" s="26"/>
    </row>
    <row r="27" spans="1:71" ht="12" hidden="1" thickBot="1" x14ac:dyDescent="0.25">
      <c r="B27" s="357">
        <f ca="1">Override!K27</f>
        <v>37622</v>
      </c>
      <c r="C27" s="352">
        <f ca="1">VLOOKUP(B27, Calc!$AA$5:$AJ$72,9)</f>
        <v>40.287864685058594</v>
      </c>
      <c r="D27" s="150">
        <f ca="1">VLOOKUP(B27, Calc!$AA$5:$AJ$72,10)</f>
        <v>0.42600000000000005</v>
      </c>
      <c r="E27" s="325">
        <f t="shared" ca="1" si="0"/>
        <v>40.287864685058594</v>
      </c>
      <c r="F27" s="324">
        <v>0.99</v>
      </c>
      <c r="G27" s="229"/>
      <c r="H27" s="230"/>
      <c r="I27" s="231"/>
      <c r="K27" s="82">
        <f ca="1">Override!K27</f>
        <v>37622</v>
      </c>
      <c r="L27" s="84">
        <f ca="1">Override!M27</f>
        <v>0.42600000000000005</v>
      </c>
      <c r="M27" s="35"/>
      <c r="N27" s="35"/>
      <c r="O27" s="169"/>
      <c r="P27" s="194"/>
      <c r="Q27" s="39"/>
      <c r="R27" s="193"/>
      <c r="AQ27" s="113"/>
      <c r="AR27" s="113"/>
      <c r="AS27" s="113"/>
      <c r="AU27" s="359" t="s">
        <v>93</v>
      </c>
      <c r="AV27" s="360"/>
      <c r="AX27" s="26"/>
      <c r="AY27" s="26"/>
      <c r="BJ27" s="42">
        <f ca="1">Calc!AA20</f>
        <v>37408</v>
      </c>
      <c r="BK27" s="42">
        <f t="shared" ca="1" si="1"/>
        <v>37407</v>
      </c>
      <c r="BL27" s="2">
        <v>16</v>
      </c>
      <c r="BM27" s="26"/>
    </row>
    <row r="28" spans="1:71" ht="12" hidden="1" thickBot="1" x14ac:dyDescent="0.25">
      <c r="B28" s="357">
        <f ca="1">Override!K28</f>
        <v>37653</v>
      </c>
      <c r="C28" s="353">
        <f ca="1">VLOOKUP(B28, Calc!$AA$5:$AJ$72,9)</f>
        <v>39.687862396240234</v>
      </c>
      <c r="D28" s="152">
        <f ca="1">VLOOKUP(B28, Calc!$AA$5:$AJ$72,10)</f>
        <v>0.42600000000000005</v>
      </c>
      <c r="E28" s="325">
        <f t="shared" ca="1" si="0"/>
        <v>39.687862396240234</v>
      </c>
      <c r="F28" s="326">
        <v>0.99</v>
      </c>
      <c r="G28" s="229"/>
      <c r="H28" s="230"/>
      <c r="I28" s="231"/>
      <c r="K28" s="83">
        <f ca="1">Override!K28</f>
        <v>37653</v>
      </c>
      <c r="L28" s="155">
        <f ca="1">Override!M28</f>
        <v>0.42600000000000005</v>
      </c>
      <c r="M28" s="35"/>
      <c r="N28" s="35"/>
      <c r="O28" s="169"/>
      <c r="P28" s="194"/>
      <c r="Q28" s="39"/>
      <c r="R28" s="193"/>
      <c r="AQ28" s="113"/>
      <c r="AR28" s="113"/>
      <c r="AS28" s="113"/>
      <c r="AU28" s="361"/>
      <c r="AV28" s="362"/>
      <c r="AX28" s="26"/>
      <c r="AY28" s="26"/>
      <c r="BJ28" s="42">
        <f ca="1">Calc!AA21</f>
        <v>37438</v>
      </c>
      <c r="BK28" s="42">
        <f t="shared" ca="1" si="1"/>
        <v>37437</v>
      </c>
      <c r="BL28" s="2">
        <v>17</v>
      </c>
      <c r="BM28" s="26"/>
    </row>
    <row r="29" spans="1:71" ht="12" hidden="1" thickBot="1" x14ac:dyDescent="0.25">
      <c r="B29" s="357">
        <f ca="1">Override!K29</f>
        <v>37681</v>
      </c>
      <c r="C29" s="352">
        <f ca="1">VLOOKUP(B29, Calc!$AA$5:$AJ$72,9)</f>
        <v>33.898544311523438</v>
      </c>
      <c r="D29" s="154">
        <f ca="1">VLOOKUP(B29, Calc!$AA$5:$AJ$72,10)</f>
        <v>0.25</v>
      </c>
      <c r="E29" s="325">
        <f t="shared" ca="1" si="0"/>
        <v>33.898544311523438</v>
      </c>
      <c r="F29" s="324">
        <v>0.99</v>
      </c>
      <c r="G29" s="229"/>
      <c r="H29" s="230"/>
      <c r="I29" s="231"/>
      <c r="K29" s="83">
        <f ca="1">Override!K29</f>
        <v>37681</v>
      </c>
      <c r="L29" s="155">
        <f ca="1">Override!M29</f>
        <v>0.25</v>
      </c>
      <c r="M29" s="35"/>
      <c r="N29" s="35"/>
      <c r="O29" s="169"/>
      <c r="P29" s="194"/>
      <c r="Q29" s="39"/>
      <c r="R29" s="193"/>
      <c r="AQ29" s="113"/>
      <c r="AR29" s="113"/>
      <c r="AS29" s="113"/>
      <c r="AU29" s="361"/>
      <c r="AV29" s="362"/>
      <c r="AX29" s="26"/>
      <c r="AY29" s="26"/>
      <c r="BJ29" s="42">
        <f ca="1">Calc!AA22</f>
        <v>37469</v>
      </c>
      <c r="BK29" s="42">
        <f t="shared" ca="1" si="1"/>
        <v>37468</v>
      </c>
      <c r="BL29" s="2">
        <v>18</v>
      </c>
      <c r="BM29" s="26"/>
    </row>
    <row r="30" spans="1:71" ht="12" hidden="1" thickBot="1" x14ac:dyDescent="0.25">
      <c r="B30" s="357">
        <f ca="1">Override!K30</f>
        <v>37712</v>
      </c>
      <c r="C30" s="352">
        <f ca="1">VLOOKUP(B30, Calc!$AA$5:$AJ$72,9)</f>
        <v>34.098545074462891</v>
      </c>
      <c r="D30" s="154">
        <f ca="1">VLOOKUP(B30, Calc!$AA$5:$AJ$72,10)</f>
        <v>0.25</v>
      </c>
      <c r="E30" s="325">
        <f t="shared" ca="1" si="0"/>
        <v>34.098545074462891</v>
      </c>
      <c r="F30" s="324">
        <v>0.99</v>
      </c>
      <c r="G30" s="229"/>
      <c r="H30" s="230"/>
      <c r="I30" s="231"/>
      <c r="K30" s="83">
        <f ca="1">Override!K30</f>
        <v>37712</v>
      </c>
      <c r="L30" s="155">
        <f ca="1">Override!M30</f>
        <v>0.25</v>
      </c>
      <c r="M30" s="35"/>
      <c r="N30" s="35"/>
      <c r="O30" s="169"/>
      <c r="P30" s="194"/>
      <c r="Q30" s="39"/>
      <c r="R30" s="193"/>
      <c r="AQ30" s="113"/>
      <c r="AR30" s="113"/>
      <c r="AS30" s="113"/>
      <c r="AU30" s="361"/>
      <c r="AV30" s="362"/>
      <c r="AX30" s="26"/>
      <c r="AY30" s="26"/>
      <c r="BJ30" s="42">
        <f ca="1">Calc!AA23</f>
        <v>37500</v>
      </c>
      <c r="BK30" s="42">
        <f t="shared" ca="1" si="1"/>
        <v>37499</v>
      </c>
      <c r="BL30" s="2">
        <v>19</v>
      </c>
      <c r="BM30" s="26"/>
    </row>
    <row r="31" spans="1:71" ht="12" hidden="1" thickBot="1" x14ac:dyDescent="0.25">
      <c r="B31" s="357">
        <f ca="1">Override!K31</f>
        <v>37742</v>
      </c>
      <c r="C31" s="352">
        <f ca="1">VLOOKUP(B31, Calc!$AA$5:$AJ$72,9)</f>
        <v>35.003566741943359</v>
      </c>
      <c r="D31" s="154">
        <f ca="1">VLOOKUP(B31, Calc!$AA$5:$AJ$72,10)</f>
        <v>0.42600000000000005</v>
      </c>
      <c r="E31" s="325">
        <f t="shared" ca="1" si="0"/>
        <v>35.003566741943359</v>
      </c>
      <c r="F31" s="324">
        <v>0.99</v>
      </c>
      <c r="G31" s="229"/>
      <c r="H31" s="230"/>
      <c r="I31" s="231"/>
      <c r="K31" s="83">
        <f ca="1">Override!K31</f>
        <v>37742</v>
      </c>
      <c r="L31" s="155">
        <f ca="1">Override!M31</f>
        <v>0.42600000000000005</v>
      </c>
      <c r="M31" s="35"/>
      <c r="N31" s="35"/>
      <c r="O31" s="169"/>
      <c r="P31" s="194"/>
      <c r="Q31" s="39"/>
      <c r="R31" s="193"/>
      <c r="AQ31" s="113"/>
      <c r="AR31" s="113"/>
      <c r="AS31" s="113"/>
      <c r="AU31" s="361"/>
      <c r="AV31" s="362"/>
      <c r="AX31" s="26"/>
      <c r="AY31" s="26"/>
      <c r="BJ31" s="42">
        <f ca="1">Calc!AA24</f>
        <v>37530</v>
      </c>
      <c r="BK31" s="42">
        <f t="shared" ca="1" si="1"/>
        <v>37529</v>
      </c>
      <c r="BL31" s="2">
        <v>20</v>
      </c>
      <c r="BM31" s="26"/>
    </row>
    <row r="32" spans="1:71" ht="12" hidden="1" thickBot="1" x14ac:dyDescent="0.25">
      <c r="B32" s="357">
        <f ca="1">Override!K32</f>
        <v>37773</v>
      </c>
      <c r="C32" s="352">
        <f ca="1">VLOOKUP(B32, Calc!$AA$5:$AJ$72,9)</f>
        <v>51.747856140136719</v>
      </c>
      <c r="D32" s="154">
        <f ca="1">VLOOKUP(B32, Calc!$AA$5:$AJ$72,10)</f>
        <v>0.46550000000000002</v>
      </c>
      <c r="E32" s="325">
        <f t="shared" ca="1" si="0"/>
        <v>51.747856140136719</v>
      </c>
      <c r="F32" s="324">
        <v>0.99</v>
      </c>
      <c r="G32" s="229"/>
      <c r="H32" s="230"/>
      <c r="I32" s="231"/>
      <c r="K32" s="83">
        <f ca="1">Override!K32</f>
        <v>37773</v>
      </c>
      <c r="L32" s="155">
        <f ca="1">Override!M32</f>
        <v>0.46550000000000002</v>
      </c>
      <c r="M32" s="35"/>
      <c r="N32" s="35"/>
      <c r="O32" s="169"/>
      <c r="P32" s="194"/>
      <c r="Q32" s="39"/>
      <c r="R32" s="193"/>
      <c r="AQ32" s="113"/>
      <c r="AR32" s="113"/>
      <c r="AS32" s="113"/>
      <c r="AU32" s="361"/>
      <c r="AV32" s="362"/>
      <c r="AX32" s="26"/>
      <c r="AY32" s="26"/>
      <c r="BJ32" s="42">
        <f ca="1">Calc!AA25</f>
        <v>37561</v>
      </c>
      <c r="BK32" s="42">
        <f t="shared" ca="1" si="1"/>
        <v>37560</v>
      </c>
      <c r="BL32" s="2">
        <v>21</v>
      </c>
      <c r="BM32" s="26"/>
    </row>
    <row r="33" spans="2:65" ht="12" hidden="1" thickBot="1" x14ac:dyDescent="0.25">
      <c r="B33" s="357">
        <f ca="1">Override!K33</f>
        <v>37803</v>
      </c>
      <c r="C33" s="352">
        <f ca="1">VLOOKUP(B33, Calc!$AA$5:$AJ$72,9)</f>
        <v>76.997146606445313</v>
      </c>
      <c r="D33" s="154">
        <f ca="1">VLOOKUP(B33, Calc!$AA$5:$AJ$72,10)</f>
        <v>0.4955</v>
      </c>
      <c r="E33" s="325">
        <f t="shared" ca="1" si="0"/>
        <v>76.997146606445313</v>
      </c>
      <c r="F33" s="324">
        <v>0.99</v>
      </c>
      <c r="G33" s="229"/>
      <c r="H33" s="230"/>
      <c r="I33" s="231"/>
      <c r="K33" s="83">
        <f ca="1">Override!K33</f>
        <v>37803</v>
      </c>
      <c r="L33" s="155">
        <f ca="1">Override!M33</f>
        <v>0.4955</v>
      </c>
      <c r="M33" s="35"/>
      <c r="N33" s="35"/>
      <c r="O33" s="169"/>
      <c r="P33" s="194"/>
      <c r="Q33" s="39"/>
      <c r="R33" s="193"/>
      <c r="AQ33" s="113"/>
      <c r="AR33" s="113"/>
      <c r="AS33" s="113"/>
      <c r="AU33" s="361"/>
      <c r="AV33" s="362"/>
      <c r="AX33" s="26"/>
      <c r="AY33" s="26"/>
      <c r="BJ33" s="42">
        <f ca="1">Calc!AA26</f>
        <v>37591</v>
      </c>
      <c r="BK33" s="42">
        <f t="shared" ca="1" si="1"/>
        <v>37590</v>
      </c>
      <c r="BL33" s="2">
        <v>22</v>
      </c>
      <c r="BM33" s="26"/>
    </row>
    <row r="34" spans="2:65" ht="12" hidden="1" thickBot="1" x14ac:dyDescent="0.25">
      <c r="B34" s="357">
        <f ca="1">Override!K34</f>
        <v>37834</v>
      </c>
      <c r="C34" s="352">
        <f ca="1">VLOOKUP(B34, Calc!$AA$5:$AJ$72,9)</f>
        <v>76.997146606445313</v>
      </c>
      <c r="D34" s="154">
        <f ca="1">VLOOKUP(B34, Calc!$AA$5:$AJ$72,10)</f>
        <v>0.4955</v>
      </c>
      <c r="E34" s="325">
        <f t="shared" ca="1" si="0"/>
        <v>76.997146606445313</v>
      </c>
      <c r="F34" s="324">
        <v>0.99</v>
      </c>
      <c r="G34" s="229"/>
      <c r="H34" s="230"/>
      <c r="I34" s="231"/>
      <c r="K34" s="83">
        <f ca="1">Override!K34</f>
        <v>37834</v>
      </c>
      <c r="L34" s="155">
        <f ca="1">Override!M34</f>
        <v>0.4955</v>
      </c>
      <c r="M34" s="35"/>
      <c r="N34" s="35"/>
      <c r="O34" s="169"/>
      <c r="P34" s="194"/>
      <c r="Q34" s="39"/>
      <c r="R34" s="193"/>
      <c r="AQ34" s="113"/>
      <c r="AR34" s="113"/>
      <c r="AS34" s="113"/>
      <c r="AU34" s="361"/>
      <c r="AV34" s="362"/>
      <c r="AX34" s="26"/>
      <c r="AY34" s="26"/>
      <c r="BJ34" s="42">
        <f ca="1">Calc!AA27</f>
        <v>37622</v>
      </c>
      <c r="BK34" s="42">
        <f t="shared" ca="1" si="1"/>
        <v>37621</v>
      </c>
      <c r="BL34" s="2">
        <v>23</v>
      </c>
      <c r="BM34" s="26"/>
    </row>
    <row r="35" spans="2:65" ht="12" hidden="1" customHeight="1" thickBot="1" x14ac:dyDescent="0.25">
      <c r="B35" s="357">
        <f ca="1">Override!K35</f>
        <v>37865</v>
      </c>
      <c r="C35" s="353">
        <f ca="1">VLOOKUP(B35, Calc!$AA$5:$AJ$72,9)</f>
        <v>34.502143859863281</v>
      </c>
      <c r="D35" s="184">
        <f ca="1">VLOOKUP(B35, Calc!$AA$5:$AJ$72,10)</f>
        <v>0.42600000000000005</v>
      </c>
      <c r="E35" s="327">
        <f t="shared" ca="1" si="0"/>
        <v>34.502143859863281</v>
      </c>
      <c r="F35" s="326">
        <v>0.99</v>
      </c>
      <c r="G35" s="229"/>
      <c r="H35" s="230"/>
      <c r="I35" s="231"/>
      <c r="K35" s="83">
        <f ca="1">Override!K35</f>
        <v>37865</v>
      </c>
      <c r="L35" s="155">
        <f ca="1">Override!M35</f>
        <v>0.42600000000000005</v>
      </c>
      <c r="M35" s="35"/>
      <c r="N35" s="35"/>
      <c r="O35" s="169"/>
      <c r="P35" s="194"/>
      <c r="Q35" s="39"/>
      <c r="R35" s="193"/>
      <c r="AQ35" s="113"/>
      <c r="AR35" s="113"/>
      <c r="AS35" s="113"/>
      <c r="AU35" s="361"/>
      <c r="AV35" s="362"/>
      <c r="AX35" s="26"/>
      <c r="AY35" s="26"/>
      <c r="BJ35" s="42">
        <f ca="1">Calc!AA28</f>
        <v>37653</v>
      </c>
      <c r="BK35" s="42">
        <f t="shared" ca="1" si="1"/>
        <v>37652</v>
      </c>
      <c r="BL35" s="2">
        <v>24</v>
      </c>
      <c r="BM35" s="26"/>
    </row>
    <row r="36" spans="2:65" ht="12" hidden="1" thickBot="1" x14ac:dyDescent="0.25">
      <c r="B36" s="357">
        <f ca="1">Override!K36</f>
        <v>37895</v>
      </c>
      <c r="C36" s="352">
        <f ca="1">VLOOKUP(B36, Calc!$AA$5:$AJ$72,9)</f>
        <v>32.648933410644531</v>
      </c>
      <c r="D36" s="154">
        <f ca="1">VLOOKUP(B36, Calc!$AA$5:$AJ$72,10)</f>
        <v>0.19500000000000001</v>
      </c>
      <c r="E36" s="325">
        <f t="shared" ca="1" si="0"/>
        <v>32.648933410644531</v>
      </c>
      <c r="F36" s="324">
        <v>0.99</v>
      </c>
      <c r="G36" s="229"/>
      <c r="H36" s="230"/>
      <c r="I36" s="231"/>
      <c r="K36" s="162">
        <f ca="1">Override!K36</f>
        <v>37895</v>
      </c>
      <c r="L36" s="163">
        <f ca="1">Override!M36</f>
        <v>0.19500000000000001</v>
      </c>
      <c r="M36" s="164"/>
      <c r="N36" s="164"/>
      <c r="O36" s="171"/>
      <c r="P36" s="200"/>
      <c r="Q36" s="201"/>
      <c r="R36" s="202"/>
      <c r="AQ36" s="113"/>
      <c r="AR36" s="113"/>
      <c r="AS36" s="113"/>
      <c r="AU36" s="361"/>
      <c r="AV36" s="362"/>
      <c r="AX36" s="26"/>
      <c r="AY36" s="26"/>
      <c r="BJ36" s="42">
        <f ca="1">Calc!AA29</f>
        <v>37681</v>
      </c>
      <c r="BK36" s="42">
        <f t="shared" ca="1" si="1"/>
        <v>37680</v>
      </c>
      <c r="BL36" s="2">
        <v>25</v>
      </c>
      <c r="BM36" s="26"/>
    </row>
    <row r="37" spans="2:65" ht="12" hidden="1" customHeight="1" thickBot="1" x14ac:dyDescent="0.25">
      <c r="B37" s="357">
        <f ca="1">Override!K37</f>
        <v>37926</v>
      </c>
      <c r="C37" s="352">
        <f ca="1">VLOOKUP(B37, Calc!$AA$5:$AJ$72,9)</f>
        <v>32.748931884765625</v>
      </c>
      <c r="D37" s="154">
        <f ca="1">VLOOKUP(B37, Calc!$AA$5:$AJ$72,10)</f>
        <v>0.19500000000000001</v>
      </c>
      <c r="E37" s="325">
        <f t="shared" ref="E37:E64" ca="1" si="2">C37</f>
        <v>32.748931884765625</v>
      </c>
      <c r="F37" s="324">
        <v>1.99</v>
      </c>
      <c r="G37" s="229"/>
      <c r="H37" s="230"/>
      <c r="I37" s="231"/>
      <c r="K37" s="232"/>
      <c r="L37" s="233"/>
      <c r="M37" s="26"/>
      <c r="N37" s="26"/>
      <c r="O37" s="26"/>
      <c r="P37" s="116"/>
      <c r="Q37" s="116"/>
      <c r="R37" s="116"/>
      <c r="AQ37" s="113"/>
      <c r="AR37" s="113"/>
      <c r="AS37" s="113"/>
      <c r="AU37" s="361"/>
      <c r="AV37" s="362"/>
      <c r="AX37" s="26"/>
      <c r="AY37" s="26"/>
      <c r="BJ37" s="42">
        <f ca="1">Calc!AA30</f>
        <v>37712</v>
      </c>
      <c r="BK37" s="42">
        <f t="shared" ca="1" si="1"/>
        <v>37711</v>
      </c>
      <c r="BL37" s="2">
        <v>26</v>
      </c>
      <c r="BM37" s="26"/>
    </row>
    <row r="38" spans="2:65" ht="12" hidden="1" customHeight="1" thickBot="1" x14ac:dyDescent="0.25">
      <c r="B38" s="357">
        <f ca="1">Override!K38</f>
        <v>37956</v>
      </c>
      <c r="C38" s="352">
        <f ca="1">VLOOKUP(B38, Calc!$AA$5:$AJ$72,9)</f>
        <v>32.848930358886719</v>
      </c>
      <c r="D38" s="154">
        <f ca="1">VLOOKUP(B38, Calc!$AA$5:$AJ$72,10)</f>
        <v>0.19750000000000001</v>
      </c>
      <c r="E38" s="325">
        <f t="shared" ca="1" si="2"/>
        <v>32.848930358886719</v>
      </c>
      <c r="F38" s="324">
        <v>2.99</v>
      </c>
      <c r="G38" s="229"/>
      <c r="H38" s="230"/>
      <c r="I38" s="231"/>
      <c r="K38" s="232"/>
      <c r="L38" s="233"/>
      <c r="M38" s="26"/>
      <c r="N38" s="26"/>
      <c r="O38" s="26"/>
      <c r="P38" s="116"/>
      <c r="Q38" s="116"/>
      <c r="R38" s="116"/>
      <c r="AQ38" s="113"/>
      <c r="AR38" s="113"/>
      <c r="AS38" s="113"/>
      <c r="AU38" s="361"/>
      <c r="AV38" s="362"/>
      <c r="AX38" s="26"/>
      <c r="AY38" s="26"/>
      <c r="BJ38" s="42">
        <f ca="1">Calc!AA31</f>
        <v>37742</v>
      </c>
      <c r="BK38" s="42">
        <f t="shared" ca="1" si="1"/>
        <v>37741</v>
      </c>
      <c r="BL38" s="2">
        <v>27</v>
      </c>
      <c r="BM38" s="26"/>
    </row>
    <row r="39" spans="2:65" ht="12" hidden="1" customHeight="1" thickBot="1" x14ac:dyDescent="0.25">
      <c r="B39" s="357">
        <f ca="1">Override!K39</f>
        <v>37987</v>
      </c>
      <c r="C39" s="352">
        <f ca="1">VLOOKUP(B39, Calc!$AA$5:$AJ$72,9)</f>
        <v>42.287864685058594</v>
      </c>
      <c r="D39" s="154">
        <f ca="1">VLOOKUP(B39, Calc!$AA$5:$AJ$72,10)</f>
        <v>0.29049999999999998</v>
      </c>
      <c r="E39" s="325">
        <f t="shared" ca="1" si="2"/>
        <v>42.287864685058594</v>
      </c>
      <c r="F39" s="324">
        <v>3.99</v>
      </c>
      <c r="G39" s="229"/>
      <c r="H39" s="230"/>
      <c r="I39" s="231"/>
      <c r="K39" s="232"/>
      <c r="L39" s="233"/>
      <c r="M39" s="26"/>
      <c r="N39" s="26"/>
      <c r="O39" s="26"/>
      <c r="P39" s="116"/>
      <c r="Q39" s="116"/>
      <c r="R39" s="116"/>
      <c r="AQ39" s="113"/>
      <c r="AR39" s="113"/>
      <c r="AS39" s="113"/>
      <c r="AU39" s="361"/>
      <c r="AV39" s="362"/>
      <c r="AX39" s="26"/>
      <c r="AY39" s="26"/>
      <c r="BJ39" s="42">
        <f ca="1">Calc!AA32</f>
        <v>37773</v>
      </c>
      <c r="BK39" s="42">
        <f t="shared" ca="1" si="1"/>
        <v>37772</v>
      </c>
      <c r="BL39" s="2">
        <v>28</v>
      </c>
      <c r="BM39" s="26"/>
    </row>
    <row r="40" spans="2:65" ht="12" hidden="1" customHeight="1" thickBot="1" x14ac:dyDescent="0.25">
      <c r="B40" s="357">
        <f ca="1">Override!K40</f>
        <v>38018</v>
      </c>
      <c r="C40" s="352">
        <f ca="1">VLOOKUP(B40, Calc!$AA$5:$AJ$72,9)</f>
        <v>41.437862396240234</v>
      </c>
      <c r="D40" s="154">
        <f ca="1">VLOOKUP(B40, Calc!$AA$5:$AJ$72,10)</f>
        <v>0.29049999999999998</v>
      </c>
      <c r="E40" s="325">
        <f t="shared" ca="1" si="2"/>
        <v>41.437862396240234</v>
      </c>
      <c r="F40" s="324">
        <v>4.99</v>
      </c>
      <c r="G40" s="229"/>
      <c r="H40" s="230"/>
      <c r="I40" s="231"/>
      <c r="K40" s="232"/>
      <c r="L40" s="233"/>
      <c r="M40" s="26"/>
      <c r="N40" s="26"/>
      <c r="O40" s="26"/>
      <c r="P40" s="116"/>
      <c r="Q40" s="116"/>
      <c r="R40" s="116"/>
      <c r="AQ40" s="113"/>
      <c r="AR40" s="113"/>
      <c r="AS40" s="113"/>
      <c r="AU40" s="361"/>
      <c r="AV40" s="362"/>
      <c r="AX40" s="26"/>
      <c r="AY40" s="26"/>
      <c r="BJ40" s="42">
        <f ca="1">Calc!AA33</f>
        <v>37803</v>
      </c>
      <c r="BK40" s="42">
        <f t="shared" ca="1" si="1"/>
        <v>37802</v>
      </c>
      <c r="BL40" s="2">
        <v>29</v>
      </c>
      <c r="BM40" s="26"/>
    </row>
    <row r="41" spans="2:65" ht="12" hidden="1" customHeight="1" thickBot="1" x14ac:dyDescent="0.25">
      <c r="B41" s="357">
        <f ca="1">Override!K41</f>
        <v>38047</v>
      </c>
      <c r="C41" s="352">
        <f ca="1">VLOOKUP(B41, Calc!$AA$5:$AJ$72,9)</f>
        <v>32.648544311523438</v>
      </c>
      <c r="D41" s="154">
        <f ca="1">VLOOKUP(B41, Calc!$AA$5:$AJ$72,10)</f>
        <v>0.18</v>
      </c>
      <c r="E41" s="325">
        <f t="shared" ca="1" si="2"/>
        <v>32.648544311523438</v>
      </c>
      <c r="F41" s="324">
        <v>5.99</v>
      </c>
      <c r="G41" s="229"/>
      <c r="H41" s="230"/>
      <c r="I41" s="231"/>
      <c r="K41" s="232"/>
      <c r="L41" s="233"/>
      <c r="M41" s="26"/>
      <c r="N41" s="26"/>
      <c r="O41" s="26"/>
      <c r="P41" s="116"/>
      <c r="Q41" s="116"/>
      <c r="R41" s="116"/>
      <c r="AQ41" s="113"/>
      <c r="AR41" s="113"/>
      <c r="AS41" s="113"/>
      <c r="AU41" s="361"/>
      <c r="AV41" s="362"/>
      <c r="AX41" s="26"/>
      <c r="AY41" s="26"/>
      <c r="BJ41" s="42">
        <f ca="1">Calc!AA34</f>
        <v>37834</v>
      </c>
      <c r="BK41" s="42">
        <f t="shared" ca="1" si="1"/>
        <v>37833</v>
      </c>
      <c r="BL41" s="2">
        <v>30</v>
      </c>
      <c r="BM41" s="26"/>
    </row>
    <row r="42" spans="2:65" ht="12" hidden="1" customHeight="1" thickBot="1" x14ac:dyDescent="0.25">
      <c r="B42" s="357">
        <f ca="1">Override!K42</f>
        <v>38078</v>
      </c>
      <c r="C42" s="352">
        <f ca="1">VLOOKUP(B42, Calc!$AA$5:$AJ$72,9)</f>
        <v>33.098545074462891</v>
      </c>
      <c r="D42" s="154">
        <f ca="1">VLOOKUP(B42, Calc!$AA$5:$AJ$72,10)</f>
        <v>0.18</v>
      </c>
      <c r="E42" s="325">
        <f t="shared" ca="1" si="2"/>
        <v>33.098545074462891</v>
      </c>
      <c r="F42" s="324">
        <v>6.99</v>
      </c>
      <c r="G42" s="229"/>
      <c r="H42" s="230"/>
      <c r="I42" s="231"/>
      <c r="K42" s="232"/>
      <c r="L42" s="233"/>
      <c r="M42" s="26"/>
      <c r="N42" s="26"/>
      <c r="O42" s="26"/>
      <c r="P42" s="116"/>
      <c r="Q42" s="116"/>
      <c r="R42" s="116"/>
      <c r="AQ42" s="113"/>
      <c r="AR42" s="113"/>
      <c r="AS42" s="113"/>
      <c r="AU42" s="361"/>
      <c r="AV42" s="362"/>
      <c r="AX42" s="26"/>
      <c r="AY42" s="26"/>
      <c r="BJ42" s="42">
        <f ca="1">Calc!AA35</f>
        <v>37865</v>
      </c>
      <c r="BK42" s="42">
        <f t="shared" ca="1" si="1"/>
        <v>37864</v>
      </c>
      <c r="BL42" s="2">
        <v>31</v>
      </c>
      <c r="BM42" s="26"/>
    </row>
    <row r="43" spans="2:65" ht="12" hidden="1" customHeight="1" thickBot="1" x14ac:dyDescent="0.25">
      <c r="B43" s="357">
        <f ca="1">Override!K43</f>
        <v>38108</v>
      </c>
      <c r="C43" s="352">
        <f ca="1">VLOOKUP(B43, Calc!$AA$5:$AJ$72,9)</f>
        <v>34.753566741943359</v>
      </c>
      <c r="D43" s="154">
        <f ca="1">VLOOKUP(B43, Calc!$AA$5:$AJ$72,10)</f>
        <v>0.28575</v>
      </c>
      <c r="E43" s="325">
        <f t="shared" ca="1" si="2"/>
        <v>34.753566741943359</v>
      </c>
      <c r="F43" s="324">
        <v>7.99</v>
      </c>
      <c r="G43" s="229"/>
      <c r="H43" s="230"/>
      <c r="I43" s="231"/>
      <c r="K43" s="232"/>
      <c r="L43" s="233"/>
      <c r="M43" s="26"/>
      <c r="N43" s="26"/>
      <c r="O43" s="26"/>
      <c r="P43" s="116"/>
      <c r="Q43" s="116"/>
      <c r="R43" s="116"/>
      <c r="AQ43" s="113"/>
      <c r="AR43" s="113"/>
      <c r="AS43" s="113"/>
      <c r="AU43" s="361"/>
      <c r="AV43" s="362"/>
      <c r="AX43" s="26"/>
      <c r="AY43" s="26"/>
      <c r="BJ43" s="42">
        <f ca="1">Calc!AA36</f>
        <v>37895</v>
      </c>
      <c r="BK43" s="42">
        <f t="shared" ca="1" si="1"/>
        <v>37894</v>
      </c>
      <c r="BL43" s="2">
        <v>32</v>
      </c>
      <c r="BM43" s="26"/>
    </row>
    <row r="44" spans="2:65" ht="12" hidden="1" customHeight="1" thickBot="1" x14ac:dyDescent="0.25">
      <c r="B44" s="357">
        <f ca="1">Override!K44</f>
        <v>38139</v>
      </c>
      <c r="C44" s="352">
        <f ca="1">VLOOKUP(B44, Calc!$AA$5:$AJ$72,9)</f>
        <v>47.747856140136719</v>
      </c>
      <c r="D44" s="154">
        <f ca="1">VLOOKUP(B44, Calc!$AA$5:$AJ$72,10)</f>
        <v>0.41100000000000003</v>
      </c>
      <c r="E44" s="325">
        <f t="shared" ca="1" si="2"/>
        <v>47.747856140136719</v>
      </c>
      <c r="F44" s="324">
        <v>8.99</v>
      </c>
      <c r="G44" s="229"/>
      <c r="H44" s="230"/>
      <c r="I44" s="231"/>
      <c r="K44" s="232"/>
      <c r="L44" s="233"/>
      <c r="M44" s="26"/>
      <c r="N44" s="26"/>
      <c r="O44" s="26"/>
      <c r="P44" s="116"/>
      <c r="Q44" s="116"/>
      <c r="R44" s="116"/>
      <c r="AQ44" s="113"/>
      <c r="AR44" s="113"/>
      <c r="AS44" s="113"/>
      <c r="AU44" s="361"/>
      <c r="AV44" s="362"/>
      <c r="AX44" s="26"/>
      <c r="AY44" s="26"/>
      <c r="BJ44" s="42">
        <f ca="1">Calc!AA37</f>
        <v>37926</v>
      </c>
      <c r="BK44" s="42">
        <f t="shared" ref="BK44:BK75" ca="1" si="3">EOMONTH(BJ44,-1)</f>
        <v>37925</v>
      </c>
      <c r="BL44" s="2">
        <v>33</v>
      </c>
      <c r="BM44" s="26"/>
    </row>
    <row r="45" spans="2:65" ht="12" hidden="1" customHeight="1" thickBot="1" x14ac:dyDescent="0.25">
      <c r="B45" s="357">
        <f ca="1">Override!K45</f>
        <v>38169</v>
      </c>
      <c r="C45" s="352">
        <f ca="1">VLOOKUP(B45, Calc!$AA$5:$AJ$72,9)</f>
        <v>72.747146606445312</v>
      </c>
      <c r="D45" s="154">
        <f ca="1">VLOOKUP(B45, Calc!$AA$5:$AJ$72,10)</f>
        <v>0.41600000000000004</v>
      </c>
      <c r="E45" s="325">
        <f t="shared" ca="1" si="2"/>
        <v>72.747146606445312</v>
      </c>
      <c r="F45" s="324">
        <v>9.99</v>
      </c>
      <c r="G45" s="229"/>
      <c r="H45" s="230"/>
      <c r="I45" s="231"/>
      <c r="K45" s="232"/>
      <c r="L45" s="233"/>
      <c r="M45" s="26"/>
      <c r="N45" s="26"/>
      <c r="O45" s="26"/>
      <c r="P45" s="116"/>
      <c r="Q45" s="116"/>
      <c r="R45" s="116"/>
      <c r="AQ45" s="113"/>
      <c r="AR45" s="113"/>
      <c r="AS45" s="113"/>
      <c r="AU45" s="361"/>
      <c r="AV45" s="362"/>
      <c r="AX45" s="26"/>
      <c r="AY45" s="26"/>
      <c r="BJ45" s="42">
        <f ca="1">Calc!AA38</f>
        <v>37956</v>
      </c>
      <c r="BK45" s="42">
        <f t="shared" ca="1" si="3"/>
        <v>37955</v>
      </c>
      <c r="BL45" s="2">
        <v>34</v>
      </c>
      <c r="BM45" s="26"/>
    </row>
    <row r="46" spans="2:65" ht="12" hidden="1" customHeight="1" thickBot="1" x14ac:dyDescent="0.25">
      <c r="B46" s="357">
        <f ca="1">Override!K46</f>
        <v>38200</v>
      </c>
      <c r="C46" s="352">
        <f ca="1">VLOOKUP(B46, Calc!$AA$5:$AJ$72,9)</f>
        <v>72.747146606445312</v>
      </c>
      <c r="D46" s="154">
        <f ca="1">VLOOKUP(B46, Calc!$AA$5:$AJ$72,10)</f>
        <v>0.41600000000000004</v>
      </c>
      <c r="E46" s="325">
        <f t="shared" ca="1" si="2"/>
        <v>72.747146606445312</v>
      </c>
      <c r="F46" s="324">
        <v>10.99</v>
      </c>
      <c r="G46" s="229"/>
      <c r="H46" s="230"/>
      <c r="I46" s="231"/>
      <c r="K46" s="232"/>
      <c r="L46" s="233"/>
      <c r="M46" s="26"/>
      <c r="N46" s="26"/>
      <c r="O46" s="26"/>
      <c r="P46" s="116"/>
      <c r="Q46" s="116"/>
      <c r="R46" s="116"/>
      <c r="AQ46" s="113"/>
      <c r="AR46" s="113"/>
      <c r="AS46" s="113"/>
      <c r="AU46" s="361"/>
      <c r="AV46" s="362"/>
      <c r="AX46" s="26"/>
      <c r="AY46" s="26"/>
      <c r="BJ46" s="42">
        <f ca="1">Calc!AA39</f>
        <v>37987</v>
      </c>
      <c r="BK46" s="42">
        <f t="shared" ca="1" si="3"/>
        <v>37986</v>
      </c>
      <c r="BL46" s="2">
        <v>35</v>
      </c>
      <c r="BM46" s="26"/>
    </row>
    <row r="47" spans="2:65" ht="12" hidden="1" customHeight="1" thickBot="1" x14ac:dyDescent="0.25">
      <c r="B47" s="357">
        <f ca="1">Override!K47</f>
        <v>38231</v>
      </c>
      <c r="C47" s="352">
        <f ca="1">VLOOKUP(B47, Calc!$AA$5:$AJ$72,9)</f>
        <v>35.002143859863281</v>
      </c>
      <c r="D47" s="154">
        <f ca="1">VLOOKUP(B47, Calc!$AA$5:$AJ$72,10)</f>
        <v>0.28575</v>
      </c>
      <c r="E47" s="325">
        <f t="shared" ca="1" si="2"/>
        <v>35.002143859863281</v>
      </c>
      <c r="F47" s="324">
        <v>11.99</v>
      </c>
      <c r="G47" s="229"/>
      <c r="H47" s="230"/>
      <c r="I47" s="231"/>
      <c r="K47" s="232"/>
      <c r="L47" s="233"/>
      <c r="M47" s="26"/>
      <c r="N47" s="26"/>
      <c r="O47" s="26"/>
      <c r="P47" s="116"/>
      <c r="Q47" s="116"/>
      <c r="R47" s="116"/>
      <c r="AQ47" s="113"/>
      <c r="AR47" s="113"/>
      <c r="AS47" s="113"/>
      <c r="AU47" s="361"/>
      <c r="AV47" s="362"/>
      <c r="AX47" s="26"/>
      <c r="AY47" s="26"/>
      <c r="BJ47" s="42">
        <f ca="1">Calc!AA40</f>
        <v>38018</v>
      </c>
      <c r="BK47" s="42">
        <f t="shared" ca="1" si="3"/>
        <v>38017</v>
      </c>
      <c r="BL47" s="2">
        <v>36</v>
      </c>
      <c r="BM47" s="26"/>
    </row>
    <row r="48" spans="2:65" ht="12" hidden="1" customHeight="1" thickBot="1" x14ac:dyDescent="0.25">
      <c r="B48" s="357">
        <f ca="1">Override!K48</f>
        <v>38261</v>
      </c>
      <c r="C48" s="352">
        <f ca="1">VLOOKUP(B48, Calc!$AA$5:$AJ$72,9)</f>
        <v>32.898933410644531</v>
      </c>
      <c r="D48" s="154">
        <f ca="1">VLOOKUP(B48, Calc!$AA$5:$AJ$72,10)</f>
        <v>0.17</v>
      </c>
      <c r="E48" s="325">
        <f t="shared" ca="1" si="2"/>
        <v>32.898933410644531</v>
      </c>
      <c r="F48" s="324">
        <v>12.99</v>
      </c>
      <c r="G48" s="229"/>
      <c r="H48" s="230"/>
      <c r="I48" s="231"/>
      <c r="K48" s="232"/>
      <c r="L48" s="233"/>
      <c r="M48" s="26"/>
      <c r="N48" s="26"/>
      <c r="O48" s="26"/>
      <c r="P48" s="116"/>
      <c r="Q48" s="116"/>
      <c r="R48" s="116"/>
      <c r="AQ48" s="113"/>
      <c r="AR48" s="113"/>
      <c r="AS48" s="113"/>
      <c r="AU48" s="361"/>
      <c r="AV48" s="362"/>
      <c r="AX48" s="26"/>
      <c r="AY48" s="26"/>
      <c r="BJ48" s="42">
        <f ca="1">Calc!AA41</f>
        <v>38047</v>
      </c>
      <c r="BK48" s="42">
        <f t="shared" ca="1" si="3"/>
        <v>38046</v>
      </c>
      <c r="BL48" s="2">
        <v>37</v>
      </c>
      <c r="BM48" s="26"/>
    </row>
    <row r="49" spans="2:65" ht="12" hidden="1" customHeight="1" thickBot="1" x14ac:dyDescent="0.25">
      <c r="B49" s="357">
        <f ca="1">Override!K49</f>
        <v>38292</v>
      </c>
      <c r="C49" s="352">
        <f ca="1">VLOOKUP(B49, Calc!$AA$5:$AJ$72,9)</f>
        <v>32.998931884765625</v>
      </c>
      <c r="D49" s="154">
        <f ca="1">VLOOKUP(B49, Calc!$AA$5:$AJ$72,10)</f>
        <v>0.17</v>
      </c>
      <c r="E49" s="325">
        <f t="shared" ca="1" si="2"/>
        <v>32.998931884765625</v>
      </c>
      <c r="F49" s="324">
        <v>13.99</v>
      </c>
      <c r="G49" s="229"/>
      <c r="H49" s="230"/>
      <c r="I49" s="231"/>
      <c r="K49" s="232"/>
      <c r="L49" s="233"/>
      <c r="M49" s="26"/>
      <c r="N49" s="26"/>
      <c r="O49" s="26"/>
      <c r="P49" s="116"/>
      <c r="Q49" s="116"/>
      <c r="R49" s="116"/>
      <c r="AQ49" s="113"/>
      <c r="AR49" s="113"/>
      <c r="AS49" s="113"/>
      <c r="AU49" s="361"/>
      <c r="AV49" s="362"/>
      <c r="AX49" s="26"/>
      <c r="AY49" s="26"/>
      <c r="BJ49" s="42">
        <f ca="1">Calc!AA42</f>
        <v>38078</v>
      </c>
      <c r="BK49" s="42">
        <f t="shared" ca="1" si="3"/>
        <v>38077</v>
      </c>
      <c r="BL49" s="2">
        <v>38</v>
      </c>
      <c r="BM49" s="26"/>
    </row>
    <row r="50" spans="2:65" ht="12" hidden="1" customHeight="1" thickBot="1" x14ac:dyDescent="0.25">
      <c r="B50" s="357">
        <f ca="1">Override!K50</f>
        <v>38322</v>
      </c>
      <c r="C50" s="352">
        <f ca="1">VLOOKUP(B50, Calc!$AA$5:$AJ$72,9)</f>
        <v>33.098930358886719</v>
      </c>
      <c r="D50" s="154">
        <f ca="1">VLOOKUP(B50, Calc!$AA$5:$AJ$72,10)</f>
        <v>0.17249999999999999</v>
      </c>
      <c r="E50" s="325">
        <f t="shared" ca="1" si="2"/>
        <v>33.098930358886719</v>
      </c>
      <c r="F50" s="324">
        <v>14.99</v>
      </c>
      <c r="G50" s="229"/>
      <c r="H50" s="230"/>
      <c r="I50" s="231"/>
      <c r="K50" s="232"/>
      <c r="L50" s="233"/>
      <c r="M50" s="26"/>
      <c r="N50" s="26"/>
      <c r="O50" s="26"/>
      <c r="P50" s="116"/>
      <c r="Q50" s="116"/>
      <c r="R50" s="116"/>
      <c r="AQ50" s="113"/>
      <c r="AR50" s="113"/>
      <c r="AS50" s="113"/>
      <c r="AU50" s="361"/>
      <c r="AV50" s="362"/>
      <c r="AX50" s="26"/>
      <c r="AY50" s="26"/>
      <c r="BJ50" s="42">
        <f ca="1">Calc!AA43</f>
        <v>38108</v>
      </c>
      <c r="BK50" s="42">
        <f t="shared" ca="1" si="3"/>
        <v>38107</v>
      </c>
      <c r="BL50" s="2">
        <v>39</v>
      </c>
      <c r="BM50" s="26"/>
    </row>
    <row r="51" spans="2:65" ht="12" hidden="1" customHeight="1" thickBot="1" x14ac:dyDescent="0.25">
      <c r="B51" s="357">
        <f ca="1">Override!K51</f>
        <v>38353</v>
      </c>
      <c r="C51" s="352">
        <f ca="1">VLOOKUP(B51, Calc!$AA$5:$AJ$72,9)</f>
        <v>42.037864685058594</v>
      </c>
      <c r="D51" s="154">
        <f ca="1">VLOOKUP(B51, Calc!$AA$5:$AJ$72,10)</f>
        <v>0.25700000000000001</v>
      </c>
      <c r="E51" s="325">
        <f t="shared" ca="1" si="2"/>
        <v>42.037864685058594</v>
      </c>
      <c r="F51" s="324">
        <v>15.99</v>
      </c>
      <c r="G51" s="229"/>
      <c r="H51" s="230"/>
      <c r="I51" s="231"/>
      <c r="K51" s="232"/>
      <c r="L51" s="233"/>
      <c r="M51" s="26"/>
      <c r="N51" s="26"/>
      <c r="O51" s="26"/>
      <c r="P51" s="116"/>
      <c r="Q51" s="116"/>
      <c r="R51" s="116"/>
      <c r="AQ51" s="113"/>
      <c r="AR51" s="113"/>
      <c r="AS51" s="113"/>
      <c r="AU51" s="361"/>
      <c r="AV51" s="362"/>
      <c r="AX51" s="26"/>
      <c r="AY51" s="26"/>
      <c r="BJ51" s="42">
        <f ca="1">Calc!AA44</f>
        <v>38139</v>
      </c>
      <c r="BK51" s="42">
        <f t="shared" ca="1" si="3"/>
        <v>38138</v>
      </c>
      <c r="BL51" s="2">
        <v>40</v>
      </c>
      <c r="BM51" s="26"/>
    </row>
    <row r="52" spans="2:65" ht="12" hidden="1" customHeight="1" thickBot="1" x14ac:dyDescent="0.25">
      <c r="B52" s="357">
        <f ca="1">Override!K52</f>
        <v>38384</v>
      </c>
      <c r="C52" s="352">
        <f ca="1">VLOOKUP(B52, Calc!$AA$5:$AJ$72,9)</f>
        <v>41.687862396240234</v>
      </c>
      <c r="D52" s="154">
        <f ca="1">VLOOKUP(B52, Calc!$AA$5:$AJ$72,10)</f>
        <v>0.25700000000000001</v>
      </c>
      <c r="E52" s="325">
        <f t="shared" ca="1" si="2"/>
        <v>41.687862396240234</v>
      </c>
      <c r="F52" s="324">
        <v>16.989999999999998</v>
      </c>
      <c r="G52" s="229"/>
      <c r="H52" s="230"/>
      <c r="I52" s="231"/>
      <c r="K52" s="232"/>
      <c r="L52" s="233"/>
      <c r="M52" s="26"/>
      <c r="N52" s="26"/>
      <c r="O52" s="26"/>
      <c r="P52" s="116"/>
      <c r="Q52" s="116"/>
      <c r="R52" s="116"/>
      <c r="AQ52" s="113"/>
      <c r="AR52" s="113"/>
      <c r="AS52" s="113"/>
      <c r="AU52" s="361"/>
      <c r="AV52" s="362"/>
      <c r="AX52" s="26"/>
      <c r="AY52" s="26"/>
      <c r="BJ52" s="42">
        <f ca="1">Calc!AA45</f>
        <v>38169</v>
      </c>
      <c r="BK52" s="42">
        <f t="shared" ca="1" si="3"/>
        <v>38168</v>
      </c>
      <c r="BL52" s="2">
        <v>41</v>
      </c>
      <c r="BM52" s="26"/>
    </row>
    <row r="53" spans="2:65" ht="12" hidden="1" customHeight="1" thickBot="1" x14ac:dyDescent="0.25">
      <c r="B53" s="357">
        <f ca="1">Override!K53</f>
        <v>38412</v>
      </c>
      <c r="C53" s="352">
        <f ca="1">VLOOKUP(B53, Calc!$AA$5:$AJ$72,9)</f>
        <v>32.898544311523438</v>
      </c>
      <c r="D53" s="154">
        <f ca="1">VLOOKUP(B53, Calc!$AA$5:$AJ$72,10)</f>
        <v>0.247</v>
      </c>
      <c r="E53" s="325">
        <f t="shared" ca="1" si="2"/>
        <v>32.898544311523438</v>
      </c>
      <c r="F53" s="324">
        <v>17.989999999999998</v>
      </c>
      <c r="G53" s="229"/>
      <c r="H53" s="230"/>
      <c r="I53" s="231"/>
      <c r="K53" s="232"/>
      <c r="L53" s="233"/>
      <c r="M53" s="26"/>
      <c r="N53" s="26"/>
      <c r="O53" s="26"/>
      <c r="P53" s="116"/>
      <c r="Q53" s="116"/>
      <c r="R53" s="116"/>
      <c r="AQ53" s="113"/>
      <c r="AR53" s="113"/>
      <c r="AS53" s="113"/>
      <c r="AU53" s="361"/>
      <c r="AV53" s="362"/>
      <c r="AX53" s="26"/>
      <c r="AY53" s="26"/>
      <c r="BJ53" s="42">
        <f ca="1">Calc!AA46</f>
        <v>38200</v>
      </c>
      <c r="BK53" s="42">
        <f t="shared" ca="1" si="3"/>
        <v>38199</v>
      </c>
      <c r="BL53" s="2">
        <v>42</v>
      </c>
      <c r="BM53" s="26"/>
    </row>
    <row r="54" spans="2:65" ht="12" hidden="1" customHeight="1" thickBot="1" x14ac:dyDescent="0.25">
      <c r="B54" s="357">
        <f ca="1">Override!K54</f>
        <v>38443</v>
      </c>
      <c r="C54" s="352">
        <f ca="1">VLOOKUP(B54, Calc!$AA$5:$AJ$72,9)</f>
        <v>33.348545074462891</v>
      </c>
      <c r="D54" s="154">
        <f ca="1">VLOOKUP(B54, Calc!$AA$5:$AJ$72,10)</f>
        <v>0.247</v>
      </c>
      <c r="E54" s="325">
        <f t="shared" ca="1" si="2"/>
        <v>33.348545074462891</v>
      </c>
      <c r="F54" s="324">
        <v>18.989999999999998</v>
      </c>
      <c r="G54" s="229"/>
      <c r="H54" s="230"/>
      <c r="I54" s="231"/>
      <c r="K54" s="232"/>
      <c r="L54" s="233"/>
      <c r="M54" s="26"/>
      <c r="N54" s="26"/>
      <c r="O54" s="26"/>
      <c r="P54" s="116"/>
      <c r="Q54" s="116"/>
      <c r="R54" s="116"/>
      <c r="AQ54" s="113"/>
      <c r="AR54" s="113"/>
      <c r="AS54" s="113"/>
      <c r="AU54" s="361"/>
      <c r="AV54" s="362"/>
      <c r="AX54" s="26"/>
      <c r="AY54" s="26"/>
      <c r="BJ54" s="42">
        <f ca="1">Calc!AA47</f>
        <v>38231</v>
      </c>
      <c r="BK54" s="42">
        <f t="shared" ca="1" si="3"/>
        <v>38230</v>
      </c>
      <c r="BL54" s="2">
        <v>43</v>
      </c>
      <c r="BM54" s="26"/>
    </row>
    <row r="55" spans="2:65" ht="12" hidden="1" customHeight="1" thickBot="1" x14ac:dyDescent="0.25">
      <c r="B55" s="357">
        <f ca="1">Override!K55</f>
        <v>38473</v>
      </c>
      <c r="C55" s="352">
        <f ca="1">VLOOKUP(B55, Calc!$AA$5:$AJ$72,9)</f>
        <v>35.003566741943359</v>
      </c>
      <c r="D55" s="154">
        <f ca="1">VLOOKUP(B55, Calc!$AA$5:$AJ$72,10)</f>
        <v>0.25700000000000001</v>
      </c>
      <c r="E55" s="325">
        <f t="shared" ca="1" si="2"/>
        <v>35.003566741943359</v>
      </c>
      <c r="F55" s="324">
        <v>19.989999999999998</v>
      </c>
      <c r="G55" s="229"/>
      <c r="H55" s="230"/>
      <c r="I55" s="231"/>
      <c r="K55" s="232"/>
      <c r="L55" s="233"/>
      <c r="M55" s="26"/>
      <c r="N55" s="26"/>
      <c r="O55" s="26"/>
      <c r="P55" s="116"/>
      <c r="Q55" s="116"/>
      <c r="R55" s="116"/>
      <c r="AQ55" s="113"/>
      <c r="AR55" s="113"/>
      <c r="AS55" s="113"/>
      <c r="AU55" s="361"/>
      <c r="AV55" s="362"/>
      <c r="AX55" s="26"/>
      <c r="AY55" s="26"/>
      <c r="BJ55" s="42">
        <f ca="1">Calc!AA48</f>
        <v>38261</v>
      </c>
      <c r="BK55" s="42">
        <f t="shared" ca="1" si="3"/>
        <v>38260</v>
      </c>
      <c r="BL55" s="2">
        <v>44</v>
      </c>
      <c r="BM55" s="26"/>
    </row>
    <row r="56" spans="2:65" ht="12" hidden="1" customHeight="1" thickBot="1" x14ac:dyDescent="0.25">
      <c r="B56" s="357">
        <f ca="1">Override!K56</f>
        <v>38504</v>
      </c>
      <c r="C56" s="352">
        <f ca="1">VLOOKUP(B56, Calc!$AA$5:$AJ$72,9)</f>
        <v>44.497856140136719</v>
      </c>
      <c r="D56" s="154">
        <f ca="1">VLOOKUP(B56, Calc!$AA$5:$AJ$72,10)</f>
        <v>0.26050000000000001</v>
      </c>
      <c r="E56" s="325">
        <f t="shared" ca="1" si="2"/>
        <v>44.497856140136719</v>
      </c>
      <c r="F56" s="324">
        <v>20.99</v>
      </c>
      <c r="G56" s="229"/>
      <c r="H56" s="230"/>
      <c r="I56" s="231"/>
      <c r="K56" s="232"/>
      <c r="L56" s="233"/>
      <c r="M56" s="26"/>
      <c r="N56" s="26"/>
      <c r="O56" s="26"/>
      <c r="P56" s="116"/>
      <c r="Q56" s="116"/>
      <c r="R56" s="116"/>
      <c r="AQ56" s="113"/>
      <c r="AR56" s="113"/>
      <c r="AS56" s="113"/>
      <c r="AU56" s="361"/>
      <c r="AV56" s="362"/>
      <c r="AX56" s="26"/>
      <c r="AY56" s="26"/>
      <c r="BJ56" s="42">
        <f ca="1">Calc!AA49</f>
        <v>38292</v>
      </c>
      <c r="BK56" s="42">
        <f t="shared" ca="1" si="3"/>
        <v>38291</v>
      </c>
      <c r="BL56" s="2">
        <v>45</v>
      </c>
      <c r="BM56" s="26"/>
    </row>
    <row r="57" spans="2:65" ht="12" hidden="1" customHeight="1" thickBot="1" x14ac:dyDescent="0.25">
      <c r="B57" s="357">
        <f ca="1">Override!K57</f>
        <v>38534</v>
      </c>
      <c r="C57" s="352">
        <f ca="1">VLOOKUP(B57, Calc!$AA$5:$AJ$72,9)</f>
        <v>67.997146606445313</v>
      </c>
      <c r="D57" s="154">
        <f ca="1">VLOOKUP(B57, Calc!$AA$5:$AJ$72,10)</f>
        <v>0.26050000000000001</v>
      </c>
      <c r="E57" s="325">
        <f t="shared" ca="1" si="2"/>
        <v>67.997146606445313</v>
      </c>
      <c r="F57" s="324">
        <v>21.99</v>
      </c>
      <c r="G57" s="229"/>
      <c r="H57" s="230"/>
      <c r="I57" s="231"/>
      <c r="K57" s="232"/>
      <c r="L57" s="233"/>
      <c r="M57" s="26"/>
      <c r="N57" s="26"/>
      <c r="O57" s="26"/>
      <c r="P57" s="116"/>
      <c r="Q57" s="116"/>
      <c r="R57" s="116"/>
      <c r="AQ57" s="113"/>
      <c r="AR57" s="113"/>
      <c r="AS57" s="113"/>
      <c r="AU57" s="361"/>
      <c r="AV57" s="362"/>
      <c r="AX57" s="26"/>
      <c r="AY57" s="26"/>
      <c r="BJ57" s="42">
        <f ca="1">Calc!AA50</f>
        <v>38322</v>
      </c>
      <c r="BK57" s="42">
        <f t="shared" ca="1" si="3"/>
        <v>38321</v>
      </c>
      <c r="BL57" s="2">
        <v>46</v>
      </c>
      <c r="BM57" s="26"/>
    </row>
    <row r="58" spans="2:65" ht="12" hidden="1" customHeight="1" thickBot="1" x14ac:dyDescent="0.25">
      <c r="B58" s="357">
        <f ca="1">Override!K58</f>
        <v>38565</v>
      </c>
      <c r="C58" s="352">
        <f ca="1">VLOOKUP(B58, Calc!$AA$5:$AJ$72,9)</f>
        <v>67.997146606445313</v>
      </c>
      <c r="D58" s="154">
        <f ca="1">VLOOKUP(B58, Calc!$AA$5:$AJ$72,10)</f>
        <v>0.26050000000000001</v>
      </c>
      <c r="E58" s="325">
        <f t="shared" ca="1" si="2"/>
        <v>67.997146606445313</v>
      </c>
      <c r="F58" s="324">
        <v>22.99</v>
      </c>
      <c r="G58" s="229"/>
      <c r="H58" s="230"/>
      <c r="I58" s="231"/>
      <c r="K58" s="232"/>
      <c r="L58" s="233"/>
      <c r="M58" s="26"/>
      <c r="N58" s="26"/>
      <c r="O58" s="26"/>
      <c r="P58" s="116"/>
      <c r="Q58" s="116"/>
      <c r="R58" s="116"/>
      <c r="AQ58" s="113"/>
      <c r="AR58" s="113"/>
      <c r="AS58" s="113"/>
      <c r="AU58" s="361"/>
      <c r="AV58" s="362"/>
      <c r="AX58" s="26"/>
      <c r="AY58" s="26"/>
      <c r="BJ58" s="42">
        <f ca="1">Calc!AA51</f>
        <v>38353</v>
      </c>
      <c r="BK58" s="42">
        <f t="shared" ca="1" si="3"/>
        <v>38352</v>
      </c>
      <c r="BL58" s="2">
        <v>47</v>
      </c>
      <c r="BM58" s="26"/>
    </row>
    <row r="59" spans="2:65" ht="12" hidden="1" customHeight="1" thickBot="1" x14ac:dyDescent="0.25">
      <c r="B59" s="357">
        <f ca="1">Override!K59</f>
        <v>38596</v>
      </c>
      <c r="C59" s="352">
        <f ca="1">VLOOKUP(B59, Calc!$AA$5:$AJ$72,9)</f>
        <v>35.252143859863281</v>
      </c>
      <c r="D59" s="154">
        <f ca="1">VLOOKUP(B59, Calc!$AA$5:$AJ$72,10)</f>
        <v>0.25700000000000001</v>
      </c>
      <c r="E59" s="325">
        <f t="shared" ca="1" si="2"/>
        <v>35.252143859863281</v>
      </c>
      <c r="F59" s="324">
        <v>23.99</v>
      </c>
      <c r="G59" s="229"/>
      <c r="H59" s="230"/>
      <c r="I59" s="231"/>
      <c r="K59" s="232"/>
      <c r="L59" s="233"/>
      <c r="M59" s="26"/>
      <c r="N59" s="26"/>
      <c r="O59" s="26"/>
      <c r="P59" s="116"/>
      <c r="Q59" s="116"/>
      <c r="R59" s="116"/>
      <c r="AQ59" s="113"/>
      <c r="AR59" s="113"/>
      <c r="AS59" s="113"/>
      <c r="AU59" s="361"/>
      <c r="AV59" s="362"/>
      <c r="AX59" s="26"/>
      <c r="AY59" s="26"/>
      <c r="BJ59" s="42">
        <f ca="1">Calc!AA52</f>
        <v>38384</v>
      </c>
      <c r="BK59" s="42">
        <f t="shared" ca="1" si="3"/>
        <v>38383</v>
      </c>
      <c r="BL59" s="2">
        <v>48</v>
      </c>
      <c r="BM59" s="26"/>
    </row>
    <row r="60" spans="2:65" ht="12" hidden="1" customHeight="1" thickBot="1" x14ac:dyDescent="0.25">
      <c r="B60" s="357">
        <f ca="1">Override!K60</f>
        <v>38626</v>
      </c>
      <c r="C60" s="352">
        <f ca="1">VLOOKUP(B60, Calc!$AA$5:$AJ$72,9)</f>
        <v>33.148933410644531</v>
      </c>
      <c r="D60" s="154">
        <f ca="1">VLOOKUP(B60, Calc!$AA$5:$AJ$72,10)</f>
        <v>0.247</v>
      </c>
      <c r="E60" s="325">
        <f t="shared" ca="1" si="2"/>
        <v>33.148933410644531</v>
      </c>
      <c r="F60" s="324">
        <v>24.99</v>
      </c>
      <c r="G60" s="229"/>
      <c r="H60" s="230"/>
      <c r="I60" s="231"/>
      <c r="K60" s="232"/>
      <c r="L60" s="233"/>
      <c r="M60" s="26"/>
      <c r="N60" s="26"/>
      <c r="O60" s="26"/>
      <c r="P60" s="116"/>
      <c r="Q60" s="116"/>
      <c r="R60" s="116"/>
      <c r="AQ60" s="113"/>
      <c r="AR60" s="113"/>
      <c r="AS60" s="113"/>
      <c r="AU60" s="361"/>
      <c r="AV60" s="362"/>
      <c r="AX60" s="26"/>
      <c r="AY60" s="26"/>
      <c r="BJ60" s="42">
        <f ca="1">Calc!AA53</f>
        <v>38412</v>
      </c>
      <c r="BK60" s="42">
        <f t="shared" ca="1" si="3"/>
        <v>38411</v>
      </c>
      <c r="BL60" s="2">
        <v>49</v>
      </c>
      <c r="BM60" s="26"/>
    </row>
    <row r="61" spans="2:65" ht="12" hidden="1" customHeight="1" thickBot="1" x14ac:dyDescent="0.25">
      <c r="B61" s="357">
        <f ca="1">Override!K61</f>
        <v>38657</v>
      </c>
      <c r="C61" s="352">
        <f ca="1">VLOOKUP(B61, Calc!$AA$5:$AJ$72,9)</f>
        <v>33.248931884765625</v>
      </c>
      <c r="D61" s="154">
        <f ca="1">VLOOKUP(B61, Calc!$AA$5:$AJ$72,10)</f>
        <v>0.247</v>
      </c>
      <c r="E61" s="325">
        <f t="shared" ca="1" si="2"/>
        <v>33.248931884765625</v>
      </c>
      <c r="F61" s="324">
        <v>25.99</v>
      </c>
      <c r="G61" s="229"/>
      <c r="H61" s="230"/>
      <c r="I61" s="231"/>
      <c r="K61" s="232"/>
      <c r="L61" s="233"/>
      <c r="M61" s="26"/>
      <c r="N61" s="26"/>
      <c r="O61" s="26"/>
      <c r="P61" s="116"/>
      <c r="Q61" s="116"/>
      <c r="R61" s="116"/>
      <c r="AQ61" s="113"/>
      <c r="AR61" s="113"/>
      <c r="AS61" s="113"/>
      <c r="AU61" s="361"/>
      <c r="AV61" s="362"/>
      <c r="AX61" s="26"/>
      <c r="AY61" s="26"/>
      <c r="BJ61" s="42">
        <f ca="1">Calc!AA54</f>
        <v>38443</v>
      </c>
      <c r="BK61" s="42">
        <f t="shared" ca="1" si="3"/>
        <v>38442</v>
      </c>
      <c r="BL61" s="2">
        <v>50</v>
      </c>
      <c r="BM61" s="26"/>
    </row>
    <row r="62" spans="2:65" ht="12" hidden="1" customHeight="1" thickBot="1" x14ac:dyDescent="0.25">
      <c r="B62" s="357">
        <f ca="1">Override!K62</f>
        <v>38687</v>
      </c>
      <c r="C62" s="352">
        <f ca="1">VLOOKUP(B62, Calc!$AA$5:$AJ$72,9)</f>
        <v>33.348930358886719</v>
      </c>
      <c r="D62" s="154">
        <f ca="1">VLOOKUP(B62, Calc!$AA$5:$AJ$72,10)</f>
        <v>0.247</v>
      </c>
      <c r="E62" s="325">
        <f t="shared" ca="1" si="2"/>
        <v>33.348930358886719</v>
      </c>
      <c r="F62" s="324">
        <v>26.99</v>
      </c>
      <c r="G62" s="229"/>
      <c r="H62" s="230"/>
      <c r="I62" s="231"/>
      <c r="K62" s="232"/>
      <c r="L62" s="233"/>
      <c r="M62" s="26"/>
      <c r="N62" s="26"/>
      <c r="O62" s="26"/>
      <c r="P62" s="116"/>
      <c r="Q62" s="116"/>
      <c r="R62" s="116"/>
      <c r="AQ62" s="113"/>
      <c r="AR62" s="113"/>
      <c r="AS62" s="113"/>
      <c r="AU62" s="361"/>
      <c r="AV62" s="362"/>
      <c r="AX62" s="26"/>
      <c r="AY62" s="26"/>
      <c r="BJ62" s="42">
        <f ca="1">Calc!AA55</f>
        <v>38473</v>
      </c>
      <c r="BK62" s="42">
        <f t="shared" ca="1" si="3"/>
        <v>38472</v>
      </c>
      <c r="BL62" s="2">
        <v>51</v>
      </c>
      <c r="BM62" s="26"/>
    </row>
    <row r="63" spans="2:65" ht="12" customHeight="1" thickBot="1" x14ac:dyDescent="0.25">
      <c r="B63" s="358">
        <f ca="1">Override!K63</f>
        <v>38718</v>
      </c>
      <c r="C63" s="352">
        <f ca="1">VLOOKUP(B63, Calc!$AA$5:$AJ$72,9)</f>
        <v>42.537864685058594</v>
      </c>
      <c r="D63" s="154">
        <f ca="1">VLOOKUP(B63, Calc!$AA$5:$AJ$72,10)</f>
        <v>0.2515</v>
      </c>
      <c r="E63" s="325">
        <f t="shared" ca="1" si="2"/>
        <v>42.537864685058594</v>
      </c>
      <c r="F63" s="324">
        <v>27.99</v>
      </c>
      <c r="G63" s="229"/>
      <c r="H63" s="230"/>
      <c r="I63" s="231"/>
      <c r="K63" s="232"/>
      <c r="L63" s="233"/>
      <c r="M63" s="26"/>
      <c r="N63" s="26"/>
      <c r="O63" s="26"/>
      <c r="P63" s="116"/>
      <c r="Q63" s="116"/>
      <c r="R63" s="116"/>
      <c r="AQ63" s="113"/>
      <c r="AR63" s="113"/>
      <c r="AS63" s="113"/>
      <c r="AU63" s="361"/>
      <c r="AV63" s="362"/>
      <c r="AX63" s="26"/>
      <c r="AY63" s="26"/>
      <c r="BJ63" s="42">
        <f ca="1">Calc!AA56</f>
        <v>38504</v>
      </c>
      <c r="BK63" s="42">
        <f t="shared" ca="1" si="3"/>
        <v>38503</v>
      </c>
      <c r="BL63" s="2">
        <v>52</v>
      </c>
      <c r="BM63" s="26"/>
    </row>
    <row r="64" spans="2:65" ht="12" hidden="1" customHeight="1" thickBot="1" x14ac:dyDescent="0.25">
      <c r="B64" s="139">
        <f ca="1">Override!K64</f>
        <v>38749</v>
      </c>
      <c r="C64" s="225">
        <f ca="1">VLOOKUP(B64, Calc!$AA$5:$AJ$72,9)</f>
        <v>42.187862396240234</v>
      </c>
      <c r="D64" s="226">
        <f ca="1">VLOOKUP(B64, Calc!$AA$5:$AJ$72,10)</f>
        <v>0.2515</v>
      </c>
      <c r="E64" s="328">
        <f t="shared" ca="1" si="2"/>
        <v>42.187862396240234</v>
      </c>
      <c r="F64" s="329">
        <v>28.99</v>
      </c>
      <c r="G64" s="229"/>
      <c r="H64" s="230"/>
      <c r="I64" s="231"/>
      <c r="K64" s="232"/>
      <c r="L64" s="233"/>
      <c r="M64" s="26"/>
      <c r="N64" s="26"/>
      <c r="O64" s="26"/>
      <c r="P64" s="116"/>
      <c r="Q64" s="116"/>
      <c r="R64" s="116"/>
      <c r="AQ64" s="113"/>
      <c r="AR64" s="113"/>
      <c r="AS64" s="113"/>
      <c r="AU64" s="361"/>
      <c r="AV64" s="362"/>
      <c r="AX64" s="26"/>
      <c r="AY64" s="26"/>
      <c r="BJ64" s="42">
        <f ca="1">Calc!AA57</f>
        <v>38534</v>
      </c>
      <c r="BK64" s="42">
        <f t="shared" ca="1" si="3"/>
        <v>38533</v>
      </c>
      <c r="BL64" s="2">
        <v>53</v>
      </c>
      <c r="BM64" s="26"/>
    </row>
    <row r="65" spans="1:65" ht="17.25" customHeight="1" thickBot="1" x14ac:dyDescent="0.25">
      <c r="Q65" s="26"/>
      <c r="R65" s="26"/>
      <c r="S65" s="26"/>
      <c r="AQ65" s="113"/>
      <c r="AR65" s="113"/>
      <c r="AS65" s="113"/>
      <c r="AU65" s="361"/>
      <c r="AV65" s="362"/>
      <c r="AX65" s="26"/>
      <c r="AY65" s="26"/>
      <c r="BJ65" s="42">
        <f ca="1">Calc!AA58</f>
        <v>38565</v>
      </c>
      <c r="BK65" s="42">
        <f t="shared" ca="1" si="3"/>
        <v>38564</v>
      </c>
      <c r="BL65" s="2">
        <v>54</v>
      </c>
      <c r="BM65" s="26"/>
    </row>
    <row r="66" spans="1:65" ht="17.25" customHeight="1" thickBot="1" x14ac:dyDescent="0.25">
      <c r="B66" s="237" t="s">
        <v>4</v>
      </c>
      <c r="C66" s="238"/>
      <c r="D66" s="239"/>
      <c r="E66" s="235"/>
      <c r="F66" s="26"/>
      <c r="G66" s="26"/>
      <c r="H66" s="240" t="s">
        <v>177</v>
      </c>
      <c r="I66" s="125"/>
      <c r="J66" s="123">
        <f ca="1">TODAY()</f>
        <v>36976</v>
      </c>
      <c r="K66" s="124" t="s">
        <v>9</v>
      </c>
      <c r="L66" s="126"/>
      <c r="M66" s="127"/>
      <c r="N66" s="61"/>
      <c r="O66" s="128" t="s">
        <v>142</v>
      </c>
      <c r="P66" s="129"/>
      <c r="Q66" s="347"/>
      <c r="R66" s="26"/>
      <c r="S66" s="26"/>
      <c r="AQ66" s="113"/>
      <c r="AR66" s="113"/>
      <c r="AS66" s="113"/>
      <c r="AU66" s="361"/>
      <c r="AV66" s="362"/>
      <c r="AX66" s="26"/>
      <c r="AY66" s="26"/>
      <c r="BJ66" s="42">
        <f ca="1">Calc!AA59</f>
        <v>38596</v>
      </c>
      <c r="BK66" s="42">
        <f t="shared" ca="1" si="3"/>
        <v>38595</v>
      </c>
      <c r="BL66" s="2">
        <v>55</v>
      </c>
      <c r="BM66" s="26"/>
    </row>
    <row r="67" spans="1:65" ht="17.25" customHeight="1" thickBot="1" x14ac:dyDescent="0.25">
      <c r="B67" s="237" t="s">
        <v>158</v>
      </c>
      <c r="C67" s="238"/>
      <c r="D67" s="239"/>
      <c r="E67" s="235"/>
      <c r="F67" s="26"/>
      <c r="G67" s="26"/>
      <c r="H67" s="236" t="s">
        <v>96</v>
      </c>
      <c r="I67" s="133"/>
      <c r="J67" s="134"/>
      <c r="K67" s="110" t="s">
        <v>10</v>
      </c>
      <c r="L67" s="63"/>
      <c r="M67" s="135"/>
      <c r="N67" s="63"/>
      <c r="O67" s="136" t="s">
        <v>1</v>
      </c>
      <c r="P67" s="64"/>
      <c r="Q67" s="26"/>
      <c r="R67" s="26"/>
      <c r="S67" s="26"/>
      <c r="AQ67" s="113"/>
      <c r="AR67" s="113"/>
      <c r="AS67" s="113"/>
      <c r="AU67" s="361"/>
      <c r="AV67" s="362"/>
      <c r="AX67" s="26"/>
      <c r="AY67" s="26"/>
      <c r="BJ67" s="42">
        <f ca="1">Calc!AA60</f>
        <v>38626</v>
      </c>
      <c r="BK67" s="42">
        <f t="shared" ca="1" si="3"/>
        <v>38625</v>
      </c>
      <c r="BL67" s="2">
        <v>56</v>
      </c>
      <c r="BM67" s="26"/>
    </row>
    <row r="68" spans="1:65" ht="12" thickBot="1" x14ac:dyDescent="0.25">
      <c r="A68" s="26"/>
      <c r="B68" s="116"/>
      <c r="C68" s="26"/>
      <c r="D68" s="26"/>
      <c r="E68" s="26"/>
      <c r="H68" s="1"/>
      <c r="I68" s="1"/>
      <c r="K68" s="117"/>
      <c r="P68" s="120"/>
      <c r="AQ68" s="113"/>
      <c r="AR68" s="113"/>
      <c r="AS68" s="113"/>
      <c r="AU68" s="361"/>
      <c r="AV68" s="362"/>
      <c r="AX68" s="26"/>
      <c r="AY68" s="26"/>
      <c r="BJ68" s="42">
        <f ca="1">Calc!AA61</f>
        <v>38657</v>
      </c>
      <c r="BK68" s="42">
        <f t="shared" ca="1" si="3"/>
        <v>38656</v>
      </c>
      <c r="BL68" s="2">
        <v>57</v>
      </c>
      <c r="BM68" s="26"/>
    </row>
    <row r="69" spans="1:65" ht="13.5" thickBot="1" x14ac:dyDescent="0.25">
      <c r="H69" s="1"/>
      <c r="I69" s="1"/>
      <c r="J69" s="1"/>
      <c r="K69" s="26"/>
      <c r="L69" s="66"/>
      <c r="M69" s="382" t="s">
        <v>7</v>
      </c>
      <c r="N69" s="383"/>
      <c r="O69" s="67" t="s">
        <v>115</v>
      </c>
      <c r="P69" s="67" t="s">
        <v>116</v>
      </c>
      <c r="Q69" s="67" t="s">
        <v>117</v>
      </c>
      <c r="R69" s="68" t="s">
        <v>118</v>
      </c>
      <c r="AQ69" s="113"/>
      <c r="AR69" s="113"/>
      <c r="AS69" s="113"/>
      <c r="AU69" s="361"/>
      <c r="AV69" s="362"/>
      <c r="AX69" s="26"/>
      <c r="AY69" s="26"/>
      <c r="BJ69" s="42">
        <f ca="1">Calc!AA62</f>
        <v>38687</v>
      </c>
      <c r="BK69" s="42">
        <f t="shared" ca="1" si="3"/>
        <v>38686</v>
      </c>
      <c r="BL69" s="2">
        <v>58</v>
      </c>
      <c r="BM69" s="26"/>
    </row>
    <row r="70" spans="1:65" ht="13.5" thickBot="1" x14ac:dyDescent="0.25">
      <c r="B70" s="348"/>
      <c r="C70" s="349"/>
      <c r="D70" s="349"/>
      <c r="E70" s="349"/>
      <c r="F70" s="349"/>
      <c r="G70" s="349"/>
      <c r="H70" s="1"/>
      <c r="I70" s="1"/>
      <c r="J70" s="1"/>
      <c r="K70" s="26"/>
      <c r="L70" s="65" t="s">
        <v>132</v>
      </c>
      <c r="M70" s="384">
        <f ca="1">SUM(O74:O85)</f>
        <v>-15.881522755971105</v>
      </c>
      <c r="N70" s="385"/>
      <c r="O70" s="81">
        <f ca="1">SUM(Q74:Q85)</f>
        <v>11.070147961213616</v>
      </c>
      <c r="P70" s="81">
        <f ca="1">SUM(R74:R85)</f>
        <v>1.637378043670124E-3</v>
      </c>
      <c r="Q70" s="107">
        <f ca="1">SUM(S74:S85)</f>
        <v>4.7869714137026111</v>
      </c>
      <c r="R70" s="86">
        <f ca="1">SUM(T74:T85)</f>
        <v>-0.11953379574266708</v>
      </c>
      <c r="AQ70" s="113"/>
      <c r="AR70" s="113"/>
      <c r="AS70" s="113"/>
      <c r="AU70" s="361"/>
      <c r="AV70" s="362"/>
      <c r="AX70" s="26"/>
      <c r="AY70" s="26"/>
      <c r="BJ70" s="42">
        <f ca="1">Calc!AA63</f>
        <v>38718</v>
      </c>
      <c r="BK70" s="42">
        <f t="shared" ca="1" si="3"/>
        <v>38717</v>
      </c>
      <c r="BL70" s="2">
        <v>59</v>
      </c>
      <c r="BM70" s="26"/>
    </row>
    <row r="71" spans="1:65" ht="12" thickBot="1" x14ac:dyDescent="0.25">
      <c r="H71" s="1"/>
      <c r="I71" s="1"/>
      <c r="K71" s="117"/>
      <c r="L71" s="118"/>
      <c r="M71" s="119"/>
      <c r="N71" s="119"/>
      <c r="O71" s="120"/>
      <c r="P71" s="120"/>
      <c r="AQ71" s="113"/>
      <c r="AR71" s="113"/>
      <c r="AS71" s="113"/>
      <c r="AU71" s="361"/>
      <c r="AV71" s="362"/>
      <c r="AX71" s="26"/>
      <c r="AY71" s="26"/>
      <c r="BJ71" s="42">
        <f ca="1">Calc!AA64</f>
        <v>38749</v>
      </c>
      <c r="BK71" s="42">
        <f t="shared" ca="1" si="3"/>
        <v>38748</v>
      </c>
      <c r="BL71" s="2">
        <v>60</v>
      </c>
      <c r="BM71" s="26"/>
    </row>
    <row r="72" spans="1:65" ht="11.25" customHeight="1" x14ac:dyDescent="0.2">
      <c r="B72" s="404" t="s">
        <v>128</v>
      </c>
      <c r="C72" s="400" t="s">
        <v>129</v>
      </c>
      <c r="D72" s="370" t="s">
        <v>5</v>
      </c>
      <c r="E72" s="406"/>
      <c r="F72" s="407"/>
      <c r="G72" s="398" t="s">
        <v>103</v>
      </c>
      <c r="H72" s="373" t="s">
        <v>33</v>
      </c>
      <c r="I72" s="373" t="s">
        <v>6</v>
      </c>
      <c r="J72" s="373" t="s">
        <v>110</v>
      </c>
      <c r="K72" s="373" t="s">
        <v>111</v>
      </c>
      <c r="L72" s="398" t="s">
        <v>130</v>
      </c>
      <c r="M72" s="409" t="s">
        <v>139</v>
      </c>
      <c r="N72" s="410"/>
      <c r="O72" s="387" t="s">
        <v>7</v>
      </c>
      <c r="P72" s="373" t="s">
        <v>8</v>
      </c>
      <c r="Q72" s="370" t="s">
        <v>114</v>
      </c>
      <c r="R72" s="371"/>
      <c r="S72" s="371"/>
      <c r="T72" s="372"/>
      <c r="AP72" s="113"/>
      <c r="AQ72" s="113"/>
      <c r="AR72" s="113"/>
      <c r="AV72" s="26"/>
      <c r="AW72" s="26"/>
      <c r="BJ72" s="42">
        <f ca="1">Calc!AA65</f>
        <v>38777</v>
      </c>
      <c r="BK72" s="42">
        <f t="shared" ca="1" si="3"/>
        <v>38776</v>
      </c>
      <c r="BL72" s="2">
        <v>61</v>
      </c>
    </row>
    <row r="73" spans="1:65" ht="11.25" customHeight="1" thickBot="1" x14ac:dyDescent="0.25">
      <c r="B73" s="405"/>
      <c r="C73" s="399"/>
      <c r="D73" s="57" t="s">
        <v>18</v>
      </c>
      <c r="E73" s="57" t="s">
        <v>19</v>
      </c>
      <c r="F73" s="101" t="s">
        <v>112</v>
      </c>
      <c r="G73" s="399"/>
      <c r="H73" s="386"/>
      <c r="I73" s="386"/>
      <c r="J73" s="386"/>
      <c r="K73" s="386"/>
      <c r="L73" s="408"/>
      <c r="M73" s="411"/>
      <c r="N73" s="412"/>
      <c r="O73" s="414"/>
      <c r="P73" s="374"/>
      <c r="Q73" s="58" t="s">
        <v>115</v>
      </c>
      <c r="R73" s="58" t="s">
        <v>116</v>
      </c>
      <c r="S73" s="58" t="s">
        <v>117</v>
      </c>
      <c r="T73" s="59" t="s">
        <v>118</v>
      </c>
      <c r="AP73" s="113"/>
      <c r="AQ73" s="113"/>
      <c r="AR73" s="113"/>
      <c r="BJ73" s="42">
        <f ca="1">Calc!AA66</f>
        <v>38808</v>
      </c>
      <c r="BK73" s="42">
        <f t="shared" ca="1" si="3"/>
        <v>38807</v>
      </c>
      <c r="BL73" s="2">
        <v>62</v>
      </c>
    </row>
    <row r="74" spans="1:65" ht="17.25" customHeight="1" x14ac:dyDescent="0.2">
      <c r="B74" s="77">
        <v>1</v>
      </c>
      <c r="C74" s="24">
        <v>1</v>
      </c>
      <c r="D74" s="54"/>
      <c r="E74" s="87"/>
      <c r="F74" s="95"/>
      <c r="G74" s="91"/>
      <c r="H74" s="24">
        <v>50</v>
      </c>
      <c r="I74" s="316">
        <v>60</v>
      </c>
      <c r="J74" s="55">
        <f ca="1">Calc!AU6</f>
        <v>47</v>
      </c>
      <c r="K74" s="56">
        <f ca="1">IF(AND(driver_m=1,BR12&lt;&gt;21),P74,Calc!AV6)</f>
        <v>0.81377332186509732</v>
      </c>
      <c r="L74" s="72">
        <v>15</v>
      </c>
      <c r="M74" s="345">
        <v>1.7</v>
      </c>
      <c r="N74" s="33"/>
      <c r="O74" s="203">
        <f ca="1">IF(AND(H74&lt;&gt;0, ISNUMBER(Calc!AW6)),  IF(driver_m=2,Calc!AW6*IF(unit=1,1,IF(unit=2,H74,IF(peak_base_m=1,NETWORKDAYS(Calc!AO6,Calc!AP6)*H74*16,(Calc!AP6-Calc!AO6)*H74*24))),L74)*IF(B74=1,-1,1),"")</f>
        <v>-1.168830243188177</v>
      </c>
      <c r="P74" s="279">
        <f ca="1">IF(OR(driver_m=2, AND(driver_m=1, L74&lt;&gt;0)),  IF(AND(H74&lt;&gt;0, ISNUMBER(Calc!AX6)), Calc!AX6,""),"")</f>
        <v>0.81361075441479114</v>
      </c>
      <c r="Q74" s="203">
        <f ca="1">IF(OR(driver_m=2, AND(driver_m=1, L74&lt;&gt;0)), IF(AND(H74&lt;&gt;0,ISNUMBER(Calc!AY6)), Calc!AY6*IF(B74=1, -1,1)*IF(unit=1, 1, IF(unit=2, H74, IF(peak_base_m=1,NETWORKDAYS(Calc!AO6,Calc!AP6)*H74*16,(-Calc!AO6+Calc!AP6)*H74*24))),""),"")</f>
        <v>-0.20683261637237468</v>
      </c>
      <c r="R74" s="203">
        <f ca="1">IF(OR(driver_m=2, AND(driver_m=1, L74&lt;&gt;0)),  IF(AND(H74&lt;&gt;0,ISNUMBER(Calc!AZ6)), Calc!AZ6*IF(B74=1, -1,1)*IF(unit=1, 1, IF(unit=2,H74,IF(peak_base_m=1,NETWORKDAYS(Calc!AO6,Calc!AP6)*H74*16,(-Calc!AO6+Calc!AP6)*H74*24))),""),"")</f>
        <v>-2.3408986496916848E-2</v>
      </c>
      <c r="S74" s="203">
        <f ca="1">IF(OR(driver_m=2, AND(driver_m=1, L74&lt;&gt;0)), IF(AND(H74&lt;&gt;0,ISNUMBER(Calc!BA6)), Calc!BA6*IF(B74=1,-1,1)*IF(unit=1,1,IF(peak_base_m=1,NETWORKDAYS(Calc!AO6,Calc!AP6)*H74*16,(-Calc!AO6+Calc!AP6)*H74*24))*0.1,""),"")</f>
        <v>-0.42627834856393032</v>
      </c>
      <c r="T74" s="204">
        <f ca="1">IF(OR(driver_m=2, AND(driver_m=1, L74&lt;&gt;0)), IF(AND(H74&lt;&gt;0,ISNUMBER(Calc!BB6)), Calc!BB6*IF(B74=1,-1,1)*IF(unit=1,1,IF(peak_base_m=1,NETWORKDAYS(Calc!AO6,Calc!AP6)*H74*16,(-Calc!AO6+Calc!AP6)*H74*24))/365.25,""),"")</f>
        <v>4.6682807074585546E-2</v>
      </c>
      <c r="AP74" s="113"/>
      <c r="AQ74" s="113"/>
      <c r="AR74" s="113"/>
      <c r="BJ74" s="42">
        <f ca="1">Calc!AA67</f>
        <v>38838</v>
      </c>
      <c r="BK74" s="42">
        <f t="shared" ca="1" si="3"/>
        <v>38837</v>
      </c>
      <c r="BL74" s="2">
        <v>63</v>
      </c>
    </row>
    <row r="75" spans="1:65" ht="17.25" customHeight="1" x14ac:dyDescent="0.2">
      <c r="B75" s="78">
        <v>0</v>
      </c>
      <c r="C75" s="25">
        <v>1</v>
      </c>
      <c r="D75" s="27"/>
      <c r="E75" s="88"/>
      <c r="F75" s="96"/>
      <c r="G75" s="92"/>
      <c r="H75" s="25">
        <v>50</v>
      </c>
      <c r="I75" s="317">
        <v>55</v>
      </c>
      <c r="J75" s="55">
        <f ca="1">Calc!AU7</f>
        <v>115</v>
      </c>
      <c r="K75" s="56">
        <f ca="1">IF(AND(driver_m=1,BR13&lt;&gt;21),P75,Calc!AV7)</f>
        <v>0.69520958888089457</v>
      </c>
      <c r="L75" s="74">
        <v>60</v>
      </c>
      <c r="M75" s="346">
        <v>2.14</v>
      </c>
      <c r="N75" s="73"/>
      <c r="O75" s="203">
        <f ca="1">IF(AND(H75&lt;&gt;0, ISNUMBER(Calc!AW7)),  IF(driver_m=2,Calc!AW7*IF(unit=1,1,IF(unit=2,H75,IF(peak_base_m=1,NETWORKDAYS(Calc!AO7,Calc!AP7)*H75*16,(Calc!AP7-Calc!AO7)*H75*24))),L75)*IF(B75=1,-1,1),"")</f>
        <v>25.618914422781586</v>
      </c>
      <c r="P75" s="279">
        <f ca="1">IF(OR(driver_m=2, AND(driver_m=1, L75&lt;&gt;0)),  IF(AND(H75&lt;&gt;0, ISNUMBER(Calc!AX7)), Calc!AX7,""),"")</f>
        <v>-1</v>
      </c>
      <c r="Q75" s="203">
        <f ca="1">IF(OR(driver_m=2, AND(driver_m=1, L75&lt;&gt;0)), IF(AND(H75&lt;&gt;0,ISNUMBER(Calc!AY7)), Calc!AY7*IF(B75=1, -1,1)*IF(unit=1, 1, IF(unit=2, H75, IF(peak_base_m=1,NETWORKDAYS(Calc!AO7,Calc!AP7)*H75*16,(-Calc!AO7+Calc!AP7)*H75*24))),""),"")</f>
        <v>1.7348015951640199</v>
      </c>
      <c r="R75" s="203">
        <f ca="1">IF(OR(driver_m=2, AND(driver_m=1, L75&lt;&gt;0)),  IF(AND(H75&lt;&gt;0,ISNUMBER(Calc!AZ7)), Calc!AZ7*IF(B75=1, -1,1)*IF(unit=1, 1, IF(unit=2,H75,IF(peak_base_m=1,NETWORKDAYS(Calc!AO7,Calc!AP7)*H75*16,(-Calc!AO7+Calc!AP7)*H75*24))),""),"")</f>
        <v>1.3352690541382117E-2</v>
      </c>
      <c r="S75" s="203">
        <f ca="1">IF(OR(driver_m=2, AND(driver_m=1, L75&lt;&gt;0)), IF(AND(H75&lt;&gt;0,ISNUMBER(Calc!BA7)), Calc!BA7*IF(B75=1,-1,1)*IF(unit=1,1,IF(peak_base_m=1,NETWORKDAYS(Calc!AO7,Calc!AP7)*H75*16,(-Calc!AO7+Calc!AP7)*H75*24))*0.1,""),"")</f>
        <v>1.5354067901345223</v>
      </c>
      <c r="T75" s="204">
        <f ca="1">IF(OR(driver_m=2, AND(driver_m=1, L75&lt;&gt;0)), IF(AND(H75&lt;&gt;0,ISNUMBER(Calc!BB7)), Calc!BB7*IF(B75=1,-1,1)*IF(unit=1,1,IF(peak_base_m=1,NETWORKDAYS(Calc!AO7,Calc!AP7)*H75*16,(-Calc!AO7+Calc!AP7)*H75*24))/365.25,""),"")</f>
        <v>-4.7957472180023338E-2</v>
      </c>
      <c r="AP75" s="113"/>
      <c r="AQ75" s="113"/>
      <c r="AR75" s="113"/>
      <c r="BJ75" s="42">
        <f ca="1">Calc!AA68</f>
        <v>38869</v>
      </c>
      <c r="BK75" s="42">
        <f t="shared" ca="1" si="3"/>
        <v>38868</v>
      </c>
      <c r="BL75" s="2">
        <v>64</v>
      </c>
    </row>
    <row r="76" spans="1:65" ht="17.25" customHeight="1" x14ac:dyDescent="0.2">
      <c r="B76" s="78">
        <v>0</v>
      </c>
      <c r="C76" s="25">
        <v>1</v>
      </c>
      <c r="D76" s="28"/>
      <c r="E76" s="89"/>
      <c r="F76" s="95"/>
      <c r="G76" s="93"/>
      <c r="H76" s="25">
        <v>50</v>
      </c>
      <c r="I76" s="317">
        <v>90</v>
      </c>
      <c r="J76" s="55">
        <f ca="1">Calc!AU8</f>
        <v>115</v>
      </c>
      <c r="K76" s="56">
        <f ca="1">IF(AND(driver_m=1,BR14&lt;&gt;21),P76,Calc!AV8)</f>
        <v>0.85</v>
      </c>
      <c r="L76" s="75"/>
      <c r="M76" s="315"/>
      <c r="N76" s="73"/>
      <c r="O76" s="203">
        <f ca="1">IF(AND(H76&lt;&gt;0, ISNUMBER(Calc!AW8)),  IF(driver_m=2,Calc!AW8*IF(unit=1,1,IF(unit=2,H76,IF(peak_base_m=1,NETWORKDAYS(Calc!AO8,Calc!AP8)*H76*16,(Calc!AP8-Calc!AO8)*H76*24))),L76)*IF(B76=1,-1,1),"")</f>
        <v>32.372099797397141</v>
      </c>
      <c r="P76" s="279">
        <f ca="1">IF(OR(driver_m=2, AND(driver_m=1, L76&lt;&gt;0)),  IF(AND(H76&lt;&gt;0, ISNUMBER(Calc!AX8)), Calc!AX8,""),"")</f>
        <v>0.84999360418864889</v>
      </c>
      <c r="Q76" s="203">
        <f ca="1">IF(OR(driver_m=2, AND(driver_m=1, L76&lt;&gt;0)), IF(AND(H76&lt;&gt;0,ISNUMBER(Calc!AY8)), Calc!AY8*IF(B76=1, -1,1)*IF(unit=1, 1, IF(unit=2, H76, IF(peak_base_m=1,NETWORKDAYS(Calc!AO8,Calc!AP8)*H76*16,(-Calc!AO8+Calc!AP8)*H76*24))),""),"")</f>
        <v>0.76989134579296969</v>
      </c>
      <c r="R76" s="203">
        <f ca="1">IF(OR(driver_m=2, AND(driver_m=1, L76&lt;&gt;0)),  IF(AND(H76&lt;&gt;0,ISNUMBER(Calc!AZ8)), Calc!AZ8*IF(B76=1, -1,1)*IF(unit=1, 1, IF(unit=2,H76,IF(peak_base_m=1,NETWORKDAYS(Calc!AO8,Calc!AP8)*H76*16,(-Calc!AO8+Calc!AP8)*H76*24))),""),"")</f>
        <v>5.7409524540451016E-3</v>
      </c>
      <c r="S76" s="203">
        <f ca="1">IF(OR(driver_m=2, AND(driver_m=1, L76&lt;&gt;0)), IF(AND(H76&lt;&gt;0,ISNUMBER(Calc!BA8)), Calc!BA8*IF(B76=1,-1,1)*IF(unit=1,1,IF(peak_base_m=1,NETWORKDAYS(Calc!AO8,Calc!AP8)*H76*16,(-Calc!AO8+Calc!AP8)*H76*24))*0.1,""),"")</f>
        <v>1.7315474918152998</v>
      </c>
      <c r="T76" s="204">
        <f ca="1">IF(OR(driver_m=2, AND(driver_m=1, L76&lt;&gt;0)), IF(AND(H76&lt;&gt;0,ISNUMBER(Calc!BB8)), Calc!BB8*IF(B76=1,-1,1)*IF(unit=1,1,IF(peak_base_m=1,NETWORKDAYS(Calc!AO8,Calc!AP8)*H76*16,(-Calc!AO8+Calc!AP8)*H76*24))/365.25,""),"")</f>
        <v>-7.0176686243930253E-2</v>
      </c>
      <c r="AP76" s="113"/>
      <c r="AQ76" s="113"/>
      <c r="AR76" s="113"/>
      <c r="BJ76" s="42">
        <f ca="1">Calc!AA69</f>
        <v>38899</v>
      </c>
      <c r="BK76" s="42">
        <f t="shared" ref="BK76:BK107" ca="1" si="4">EOMONTH(BJ76,-1)</f>
        <v>38898</v>
      </c>
      <c r="BL76" s="2">
        <v>65</v>
      </c>
    </row>
    <row r="77" spans="1:65" ht="17.25" customHeight="1" x14ac:dyDescent="0.2">
      <c r="B77" s="78">
        <v>0</v>
      </c>
      <c r="C77" s="25">
        <v>1</v>
      </c>
      <c r="D77" s="28"/>
      <c r="E77" s="89"/>
      <c r="F77" s="96"/>
      <c r="G77" s="93"/>
      <c r="H77" s="25">
        <v>50</v>
      </c>
      <c r="I77" s="317">
        <v>90</v>
      </c>
      <c r="J77" s="55">
        <f ca="1">Calc!AU9</f>
        <v>115</v>
      </c>
      <c r="K77" s="56">
        <f ca="1">IF(AND(driver_m=1,BR15&lt;&gt;21),P77,Calc!AV9)</f>
        <v>0.7</v>
      </c>
      <c r="L77" s="75"/>
      <c r="M77" s="315"/>
      <c r="N77" s="73"/>
      <c r="O77" s="203">
        <f ca="1">IF(AND(H77&lt;&gt;0, ISNUMBER(Calc!AW9)),  IF(driver_m=2,Calc!AW9*IF(unit=1,1,IF(unit=2,H77,IF(peak_base_m=1,NETWORKDAYS(Calc!AO9,Calc!AP9)*H77*16,(Calc!AP9-Calc!AO9)*H77*24))),L77)*IF(B77=1,-1,1),"")</f>
        <v>31.469065941989548</v>
      </c>
      <c r="P77" s="279">
        <f ca="1">IF(OR(driver_m=2, AND(driver_m=1, L77&lt;&gt;0)),  IF(AND(H77&lt;&gt;0, ISNUMBER(Calc!AX9)), Calc!AX9,""),"")</f>
        <v>0.69997500324393236</v>
      </c>
      <c r="Q77" s="203">
        <f ca="1">IF(OR(driver_m=2, AND(driver_m=1, L77&lt;&gt;0)), IF(AND(H77&lt;&gt;0,ISNUMBER(Calc!AY9)), Calc!AY9*IF(B77=1, -1,1)*IF(unit=1, 1, IF(unit=2, H77, IF(peak_base_m=1,NETWORKDAYS(Calc!AO9,Calc!AP9)*H77*16,(-Calc!AO9+Calc!AP9)*H77*24))),""),"")</f>
        <v>0.77228763662900091</v>
      </c>
      <c r="R77" s="203">
        <f ca="1">IF(OR(driver_m=2, AND(driver_m=1, L77&lt;&gt;0)),  IF(AND(H77&lt;&gt;0,ISNUMBER(Calc!AZ9)), Calc!AZ9*IF(B77=1, -1,1)*IF(unit=1, 1, IF(unit=2,H77,IF(peak_base_m=1,NETWORKDAYS(Calc!AO9,Calc!AP9)*H77*16,(-Calc!AO9+Calc!AP9)*H77*24))),""),"")</f>
        <v>5.9527215451597535E-3</v>
      </c>
      <c r="S77" s="203">
        <f ca="1">IF(OR(driver_m=2, AND(driver_m=1, L77&lt;&gt;0)), IF(AND(H77&lt;&gt;0,ISNUMBER(Calc!BA9)), Calc!BA9*IF(B77=1,-1,1)*IF(unit=1,1,IF(peak_base_m=1,NETWORKDAYS(Calc!AO9,Calc!AP9)*H77*16,(-Calc!AO9+Calc!AP9)*H77*24))*0.1,""),"")</f>
        <v>1.946295480316719</v>
      </c>
      <c r="T77" s="204">
        <f ca="1">IF(OR(driver_m=2, AND(driver_m=1, L77&lt;&gt;0)), IF(AND(H77&lt;&gt;0,ISNUMBER(Calc!BB9)), Calc!BB9*IF(B77=1,-1,1)*IF(unit=1,1,IF(peak_base_m=1,NETWORKDAYS(Calc!AO9,Calc!AP9)*H77*16,(-Calc!AO9+Calc!AP9)*H77*24))/365.25,""),"")</f>
        <v>-4.8082444393299034E-2</v>
      </c>
      <c r="AP77" s="26"/>
      <c r="AQ77" s="26"/>
      <c r="AR77" s="26"/>
      <c r="BJ77" s="42">
        <f ca="1">Calc!AA70</f>
        <v>38930</v>
      </c>
      <c r="BK77" s="42">
        <f t="shared" ca="1" si="4"/>
        <v>38929</v>
      </c>
      <c r="BL77" s="2">
        <v>66</v>
      </c>
    </row>
    <row r="78" spans="1:65" ht="17.25" customHeight="1" x14ac:dyDescent="0.2">
      <c r="B78" s="78">
        <v>0</v>
      </c>
      <c r="C78" s="25">
        <v>1</v>
      </c>
      <c r="D78" s="28"/>
      <c r="E78" s="89"/>
      <c r="F78" s="95"/>
      <c r="G78" s="93"/>
      <c r="H78" s="25">
        <v>50</v>
      </c>
      <c r="I78" s="317">
        <v>75</v>
      </c>
      <c r="J78" s="55">
        <f ca="1">Calc!AU10</f>
        <v>41.400001525878906</v>
      </c>
      <c r="K78" s="56">
        <f ca="1">IF(AND(driver_m=1,BR16&lt;&gt;21),P78,Calc!AV10)</f>
        <v>0.81786622354179084</v>
      </c>
      <c r="L78" s="75"/>
      <c r="M78" s="315"/>
      <c r="N78" s="73"/>
      <c r="O78" s="203">
        <f ca="1">IF(AND(H78&lt;&gt;0, ISNUMBER(Calc!AW10)),  IF(driver_m=2,Calc!AW10*IF(unit=1,1,IF(unit=2,H78,IF(peak_base_m=1,NETWORKDAYS(Calc!AO10,Calc!AP10)*H78*16,(Calc!AP10-Calc!AO10)*H78*24))),L78)*IF(B78=1,-1,1),"")</f>
        <v>-33.599998474121094</v>
      </c>
      <c r="P78" s="279">
        <f ca="1">IF(OR(driver_m=2, AND(driver_m=1, L78&lt;&gt;0)),  IF(AND(H78&lt;&gt;0, ISNUMBER(Calc!AX10)), Calc!AX10,""),"")</f>
        <v>0</v>
      </c>
      <c r="Q78" s="203">
        <f ca="1">IF(OR(driver_m=2, AND(driver_m=1, L78&lt;&gt;0)), IF(AND(H78&lt;&gt;0,ISNUMBER(Calc!AY10)), Calc!AY10*IF(B78=1, -1,1)*IF(unit=1, 1, IF(unit=2, H78, IF(peak_base_m=1,NETWORKDAYS(Calc!AO10,Calc!AP10)*H78*16,(-Calc!AO10+Calc!AP10)*H78*24))),""),"")</f>
        <v>1</v>
      </c>
      <c r="R78" s="203">
        <f ca="1">IF(OR(driver_m=2, AND(driver_m=1, L78&lt;&gt;0)),  IF(AND(H78&lt;&gt;0,ISNUMBER(Calc!AZ10)), Calc!AZ10*IF(B78=1, -1,1)*IF(unit=1, 1, IF(unit=2,H78,IF(peak_base_m=1,NETWORKDAYS(Calc!AO10,Calc!AP10)*H78*16,(-Calc!AO10+Calc!AP10)*H78*24))),""),"")</f>
        <v>0</v>
      </c>
      <c r="S78" s="203">
        <f ca="1">IF(OR(driver_m=2, AND(driver_m=1, L78&lt;&gt;0)), IF(AND(H78&lt;&gt;0,ISNUMBER(Calc!BA10)), Calc!BA10*IF(B78=1,-1,1)*IF(unit=1,1,IF(peak_base_m=1,NETWORKDAYS(Calc!AO10,Calc!AP10)*H78*16,(-Calc!AO10+Calc!AP10)*H78*24))*0.1,""),"")</f>
        <v>0</v>
      </c>
      <c r="T78" s="204">
        <f ca="1">IF(OR(driver_m=2, AND(driver_m=1, L78&lt;&gt;0)), IF(AND(H78&lt;&gt;0,ISNUMBER(Calc!BB10)), Calc!BB10*IF(B78=1,-1,1)*IF(unit=1,1,IF(peak_base_m=1,NETWORKDAYS(Calc!AO10,Calc!AP10)*H78*16,(-Calc!AO10+Calc!AP10)*H78*24))/365.25,""),"")</f>
        <v>0</v>
      </c>
      <c r="AP78" s="26"/>
      <c r="AQ78" s="26"/>
      <c r="AR78" s="26"/>
      <c r="BJ78" s="42">
        <f ca="1">Calc!AA71</f>
        <v>38961</v>
      </c>
      <c r="BK78" s="42">
        <f t="shared" ca="1" si="4"/>
        <v>38960</v>
      </c>
      <c r="BL78" s="2">
        <v>67</v>
      </c>
    </row>
    <row r="79" spans="1:65" ht="17.25" customHeight="1" thickBot="1" x14ac:dyDescent="0.25">
      <c r="B79" s="78">
        <v>0</v>
      </c>
      <c r="C79" s="25">
        <v>1</v>
      </c>
      <c r="D79" s="60"/>
      <c r="E79" s="90"/>
      <c r="F79" s="96"/>
      <c r="G79" s="94"/>
      <c r="H79" s="25">
        <v>50</v>
      </c>
      <c r="I79" s="317">
        <v>65.89</v>
      </c>
      <c r="J79" s="55">
        <f ca="1">Calc!AU11</f>
        <v>41.5</v>
      </c>
      <c r="K79" s="56">
        <f ca="1">IF(AND(driver_m=1,BR17&lt;&gt;21),P79,Calc!AV11)</f>
        <v>0.73836495330178553</v>
      </c>
      <c r="L79" s="75"/>
      <c r="M79" s="315"/>
      <c r="N79" s="73"/>
      <c r="O79" s="203">
        <f ca="1">IF(AND(H79&lt;&gt;0, ISNUMBER(Calc!AW11)),  IF(driver_m=2,Calc!AW11*IF(unit=1,1,IF(unit=2,H79,IF(peak_base_m=1,NETWORKDAYS(Calc!AO11,Calc!AP11)*H79*16,(Calc!AP11-Calc!AO11)*H79*24))),L79)*IF(B79=1,-1,1),"")</f>
        <v>-24.39</v>
      </c>
      <c r="P79" s="279">
        <f ca="1">IF(OR(driver_m=2, AND(driver_m=1, L79&lt;&gt;0)),  IF(AND(H79&lt;&gt;0, ISNUMBER(Calc!AX11)), Calc!AX11,""),"")</f>
        <v>0</v>
      </c>
      <c r="Q79" s="203">
        <f ca="1">IF(OR(driver_m=2, AND(driver_m=1, L79&lt;&gt;0)), IF(AND(H79&lt;&gt;0,ISNUMBER(Calc!AY11)), Calc!AY11*IF(B79=1, -1,1)*IF(unit=1, 1, IF(unit=2, H79, IF(peak_base_m=1,NETWORKDAYS(Calc!AO11,Calc!AP11)*H79*16,(-Calc!AO11+Calc!AP11)*H79*24))),""),"")</f>
        <v>1</v>
      </c>
      <c r="R79" s="203">
        <f ca="1">IF(OR(driver_m=2, AND(driver_m=1, L79&lt;&gt;0)),  IF(AND(H79&lt;&gt;0,ISNUMBER(Calc!AZ11)), Calc!AZ11*IF(B79=1, -1,1)*IF(unit=1, 1, IF(unit=2,H79,IF(peak_base_m=1,NETWORKDAYS(Calc!AO11,Calc!AP11)*H79*16,(-Calc!AO11+Calc!AP11)*H79*24))),""),"")</f>
        <v>0</v>
      </c>
      <c r="S79" s="203">
        <f ca="1">IF(OR(driver_m=2, AND(driver_m=1, L79&lt;&gt;0)), IF(AND(H79&lt;&gt;0,ISNUMBER(Calc!BA11)), Calc!BA11*IF(B79=1,-1,1)*IF(unit=1,1,IF(peak_base_m=1,NETWORKDAYS(Calc!AO11,Calc!AP11)*H79*16,(-Calc!AO11+Calc!AP11)*H79*24))*0.1,""),"")</f>
        <v>0</v>
      </c>
      <c r="T79" s="204">
        <f ca="1">IF(OR(driver_m=2, AND(driver_m=1, L79&lt;&gt;0)), IF(AND(H79&lt;&gt;0,ISNUMBER(Calc!BB11)), Calc!BB11*IF(B79=1,-1,1)*IF(unit=1,1,IF(peak_base_m=1,NETWORKDAYS(Calc!AO11,Calc!AP11)*H79*16,(-Calc!AO11+Calc!AP11)*H79*24))/365.25,""),"")</f>
        <v>0</v>
      </c>
      <c r="AP79" s="113"/>
      <c r="AQ79" s="113"/>
      <c r="AR79" s="113"/>
    </row>
    <row r="80" spans="1:65" ht="18" customHeight="1" x14ac:dyDescent="0.2">
      <c r="B80" s="78">
        <v>0</v>
      </c>
      <c r="C80" s="25">
        <v>1</v>
      </c>
      <c r="D80" s="52"/>
      <c r="E80" s="52"/>
      <c r="F80" s="52"/>
      <c r="G80" s="52"/>
      <c r="H80" s="318">
        <v>50</v>
      </c>
      <c r="I80" s="319">
        <v>65.89</v>
      </c>
      <c r="J80" s="55">
        <f ca="1">Calc!AU12</f>
        <v>35.904998779296875</v>
      </c>
      <c r="K80" s="56">
        <f ca="1">IF(AND(driver_m=1,BR18&lt;&gt;21),P80,Calc!AV12)</f>
        <v>0.65248479774477719</v>
      </c>
      <c r="L80" s="159"/>
      <c r="M80" s="159"/>
      <c r="N80" s="161"/>
      <c r="O80" s="203">
        <f ca="1">IF(AND(H80&lt;&gt;0, ISNUMBER(Calc!AW12)),  IF(driver_m=2,Calc!AW12*IF(unit=1,1,IF(unit=2,H80,IF(peak_base_m=1,NETWORKDAYS(Calc!AO12,Calc!AP12)*H80*16,(Calc!AP12-Calc!AO12)*H80*24))),L80)*IF(B80=1,-1,1),"")</f>
        <v>-29.985001220703126</v>
      </c>
      <c r="P80" s="279">
        <f ca="1">IF(OR(driver_m=2, AND(driver_m=1, L80&lt;&gt;0)),  IF(AND(H80&lt;&gt;0, ISNUMBER(Calc!AX12)), Calc!AX12,""),"")</f>
        <v>0</v>
      </c>
      <c r="Q80" s="203">
        <f ca="1">IF(OR(driver_m=2, AND(driver_m=1, L80&lt;&gt;0)), IF(AND(H80&lt;&gt;0,ISNUMBER(Calc!AY12)), Calc!AY12*IF(B80=1, -1,1)*IF(unit=1, 1, IF(unit=2, H80, IF(peak_base_m=1,NETWORKDAYS(Calc!AO12,Calc!AP12)*H80*16,(-Calc!AO12+Calc!AP12)*H80*24))),""),"")</f>
        <v>1</v>
      </c>
      <c r="R80" s="203">
        <f ca="1">IF(OR(driver_m=2, AND(driver_m=1, L80&lt;&gt;0)),  IF(AND(H80&lt;&gt;0,ISNUMBER(Calc!AZ12)), Calc!AZ12*IF(B80=1, -1,1)*IF(unit=1, 1, IF(unit=2,H80,IF(peak_base_m=1,NETWORKDAYS(Calc!AO12,Calc!AP12)*H80*16,(-Calc!AO12+Calc!AP12)*H80*24))),""),"")</f>
        <v>0</v>
      </c>
      <c r="S80" s="203">
        <f ca="1">IF(OR(driver_m=2, AND(driver_m=1, L80&lt;&gt;0)), IF(AND(H80&lt;&gt;0,ISNUMBER(Calc!BA12)), Calc!BA12*IF(B80=1,-1,1)*IF(unit=1,1,IF(peak_base_m=1,NETWORKDAYS(Calc!AO12,Calc!AP12)*H80*16,(-Calc!AO12+Calc!AP12)*H80*24))*0.1,""),"")</f>
        <v>0</v>
      </c>
      <c r="T80" s="204">
        <f ca="1">IF(OR(driver_m=2, AND(driver_m=1, L80&lt;&gt;0)), IF(AND(H80&lt;&gt;0,ISNUMBER(Calc!BB12)), Calc!BB12*IF(B80=1,-1,1)*IF(unit=1,1,IF(peak_base_m=1,NETWORKDAYS(Calc!AO12,Calc!AP12)*H80*16,(-Calc!AO12+Calc!AP12)*H80*24))/365.25,""),"")</f>
        <v>0</v>
      </c>
      <c r="AP80" s="113"/>
      <c r="AQ80" s="113"/>
      <c r="AR80" s="113"/>
    </row>
    <row r="81" spans="2:65" ht="18" customHeight="1" x14ac:dyDescent="0.2">
      <c r="B81" s="78">
        <v>0</v>
      </c>
      <c r="C81" s="25">
        <v>1</v>
      </c>
      <c r="D81" s="52"/>
      <c r="E81" s="52"/>
      <c r="F81" s="52"/>
      <c r="G81" s="52"/>
      <c r="H81" s="318">
        <v>50</v>
      </c>
      <c r="I81" s="319">
        <v>65.89</v>
      </c>
      <c r="J81" s="55">
        <f ca="1">Calc!AU13</f>
        <v>72.999992370605469</v>
      </c>
      <c r="K81" s="56">
        <f ca="1">IF(AND(driver_m=1,BR19&lt;&gt;21),P81,Calc!AV13)</f>
        <v>0.7</v>
      </c>
      <c r="L81" s="157"/>
      <c r="M81" s="157"/>
      <c r="N81" s="158"/>
      <c r="O81" s="203">
        <f ca="1">IF(AND(H81&lt;&gt;0, ISNUMBER(Calc!AW13)),  IF(driver_m=2,Calc!AW13*IF(unit=1,1,IF(unit=2,H81,IF(peak_base_m=1,NETWORKDAYS(Calc!AO13,Calc!AP13)*H81*16,(Calc!AP13-Calc!AO13)*H81*24))),L81)*IF(B81=1,-1,1),"")</f>
        <v>7.1099923706054682</v>
      </c>
      <c r="P81" s="279">
        <f ca="1">IF(OR(driver_m=2, AND(driver_m=1, L81&lt;&gt;0)),  IF(AND(H81&lt;&gt;0, ISNUMBER(Calc!AX13)), Calc!AX13,""),"")</f>
        <v>0</v>
      </c>
      <c r="Q81" s="203">
        <f ca="1">IF(OR(driver_m=2, AND(driver_m=1, L81&lt;&gt;0)), IF(AND(H81&lt;&gt;0,ISNUMBER(Calc!AY13)), Calc!AY13*IF(B81=1, -1,1)*IF(unit=1, 1, IF(unit=2, H81, IF(peak_base_m=1,NETWORKDAYS(Calc!AO13,Calc!AP13)*H81*16,(-Calc!AO13+Calc!AP13)*H81*24))),""),"")</f>
        <v>1</v>
      </c>
      <c r="R81" s="203">
        <f ca="1">IF(OR(driver_m=2, AND(driver_m=1, L81&lt;&gt;0)),  IF(AND(H81&lt;&gt;0,ISNUMBER(Calc!AZ13)), Calc!AZ13*IF(B81=1, -1,1)*IF(unit=1, 1, IF(unit=2,H81,IF(peak_base_m=1,NETWORKDAYS(Calc!AO13,Calc!AP13)*H81*16,(-Calc!AO13+Calc!AP13)*H81*24))),""),"")</f>
        <v>0</v>
      </c>
      <c r="S81" s="203">
        <f ca="1">IF(OR(driver_m=2, AND(driver_m=1, L81&lt;&gt;0)), IF(AND(H81&lt;&gt;0,ISNUMBER(Calc!BA13)), Calc!BA13*IF(B81=1,-1,1)*IF(unit=1,1,IF(peak_base_m=1,NETWORKDAYS(Calc!AO13,Calc!AP13)*H81*16,(-Calc!AO13+Calc!AP13)*H81*24))*0.1,""),"")</f>
        <v>0</v>
      </c>
      <c r="T81" s="204">
        <f ca="1">IF(OR(driver_m=2, AND(driver_m=1, L81&lt;&gt;0)), IF(AND(H81&lt;&gt;0,ISNUMBER(Calc!BB13)), Calc!BB13*IF(B81=1,-1,1)*IF(unit=1,1,IF(peak_base_m=1,NETWORKDAYS(Calc!AO13,Calc!AP13)*H81*16,(-Calc!AO13+Calc!AP13)*H81*24))/365.25,""),"")</f>
        <v>0</v>
      </c>
      <c r="AP81" s="26"/>
      <c r="AQ81" s="26"/>
      <c r="AR81" s="26"/>
    </row>
    <row r="82" spans="2:65" ht="18" customHeight="1" x14ac:dyDescent="0.2">
      <c r="B82" s="78">
        <v>0</v>
      </c>
      <c r="C82" s="25">
        <v>1</v>
      </c>
      <c r="D82" s="52"/>
      <c r="E82" s="52"/>
      <c r="F82" s="52"/>
      <c r="G82" s="52"/>
      <c r="H82" s="318">
        <v>50</v>
      </c>
      <c r="I82" s="319">
        <v>65.89</v>
      </c>
      <c r="J82" s="55">
        <f ca="1">Calc!AU14</f>
        <v>115</v>
      </c>
      <c r="K82" s="56">
        <f ca="1">IF(AND(driver_m=1,BR20&lt;&gt;21),P82,Calc!AV14)</f>
        <v>0.7</v>
      </c>
      <c r="L82" s="157"/>
      <c r="M82" s="157"/>
      <c r="N82" s="158"/>
      <c r="O82" s="203">
        <f ca="1">IF(AND(H82&lt;&gt;0, ISNUMBER(Calc!AW14)),  IF(driver_m=2,Calc!AW14*IF(unit=1,1,IF(unit=2,H82,IF(peak_base_m=1,NETWORKDAYS(Calc!AO14,Calc!AP14)*H82*16,(Calc!AP14-Calc!AO14)*H82*24))),L82)*IF(B82=1,-1,1),"")</f>
        <v>49.11</v>
      </c>
      <c r="P82" s="279">
        <f ca="1">IF(OR(driver_m=2, AND(driver_m=1, L82&lt;&gt;0)),  IF(AND(H82&lt;&gt;0, ISNUMBER(Calc!AX14)), Calc!AX14,""),"")</f>
        <v>0</v>
      </c>
      <c r="Q82" s="203">
        <f ca="1">IF(OR(driver_m=2, AND(driver_m=1, L82&lt;&gt;0)), IF(AND(H82&lt;&gt;0,ISNUMBER(Calc!AY14)), Calc!AY14*IF(B82=1, -1,1)*IF(unit=1, 1, IF(unit=2, H82, IF(peak_base_m=1,NETWORKDAYS(Calc!AO14,Calc!AP14)*H82*16,(-Calc!AO14+Calc!AP14)*H82*24))),""),"")</f>
        <v>1</v>
      </c>
      <c r="R82" s="203">
        <f ca="1">IF(OR(driver_m=2, AND(driver_m=1, L82&lt;&gt;0)),  IF(AND(H82&lt;&gt;0,ISNUMBER(Calc!AZ14)), Calc!AZ14*IF(B82=1, -1,1)*IF(unit=1, 1, IF(unit=2,H82,IF(peak_base_m=1,NETWORKDAYS(Calc!AO14,Calc!AP14)*H82*16,(-Calc!AO14+Calc!AP14)*H82*24))),""),"")</f>
        <v>0</v>
      </c>
      <c r="S82" s="203">
        <f ca="1">IF(OR(driver_m=2, AND(driver_m=1, L82&lt;&gt;0)), IF(AND(H82&lt;&gt;0,ISNUMBER(Calc!BA14)), Calc!BA14*IF(B82=1,-1,1)*IF(unit=1,1,IF(peak_base_m=1,NETWORKDAYS(Calc!AO14,Calc!AP14)*H82*16,(-Calc!AO14+Calc!AP14)*H82*24))*0.1,""),"")</f>
        <v>0</v>
      </c>
      <c r="T82" s="204">
        <f ca="1">IF(OR(driver_m=2, AND(driver_m=1, L82&lt;&gt;0)), IF(AND(H82&lt;&gt;0,ISNUMBER(Calc!BB14)), Calc!BB14*IF(B82=1,-1,1)*IF(unit=1,1,IF(peak_base_m=1,NETWORKDAYS(Calc!AO14,Calc!AP14)*H82*16,(-Calc!AO14+Calc!AP14)*H82*24))/365.25,""),"")</f>
        <v>0</v>
      </c>
      <c r="AP82" s="113"/>
      <c r="AQ82" s="113"/>
      <c r="AR82" s="113"/>
    </row>
    <row r="83" spans="2:65" ht="18" customHeight="1" x14ac:dyDescent="0.2">
      <c r="B83" s="78">
        <v>0</v>
      </c>
      <c r="C83" s="25">
        <v>1</v>
      </c>
      <c r="D83" s="52"/>
      <c r="E83" s="52"/>
      <c r="F83" s="52"/>
      <c r="G83" s="52"/>
      <c r="H83" s="318">
        <v>50</v>
      </c>
      <c r="I83" s="319">
        <v>65.89</v>
      </c>
      <c r="J83" s="55">
        <f ca="1">Calc!AU15</f>
        <v>43.500003814697266</v>
      </c>
      <c r="K83" s="56">
        <f ca="1">IF(AND(driver_m=1,BR21&lt;&gt;21),P83,Calc!AV15)</f>
        <v>0.83960528946133783</v>
      </c>
      <c r="L83" s="157"/>
      <c r="M83" s="157"/>
      <c r="N83" s="158"/>
      <c r="O83" s="203">
        <f ca="1">IF(AND(H83&lt;&gt;0, ISNUMBER(Calc!AW15)),  IF(driver_m=2,Calc!AW15*IF(unit=1,1,IF(unit=2,H83,IF(peak_base_m=1,NETWORKDAYS(Calc!AO15,Calc!AP15)*H83*16,(Calc!AP15-Calc!AO15)*H83*24))),L83)*IF(B83=1,-1,1),"")</f>
        <v>-23.537766876611357</v>
      </c>
      <c r="P83" s="279">
        <f ca="1">IF(OR(driver_m=2, AND(driver_m=1, L83&lt;&gt;0)),  IF(AND(H83&lt;&gt;0, ISNUMBER(Calc!AX15)), Calc!AX15,""),"")</f>
        <v>0</v>
      </c>
      <c r="Q83" s="203">
        <f ca="1">IF(OR(driver_m=2, AND(driver_m=1, L83&lt;&gt;0)), IF(AND(H83&lt;&gt;0,ISNUMBER(Calc!AY15)), Calc!AY15*IF(B83=1, -1,1)*IF(unit=1, 1, IF(unit=2, H83, IF(peak_base_m=1,NETWORKDAYS(Calc!AO15,Calc!AP15)*H83*16,(-Calc!AO15+Calc!AP15)*H83*24))),""),"")</f>
        <v>1</v>
      </c>
      <c r="R83" s="203">
        <f ca="1">IF(OR(driver_m=2, AND(driver_m=1, L83&lt;&gt;0)),  IF(AND(H83&lt;&gt;0,ISNUMBER(Calc!AZ15)), Calc!AZ15*IF(B83=1, -1,1)*IF(unit=1, 1, IF(unit=2,H83,IF(peak_base_m=1,NETWORKDAYS(Calc!AO15,Calc!AP15)*H83*16,(-Calc!AO15+Calc!AP15)*H83*24))),""),"")</f>
        <v>0</v>
      </c>
      <c r="S83" s="203">
        <f ca="1">IF(OR(driver_m=2, AND(driver_m=1, L83&lt;&gt;0)), IF(AND(H83&lt;&gt;0,ISNUMBER(Calc!BA15)), Calc!BA15*IF(B83=1,-1,1)*IF(unit=1,1,IF(peak_base_m=1,NETWORKDAYS(Calc!AO15,Calc!AP15)*H83*16,(-Calc!AO15+Calc!AP15)*H83*24))*0.1,""),"")</f>
        <v>0</v>
      </c>
      <c r="T83" s="204">
        <f ca="1">IF(OR(driver_m=2, AND(driver_m=1, L83&lt;&gt;0)), IF(AND(H83&lt;&gt;0,ISNUMBER(Calc!BB15)), Calc!BB15*IF(B83=1,-1,1)*IF(unit=1,1,IF(peak_base_m=1,NETWORKDAYS(Calc!AO15,Calc!AP15)*H83*16,(-Calc!AO15+Calc!AP15)*H83*24))/365.25,""),"")</f>
        <v>0</v>
      </c>
      <c r="AP83" s="113"/>
      <c r="AQ83" s="113"/>
      <c r="AR83" s="113"/>
    </row>
    <row r="84" spans="2:65" ht="18" customHeight="1" x14ac:dyDescent="0.2">
      <c r="B84" s="78">
        <v>0</v>
      </c>
      <c r="C84" s="25">
        <v>1</v>
      </c>
      <c r="D84" s="52"/>
      <c r="E84" s="52"/>
      <c r="F84" s="52"/>
      <c r="G84" s="52"/>
      <c r="H84" s="318">
        <v>50</v>
      </c>
      <c r="I84" s="319">
        <v>65.89</v>
      </c>
      <c r="J84" s="55">
        <f ca="1">Calc!AU16</f>
        <v>41.400001525878906</v>
      </c>
      <c r="K84" s="56">
        <f ca="1">IF(AND(driver_m=1,BR22&lt;&gt;21),P84,Calc!AV16)</f>
        <v>0.7645317442468631</v>
      </c>
      <c r="L84" s="157"/>
      <c r="M84" s="157"/>
      <c r="N84" s="158"/>
      <c r="O84" s="203">
        <f ca="1">IF(AND(H84&lt;&gt;0, ISNUMBER(Calc!AW16)),  IF(driver_m=2,Calc!AW16*IF(unit=1,1,IF(unit=2,H84,IF(peak_base_m=1,NETWORKDAYS(Calc!AO16,Calc!AP16)*H84*16,(Calc!AP16-Calc!AO16)*H84*24))),L84)*IF(B84=1,-1,1),"")</f>
        <v>-24.489998474121094</v>
      </c>
      <c r="P84" s="279">
        <f ca="1">IF(OR(driver_m=2, AND(driver_m=1, L84&lt;&gt;0)),  IF(AND(H84&lt;&gt;0, ISNUMBER(Calc!AX16)), Calc!AX16,""),"")</f>
        <v>0</v>
      </c>
      <c r="Q84" s="203">
        <f ca="1">IF(OR(driver_m=2, AND(driver_m=1, L84&lt;&gt;0)), IF(AND(H84&lt;&gt;0,ISNUMBER(Calc!AY16)), Calc!AY16*IF(B84=1, -1,1)*IF(unit=1, 1, IF(unit=2, H84, IF(peak_base_m=1,NETWORKDAYS(Calc!AO16,Calc!AP16)*H84*16,(-Calc!AO16+Calc!AP16)*H84*24))),""),"")</f>
        <v>1</v>
      </c>
      <c r="R84" s="203">
        <f ca="1">IF(OR(driver_m=2, AND(driver_m=1, L84&lt;&gt;0)),  IF(AND(H84&lt;&gt;0,ISNUMBER(Calc!AZ16)), Calc!AZ16*IF(B84=1, -1,1)*IF(unit=1, 1, IF(unit=2,H84,IF(peak_base_m=1,NETWORKDAYS(Calc!AO16,Calc!AP16)*H84*16,(-Calc!AO16+Calc!AP16)*H84*24))),""),"")</f>
        <v>0</v>
      </c>
      <c r="S84" s="203">
        <f ca="1">IF(OR(driver_m=2, AND(driver_m=1, L84&lt;&gt;0)), IF(AND(H84&lt;&gt;0,ISNUMBER(Calc!BA16)), Calc!BA16*IF(B84=1,-1,1)*IF(unit=1,1,IF(peak_base_m=1,NETWORKDAYS(Calc!AO16,Calc!AP16)*H84*16,(-Calc!AO16+Calc!AP16)*H84*24))*0.1,""),"")</f>
        <v>0</v>
      </c>
      <c r="T84" s="204">
        <f ca="1">IF(OR(driver_m=2, AND(driver_m=1, L84&lt;&gt;0)), IF(AND(H84&lt;&gt;0,ISNUMBER(Calc!BB16)), Calc!BB16*IF(B84=1,-1,1)*IF(unit=1,1,IF(peak_base_m=1,NETWORKDAYS(Calc!AO16,Calc!AP16)*H84*16,(-Calc!AO16+Calc!AP16)*H84*24))/365.25,""),"")</f>
        <v>0</v>
      </c>
      <c r="AP84" s="113"/>
      <c r="AQ84" s="113"/>
      <c r="AR84" s="113"/>
    </row>
    <row r="85" spans="2:65" ht="18" customHeight="1" thickBot="1" x14ac:dyDescent="0.25">
      <c r="B85" s="175">
        <v>0</v>
      </c>
      <c r="C85" s="176">
        <v>1</v>
      </c>
      <c r="D85" s="177"/>
      <c r="E85" s="177"/>
      <c r="F85" s="177"/>
      <c r="G85" s="177"/>
      <c r="H85" s="176">
        <v>50</v>
      </c>
      <c r="I85" s="320">
        <v>65.89</v>
      </c>
      <c r="J85" s="55">
        <f ca="1">Calc!AU17</f>
        <v>41.5</v>
      </c>
      <c r="K85" s="56">
        <f ca="1">IF(AND(driver_m=1,BR23&lt;&gt;21),P85,Calc!AV17)</f>
        <v>0.73836495330178553</v>
      </c>
      <c r="L85" s="179"/>
      <c r="M85" s="179"/>
      <c r="N85" s="180"/>
      <c r="O85" s="203">
        <f ca="1">IF(AND(H85&lt;&gt;0, ISNUMBER(Calc!AW17)),  IF(driver_m=2,Calc!AW17*IF(unit=1,1,IF(unit=2,H85,IF(peak_base_m=1,NETWORKDAYS(Calc!AO17,Calc!AP17)*H85*16,(Calc!AP17-Calc!AO17)*H85*24))),L85)*IF(B85=1,-1,1),"")</f>
        <v>-24.39</v>
      </c>
      <c r="P85" s="279">
        <f ca="1">IF(OR(driver_m=2, AND(driver_m=1, L85&lt;&gt;0)),  IF(AND(H85&lt;&gt;0, ISNUMBER(Calc!AX17)), Calc!AX17,""),"")</f>
        <v>0</v>
      </c>
      <c r="Q85" s="203">
        <f ca="1">IF(OR(driver_m=2, AND(driver_m=1, L85&lt;&gt;0)), IF(AND(H85&lt;&gt;0,ISNUMBER(Calc!AY17)), Calc!AY17*IF(B85=1, -1,1)*IF(unit=1, 1, IF(unit=2, H85, IF(peak_base_m=1,NETWORKDAYS(Calc!AO17,Calc!AP17)*H85*16,(-Calc!AO17+Calc!AP17)*H85*24))),""),"")</f>
        <v>1</v>
      </c>
      <c r="R85" s="203">
        <f ca="1">IF(OR(driver_m=2, AND(driver_m=1, L85&lt;&gt;0)),  IF(AND(H85&lt;&gt;0,ISNUMBER(Calc!AZ17)), Calc!AZ17*IF(B85=1, -1,1)*IF(unit=1, 1, IF(unit=2,H85,IF(peak_base_m=1,NETWORKDAYS(Calc!AO17,Calc!AP17)*H85*16,(-Calc!AO17+Calc!AP17)*H85*24))),""),"")</f>
        <v>0</v>
      </c>
      <c r="S85" s="203">
        <f ca="1">IF(OR(driver_m=2, AND(driver_m=1, L85&lt;&gt;0)), IF(AND(H85&lt;&gt;0,ISNUMBER(Calc!BA17)), Calc!BA17*IF(B85=1,-1,1)*IF(unit=1,1,IF(peak_base_m=1,NETWORKDAYS(Calc!AO17,Calc!AP17)*H85*16,(-Calc!AO17+Calc!AP17)*H85*24))*0.1,""),"")</f>
        <v>0</v>
      </c>
      <c r="T85" s="204">
        <f ca="1">IF(OR(driver_m=2, AND(driver_m=1, L85&lt;&gt;0)), IF(AND(H85&lt;&gt;0,ISNUMBER(Calc!BB17)), Calc!BB17*IF(B85=1,-1,1)*IF(unit=1,1,IF(peak_base_m=1,NETWORKDAYS(Calc!AO17,Calc!AP17)*H85*16,(-Calc!AO17+Calc!AP17)*H85*24))/365.25,""),"")</f>
        <v>0</v>
      </c>
      <c r="AP85" s="113"/>
      <c r="AQ85" s="113"/>
      <c r="AR85" s="113"/>
    </row>
    <row r="86" spans="2:65" x14ac:dyDescent="0.2">
      <c r="AQ86" s="113"/>
      <c r="AR86" s="113"/>
      <c r="AS86" s="113"/>
      <c r="BM86" s="26"/>
    </row>
    <row r="87" spans="2:65" x14ac:dyDescent="0.2">
      <c r="AQ87" s="113"/>
      <c r="AR87" s="113"/>
      <c r="AS87" s="113"/>
      <c r="BM87" s="26"/>
    </row>
    <row r="88" spans="2:65" x14ac:dyDescent="0.2">
      <c r="AQ88" s="113"/>
      <c r="AR88" s="113"/>
      <c r="AS88" s="113"/>
      <c r="BM88" s="26"/>
    </row>
    <row r="89" spans="2:65" x14ac:dyDescent="0.2">
      <c r="AQ89" s="113"/>
      <c r="AR89" s="113"/>
      <c r="AS89" s="113"/>
      <c r="BM89" s="26"/>
    </row>
    <row r="90" spans="2:65" x14ac:dyDescent="0.2">
      <c r="AQ90" s="113"/>
      <c r="AR90" s="113"/>
      <c r="AS90" s="113"/>
      <c r="BM90" s="26"/>
    </row>
    <row r="91" spans="2:65" x14ac:dyDescent="0.2">
      <c r="AQ91" s="113"/>
      <c r="AR91" s="113"/>
      <c r="AS91" s="113"/>
      <c r="BM91" s="26"/>
    </row>
    <row r="92" spans="2:65" x14ac:dyDescent="0.2">
      <c r="AQ92" s="113"/>
      <c r="AR92" s="113"/>
      <c r="AS92" s="113"/>
      <c r="BM92" s="26"/>
    </row>
    <row r="93" spans="2:65" x14ac:dyDescent="0.2">
      <c r="AQ93" s="26"/>
      <c r="AR93" s="26"/>
      <c r="AS93" s="26"/>
      <c r="BM93" s="26"/>
    </row>
    <row r="94" spans="2:65" x14ac:dyDescent="0.2">
      <c r="AQ94" s="26"/>
      <c r="AR94" s="26"/>
      <c r="AS94" s="26"/>
      <c r="BM94" s="26"/>
    </row>
    <row r="95" spans="2:65" x14ac:dyDescent="0.2">
      <c r="AQ95" s="26"/>
      <c r="AR95" s="26"/>
      <c r="AS95" s="26"/>
      <c r="BM95" s="26"/>
    </row>
    <row r="96" spans="2:65" x14ac:dyDescent="0.2">
      <c r="AQ96" s="26"/>
      <c r="AR96" s="26"/>
      <c r="AS96" s="26"/>
      <c r="BM96" s="26"/>
    </row>
    <row r="97" spans="43:65" x14ac:dyDescent="0.2">
      <c r="AQ97" s="26"/>
      <c r="AR97" s="26"/>
      <c r="AS97" s="26"/>
      <c r="BM97" s="26"/>
    </row>
    <row r="98" spans="43:65" x14ac:dyDescent="0.2">
      <c r="BM98" s="26"/>
    </row>
    <row r="99" spans="43:65" x14ac:dyDescent="0.2">
      <c r="BM99" s="26"/>
    </row>
    <row r="100" spans="43:65" x14ac:dyDescent="0.2">
      <c r="BM100" s="26"/>
    </row>
    <row r="101" spans="43:65" x14ac:dyDescent="0.2">
      <c r="BM101" s="26"/>
    </row>
    <row r="102" spans="43:65" x14ac:dyDescent="0.2">
      <c r="BM102" s="26"/>
    </row>
    <row r="103" spans="43:65" x14ac:dyDescent="0.2">
      <c r="BM103" s="26"/>
    </row>
    <row r="104" spans="43:65" x14ac:dyDescent="0.2">
      <c r="BM104" s="26"/>
    </row>
    <row r="105" spans="43:65" x14ac:dyDescent="0.2">
      <c r="BM105" s="26"/>
    </row>
    <row r="106" spans="43:65" x14ac:dyDescent="0.2">
      <c r="BM106" s="26"/>
    </row>
    <row r="107" spans="43:65" x14ac:dyDescent="0.2">
      <c r="BM107" s="26"/>
    </row>
    <row r="108" spans="43:65" x14ac:dyDescent="0.2">
      <c r="BM108" s="26"/>
    </row>
    <row r="109" spans="43:65" x14ac:dyDescent="0.2">
      <c r="BM109" s="26"/>
    </row>
    <row r="110" spans="43:65" x14ac:dyDescent="0.2">
      <c r="BM110" s="26"/>
    </row>
    <row r="111" spans="43:65" x14ac:dyDescent="0.2">
      <c r="BM111" s="26"/>
    </row>
    <row r="112" spans="43:65" x14ac:dyDescent="0.2">
      <c r="BM112" s="26"/>
    </row>
    <row r="113" spans="62:65" x14ac:dyDescent="0.2">
      <c r="BM113" s="26"/>
    </row>
    <row r="114" spans="62:65" x14ac:dyDescent="0.2">
      <c r="BM114" s="26"/>
    </row>
    <row r="115" spans="62:65" x14ac:dyDescent="0.2">
      <c r="BM115" s="26"/>
    </row>
    <row r="116" spans="62:65" x14ac:dyDescent="0.2">
      <c r="BM116" s="26"/>
    </row>
    <row r="117" spans="62:65" x14ac:dyDescent="0.2">
      <c r="BM117" s="26"/>
    </row>
    <row r="118" spans="62:65" x14ac:dyDescent="0.2">
      <c r="BM118" s="26"/>
    </row>
    <row r="119" spans="62:65" x14ac:dyDescent="0.2">
      <c r="BM119" s="26"/>
    </row>
    <row r="120" spans="62:65" x14ac:dyDescent="0.2">
      <c r="BM120" s="26"/>
    </row>
    <row r="121" spans="62:65" x14ac:dyDescent="0.2">
      <c r="BM121" s="26"/>
    </row>
    <row r="122" spans="62:65" x14ac:dyDescent="0.2">
      <c r="BM122" s="26"/>
    </row>
    <row r="123" spans="62:65" x14ac:dyDescent="0.2">
      <c r="BM123" s="26"/>
    </row>
    <row r="124" spans="62:65" x14ac:dyDescent="0.2">
      <c r="BJ124" s="50"/>
      <c r="BK124" s="50"/>
      <c r="BL124" s="51"/>
      <c r="BM124" s="26"/>
    </row>
  </sheetData>
  <mergeCells count="22">
    <mergeCell ref="P72:P73"/>
    <mergeCell ref="Q72:T72"/>
    <mergeCell ref="I2:I3"/>
    <mergeCell ref="O72:O73"/>
    <mergeCell ref="K2:R2"/>
    <mergeCell ref="M3:O3"/>
    <mergeCell ref="P3:R3"/>
    <mergeCell ref="M69:N69"/>
    <mergeCell ref="M70:N70"/>
    <mergeCell ref="J72:J73"/>
    <mergeCell ref="E2:F3"/>
    <mergeCell ref="C2:D3"/>
    <mergeCell ref="H2:H3"/>
    <mergeCell ref="G72:G73"/>
    <mergeCell ref="H72:H73"/>
    <mergeCell ref="C72:C73"/>
    <mergeCell ref="B72:B73"/>
    <mergeCell ref="D72:F72"/>
    <mergeCell ref="L72:L73"/>
    <mergeCell ref="M72:N73"/>
    <mergeCell ref="K72:K73"/>
    <mergeCell ref="I72:I73"/>
  </mergeCells>
  <dataValidations count="1">
    <dataValidation type="whole" allowBlank="1" showInputMessage="1" showErrorMessage="1" sqref="BR12:BR23">
      <formula1>1</formula1>
      <formula2>3</formula2>
    </dataValidation>
  </dataValidations>
  <pageMargins left="0.75" right="0.75" top="1" bottom="1" header="0.5" footer="0.5"/>
  <pageSetup orientation="portrait" verticalDpi="196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4" name="Drop Down 3">
              <controlPr defaultSize="0" autoLine="0" autoPict="0">
                <anchor moveWithCells="1">
                  <from>
                    <xdr:col>15</xdr:col>
                    <xdr:colOff>9525</xdr:colOff>
                    <xdr:row>65</xdr:row>
                    <xdr:rowOff>9525</xdr:rowOff>
                  </from>
                  <to>
                    <xdr:col>15</xdr:col>
                    <xdr:colOff>647700</xdr:colOff>
                    <xdr:row>65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Drop Down 5">
              <controlPr defaultSize="0" autoLine="0" autoPict="0">
                <anchor moveWithCells="1">
                  <from>
                    <xdr:col>12</xdr:col>
                    <xdr:colOff>9525</xdr:colOff>
                    <xdr:row>65</xdr:row>
                    <xdr:rowOff>9525</xdr:rowOff>
                  </from>
                  <to>
                    <xdr:col>13</xdr:col>
                    <xdr:colOff>428625</xdr:colOff>
                    <xdr:row>65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Drop Down 6">
              <controlPr defaultSize="0" autoLine="0" autoPict="0">
                <anchor moveWithCells="1">
                  <from>
                    <xdr:col>12</xdr:col>
                    <xdr:colOff>9525</xdr:colOff>
                    <xdr:row>66</xdr:row>
                    <xdr:rowOff>9525</xdr:rowOff>
                  </from>
                  <to>
                    <xdr:col>13</xdr:col>
                    <xdr:colOff>428625</xdr:colOff>
                    <xdr:row>66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7" name="Drop Down 7">
              <controlPr defaultSize="0" autoLine="0" autoPict="0">
                <anchor moveWithCells="1">
                  <from>
                    <xdr:col>15</xdr:col>
                    <xdr:colOff>9525</xdr:colOff>
                    <xdr:row>66</xdr:row>
                    <xdr:rowOff>9525</xdr:rowOff>
                  </from>
                  <to>
                    <xdr:col>15</xdr:col>
                    <xdr:colOff>647700</xdr:colOff>
                    <xdr:row>66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8" name="Drop Down 8">
              <controlPr defaultSize="0" autoLine="0" autoPict="0">
                <anchor moveWithCells="1">
                  <from>
                    <xdr:col>3</xdr:col>
                    <xdr:colOff>9525</xdr:colOff>
                    <xdr:row>73</xdr:row>
                    <xdr:rowOff>9525</xdr:rowOff>
                  </from>
                  <to>
                    <xdr:col>3</xdr:col>
                    <xdr:colOff>609600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9" name="Drop Down 9">
              <controlPr defaultSize="0" autoLine="0" autoPict="0">
                <anchor moveWithCells="1">
                  <from>
                    <xdr:col>3</xdr:col>
                    <xdr:colOff>9525</xdr:colOff>
                    <xdr:row>74</xdr:row>
                    <xdr:rowOff>9525</xdr:rowOff>
                  </from>
                  <to>
                    <xdr:col>3</xdr:col>
                    <xdr:colOff>609600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0" name="Drop Down 10">
              <controlPr defaultSize="0" autoLine="0" autoPict="0">
                <anchor moveWithCells="1">
                  <from>
                    <xdr:col>3</xdr:col>
                    <xdr:colOff>9525</xdr:colOff>
                    <xdr:row>75</xdr:row>
                    <xdr:rowOff>9525</xdr:rowOff>
                  </from>
                  <to>
                    <xdr:col>3</xdr:col>
                    <xdr:colOff>609600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1" name="Drop Down 11">
              <controlPr defaultSize="0" autoLine="0" autoPict="0">
                <anchor moveWithCells="1">
                  <from>
                    <xdr:col>3</xdr:col>
                    <xdr:colOff>9525</xdr:colOff>
                    <xdr:row>76</xdr:row>
                    <xdr:rowOff>9525</xdr:rowOff>
                  </from>
                  <to>
                    <xdr:col>3</xdr:col>
                    <xdr:colOff>609600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2" name="Drop Down 12">
              <controlPr defaultSize="0" autoLine="0" autoPict="0">
                <anchor moveWithCells="1">
                  <from>
                    <xdr:col>3</xdr:col>
                    <xdr:colOff>9525</xdr:colOff>
                    <xdr:row>77</xdr:row>
                    <xdr:rowOff>9525</xdr:rowOff>
                  </from>
                  <to>
                    <xdr:col>3</xdr:col>
                    <xdr:colOff>609600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3" name="Drop Down 13">
              <controlPr defaultSize="0" autoLine="0" autoPict="0">
                <anchor moveWithCells="1">
                  <from>
                    <xdr:col>3</xdr:col>
                    <xdr:colOff>9525</xdr:colOff>
                    <xdr:row>78</xdr:row>
                    <xdr:rowOff>9525</xdr:rowOff>
                  </from>
                  <to>
                    <xdr:col>3</xdr:col>
                    <xdr:colOff>609600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4" name="Drop Down 14">
              <controlPr defaultSize="0" autoLine="0" autoPict="0">
                <anchor moveWithCells="1">
                  <from>
                    <xdr:col>4</xdr:col>
                    <xdr:colOff>9525</xdr:colOff>
                    <xdr:row>73</xdr:row>
                    <xdr:rowOff>9525</xdr:rowOff>
                  </from>
                  <to>
                    <xdr:col>4</xdr:col>
                    <xdr:colOff>666750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5" name="Drop Down 15">
              <controlPr defaultSize="0" autoLine="0" autoPict="0">
                <anchor moveWithCells="1">
                  <from>
                    <xdr:col>4</xdr:col>
                    <xdr:colOff>9525</xdr:colOff>
                    <xdr:row>74</xdr:row>
                    <xdr:rowOff>9525</xdr:rowOff>
                  </from>
                  <to>
                    <xdr:col>4</xdr:col>
                    <xdr:colOff>666750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6" name="Drop Down 16">
              <controlPr defaultSize="0" autoLine="0" autoPict="0">
                <anchor moveWithCells="1">
                  <from>
                    <xdr:col>4</xdr:col>
                    <xdr:colOff>9525</xdr:colOff>
                    <xdr:row>75</xdr:row>
                    <xdr:rowOff>9525</xdr:rowOff>
                  </from>
                  <to>
                    <xdr:col>4</xdr:col>
                    <xdr:colOff>666750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7" name="Drop Down 17">
              <controlPr defaultSize="0" autoLine="0" autoPict="0">
                <anchor moveWithCells="1">
                  <from>
                    <xdr:col>4</xdr:col>
                    <xdr:colOff>9525</xdr:colOff>
                    <xdr:row>76</xdr:row>
                    <xdr:rowOff>9525</xdr:rowOff>
                  </from>
                  <to>
                    <xdr:col>4</xdr:col>
                    <xdr:colOff>666750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8" name="Drop Down 18">
              <controlPr defaultSize="0" autoLine="0" autoPict="0">
                <anchor moveWithCells="1">
                  <from>
                    <xdr:col>4</xdr:col>
                    <xdr:colOff>9525</xdr:colOff>
                    <xdr:row>77</xdr:row>
                    <xdr:rowOff>9525</xdr:rowOff>
                  </from>
                  <to>
                    <xdr:col>4</xdr:col>
                    <xdr:colOff>666750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9" name="Drop Down 19">
              <controlPr defaultSize="0" autoLine="0" autoPict="0">
                <anchor moveWithCells="1">
                  <from>
                    <xdr:col>4</xdr:col>
                    <xdr:colOff>9525</xdr:colOff>
                    <xdr:row>78</xdr:row>
                    <xdr:rowOff>9525</xdr:rowOff>
                  </from>
                  <to>
                    <xdr:col>4</xdr:col>
                    <xdr:colOff>666750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0" name="Drop Down 20">
              <controlPr defaultSize="0" autoLine="0" autoPict="0">
                <anchor moveWithCells="1">
                  <from>
                    <xdr:col>6</xdr:col>
                    <xdr:colOff>9525</xdr:colOff>
                    <xdr:row>73</xdr:row>
                    <xdr:rowOff>9525</xdr:rowOff>
                  </from>
                  <to>
                    <xdr:col>6</xdr:col>
                    <xdr:colOff>704850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1" name="Drop Down 21">
              <controlPr defaultSize="0" autoLine="0" autoPict="0">
                <anchor moveWithCells="1">
                  <from>
                    <xdr:col>6</xdr:col>
                    <xdr:colOff>9525</xdr:colOff>
                    <xdr:row>74</xdr:row>
                    <xdr:rowOff>9525</xdr:rowOff>
                  </from>
                  <to>
                    <xdr:col>6</xdr:col>
                    <xdr:colOff>704850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2" name="Drop Down 22">
              <controlPr defaultSize="0" autoLine="0" autoPict="0">
                <anchor moveWithCells="1">
                  <from>
                    <xdr:col>6</xdr:col>
                    <xdr:colOff>9525</xdr:colOff>
                    <xdr:row>75</xdr:row>
                    <xdr:rowOff>9525</xdr:rowOff>
                  </from>
                  <to>
                    <xdr:col>6</xdr:col>
                    <xdr:colOff>704850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3" name="Drop Down 23">
              <controlPr defaultSize="0" autoLine="0" autoPict="0">
                <anchor moveWithCells="1">
                  <from>
                    <xdr:col>6</xdr:col>
                    <xdr:colOff>9525</xdr:colOff>
                    <xdr:row>76</xdr:row>
                    <xdr:rowOff>9525</xdr:rowOff>
                  </from>
                  <to>
                    <xdr:col>6</xdr:col>
                    <xdr:colOff>704850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4" name="Drop Down 24">
              <controlPr defaultSize="0" autoLine="0" autoPict="0">
                <anchor moveWithCells="1">
                  <from>
                    <xdr:col>6</xdr:col>
                    <xdr:colOff>9525</xdr:colOff>
                    <xdr:row>77</xdr:row>
                    <xdr:rowOff>9525</xdr:rowOff>
                  </from>
                  <to>
                    <xdr:col>6</xdr:col>
                    <xdr:colOff>704850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5" name="Drop Down 25">
              <controlPr defaultSize="0" autoLine="0" autoPict="0">
                <anchor moveWithCells="1">
                  <from>
                    <xdr:col>6</xdr:col>
                    <xdr:colOff>9525</xdr:colOff>
                    <xdr:row>78</xdr:row>
                    <xdr:rowOff>9525</xdr:rowOff>
                  </from>
                  <to>
                    <xdr:col>6</xdr:col>
                    <xdr:colOff>704850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6" name="Drop Down 26">
              <controlPr defaultSize="0" autoLine="0" autoPict="0">
                <anchor moveWithCells="1">
                  <from>
                    <xdr:col>5</xdr:col>
                    <xdr:colOff>9525</xdr:colOff>
                    <xdr:row>73</xdr:row>
                    <xdr:rowOff>9525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7" name="Drop Down 27">
              <controlPr defaultSize="0" autoLine="0" autoPict="0">
                <anchor moveWithCells="1">
                  <from>
                    <xdr:col>5</xdr:col>
                    <xdr:colOff>9525</xdr:colOff>
                    <xdr:row>74</xdr:row>
                    <xdr:rowOff>9525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8" name="Drop Down 28">
              <controlPr defaultSize="0" autoLine="0" autoPict="0">
                <anchor moveWithCells="1">
                  <from>
                    <xdr:col>5</xdr:col>
                    <xdr:colOff>9525</xdr:colOff>
                    <xdr:row>75</xdr:row>
                    <xdr:rowOff>9525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9" name="Drop Down 29">
              <controlPr defaultSize="0" autoLine="0" autoPict="0">
                <anchor moveWithCells="1">
                  <from>
                    <xdr:col>5</xdr:col>
                    <xdr:colOff>9525</xdr:colOff>
                    <xdr:row>76</xdr:row>
                    <xdr:rowOff>9525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0" name="Drop Down 30">
              <controlPr defaultSize="0" autoLine="0" autoPict="0">
                <anchor moveWithCells="1">
                  <from>
                    <xdr:col>5</xdr:col>
                    <xdr:colOff>9525</xdr:colOff>
                    <xdr:row>77</xdr:row>
                    <xdr:rowOff>9525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1" name="Drop Down 31">
              <controlPr defaultSize="0" autoLine="0" autoPict="0">
                <anchor moveWithCells="1">
                  <from>
                    <xdr:col>5</xdr:col>
                    <xdr:colOff>9525</xdr:colOff>
                    <xdr:row>78</xdr:row>
                    <xdr:rowOff>9525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2" name="Check Box 32">
              <controlPr defaultSize="0" autoFill="0" autoLine="0" autoPict="0">
                <anchor moveWithCells="1">
                  <from>
                    <xdr:col>13</xdr:col>
                    <xdr:colOff>9525</xdr:colOff>
                    <xdr:row>73</xdr:row>
                    <xdr:rowOff>19050</xdr:rowOff>
                  </from>
                  <to>
                    <xdr:col>13</xdr:col>
                    <xdr:colOff>314325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3" name="Check Box 33">
              <controlPr defaultSize="0" autoFill="0" autoLine="0" autoPict="0">
                <anchor moveWithCells="1">
                  <from>
                    <xdr:col>13</xdr:col>
                    <xdr:colOff>9525</xdr:colOff>
                    <xdr:row>74</xdr:row>
                    <xdr:rowOff>9525</xdr:rowOff>
                  </from>
                  <to>
                    <xdr:col>13</xdr:col>
                    <xdr:colOff>314325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4" name="Check Box 34">
              <controlPr defaultSize="0" autoFill="0" autoLine="0" autoPict="0">
                <anchor moveWithCells="1">
                  <from>
                    <xdr:col>13</xdr:col>
                    <xdr:colOff>9525</xdr:colOff>
                    <xdr:row>75</xdr:row>
                    <xdr:rowOff>0</xdr:rowOff>
                  </from>
                  <to>
                    <xdr:col>13</xdr:col>
                    <xdr:colOff>314325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5" name="Check Box 35">
              <controlPr defaultSize="0" autoFill="0" autoLine="0" autoPict="0">
                <anchor moveWithCells="1">
                  <from>
                    <xdr:col>13</xdr:col>
                    <xdr:colOff>9525</xdr:colOff>
                    <xdr:row>76</xdr:row>
                    <xdr:rowOff>9525</xdr:rowOff>
                  </from>
                  <to>
                    <xdr:col>13</xdr:col>
                    <xdr:colOff>314325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6" name="Check Box 36">
              <controlPr defaultSize="0" autoFill="0" autoLine="0" autoPict="0">
                <anchor moveWithCells="1">
                  <from>
                    <xdr:col>13</xdr:col>
                    <xdr:colOff>9525</xdr:colOff>
                    <xdr:row>77</xdr:row>
                    <xdr:rowOff>0</xdr:rowOff>
                  </from>
                  <to>
                    <xdr:col>13</xdr:col>
                    <xdr:colOff>314325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7" name="Check Box 37">
              <controlPr defaultSize="0" autoFill="0" autoLine="0" autoPict="0">
                <anchor moveWithCells="1">
                  <from>
                    <xdr:col>13</xdr:col>
                    <xdr:colOff>9525</xdr:colOff>
                    <xdr:row>78</xdr:row>
                    <xdr:rowOff>9525</xdr:rowOff>
                  </from>
                  <to>
                    <xdr:col>13</xdr:col>
                    <xdr:colOff>314325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38" name="Button 40">
              <controlPr defaultSize="0" print="0" autoFill="0" autoPict="0" macro="[0]!skewcoeff_m">
                <anchor moveWithCells="1">
                  <from>
                    <xdr:col>6</xdr:col>
                    <xdr:colOff>0</xdr:colOff>
                    <xdr:row>1</xdr:row>
                    <xdr:rowOff>9525</xdr:rowOff>
                  </from>
                  <to>
                    <xdr:col>9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9" name="Drop Down 41">
              <controlPr defaultSize="0" autoLine="0" autoPict="0">
                <anchor moveWithCells="1">
                  <from>
                    <xdr:col>2</xdr:col>
                    <xdr:colOff>266700</xdr:colOff>
                    <xdr:row>66</xdr:row>
                    <xdr:rowOff>9525</xdr:rowOff>
                  </from>
                  <to>
                    <xdr:col>3</xdr:col>
                    <xdr:colOff>609600</xdr:colOff>
                    <xdr:row>66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0" name="Button 42">
              <controlPr defaultSize="0" print="0" autoFill="0" autoPict="0" macro="[0]!HideM">
                <anchor moveWithCells="1">
                  <from>
                    <xdr:col>6</xdr:col>
                    <xdr:colOff>0</xdr:colOff>
                    <xdr:row>4</xdr:row>
                    <xdr:rowOff>9525</xdr:rowOff>
                  </from>
                  <to>
                    <xdr:col>9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1" name="Button 43">
              <controlPr defaultSize="0" print="0" autoFill="0" autoPict="0" macro="[0]!UnhideM">
                <anchor moveWithCells="1">
                  <from>
                    <xdr:col>6</xdr:col>
                    <xdr:colOff>0</xdr:colOff>
                    <xdr:row>6</xdr:row>
                    <xdr:rowOff>9525</xdr:rowOff>
                  </from>
                  <to>
                    <xdr:col>9</xdr:col>
                    <xdr:colOff>628650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2" name="Check Box 44">
              <controlPr defaultSize="0" autoFill="0" autoLine="0" autoPict="0">
                <anchor moveWithCells="1">
                  <from>
                    <xdr:col>13</xdr:col>
                    <xdr:colOff>9525</xdr:colOff>
                    <xdr:row>78</xdr:row>
                    <xdr:rowOff>9525</xdr:rowOff>
                  </from>
                  <to>
                    <xdr:col>13</xdr:col>
                    <xdr:colOff>314325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3" name="Check Box 45">
              <controlPr defaultSize="0" autoFill="0" autoLine="0" autoPict="0">
                <anchor moveWithCells="1">
                  <from>
                    <xdr:col>13</xdr:col>
                    <xdr:colOff>9525</xdr:colOff>
                    <xdr:row>79</xdr:row>
                    <xdr:rowOff>9525</xdr:rowOff>
                  </from>
                  <to>
                    <xdr:col>13</xdr:col>
                    <xdr:colOff>314325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4" name="Check Box 46">
              <controlPr defaultSize="0" autoFill="0" autoLine="0" autoPict="0">
                <anchor moveWithCells="1">
                  <from>
                    <xdr:col>13</xdr:col>
                    <xdr:colOff>9525</xdr:colOff>
                    <xdr:row>80</xdr:row>
                    <xdr:rowOff>9525</xdr:rowOff>
                  </from>
                  <to>
                    <xdr:col>13</xdr:col>
                    <xdr:colOff>314325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45" name="Check Box 47">
              <controlPr defaultSize="0" autoFill="0" autoLine="0" autoPict="0">
                <anchor moveWithCells="1">
                  <from>
                    <xdr:col>13</xdr:col>
                    <xdr:colOff>9525</xdr:colOff>
                    <xdr:row>81</xdr:row>
                    <xdr:rowOff>9525</xdr:rowOff>
                  </from>
                  <to>
                    <xdr:col>13</xdr:col>
                    <xdr:colOff>314325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46" name="Check Box 48">
              <controlPr defaultSize="0" autoFill="0" autoLine="0" autoPict="0">
                <anchor moveWithCells="1">
                  <from>
                    <xdr:col>13</xdr:col>
                    <xdr:colOff>9525</xdr:colOff>
                    <xdr:row>82</xdr:row>
                    <xdr:rowOff>9525</xdr:rowOff>
                  </from>
                  <to>
                    <xdr:col>13</xdr:col>
                    <xdr:colOff>314325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47" name="Check Box 49">
              <controlPr defaultSize="0" autoFill="0" autoLine="0" autoPict="0">
                <anchor moveWithCells="1">
                  <from>
                    <xdr:col>13</xdr:col>
                    <xdr:colOff>9525</xdr:colOff>
                    <xdr:row>83</xdr:row>
                    <xdr:rowOff>9525</xdr:rowOff>
                  </from>
                  <to>
                    <xdr:col>13</xdr:col>
                    <xdr:colOff>314325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48" name="Check Box 50">
              <controlPr defaultSize="0" autoFill="0" autoLine="0" autoPict="0">
                <anchor moveWithCells="1">
                  <from>
                    <xdr:col>13</xdr:col>
                    <xdr:colOff>9525</xdr:colOff>
                    <xdr:row>84</xdr:row>
                    <xdr:rowOff>9525</xdr:rowOff>
                  </from>
                  <to>
                    <xdr:col>13</xdr:col>
                    <xdr:colOff>314325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49" name="Drop Down 51">
              <controlPr defaultSize="0" autoLine="0" autoPict="0">
                <anchor moveWithCells="1">
                  <from>
                    <xdr:col>3</xdr:col>
                    <xdr:colOff>9525</xdr:colOff>
                    <xdr:row>79</xdr:row>
                    <xdr:rowOff>9525</xdr:rowOff>
                  </from>
                  <to>
                    <xdr:col>3</xdr:col>
                    <xdr:colOff>609600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0" name="Drop Down 52">
              <controlPr defaultSize="0" autoLine="0" autoPict="0">
                <anchor moveWithCells="1">
                  <from>
                    <xdr:col>3</xdr:col>
                    <xdr:colOff>9525</xdr:colOff>
                    <xdr:row>80</xdr:row>
                    <xdr:rowOff>9525</xdr:rowOff>
                  </from>
                  <to>
                    <xdr:col>3</xdr:col>
                    <xdr:colOff>609600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1" name="Drop Down 53">
              <controlPr defaultSize="0" autoLine="0" autoPict="0">
                <anchor moveWithCells="1">
                  <from>
                    <xdr:col>3</xdr:col>
                    <xdr:colOff>9525</xdr:colOff>
                    <xdr:row>81</xdr:row>
                    <xdr:rowOff>9525</xdr:rowOff>
                  </from>
                  <to>
                    <xdr:col>3</xdr:col>
                    <xdr:colOff>609600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2" name="Drop Down 54">
              <controlPr defaultSize="0" autoLine="0" autoPict="0">
                <anchor moveWithCells="1">
                  <from>
                    <xdr:col>3</xdr:col>
                    <xdr:colOff>9525</xdr:colOff>
                    <xdr:row>82</xdr:row>
                    <xdr:rowOff>9525</xdr:rowOff>
                  </from>
                  <to>
                    <xdr:col>3</xdr:col>
                    <xdr:colOff>609600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3" name="Drop Down 55">
              <controlPr defaultSize="0" autoLine="0" autoPict="0">
                <anchor moveWithCells="1">
                  <from>
                    <xdr:col>3</xdr:col>
                    <xdr:colOff>9525</xdr:colOff>
                    <xdr:row>83</xdr:row>
                    <xdr:rowOff>9525</xdr:rowOff>
                  </from>
                  <to>
                    <xdr:col>3</xdr:col>
                    <xdr:colOff>609600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4" name="Drop Down 56">
              <controlPr defaultSize="0" autoLine="0" autoPict="0">
                <anchor moveWithCells="1">
                  <from>
                    <xdr:col>3</xdr:col>
                    <xdr:colOff>9525</xdr:colOff>
                    <xdr:row>84</xdr:row>
                    <xdr:rowOff>9525</xdr:rowOff>
                  </from>
                  <to>
                    <xdr:col>3</xdr:col>
                    <xdr:colOff>609600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55" name="Drop Down 57">
              <controlPr defaultSize="0" autoLine="0" autoPict="0">
                <anchor moveWithCells="1">
                  <from>
                    <xdr:col>4</xdr:col>
                    <xdr:colOff>9525</xdr:colOff>
                    <xdr:row>79</xdr:row>
                    <xdr:rowOff>9525</xdr:rowOff>
                  </from>
                  <to>
                    <xdr:col>5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56" name="Drop Down 58">
              <controlPr defaultSize="0" autoLine="0" autoPict="0">
                <anchor moveWithCells="1">
                  <from>
                    <xdr:col>4</xdr:col>
                    <xdr:colOff>9525</xdr:colOff>
                    <xdr:row>80</xdr:row>
                    <xdr:rowOff>9525</xdr:rowOff>
                  </from>
                  <to>
                    <xdr:col>5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57" name="Drop Down 59">
              <controlPr defaultSize="0" autoLine="0" autoPict="0">
                <anchor moveWithCells="1">
                  <from>
                    <xdr:col>4</xdr:col>
                    <xdr:colOff>9525</xdr:colOff>
                    <xdr:row>81</xdr:row>
                    <xdr:rowOff>9525</xdr:rowOff>
                  </from>
                  <to>
                    <xdr:col>5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58" name="Drop Down 60">
              <controlPr defaultSize="0" autoLine="0" autoPict="0">
                <anchor moveWithCells="1">
                  <from>
                    <xdr:col>4</xdr:col>
                    <xdr:colOff>9525</xdr:colOff>
                    <xdr:row>82</xdr:row>
                    <xdr:rowOff>9525</xdr:rowOff>
                  </from>
                  <to>
                    <xdr:col>5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59" name="Drop Down 61">
              <controlPr defaultSize="0" autoLine="0" autoPict="0">
                <anchor moveWithCells="1">
                  <from>
                    <xdr:col>4</xdr:col>
                    <xdr:colOff>9525</xdr:colOff>
                    <xdr:row>83</xdr:row>
                    <xdr:rowOff>9525</xdr:rowOff>
                  </from>
                  <to>
                    <xdr:col>5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0" name="Drop Down 62">
              <controlPr defaultSize="0" autoLine="0" autoPict="0">
                <anchor moveWithCells="1">
                  <from>
                    <xdr:col>4</xdr:col>
                    <xdr:colOff>9525</xdr:colOff>
                    <xdr:row>84</xdr:row>
                    <xdr:rowOff>9525</xdr:rowOff>
                  </from>
                  <to>
                    <xdr:col>5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1" name="Drop Down 63">
              <controlPr defaultSize="0" autoLine="0" autoPict="0">
                <anchor moveWithCells="1">
                  <from>
                    <xdr:col>5</xdr:col>
                    <xdr:colOff>9525</xdr:colOff>
                    <xdr:row>79</xdr:row>
                    <xdr:rowOff>9525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2" name="Drop Down 64">
              <controlPr defaultSize="0" autoLine="0" autoPict="0">
                <anchor moveWithCells="1">
                  <from>
                    <xdr:col>5</xdr:col>
                    <xdr:colOff>9525</xdr:colOff>
                    <xdr:row>80</xdr:row>
                    <xdr:rowOff>9525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3" name="Drop Down 65">
              <controlPr defaultSize="0" autoLine="0" autoPict="0">
                <anchor moveWithCells="1">
                  <from>
                    <xdr:col>5</xdr:col>
                    <xdr:colOff>9525</xdr:colOff>
                    <xdr:row>81</xdr:row>
                    <xdr:rowOff>9525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4" name="Drop Down 66">
              <controlPr defaultSize="0" autoLine="0" autoPict="0">
                <anchor moveWithCells="1">
                  <from>
                    <xdr:col>5</xdr:col>
                    <xdr:colOff>9525</xdr:colOff>
                    <xdr:row>82</xdr:row>
                    <xdr:rowOff>9525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65" name="Drop Down 67">
              <controlPr defaultSize="0" autoLine="0" autoPict="0">
                <anchor moveWithCells="1">
                  <from>
                    <xdr:col>5</xdr:col>
                    <xdr:colOff>9525</xdr:colOff>
                    <xdr:row>83</xdr:row>
                    <xdr:rowOff>9525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66" name="Drop Down 68">
              <controlPr defaultSize="0" autoLine="0" autoPict="0">
                <anchor moveWithCells="1">
                  <from>
                    <xdr:col>5</xdr:col>
                    <xdr:colOff>9525</xdr:colOff>
                    <xdr:row>84</xdr:row>
                    <xdr:rowOff>9525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67" name="Drop Down 69">
              <controlPr defaultSize="0" autoLine="0" autoPict="0">
                <anchor moveWithCells="1">
                  <from>
                    <xdr:col>6</xdr:col>
                    <xdr:colOff>9525</xdr:colOff>
                    <xdr:row>79</xdr:row>
                    <xdr:rowOff>9525</xdr:rowOff>
                  </from>
                  <to>
                    <xdr:col>6</xdr:col>
                    <xdr:colOff>704850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68" name="Drop Down 70">
              <controlPr defaultSize="0" autoLine="0" autoPict="0">
                <anchor moveWithCells="1">
                  <from>
                    <xdr:col>6</xdr:col>
                    <xdr:colOff>9525</xdr:colOff>
                    <xdr:row>80</xdr:row>
                    <xdr:rowOff>9525</xdr:rowOff>
                  </from>
                  <to>
                    <xdr:col>6</xdr:col>
                    <xdr:colOff>704850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69" name="Drop Down 71">
              <controlPr defaultSize="0" autoLine="0" autoPict="0">
                <anchor moveWithCells="1">
                  <from>
                    <xdr:col>6</xdr:col>
                    <xdr:colOff>9525</xdr:colOff>
                    <xdr:row>81</xdr:row>
                    <xdr:rowOff>9525</xdr:rowOff>
                  </from>
                  <to>
                    <xdr:col>6</xdr:col>
                    <xdr:colOff>704850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0" name="Drop Down 72">
              <controlPr defaultSize="0" autoLine="0" autoPict="0">
                <anchor moveWithCells="1">
                  <from>
                    <xdr:col>6</xdr:col>
                    <xdr:colOff>9525</xdr:colOff>
                    <xdr:row>82</xdr:row>
                    <xdr:rowOff>9525</xdr:rowOff>
                  </from>
                  <to>
                    <xdr:col>6</xdr:col>
                    <xdr:colOff>704850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1" name="Drop Down 73">
              <controlPr defaultSize="0" autoLine="0" autoPict="0">
                <anchor moveWithCells="1">
                  <from>
                    <xdr:col>6</xdr:col>
                    <xdr:colOff>9525</xdr:colOff>
                    <xdr:row>83</xdr:row>
                    <xdr:rowOff>9525</xdr:rowOff>
                  </from>
                  <to>
                    <xdr:col>6</xdr:col>
                    <xdr:colOff>704850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2" name="Drop Down 74">
              <controlPr defaultSize="0" autoLine="0" autoPict="0">
                <anchor moveWithCells="1">
                  <from>
                    <xdr:col>6</xdr:col>
                    <xdr:colOff>9525</xdr:colOff>
                    <xdr:row>84</xdr:row>
                    <xdr:rowOff>9525</xdr:rowOff>
                  </from>
                  <to>
                    <xdr:col>6</xdr:col>
                    <xdr:colOff>704850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3" name="Drop Down 75">
              <controlPr defaultSize="0" autoLine="0" autoPict="0">
                <anchor moveWithCells="1">
                  <from>
                    <xdr:col>2</xdr:col>
                    <xdr:colOff>266700</xdr:colOff>
                    <xdr:row>65</xdr:row>
                    <xdr:rowOff>0</xdr:rowOff>
                  </from>
                  <to>
                    <xdr:col>3</xdr:col>
                    <xdr:colOff>590550</xdr:colOff>
                    <xdr:row>65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D331"/>
  <sheetViews>
    <sheetView topLeftCell="AY1" workbookViewId="0">
      <selection activeCell="BI1" sqref="BI1"/>
    </sheetView>
  </sheetViews>
  <sheetFormatPr defaultRowHeight="11.25" x14ac:dyDescent="0.2"/>
  <cols>
    <col min="1" max="1" width="4.140625" style="21" hidden="1" customWidth="1"/>
    <col min="2" max="2" width="4.85546875" style="21" hidden="1" customWidth="1"/>
    <col min="3" max="3" width="6.42578125" style="21" hidden="1" customWidth="1"/>
    <col min="4" max="6" width="6" style="21" hidden="1" customWidth="1"/>
    <col min="7" max="7" width="4.140625" style="21" customWidth="1"/>
    <col min="8" max="9" width="9.140625" style="21"/>
    <col min="10" max="10" width="4.140625" style="21" customWidth="1"/>
    <col min="11" max="11" width="8" style="21" customWidth="1"/>
    <col min="12" max="14" width="6.5703125" style="21" customWidth="1"/>
    <col min="15" max="16" width="6.5703125" style="21" hidden="1" customWidth="1"/>
    <col min="17" max="17" width="0" style="21" hidden="1" customWidth="1"/>
    <col min="18" max="18" width="9.140625" style="70"/>
    <col min="19" max="19" width="8" style="21" customWidth="1"/>
    <col min="20" max="20" width="7.42578125" style="21" customWidth="1"/>
    <col min="21" max="22" width="6.7109375" style="21" customWidth="1"/>
    <col min="23" max="23" width="9.140625" style="21"/>
    <col min="24" max="24" width="9.140625" style="206"/>
    <col min="25" max="25" width="8" style="207" customWidth="1"/>
    <col min="26" max="33" width="5.7109375" style="207" customWidth="1"/>
    <col min="34" max="46" width="9.140625" style="207"/>
    <col min="47" max="47" width="9.140625" style="208"/>
    <col min="48" max="49" width="9.140625" style="21"/>
    <col min="50" max="57" width="5.7109375" style="21" customWidth="1"/>
    <col min="58" max="74" width="9.140625" style="21"/>
    <col min="75" max="75" width="4.140625" style="21" customWidth="1"/>
    <col min="76" max="76" width="8" style="21" customWidth="1"/>
    <col min="77" max="79" width="6.5703125" style="21" customWidth="1"/>
    <col min="80" max="16384" width="9.140625" style="21"/>
  </cols>
  <sheetData>
    <row r="1" spans="3:82" ht="12" thickBot="1" x14ac:dyDescent="0.25">
      <c r="AK1" s="219" t="s">
        <v>148</v>
      </c>
      <c r="AL1" s="207" t="s">
        <v>149</v>
      </c>
      <c r="AM1" s="207" t="s">
        <v>181</v>
      </c>
      <c r="AN1" s="207" t="s">
        <v>150</v>
      </c>
      <c r="AO1" s="207" t="s">
        <v>157</v>
      </c>
      <c r="AP1" s="207" t="s">
        <v>180</v>
      </c>
      <c r="AQ1" s="207">
        <v>9.1519219999999996E-4</v>
      </c>
      <c r="BI1" s="276" t="s">
        <v>148</v>
      </c>
      <c r="BJ1" s="21" t="s">
        <v>149</v>
      </c>
      <c r="BK1" s="21" t="s">
        <v>181</v>
      </c>
      <c r="BL1" s="21" t="s">
        <v>150</v>
      </c>
      <c r="BM1" s="21" t="s">
        <v>157</v>
      </c>
      <c r="BN1" s="21" t="s">
        <v>180</v>
      </c>
      <c r="BO1" s="21">
        <v>9.1519219999999996E-4</v>
      </c>
    </row>
    <row r="2" spans="3:82" ht="12" thickBot="1" x14ac:dyDescent="0.25">
      <c r="AJ2" s="363" t="s">
        <v>186</v>
      </c>
      <c r="AK2" s="364"/>
      <c r="AL2" s="365">
        <v>32</v>
      </c>
      <c r="BH2" s="363" t="s">
        <v>186</v>
      </c>
      <c r="BI2" s="364"/>
      <c r="BJ2" s="365">
        <v>32</v>
      </c>
    </row>
    <row r="3" spans="3:82" ht="12.75" customHeight="1" x14ac:dyDescent="0.2">
      <c r="C3" s="248"/>
      <c r="D3" s="278"/>
      <c r="E3" s="278"/>
      <c r="F3" s="278"/>
      <c r="G3" s="30"/>
      <c r="H3" s="415" t="s">
        <v>182</v>
      </c>
      <c r="I3" s="415"/>
      <c r="K3" s="419" t="s">
        <v>179</v>
      </c>
      <c r="L3" s="420"/>
      <c r="M3" s="420"/>
      <c r="N3" s="421"/>
      <c r="R3" s="69"/>
      <c r="S3" s="422" t="s">
        <v>179</v>
      </c>
      <c r="T3" s="422"/>
      <c r="U3" s="422"/>
      <c r="V3" s="422"/>
      <c r="Y3" s="207" t="s">
        <v>133</v>
      </c>
      <c r="AK3" s="207">
        <v>0.25</v>
      </c>
      <c r="AL3" s="207">
        <v>0.6</v>
      </c>
      <c r="AM3" s="207">
        <v>0.8</v>
      </c>
      <c r="BH3" s="207"/>
      <c r="BI3" s="207">
        <v>0.25</v>
      </c>
      <c r="BJ3" s="207">
        <v>0.6</v>
      </c>
      <c r="BK3" s="207">
        <v>0.8</v>
      </c>
      <c r="BU3" s="415" t="s">
        <v>183</v>
      </c>
      <c r="BV3" s="415"/>
      <c r="BX3" s="419" t="s">
        <v>108</v>
      </c>
      <c r="BY3" s="420"/>
      <c r="BZ3" s="420"/>
      <c r="CA3" s="421"/>
      <c r="CB3" s="416" t="s">
        <v>138</v>
      </c>
      <c r="CC3" s="417"/>
      <c r="CD3" s="418"/>
    </row>
    <row r="4" spans="3:82" x14ac:dyDescent="0.2">
      <c r="C4" s="247"/>
      <c r="D4" s="247"/>
      <c r="E4" s="247"/>
      <c r="F4" s="247"/>
      <c r="G4" s="37"/>
      <c r="H4" s="36" t="s">
        <v>94</v>
      </c>
      <c r="I4" s="36" t="s">
        <v>95</v>
      </c>
      <c r="J4" s="37"/>
      <c r="K4" s="38" t="s">
        <v>11</v>
      </c>
      <c r="L4" s="39" t="s">
        <v>94</v>
      </c>
      <c r="M4" s="40" t="s">
        <v>95</v>
      </c>
      <c r="N4" s="39" t="s">
        <v>109</v>
      </c>
      <c r="S4" s="270" t="s">
        <v>11</v>
      </c>
      <c r="T4" s="270" t="s">
        <v>94</v>
      </c>
      <c r="U4" s="270" t="s">
        <v>95</v>
      </c>
      <c r="V4" s="270" t="s">
        <v>109</v>
      </c>
      <c r="Y4" s="207">
        <v>1</v>
      </c>
      <c r="Z4" s="207">
        <v>0.9</v>
      </c>
      <c r="AA4" s="207">
        <v>0.8</v>
      </c>
      <c r="AB4" s="207">
        <v>0.7</v>
      </c>
      <c r="AC4" s="207">
        <v>0.6</v>
      </c>
      <c r="AD4" s="207">
        <v>0.5</v>
      </c>
      <c r="AE4" s="207">
        <v>0.4</v>
      </c>
      <c r="AF4" s="207">
        <v>0.3</v>
      </c>
      <c r="AJ4" s="114">
        <f ca="1">Y16</f>
        <v>36976</v>
      </c>
      <c r="AK4" s="207">
        <v>0.852051</v>
      </c>
      <c r="AL4" s="207">
        <v>-0.25248700000000002</v>
      </c>
      <c r="AM4" s="207">
        <v>2.8240000000000001E-3</v>
      </c>
      <c r="BH4" s="114">
        <f ca="1">AW16</f>
        <v>36976</v>
      </c>
      <c r="BI4" s="207">
        <v>0.852051</v>
      </c>
      <c r="BJ4" s="207">
        <v>-0.25248700000000002</v>
      </c>
      <c r="BK4" s="207">
        <v>2.8240000000000001E-3</v>
      </c>
      <c r="BU4" s="36" t="s">
        <v>94</v>
      </c>
      <c r="BV4" s="36" t="s">
        <v>95</v>
      </c>
      <c r="BW4" s="37"/>
      <c r="BX4" s="38" t="s">
        <v>11</v>
      </c>
      <c r="BY4" s="39" t="s">
        <v>94</v>
      </c>
      <c r="BZ4" s="40" t="s">
        <v>95</v>
      </c>
      <c r="CA4" s="39" t="s">
        <v>109</v>
      </c>
      <c r="CB4" s="315" t="s">
        <v>135</v>
      </c>
      <c r="CC4" s="315" t="s">
        <v>136</v>
      </c>
      <c r="CD4" s="315" t="s">
        <v>137</v>
      </c>
    </row>
    <row r="5" spans="3:82" x14ac:dyDescent="0.2">
      <c r="C5" s="277"/>
      <c r="D5" s="248"/>
      <c r="E5" s="248"/>
      <c r="F5" s="248"/>
      <c r="H5" s="34">
        <f>Daily!E5</f>
        <v>0.25</v>
      </c>
      <c r="I5" s="34">
        <f>Daily!F5</f>
        <v>0.99</v>
      </c>
      <c r="K5" s="41">
        <f ca="1">Calc!AA5</f>
        <v>36976</v>
      </c>
      <c r="L5" s="35">
        <f ca="1">IF(AND(ISNUMBER(H5),H5&lt;&gt;0), IF(Daily!$BB$12=1,Calc!AF5+H5,IF(Daily!$BB$12=2,Calc!AF5*H5,IF(Daily!$BB$12=3,H5,Calc!AF5))),Calc!AF5)</f>
        <v>41.249996185302734</v>
      </c>
      <c r="M5" s="35">
        <f ca="1">IF(AND(ISNUMBER(I5),I5&lt;&gt;0),IF(Daily!$BB$13=1,Calc!AG5+I5, IF(Daily!$BB$13=2,Calc!AG5*I5, IF(Daily!$BB$13=3,I5,Calc!AG5))),Calc!AG5)</f>
        <v>0.8</v>
      </c>
      <c r="N5" s="35">
        <f ca="1">VLOOKUP(K5,Calc!$AA$5:$AH$72,8)</f>
        <v>5.782291193348401E-2</v>
      </c>
      <c r="R5" s="70">
        <v>1</v>
      </c>
      <c r="S5" s="271">
        <f>'Power Curves'!D9</f>
        <v>36972</v>
      </c>
      <c r="T5" s="272">
        <f>IF(ISNUMBER(VLOOKUP(S5,Daily!$G$5:$I$36,3)), VLOOKUP(S5,Daily!$G$5:$I$36,3),VLOOKUP(S5, $K$5:$L$72,2))</f>
        <v>39.499996185302734</v>
      </c>
      <c r="U5" s="35">
        <f ca="1">IF(ISNUMBER(VLOOKUP(S5,$K$5:$M$72, 3)), VLOOKUP(S5,$K$5:$M$72, 3), U6)</f>
        <v>0.8</v>
      </c>
      <c r="V5" s="35">
        <f ca="1">N5</f>
        <v>5.782291193348401E-2</v>
      </c>
      <c r="Y5" s="207">
        <v>0.9</v>
      </c>
      <c r="Z5" s="207">
        <v>1</v>
      </c>
      <c r="AA5" s="207">
        <v>0.9</v>
      </c>
      <c r="AB5" s="207">
        <v>0.8</v>
      </c>
      <c r="AC5" s="207">
        <v>0.7</v>
      </c>
      <c r="AD5" s="207">
        <v>0.6</v>
      </c>
      <c r="AE5" s="207">
        <v>0.5</v>
      </c>
      <c r="AF5" s="207">
        <v>0.4</v>
      </c>
      <c r="AJ5" s="114">
        <f t="shared" ref="AJ5:AJ35" ca="1" si="0">Y17</f>
        <v>36982</v>
      </c>
      <c r="AK5" s="207">
        <v>0.35986800000000002</v>
      </c>
      <c r="AL5" s="207">
        <v>-0.15681400000000001</v>
      </c>
      <c r="AM5" s="207">
        <v>1.9095000000000001E-2</v>
      </c>
      <c r="BH5" s="114">
        <f t="shared" ref="BH5:BH35" ca="1" si="1">AW17</f>
        <v>36982</v>
      </c>
      <c r="BI5" s="207">
        <v>0.170823</v>
      </c>
      <c r="BJ5" s="207">
        <v>2.2298999999999999E-2</v>
      </c>
      <c r="BK5" s="207">
        <v>9.6600000000000002E-3</v>
      </c>
      <c r="BU5" s="34">
        <f>Monthly!E5</f>
        <v>0.25</v>
      </c>
      <c r="BV5" s="34">
        <f>Monthly!F5</f>
        <v>0.99</v>
      </c>
      <c r="BX5" s="41">
        <f ca="1">Calc!AA5</f>
        <v>36976</v>
      </c>
      <c r="BY5" s="35">
        <f ca="1">IF(AND(ISNUMBER(BU5),BU5&lt;&gt;0), IF(Monthly!$BB$12=1,Calc!AI5+BU5,IF(Monthly!$BB$12=2,Calc!AI5*BU5,IF(Monthly!$BB$12=3,BU5,Calc!AI5))),Calc!AI5)</f>
        <v>41.249996185302734</v>
      </c>
      <c r="BZ5" s="35">
        <f ca="1">IF(AND(ISNUMBER(BV5),BV5&lt;&gt;0),IF(Monthly!$BB$13=1,Calc!AJ5+BV5, IF(Monthly!$BB$13=2,Calc!AJ5*BV5, IF(Monthly!$BB$13=3,BV5,Calc!AJ5))),Calc!AJ5)</f>
        <v>0.8</v>
      </c>
      <c r="CA5" s="35">
        <f ca="1">VLOOKUP(BX5,Calc!$AA$5:$AH$72,8)</f>
        <v>5.782291193348401E-2</v>
      </c>
      <c r="CB5" s="73">
        <v>0</v>
      </c>
      <c r="CC5" s="73">
        <v>1</v>
      </c>
      <c r="CD5" s="73">
        <f t="shared" ref="CD5:CD36" ca="1" si="2">(K5-datetoday)/365.25</f>
        <v>0</v>
      </c>
    </row>
    <row r="6" spans="3:82" x14ac:dyDescent="0.2">
      <c r="C6" s="277"/>
      <c r="D6" s="248"/>
      <c r="E6" s="248"/>
      <c r="F6" s="248"/>
      <c r="H6" s="34">
        <f>Daily!E6</f>
        <v>18</v>
      </c>
      <c r="I6" s="34">
        <f>Daily!F6</f>
        <v>0.99</v>
      </c>
      <c r="K6" s="41">
        <f ca="1">Calc!AA6</f>
        <v>36982</v>
      </c>
      <c r="L6" s="35">
        <f ca="1">IF(AND(ISNUMBER(H6),H6&lt;&gt;0), IF(Daily!$BB$12=1,Calc!AF6+H6,IF(Daily!$BB$12=2,Calc!AF6*H6,IF(Daily!$BB$12=3,H6,Calc!AF6))),Calc!AF6)</f>
        <v>25</v>
      </c>
      <c r="M6" s="35">
        <f ca="1">IF(AND(ISNUMBER(I6),I6&lt;&gt;0),IF(Daily!$BB$13=1,Calc!AG6+I6, IF(Daily!$BB$13=2,Calc!AG6*I6, IF(Daily!$BB$13=3,I6,Calc!AG6))),Calc!AG6)</f>
        <v>0.75</v>
      </c>
      <c r="N6" s="35">
        <f ca="1">VLOOKUP(K6,Calc!$AA$5:$AH$72,8)</f>
        <v>5.6935221700728011E-2</v>
      </c>
      <c r="R6" s="70">
        <v>2</v>
      </c>
      <c r="S6" s="271">
        <f>'Power Curves'!D10</f>
        <v>36973</v>
      </c>
      <c r="T6" s="272">
        <f>IF(ISNUMBER(VLOOKUP(S6,Daily!$G$5:$I$36,3, FALSE)), VLOOKUP(S6,Daily!$G$5:$I$36,3),VLOOKUP(S6, $K$5:$L$72,2))</f>
        <v>39.999996185302734</v>
      </c>
      <c r="U6" s="35">
        <f t="shared" ref="U6:U69" ca="1" si="3">IF(ISNUMBER(VLOOKUP(S6,$K$5:$M$72, 3)), VLOOKUP(S6,$K$5:$M$72, 3), U7)</f>
        <v>0.8</v>
      </c>
      <c r="V6" s="35">
        <f t="shared" ref="V6:V69" ca="1" si="4">N6</f>
        <v>5.6935221700728011E-2</v>
      </c>
      <c r="Y6" s="207">
        <v>0.8</v>
      </c>
      <c r="Z6" s="207">
        <v>0.9</v>
      </c>
      <c r="AA6" s="207">
        <v>1</v>
      </c>
      <c r="AB6" s="207">
        <v>0.9</v>
      </c>
      <c r="AC6" s="207">
        <v>0.8</v>
      </c>
      <c r="AD6" s="207">
        <v>0.7</v>
      </c>
      <c r="AE6" s="207">
        <v>0.6</v>
      </c>
      <c r="AF6" s="207">
        <v>0.5</v>
      </c>
      <c r="AJ6" s="114">
        <f t="shared" ca="1" si="0"/>
        <v>37012</v>
      </c>
      <c r="AK6" s="207">
        <v>-0.81833999999999996</v>
      </c>
      <c r="AL6" s="207">
        <v>1.034049</v>
      </c>
      <c r="AM6" s="207">
        <v>4.0828000000000003E-2</v>
      </c>
      <c r="BH6" s="114">
        <f t="shared" ca="1" si="1"/>
        <v>37012</v>
      </c>
      <c r="BI6" s="207">
        <v>0.532636</v>
      </c>
      <c r="BJ6" s="207">
        <v>-0.13635700000000001</v>
      </c>
      <c r="BK6" s="207">
        <v>2.8853E-2</v>
      </c>
      <c r="BU6" s="34">
        <f>Monthly!E6</f>
        <v>18</v>
      </c>
      <c r="BV6" s="34">
        <f>Monthly!F6</f>
        <v>0.99</v>
      </c>
      <c r="BX6" s="41">
        <f ca="1">Calc!AA6</f>
        <v>36982</v>
      </c>
      <c r="BY6" s="35">
        <f ca="1">IF(AND(ISNUMBER(BU6),BU6&lt;&gt;0), IF(Monthly!$BB$12=1,Calc!AI6+BU6,IF(Monthly!$BB$12=2,Calc!AI6*BU6,IF(Monthly!$BB$12=3,BU6,Calc!AI6))),Calc!AI6)</f>
        <v>25</v>
      </c>
      <c r="BZ6" s="35">
        <f ca="1">IF(AND(ISNUMBER(BV6),BV6&lt;&gt;0),IF(Monthly!$BB$13=1,Calc!AJ6+BV6, IF(Monthly!$BB$13=2,Calc!AJ6*BV6, IF(Monthly!$BB$13=3,BV6,Calc!AJ6))),Calc!AJ6)</f>
        <v>0.75</v>
      </c>
      <c r="CA6" s="35">
        <f ca="1">VLOOKUP(BX6,Calc!$AA$5:$AH$72,8)</f>
        <v>5.6935221700728011E-2</v>
      </c>
      <c r="CB6" s="73">
        <v>0</v>
      </c>
      <c r="CC6" s="73">
        <v>1</v>
      </c>
      <c r="CD6" s="73">
        <f t="shared" ca="1" si="2"/>
        <v>1.6427104722792608E-2</v>
      </c>
    </row>
    <row r="7" spans="3:82" x14ac:dyDescent="0.2">
      <c r="C7" s="277"/>
      <c r="D7" s="248"/>
      <c r="E7" s="248"/>
      <c r="F7" s="248"/>
      <c r="H7" s="34">
        <f>Daily!E7</f>
        <v>3</v>
      </c>
      <c r="I7" s="34">
        <f>Daily!F7</f>
        <v>0.99</v>
      </c>
      <c r="K7" s="41">
        <f ca="1">Calc!AA7</f>
        <v>37012</v>
      </c>
      <c r="L7" s="35">
        <f ca="1">IF(AND(ISNUMBER(H7),H7&lt;&gt;0), IF(Daily!$BB$12=1,Calc!AF7+H7,IF(Daily!$BB$12=2,Calc!AF7*H7,IF(Daily!$BB$12=3,H7,Calc!AF7))),Calc!AF7)</f>
        <v>47</v>
      </c>
      <c r="M7" s="35">
        <f ca="1">IF(AND(ISNUMBER(I7),I7&lt;&gt;0),IF(Daily!$BB$13=1,Calc!AG7+I7, IF(Daily!$BB$13=2,Calc!AG7*I7, IF(Daily!$BB$13=3,I7,Calc!AG7))),Calc!AG7)</f>
        <v>0.75</v>
      </c>
      <c r="N7" s="35">
        <f ca="1">VLOOKUP(K7,Calc!$AA$5:$AH$72,8)</f>
        <v>5.6349405031458001E-2</v>
      </c>
      <c r="R7" s="70">
        <v>3</v>
      </c>
      <c r="S7" s="271">
        <f>'Power Curves'!D11</f>
        <v>36974</v>
      </c>
      <c r="T7" s="272">
        <f>IF(ISNUMBER(VLOOKUP(S7,Daily!$G$5:$I$36,3, FALSE)), VLOOKUP(S7,Daily!$G$5:$I$36,3),VLOOKUP(S7, $K$5:$L$72,2))</f>
        <v>24.999996185302734</v>
      </c>
      <c r="U7" s="35">
        <f t="shared" ca="1" si="3"/>
        <v>0.8</v>
      </c>
      <c r="V7" s="35">
        <f t="shared" ca="1" si="4"/>
        <v>5.6349405031458001E-2</v>
      </c>
      <c r="Y7" s="207">
        <v>0.7</v>
      </c>
      <c r="Z7" s="207">
        <v>0.8</v>
      </c>
      <c r="AA7" s="207">
        <v>0.9</v>
      </c>
      <c r="AB7" s="207">
        <v>1</v>
      </c>
      <c r="AC7" s="207">
        <v>0.9</v>
      </c>
      <c r="AD7" s="207">
        <v>0.8</v>
      </c>
      <c r="AE7" s="207">
        <v>0.7</v>
      </c>
      <c r="AF7" s="207">
        <v>0.6</v>
      </c>
      <c r="AJ7" s="114">
        <f t="shared" ca="1" si="0"/>
        <v>37043</v>
      </c>
      <c r="AK7" s="207">
        <v>-1.96438</v>
      </c>
      <c r="AL7" s="207">
        <v>2.0453320000000001</v>
      </c>
      <c r="AM7" s="207">
        <v>-9.6910999999999997E-2</v>
      </c>
      <c r="BH7" s="114">
        <f t="shared" ca="1" si="1"/>
        <v>37043</v>
      </c>
      <c r="BI7" s="207">
        <v>0.17463100000000001</v>
      </c>
      <c r="BJ7" s="207">
        <v>1.8690999999999999E-2</v>
      </c>
      <c r="BK7" s="207">
        <v>9.8499999999999994E-3</v>
      </c>
      <c r="BU7" s="34">
        <f>Monthly!E7</f>
        <v>3</v>
      </c>
      <c r="BV7" s="34">
        <f>Monthly!F7</f>
        <v>0.99</v>
      </c>
      <c r="BX7" s="41">
        <f ca="1">Calc!AA7</f>
        <v>37012</v>
      </c>
      <c r="BY7" s="35">
        <f ca="1">IF(AND(ISNUMBER(BU7),BU7&lt;&gt;0), IF(Monthly!$BB$12=1,Calc!AI7+BU7,IF(Monthly!$BB$12=2,Calc!AI7*BU7,IF(Monthly!$BB$12=3,BU7,Calc!AI7))),Calc!AI7)</f>
        <v>47</v>
      </c>
      <c r="BZ7" s="35">
        <f ca="1">IF(AND(ISNUMBER(BV7),BV7&lt;&gt;0),IF(Monthly!$BB$13=1,Calc!AJ7+BV7, IF(Monthly!$BB$13=2,Calc!AJ7*BV7, IF(Monthly!$BB$13=3,BV7,Calc!AJ7))),Calc!AJ7)</f>
        <v>0.75</v>
      </c>
      <c r="CA7" s="35">
        <f ca="1">VLOOKUP(BX7,Calc!$AA$5:$AH$72,8)</f>
        <v>5.6349405031458001E-2</v>
      </c>
      <c r="CB7" s="73">
        <v>0</v>
      </c>
      <c r="CC7" s="73">
        <v>1</v>
      </c>
      <c r="CD7" s="73">
        <f t="shared" ca="1" si="2"/>
        <v>9.856262833675565E-2</v>
      </c>
    </row>
    <row r="8" spans="3:82" x14ac:dyDescent="0.2">
      <c r="C8" s="277"/>
      <c r="D8" s="248"/>
      <c r="E8" s="248"/>
      <c r="F8" s="248"/>
      <c r="H8" s="34">
        <f>Daily!E8</f>
        <v>4</v>
      </c>
      <c r="I8" s="34">
        <f>Daily!F8</f>
        <v>0.99</v>
      </c>
      <c r="K8" s="41">
        <f ca="1">Calc!AA8</f>
        <v>37043</v>
      </c>
      <c r="L8" s="35">
        <f ca="1">IF(AND(ISNUMBER(H8),H8&lt;&gt;0), IF(Daily!$BB$12=1,Calc!AF8+H8,IF(Daily!$BB$12=2,Calc!AF8*H8,IF(Daily!$BB$12=3,H8,Calc!AF8))),Calc!AF8)</f>
        <v>72.999992370605469</v>
      </c>
      <c r="M8" s="35">
        <f ca="1">IF(AND(ISNUMBER(I8),I8&lt;&gt;0),IF(Daily!$BB$13=1,Calc!AG8+I8, IF(Daily!$BB$13=2,Calc!AG8*I8, IF(Daily!$BB$13=3,I8,Calc!AG8))),Calc!AG8)</f>
        <v>0.7</v>
      </c>
      <c r="N8" s="35">
        <f ca="1">VLOOKUP(K8,Calc!$AA$5:$AH$72,8)</f>
        <v>5.5788260418609015E-2</v>
      </c>
      <c r="R8" s="70">
        <v>4</v>
      </c>
      <c r="S8" s="271">
        <f>'Power Curves'!D12</f>
        <v>36975</v>
      </c>
      <c r="T8" s="272">
        <f>IF(ISNUMBER(VLOOKUP(S8,Daily!$G$5:$I$36,3, FALSE)), VLOOKUP(S8,Daily!$G$5:$I$36,3),VLOOKUP(S8, $K$5:$L$72,2))</f>
        <v>24.999996185302734</v>
      </c>
      <c r="U8" s="35">
        <f t="shared" ca="1" si="3"/>
        <v>0.8</v>
      </c>
      <c r="V8" s="35">
        <f t="shared" ca="1" si="4"/>
        <v>5.5788260418609015E-2</v>
      </c>
      <c r="Y8" s="207">
        <v>0.6</v>
      </c>
      <c r="Z8" s="207">
        <v>0.7</v>
      </c>
      <c r="AA8" s="207">
        <v>0.8</v>
      </c>
      <c r="AB8" s="207">
        <v>0.9</v>
      </c>
      <c r="AC8" s="207">
        <v>1</v>
      </c>
      <c r="AD8" s="207">
        <v>0.9</v>
      </c>
      <c r="AE8" s="207">
        <v>0.8</v>
      </c>
      <c r="AF8" s="207">
        <v>0.7</v>
      </c>
      <c r="AJ8" s="114">
        <f t="shared" ca="1" si="0"/>
        <v>37073</v>
      </c>
      <c r="AK8" s="207">
        <v>-0.13818</v>
      </c>
      <c r="AL8" s="207">
        <v>0.31507400000000002</v>
      </c>
      <c r="AM8" s="207">
        <v>-5.7619999999999998E-3</v>
      </c>
      <c r="BH8" s="114">
        <f t="shared" ca="1" si="1"/>
        <v>37073</v>
      </c>
      <c r="BI8" s="207">
        <v>-0.13818</v>
      </c>
      <c r="BJ8" s="207">
        <v>0.31507400000000002</v>
      </c>
      <c r="BK8" s="207">
        <v>-5.7619999999999998E-3</v>
      </c>
      <c r="BU8" s="34">
        <f>Monthly!E8</f>
        <v>4</v>
      </c>
      <c r="BV8" s="34">
        <f>Monthly!F8</f>
        <v>0.99</v>
      </c>
      <c r="BX8" s="41">
        <f ca="1">Calc!AA8</f>
        <v>37043</v>
      </c>
      <c r="BY8" s="35">
        <f ca="1">IF(AND(ISNUMBER(BU8),BU8&lt;&gt;0), IF(Monthly!$BB$12=1,Calc!AI8+BU8,IF(Monthly!$BB$12=2,Calc!AI8*BU8,IF(Monthly!$BB$12=3,BU8,Calc!AI8))),Calc!AI8)</f>
        <v>72.999992370605469</v>
      </c>
      <c r="BZ8" s="35">
        <f ca="1">IF(AND(ISNUMBER(BV8),BV8&lt;&gt;0),IF(Monthly!$BB$13=1,Calc!AJ8+BV8, IF(Monthly!$BB$13=2,Calc!AJ8*BV8, IF(Monthly!$BB$13=3,BV8,Calc!AJ8))),Calc!AJ8)</f>
        <v>0.7</v>
      </c>
      <c r="CA8" s="35">
        <f ca="1">VLOOKUP(BX8,Calc!$AA$5:$AH$72,8)</f>
        <v>5.5788260418609015E-2</v>
      </c>
      <c r="CB8" s="73">
        <v>0</v>
      </c>
      <c r="CC8" s="73">
        <v>1</v>
      </c>
      <c r="CD8" s="73">
        <f t="shared" ca="1" si="2"/>
        <v>0.1834360027378508</v>
      </c>
    </row>
    <row r="9" spans="3:82" x14ac:dyDescent="0.2">
      <c r="C9" s="277"/>
      <c r="D9" s="248"/>
      <c r="E9" s="248"/>
      <c r="F9" s="248"/>
      <c r="H9" s="34">
        <f>Daily!E9</f>
        <v>5</v>
      </c>
      <c r="I9" s="34">
        <f>Daily!F9</f>
        <v>0.99</v>
      </c>
      <c r="K9" s="41">
        <f ca="1">Calc!AA9</f>
        <v>37073</v>
      </c>
      <c r="L9" s="35">
        <f ca="1">IF(AND(ISNUMBER(H9),H9&lt;&gt;0), IF(Daily!$BB$12=1,Calc!AF9+H9,IF(Daily!$BB$12=2,Calc!AF9*H9,IF(Daily!$BB$12=3,H9,Calc!AF9))),Calc!AF9)</f>
        <v>115</v>
      </c>
      <c r="M9" s="35">
        <f ca="1">IF(AND(ISNUMBER(I9),I9&lt;&gt;0),IF(Daily!$BB$13=1,Calc!AG9+I9, IF(Daily!$BB$13=2,Calc!AG9*I9, IF(Daily!$BB$13=3,I9,Calc!AG9))),Calc!AG9)</f>
        <v>0.85</v>
      </c>
      <c r="N9" s="35">
        <f ca="1">VLOOKUP(K9,Calc!$AA$5:$AH$72,8)</f>
        <v>5.5225338053079026E-2</v>
      </c>
      <c r="R9" s="70">
        <v>5</v>
      </c>
      <c r="S9" s="271">
        <f>'Power Curves'!D13</f>
        <v>36976</v>
      </c>
      <c r="T9" s="272">
        <f>IF(ISNUMBER(VLOOKUP(S9,Daily!$G$5:$I$36,3, FALSE)), VLOOKUP(S9,Daily!$G$5:$I$36,3),VLOOKUP(S9, $K$5:$L$72,2))</f>
        <v>41.249996185302734</v>
      </c>
      <c r="U9" s="35">
        <f t="shared" ca="1" si="3"/>
        <v>0.8</v>
      </c>
      <c r="V9" s="35">
        <f t="shared" ca="1" si="4"/>
        <v>5.5225338053079026E-2</v>
      </c>
      <c r="Y9" s="207">
        <v>0.5</v>
      </c>
      <c r="Z9" s="207">
        <v>0.6</v>
      </c>
      <c r="AA9" s="207">
        <v>0.7</v>
      </c>
      <c r="AB9" s="207">
        <v>0.8</v>
      </c>
      <c r="AC9" s="207">
        <v>0.9</v>
      </c>
      <c r="AD9" s="207">
        <v>1</v>
      </c>
      <c r="AE9" s="207">
        <v>0.9</v>
      </c>
      <c r="AF9" s="207">
        <v>0.8</v>
      </c>
      <c r="AJ9" s="114">
        <f t="shared" ca="1" si="0"/>
        <v>37104</v>
      </c>
      <c r="AK9" s="207">
        <v>-0.13818</v>
      </c>
      <c r="AL9" s="207">
        <v>0.31507400000000002</v>
      </c>
      <c r="AM9" s="207">
        <v>-5.7619999999999998E-3</v>
      </c>
      <c r="BH9" s="114">
        <f t="shared" ca="1" si="1"/>
        <v>37104</v>
      </c>
      <c r="BI9" s="207">
        <v>-0.13818</v>
      </c>
      <c r="BJ9" s="207">
        <v>0.31507400000000002</v>
      </c>
      <c r="BK9" s="207">
        <v>-5.7619999999999998E-3</v>
      </c>
      <c r="BU9" s="34">
        <f>Monthly!E9</f>
        <v>5</v>
      </c>
      <c r="BV9" s="34">
        <f>Monthly!F9</f>
        <v>0.99</v>
      </c>
      <c r="BX9" s="41">
        <f ca="1">Calc!AA9</f>
        <v>37073</v>
      </c>
      <c r="BY9" s="35">
        <f ca="1">IF(AND(ISNUMBER(BU9),BU9&lt;&gt;0), IF(Monthly!$BB$12=1,Calc!AI9+BU9,IF(Monthly!$BB$12=2,Calc!AI9*BU9,IF(Monthly!$BB$12=3,BU9,Calc!AI9))),Calc!AI9)</f>
        <v>115</v>
      </c>
      <c r="BZ9" s="35">
        <f ca="1">IF(AND(ISNUMBER(BV9),BV9&lt;&gt;0),IF(Monthly!$BB$13=1,Calc!AJ9+BV9, IF(Monthly!$BB$13=2,Calc!AJ9*BV9, IF(Monthly!$BB$13=3,BV9,Calc!AJ9))),Calc!AJ9)</f>
        <v>0.85</v>
      </c>
      <c r="CA9" s="35">
        <f ca="1">VLOOKUP(BX9,Calc!$AA$5:$AH$72,8)</f>
        <v>5.5225338053079026E-2</v>
      </c>
      <c r="CB9" s="73">
        <v>0</v>
      </c>
      <c r="CC9" s="73">
        <v>1</v>
      </c>
      <c r="CD9" s="73">
        <f t="shared" ca="1" si="2"/>
        <v>0.2655715263518138</v>
      </c>
    </row>
    <row r="10" spans="3:82" x14ac:dyDescent="0.2">
      <c r="C10" s="277"/>
      <c r="D10" s="248"/>
      <c r="E10" s="248"/>
      <c r="F10" s="248"/>
      <c r="H10" s="34">
        <f>Daily!E10</f>
        <v>5</v>
      </c>
      <c r="I10" s="34">
        <f>Daily!F10</f>
        <v>0.99</v>
      </c>
      <c r="K10" s="41">
        <f ca="1">Calc!AA10</f>
        <v>37104</v>
      </c>
      <c r="L10" s="35">
        <f ca="1">IF(AND(ISNUMBER(H10),H10&lt;&gt;0), IF(Daily!$BB$12=1,Calc!AF10+H10,IF(Daily!$BB$12=2,Calc!AF10*H10,IF(Daily!$BB$12=3,H10,Calc!AF10))),Calc!AF10)</f>
        <v>115</v>
      </c>
      <c r="M10" s="35">
        <f ca="1">IF(AND(ISNUMBER(I10),I10&lt;&gt;0),IF(Daily!$BB$13=1,Calc!AG10+I10, IF(Daily!$BB$13=2,Calc!AG10*I10, IF(Daily!$BB$13=3,I10,Calc!AG10))),Calc!AG10)</f>
        <v>0.7</v>
      </c>
      <c r="N10" s="35">
        <f ca="1">VLOOKUP(K10,Calc!$AA$5:$AH$72,8)</f>
        <v>5.4662415793083008E-2</v>
      </c>
      <c r="R10" s="70">
        <v>6</v>
      </c>
      <c r="S10" s="271">
        <f>'Power Curves'!D14</f>
        <v>36977</v>
      </c>
      <c r="T10" s="272">
        <f>IF(ISNUMBER(VLOOKUP(S10,Daily!$G$5:$I$36,3, FALSE)), VLOOKUP(S10,Daily!$G$5:$I$36,3),VLOOKUP(S10, $K$5:$L$72,2))</f>
        <v>41.249996185302734</v>
      </c>
      <c r="U10" s="35">
        <f t="shared" ca="1" si="3"/>
        <v>0.8</v>
      </c>
      <c r="V10" s="35">
        <f t="shared" ca="1" si="4"/>
        <v>5.4662415793083008E-2</v>
      </c>
      <c r="Y10" s="207">
        <v>0.4</v>
      </c>
      <c r="Z10" s="207">
        <v>0.5</v>
      </c>
      <c r="AA10" s="207">
        <v>0.6</v>
      </c>
      <c r="AB10" s="207">
        <v>0.7</v>
      </c>
      <c r="AC10" s="207">
        <v>0.8</v>
      </c>
      <c r="AD10" s="207">
        <v>0.9</v>
      </c>
      <c r="AE10" s="207">
        <v>1</v>
      </c>
      <c r="AF10" s="207">
        <v>0.9</v>
      </c>
      <c r="AJ10" s="114">
        <f t="shared" ca="1" si="0"/>
        <v>37135</v>
      </c>
      <c r="AK10" s="207">
        <v>-0.13818</v>
      </c>
      <c r="AL10" s="207">
        <v>0.31507400000000002</v>
      </c>
      <c r="AM10" s="207">
        <v>-5.7619999999999998E-3</v>
      </c>
      <c r="BH10" s="114">
        <f t="shared" ca="1" si="1"/>
        <v>37135</v>
      </c>
      <c r="BI10" s="207">
        <v>-0.13818</v>
      </c>
      <c r="BJ10" s="207">
        <v>0.31507400000000002</v>
      </c>
      <c r="BK10" s="207">
        <v>-5.7619999999999998E-3</v>
      </c>
      <c r="BU10" s="34">
        <f>Monthly!E10</f>
        <v>5</v>
      </c>
      <c r="BV10" s="34">
        <f>Monthly!F10</f>
        <v>0.99</v>
      </c>
      <c r="BX10" s="41">
        <f ca="1">Calc!AA10</f>
        <v>37104</v>
      </c>
      <c r="BY10" s="35">
        <f ca="1">IF(AND(ISNUMBER(BU10),BU10&lt;&gt;0), IF(Monthly!$BB$12=1,Calc!AI10+BU10,IF(Monthly!$BB$12=2,Calc!AI10*BU10,IF(Monthly!$BB$12=3,BU10,Calc!AI10))),Calc!AI10)</f>
        <v>115</v>
      </c>
      <c r="BZ10" s="35">
        <f ca="1">IF(AND(ISNUMBER(BV10),BV10&lt;&gt;0),IF(Monthly!$BB$13=1,Calc!AJ10+BV10, IF(Monthly!$BB$13=2,Calc!AJ10*BV10, IF(Monthly!$BB$13=3,BV10,Calc!AJ10))),Calc!AJ10)</f>
        <v>0.7</v>
      </c>
      <c r="CA10" s="35">
        <f ca="1">VLOOKUP(BX10,Calc!$AA$5:$AH$72,8)</f>
        <v>5.4662415793083008E-2</v>
      </c>
      <c r="CB10" s="73">
        <v>0</v>
      </c>
      <c r="CC10" s="73">
        <v>1</v>
      </c>
      <c r="CD10" s="73">
        <f t="shared" ca="1" si="2"/>
        <v>0.35044490075290896</v>
      </c>
    </row>
    <row r="11" spans="3:82" x14ac:dyDescent="0.2">
      <c r="C11" s="277"/>
      <c r="D11" s="248"/>
      <c r="E11" s="248"/>
      <c r="F11" s="248"/>
      <c r="H11" s="34">
        <f>Daily!E11</f>
        <v>2.5</v>
      </c>
      <c r="I11" s="34">
        <f>Daily!F11</f>
        <v>0.99</v>
      </c>
      <c r="K11" s="41">
        <f ca="1">Calc!AA11</f>
        <v>37135</v>
      </c>
      <c r="L11" s="35">
        <f ca="1">IF(AND(ISNUMBER(H11),H11&lt;&gt;0), IF(Daily!$BB$12=1,Calc!AF11+H11,IF(Daily!$BB$12=2,Calc!AF11*H11,IF(Daily!$BB$12=3,H11,Calc!AF11))),Calc!AF11)</f>
        <v>43.500003814697266</v>
      </c>
      <c r="M11" s="35">
        <f ca="1">IF(AND(ISNUMBER(I11),I11&lt;&gt;0),IF(Daily!$BB$13=1,Calc!AG11+I11, IF(Daily!$BB$13=2,Calc!AG11*I11, IF(Daily!$BB$13=3,I11,Calc!AG11))),Calc!AG11)</f>
        <v>0.6</v>
      </c>
      <c r="N11" s="35">
        <f ca="1">VLOOKUP(K11,Calc!$AA$5:$AH$72,8)</f>
        <v>5.4217519160728998E-2</v>
      </c>
      <c r="R11" s="70">
        <v>7</v>
      </c>
      <c r="S11" s="271">
        <f>'Power Curves'!D15</f>
        <v>36978</v>
      </c>
      <c r="T11" s="272">
        <f>IF(ISNUMBER(VLOOKUP(S11,Daily!$G$5:$I$36,3, FALSE)), VLOOKUP(S11,Daily!$G$5:$I$36,3),VLOOKUP(S11, $K$5:$L$72,2))</f>
        <v>41.249996185302734</v>
      </c>
      <c r="U11" s="35">
        <f t="shared" ca="1" si="3"/>
        <v>0.8</v>
      </c>
      <c r="V11" s="35">
        <f t="shared" ca="1" si="4"/>
        <v>5.4217519160728998E-2</v>
      </c>
      <c r="Y11" s="207">
        <v>0.3</v>
      </c>
      <c r="Z11" s="207">
        <v>0.4</v>
      </c>
      <c r="AA11" s="207">
        <v>0.5</v>
      </c>
      <c r="AB11" s="207">
        <v>0.6</v>
      </c>
      <c r="AC11" s="207">
        <v>0.7</v>
      </c>
      <c r="AD11" s="207">
        <v>0.8</v>
      </c>
      <c r="AE11" s="207">
        <v>0.9</v>
      </c>
      <c r="AF11" s="207">
        <v>1</v>
      </c>
      <c r="AJ11" s="114">
        <f t="shared" ca="1" si="0"/>
        <v>37165</v>
      </c>
      <c r="AK11" s="207">
        <v>-0.13818</v>
      </c>
      <c r="AL11" s="207">
        <v>0.31507400000000002</v>
      </c>
      <c r="AM11" s="207">
        <v>-5.7619999999999998E-3</v>
      </c>
      <c r="BH11" s="114">
        <f t="shared" ca="1" si="1"/>
        <v>37165</v>
      </c>
      <c r="BI11" s="207">
        <v>-0.13818</v>
      </c>
      <c r="BJ11" s="207">
        <v>0.31507400000000002</v>
      </c>
      <c r="BK11" s="207">
        <v>-5.7619999999999998E-3</v>
      </c>
      <c r="BU11" s="34">
        <f>Monthly!E11</f>
        <v>2.5</v>
      </c>
      <c r="BV11" s="34">
        <f>Monthly!F11</f>
        <v>0.99</v>
      </c>
      <c r="BX11" s="41">
        <f ca="1">Calc!AA11</f>
        <v>37135</v>
      </c>
      <c r="BY11" s="35">
        <f ca="1">IF(AND(ISNUMBER(BU11),BU11&lt;&gt;0), IF(Monthly!$BB$12=1,Calc!AI11+BU11,IF(Monthly!$BB$12=2,Calc!AI11*BU11,IF(Monthly!$BB$12=3,BU11,Calc!AI11))),Calc!AI11)</f>
        <v>43.500003814697266</v>
      </c>
      <c r="BZ11" s="35">
        <f ca="1">IF(AND(ISNUMBER(BV11),BV11&lt;&gt;0),IF(Monthly!$BB$13=1,Calc!AJ11+BV11, IF(Monthly!$BB$13=2,Calc!AJ11*BV11, IF(Monthly!$BB$13=3,BV11,Calc!AJ11))),Calc!AJ11)</f>
        <v>0.6</v>
      </c>
      <c r="CA11" s="35">
        <f ca="1">VLOOKUP(BX11,Calc!$AA$5:$AH$72,8)</f>
        <v>5.4217519160728998E-2</v>
      </c>
      <c r="CB11" s="73">
        <v>0</v>
      </c>
      <c r="CC11" s="73">
        <v>1</v>
      </c>
      <c r="CD11" s="73">
        <f t="shared" ca="1" si="2"/>
        <v>0.43531827515400412</v>
      </c>
    </row>
    <row r="12" spans="3:82" x14ac:dyDescent="0.2">
      <c r="C12" s="277"/>
      <c r="D12" s="248"/>
      <c r="E12" s="248"/>
      <c r="F12" s="248"/>
      <c r="H12" s="34">
        <f ca="1">Daily!E12</f>
        <v>41.400001525878906</v>
      </c>
      <c r="I12" s="34">
        <f>Daily!F12</f>
        <v>0.99</v>
      </c>
      <c r="K12" s="41">
        <f ca="1">Calc!AA12</f>
        <v>37165</v>
      </c>
      <c r="L12" s="35">
        <f ca="1">IF(AND(ISNUMBER(H12),H12&lt;&gt;0), IF(Daily!$BB$12=1,Calc!AF12+H12,IF(Daily!$BB$12=2,Calc!AF12*H12,IF(Daily!$BB$12=3,H12,Calc!AF12))),Calc!AF12)</f>
        <v>41.400001525878906</v>
      </c>
      <c r="M12" s="35">
        <f ca="1">IF(AND(ISNUMBER(I12),I12&lt;&gt;0),IF(Daily!$BB$13=1,Calc!AG12+I12, IF(Daily!$BB$13=2,Calc!AG12*I12, IF(Daily!$BB$13=3,I12,Calc!AG12))),Calc!AG12)</f>
        <v>0.5</v>
      </c>
      <c r="N12" s="35">
        <f ca="1">VLOOKUP(K12,Calc!$AA$5:$AH$72,8)</f>
        <v>5.3919449479775006E-2</v>
      </c>
      <c r="R12" s="70">
        <v>8</v>
      </c>
      <c r="S12" s="271">
        <f>'Power Curves'!D16</f>
        <v>36979</v>
      </c>
      <c r="T12" s="272">
        <f>IF(ISNUMBER(VLOOKUP(S12,Daily!$G$5:$I$36,3, FALSE)), VLOOKUP(S12,Daily!$G$5:$I$36,3),VLOOKUP(S12, $K$5:$L$72,2))</f>
        <v>41.249996185302734</v>
      </c>
      <c r="U12" s="35">
        <f t="shared" ca="1" si="3"/>
        <v>0.8</v>
      </c>
      <c r="V12" s="35">
        <f t="shared" ca="1" si="4"/>
        <v>5.3919449479775006E-2</v>
      </c>
      <c r="AJ12" s="114">
        <f t="shared" ca="1" si="0"/>
        <v>37196</v>
      </c>
      <c r="AK12" s="207">
        <v>-0.13818</v>
      </c>
      <c r="AL12" s="207">
        <v>0.31507400000000002</v>
      </c>
      <c r="AM12" s="207">
        <v>-5.7619999999999998E-3</v>
      </c>
      <c r="BH12" s="114">
        <f t="shared" ca="1" si="1"/>
        <v>37196</v>
      </c>
      <c r="BI12" s="207">
        <v>-0.13818</v>
      </c>
      <c r="BJ12" s="207">
        <v>0.31507400000000002</v>
      </c>
      <c r="BK12" s="207">
        <v>-5.7619999999999998E-3</v>
      </c>
      <c r="BU12" s="34">
        <f ca="1">Monthly!E12</f>
        <v>41.400001525878906</v>
      </c>
      <c r="BV12" s="34">
        <f>Monthly!F12</f>
        <v>0.99</v>
      </c>
      <c r="BX12" s="41">
        <f ca="1">Calc!AA12</f>
        <v>37165</v>
      </c>
      <c r="BY12" s="35">
        <f ca="1">IF(AND(ISNUMBER(BU12),BU12&lt;&gt;0), IF(Monthly!$BB$12=1,Calc!AI12+BU12,IF(Monthly!$BB$12=2,Calc!AI12*BU12,IF(Monthly!$BB$12=3,BU12,Calc!AI12))),Calc!AI12)</f>
        <v>41.400001525878906</v>
      </c>
      <c r="BZ12" s="35">
        <f ca="1">IF(AND(ISNUMBER(BV12),BV12&lt;&gt;0),IF(Monthly!$BB$13=1,Calc!AJ12+BV12, IF(Monthly!$BB$13=2,Calc!AJ12*BV12, IF(Monthly!$BB$13=3,BV12,Calc!AJ12))),Calc!AJ12)</f>
        <v>0.5</v>
      </c>
      <c r="CA12" s="35">
        <f ca="1">VLOOKUP(BX12,Calc!$AA$5:$AH$72,8)</f>
        <v>5.3919449479775006E-2</v>
      </c>
      <c r="CB12" s="73">
        <v>0</v>
      </c>
      <c r="CC12" s="73">
        <v>1</v>
      </c>
      <c r="CD12" s="73">
        <f t="shared" ca="1" si="2"/>
        <v>0.51745379876796715</v>
      </c>
    </row>
    <row r="13" spans="3:82" x14ac:dyDescent="0.2">
      <c r="C13" s="277"/>
      <c r="D13" s="248"/>
      <c r="E13" s="248"/>
      <c r="F13" s="248"/>
      <c r="H13" s="34">
        <f ca="1">Daily!E13</f>
        <v>41.5</v>
      </c>
      <c r="I13" s="34">
        <f>Daily!F13</f>
        <v>0.99</v>
      </c>
      <c r="K13" s="41">
        <f ca="1">Calc!AA13</f>
        <v>37196</v>
      </c>
      <c r="L13" s="35">
        <f ca="1">IF(AND(ISNUMBER(H13),H13&lt;&gt;0), IF(Daily!$BB$12=1,Calc!AF13+H13,IF(Daily!$BB$12=2,Calc!AF13*H13,IF(Daily!$BB$12=3,H13,Calc!AF13))),Calc!AF13)</f>
        <v>41.5</v>
      </c>
      <c r="M13" s="35">
        <f ca="1">IF(AND(ISNUMBER(I13),I13&lt;&gt;0),IF(Daily!$BB$13=1,Calc!AG13+I13, IF(Daily!$BB$13=2,Calc!AG13*I13, IF(Daily!$BB$13=3,I13,Calc!AG13))),Calc!AG13)</f>
        <v>0.47499999999999998</v>
      </c>
      <c r="N13" s="35">
        <f ca="1">VLOOKUP(K13,Calc!$AA$5:$AH$72,8)</f>
        <v>5.3630994978010008E-2</v>
      </c>
      <c r="R13" s="70">
        <v>9</v>
      </c>
      <c r="S13" s="271">
        <f>'Power Curves'!D17</f>
        <v>36980</v>
      </c>
      <c r="T13" s="272">
        <f>IF(ISNUMBER(VLOOKUP(S13,Daily!$G$5:$I$36,3, FALSE)), VLOOKUP(S13,Daily!$G$5:$I$36,3),VLOOKUP(S13, $K$5:$L$72,2))</f>
        <v>41.249996185302734</v>
      </c>
      <c r="U13" s="35">
        <f t="shared" ca="1" si="3"/>
        <v>0.8</v>
      </c>
      <c r="V13" s="35">
        <f t="shared" ca="1" si="4"/>
        <v>5.3630994978010008E-2</v>
      </c>
      <c r="AJ13" s="114">
        <f t="shared" ca="1" si="0"/>
        <v>37226</v>
      </c>
      <c r="AK13" s="207">
        <v>-0.13818</v>
      </c>
      <c r="AL13" s="207">
        <v>0.31507400000000002</v>
      </c>
      <c r="AM13" s="207">
        <v>-5.7619999999999998E-3</v>
      </c>
      <c r="BH13" s="114">
        <f t="shared" ca="1" si="1"/>
        <v>37226</v>
      </c>
      <c r="BI13" s="207">
        <v>-0.13818</v>
      </c>
      <c r="BJ13" s="207">
        <v>0.31507400000000002</v>
      </c>
      <c r="BK13" s="207">
        <v>-5.7619999999999998E-3</v>
      </c>
      <c r="BU13" s="34">
        <f ca="1">Monthly!E13</f>
        <v>41.5</v>
      </c>
      <c r="BV13" s="34">
        <f>Monthly!F13</f>
        <v>0.99</v>
      </c>
      <c r="BX13" s="41">
        <f ca="1">Calc!AA13</f>
        <v>37196</v>
      </c>
      <c r="BY13" s="35">
        <f ca="1">IF(AND(ISNUMBER(BU13),BU13&lt;&gt;0), IF(Monthly!$BB$12=1,Calc!AI13+BU13,IF(Monthly!$BB$12=2,Calc!AI13*BU13,IF(Monthly!$BB$12=3,BU13,Calc!AI13))),Calc!AI13)</f>
        <v>41.5</v>
      </c>
      <c r="BZ13" s="35">
        <f ca="1">IF(AND(ISNUMBER(BV13),BV13&lt;&gt;0),IF(Monthly!$BB$13=1,Calc!AJ13+BV13, IF(Monthly!$BB$13=2,Calc!AJ13*BV13, IF(Monthly!$BB$13=3,BV13,Calc!AJ13))),Calc!AJ13)</f>
        <v>0.47499999999999998</v>
      </c>
      <c r="CA13" s="35">
        <f ca="1">VLOOKUP(BX13,Calc!$AA$5:$AH$72,8)</f>
        <v>5.3630994978010008E-2</v>
      </c>
      <c r="CB13" s="73">
        <v>0</v>
      </c>
      <c r="CC13" s="73">
        <v>1</v>
      </c>
      <c r="CD13" s="73">
        <f t="shared" ca="1" si="2"/>
        <v>0.60232717316906226</v>
      </c>
    </row>
    <row r="14" spans="3:82" x14ac:dyDescent="0.2">
      <c r="C14" s="277"/>
      <c r="D14" s="248"/>
      <c r="E14" s="248"/>
      <c r="F14" s="248"/>
      <c r="H14" s="34">
        <f ca="1">Daily!E14</f>
        <v>41.599998474121094</v>
      </c>
      <c r="I14" s="34">
        <f>Daily!F14</f>
        <v>0.99</v>
      </c>
      <c r="K14" s="41">
        <f ca="1">Calc!AA14</f>
        <v>37226</v>
      </c>
      <c r="L14" s="35">
        <f ca="1">IF(AND(ISNUMBER(H14),H14&lt;&gt;0), IF(Daily!$BB$12=1,Calc!AF14+H14,IF(Daily!$BB$12=2,Calc!AF14*H14,IF(Daily!$BB$12=3,H14,Calc!AF14))),Calc!AF14)</f>
        <v>41.599998474121094</v>
      </c>
      <c r="M14" s="35">
        <f ca="1">IF(AND(ISNUMBER(I14),I14&lt;&gt;0),IF(Daily!$BB$13=1,Calc!AG14+I14, IF(Daily!$BB$13=2,Calc!AG14*I14, IF(Daily!$BB$13=3,I14,Calc!AG14))),Calc!AG14)</f>
        <v>0.52500000000000002</v>
      </c>
      <c r="N14" s="35">
        <f ca="1">VLOOKUP(K14,Calc!$AA$5:$AH$72,8)</f>
        <v>5.3452603808603005E-2</v>
      </c>
      <c r="R14" s="70">
        <v>10</v>
      </c>
      <c r="S14" s="271">
        <f>'Power Curves'!D18</f>
        <v>36981</v>
      </c>
      <c r="T14" s="272">
        <f>IF(ISNUMBER(VLOOKUP(S14,Daily!$G$5:$I$36,3, FALSE)), VLOOKUP(S14,Daily!$G$5:$I$36,3),VLOOKUP(S14, $K$5:$L$72,2))</f>
        <v>24.999996185302734</v>
      </c>
      <c r="U14" s="35">
        <f t="shared" ca="1" si="3"/>
        <v>0.8</v>
      </c>
      <c r="V14" s="35">
        <f t="shared" ca="1" si="4"/>
        <v>5.3452603808603005E-2</v>
      </c>
      <c r="Z14" s="207" t="s">
        <v>153</v>
      </c>
      <c r="AB14" s="207" t="s">
        <v>155</v>
      </c>
      <c r="AD14" s="207" t="s">
        <v>153</v>
      </c>
      <c r="AF14" s="207" t="s">
        <v>156</v>
      </c>
      <c r="AJ14" s="114">
        <f t="shared" ca="1" si="0"/>
        <v>37257</v>
      </c>
      <c r="AK14" s="207">
        <v>-0.13818</v>
      </c>
      <c r="AL14" s="207">
        <v>0.31507400000000002</v>
      </c>
      <c r="AM14" s="207">
        <v>-5.7619999999999998E-3</v>
      </c>
      <c r="AW14" s="207"/>
      <c r="AX14" s="207" t="s">
        <v>153</v>
      </c>
      <c r="AY14" s="207"/>
      <c r="AZ14" s="207" t="s">
        <v>155</v>
      </c>
      <c r="BA14" s="207"/>
      <c r="BB14" s="207" t="s">
        <v>153</v>
      </c>
      <c r="BC14" s="207"/>
      <c r="BD14" s="207" t="s">
        <v>156</v>
      </c>
      <c r="BE14" s="207"/>
      <c r="BH14" s="114">
        <f t="shared" ca="1" si="1"/>
        <v>37257</v>
      </c>
      <c r="BI14" s="207">
        <v>-0.13818</v>
      </c>
      <c r="BJ14" s="207">
        <v>0.31507400000000002</v>
      </c>
      <c r="BK14" s="207">
        <v>-5.7619999999999998E-3</v>
      </c>
      <c r="BU14" s="34">
        <f ca="1">Monthly!E14</f>
        <v>41.599998474121094</v>
      </c>
      <c r="BV14" s="34">
        <f>Monthly!F14</f>
        <v>0.99</v>
      </c>
      <c r="BX14" s="41">
        <f ca="1">Calc!AA14</f>
        <v>37226</v>
      </c>
      <c r="BY14" s="35">
        <f ca="1">IF(AND(ISNUMBER(BU14),BU14&lt;&gt;0), IF(Monthly!$BB$12=1,Calc!AI14+BU14,IF(Monthly!$BB$12=2,Calc!AI14*BU14,IF(Monthly!$BB$12=3,BU14,Calc!AI14))),Calc!AI14)</f>
        <v>41.599998474121094</v>
      </c>
      <c r="BZ14" s="35">
        <f ca="1">IF(AND(ISNUMBER(BV14),BV14&lt;&gt;0),IF(Monthly!$BB$13=1,Calc!AJ14+BV14, IF(Monthly!$BB$13=2,Calc!AJ14*BV14, IF(Monthly!$BB$13=3,BV14,Calc!AJ14))),Calc!AJ14)</f>
        <v>0.52500000000000002</v>
      </c>
      <c r="CA14" s="35">
        <f ca="1">VLOOKUP(BX14,Calc!$AA$5:$AH$72,8)</f>
        <v>5.3452603808603005E-2</v>
      </c>
      <c r="CB14" s="73">
        <v>0</v>
      </c>
      <c r="CC14" s="73">
        <v>1</v>
      </c>
      <c r="CD14" s="73">
        <f t="shared" ca="1" si="2"/>
        <v>0.68446269678302529</v>
      </c>
    </row>
    <row r="15" spans="3:82" x14ac:dyDescent="0.2">
      <c r="C15" s="277"/>
      <c r="D15" s="248"/>
      <c r="E15" s="248"/>
      <c r="F15" s="248"/>
      <c r="H15" s="34">
        <f ca="1">Daily!E15</f>
        <v>47.037143707275391</v>
      </c>
      <c r="I15" s="34">
        <f>Daily!F15</f>
        <v>0.99</v>
      </c>
      <c r="K15" s="41">
        <f ca="1">Calc!AA15</f>
        <v>37257</v>
      </c>
      <c r="L15" s="35">
        <f ca="1">IF(AND(ISNUMBER(H15),H15&lt;&gt;0), IF(Daily!$BB$12=1,Calc!AF15+H15,IF(Daily!$BB$12=2,Calc!AF15*H15,IF(Daily!$BB$12=3,H15,Calc!AF15))),Calc!AF15)</f>
        <v>47.037143707275391</v>
      </c>
      <c r="M15" s="35">
        <f ca="1">IF(AND(ISNUMBER(I15),I15&lt;&gt;0),IF(Daily!$BB$13=1,Calc!AG15+I15, IF(Daily!$BB$13=2,Calc!AG15*I15, IF(Daily!$BB$13=3,I15,Calc!AG15))),Calc!AG15)</f>
        <v>0.47499999999999998</v>
      </c>
      <c r="N15" s="35">
        <f ca="1">VLOOKUP(K15,Calc!$AA$5:$AH$72,8)</f>
        <v>5.3439921275452003E-2</v>
      </c>
      <c r="R15" s="70">
        <v>11</v>
      </c>
      <c r="S15" s="271">
        <f>'Power Curves'!D19</f>
        <v>36982</v>
      </c>
      <c r="T15" s="272">
        <f>IF(ISNUMBER(VLOOKUP(S15,Daily!$G$5:$I$36,3, FALSE)), VLOOKUP(S15,Daily!$G$5:$I$36,3),VLOOKUP(S15, $K$5:$L$72,2))</f>
        <v>25</v>
      </c>
      <c r="U15" s="35">
        <f t="shared" ca="1" si="3"/>
        <v>0.75</v>
      </c>
      <c r="V15" s="35">
        <f t="shared" ca="1" si="4"/>
        <v>5.3439921275452003E-2</v>
      </c>
      <c r="Y15" s="207" t="str">
        <f>Daily!K4</f>
        <v>Expiration</v>
      </c>
      <c r="Z15" s="207">
        <f>Daily!L4</f>
        <v>0</v>
      </c>
      <c r="AA15" s="207">
        <f>Daily!M4</f>
        <v>0.25</v>
      </c>
      <c r="AB15" s="207">
        <f>Daily!N4</f>
        <v>0.6</v>
      </c>
      <c r="AC15" s="207">
        <f>Daily!O4</f>
        <v>0.8</v>
      </c>
      <c r="AD15" s="207">
        <f>Z15</f>
        <v>0</v>
      </c>
      <c r="AE15" s="207">
        <f>Daily!P4</f>
        <v>0.2</v>
      </c>
      <c r="AF15" s="207">
        <f>Daily!Q4</f>
        <v>0.4</v>
      </c>
      <c r="AG15" s="207">
        <f>Daily!R4</f>
        <v>0.7</v>
      </c>
      <c r="AJ15" s="114">
        <f t="shared" ca="1" si="0"/>
        <v>37288</v>
      </c>
      <c r="AK15" s="207">
        <v>-0.13818</v>
      </c>
      <c r="AL15" s="207">
        <v>0.31507400000000002</v>
      </c>
      <c r="AM15" s="207">
        <v>-5.7619999999999998E-3</v>
      </c>
      <c r="AW15" s="207" t="str">
        <f>Monthly!K4</f>
        <v>Expiration</v>
      </c>
      <c r="AX15" s="234">
        <f>Monthly!L4</f>
        <v>0</v>
      </c>
      <c r="AY15" s="234">
        <f>Monthly!M4</f>
        <v>0.25</v>
      </c>
      <c r="AZ15" s="234">
        <f>Monthly!N4</f>
        <v>0.6</v>
      </c>
      <c r="BA15" s="234">
        <f>Monthly!O4</f>
        <v>0.8</v>
      </c>
      <c r="BB15" s="234">
        <f>AX15</f>
        <v>0</v>
      </c>
      <c r="BC15" s="234">
        <f>Monthly!P4</f>
        <v>0.2</v>
      </c>
      <c r="BD15" s="234">
        <f>Monthly!Q4</f>
        <v>0.4</v>
      </c>
      <c r="BE15" s="234">
        <f>Monthly!R4</f>
        <v>0.7</v>
      </c>
      <c r="BH15" s="114">
        <f t="shared" ca="1" si="1"/>
        <v>37288</v>
      </c>
      <c r="BI15" s="207">
        <v>-0.13818</v>
      </c>
      <c r="BJ15" s="207">
        <v>0.31507400000000002</v>
      </c>
      <c r="BK15" s="207">
        <v>-5.7619999999999998E-3</v>
      </c>
      <c r="BU15" s="34">
        <f ca="1">Monthly!E15</f>
        <v>47.037143707275391</v>
      </c>
      <c r="BV15" s="34">
        <f>Monthly!F15</f>
        <v>0.99</v>
      </c>
      <c r="BX15" s="41">
        <f ca="1">Calc!AA15</f>
        <v>37257</v>
      </c>
      <c r="BY15" s="35">
        <f ca="1">IF(AND(ISNUMBER(BU15),BU15&lt;&gt;0), IF(Monthly!$BB$12=1,Calc!AI15+BU15,IF(Monthly!$BB$12=2,Calc!AI15*BU15,IF(Monthly!$BB$12=3,BU15,Calc!AI15))),Calc!AI15)</f>
        <v>47.037143707275391</v>
      </c>
      <c r="BZ15" s="35">
        <f ca="1">IF(AND(ISNUMBER(BV15),BV15&lt;&gt;0),IF(Monthly!$BB$13=1,Calc!AJ15+BV15, IF(Monthly!$BB$13=2,Calc!AJ15*BV15, IF(Monthly!$BB$13=3,BV15,Calc!AJ15))),Calc!AJ15)</f>
        <v>0.47499999999999998</v>
      </c>
      <c r="CA15" s="35">
        <f ca="1">VLOOKUP(BX15,Calc!$AA$5:$AH$72,8)</f>
        <v>5.3439921275452003E-2</v>
      </c>
      <c r="CB15" s="73">
        <v>0</v>
      </c>
      <c r="CC15" s="73">
        <v>1</v>
      </c>
      <c r="CD15" s="73">
        <f t="shared" ca="1" si="2"/>
        <v>0.76933607118412051</v>
      </c>
    </row>
    <row r="16" spans="3:82" x14ac:dyDescent="0.2">
      <c r="C16" s="277"/>
      <c r="D16" s="248"/>
      <c r="E16" s="248"/>
      <c r="F16" s="248"/>
      <c r="H16" s="34">
        <f ca="1">Daily!E16</f>
        <v>46.437141418457031</v>
      </c>
      <c r="I16" s="34">
        <f>Daily!F16</f>
        <v>0.99</v>
      </c>
      <c r="K16" s="41">
        <f ca="1">Calc!AA16</f>
        <v>37288</v>
      </c>
      <c r="L16" s="35">
        <f ca="1">IF(AND(ISNUMBER(H16),H16&lt;&gt;0), IF(Daily!$BB$12=1,Calc!AF16+H16,IF(Daily!$BB$12=2,Calc!AF16*H16,IF(Daily!$BB$12=3,H16,Calc!AF16))),Calc!AF16)</f>
        <v>46.437141418457031</v>
      </c>
      <c r="M16" s="35">
        <f ca="1">IF(AND(ISNUMBER(I16),I16&lt;&gt;0),IF(Daily!$BB$13=1,Calc!AG16+I16, IF(Daily!$BB$13=2,Calc!AG16*I16, IF(Daily!$BB$13=3,I16,Calc!AG16))),Calc!AG16)</f>
        <v>0.42499999999999999</v>
      </c>
      <c r="N16" s="35">
        <f ca="1">VLOOKUP(K16,Calc!$AA$5:$AH$72,8)</f>
        <v>5.3428466084266005E-2</v>
      </c>
      <c r="R16" s="70">
        <v>12</v>
      </c>
      <c r="S16" s="271">
        <f>'Power Curves'!D20</f>
        <v>36983</v>
      </c>
      <c r="T16" s="272">
        <f>IF(ISNUMBER(VLOOKUP(S16,Daily!$G$5:$I$36,3, FALSE)), VLOOKUP(S16,Daily!$G$5:$I$36,3),VLOOKUP(S16, $K$5:$L$72,2))</f>
        <v>40.25</v>
      </c>
      <c r="U16" s="35">
        <f t="shared" ca="1" si="3"/>
        <v>0.75</v>
      </c>
      <c r="V16" s="35">
        <f t="shared" ca="1" si="4"/>
        <v>5.3428466084266005E-2</v>
      </c>
      <c r="Y16" s="114">
        <f ca="1">Daily!K5</f>
        <v>36976</v>
      </c>
      <c r="Z16" s="269">
        <v>0</v>
      </c>
      <c r="AA16" s="220">
        <f>IF(ISNUMBER(Daily!M5),Daily!M5+$Z16, $Z16+0.05)</f>
        <v>0</v>
      </c>
      <c r="AB16" s="220">
        <f>IF(ISNUMBER(Daily!N5),Daily!N5+$Z16, $Z16+0.15)</f>
        <v>0.15</v>
      </c>
      <c r="AC16" s="220">
        <f>IF(ISNUMBER(Daily!O5),Daily!O5+$Z16, $Z16+0.15)</f>
        <v>0.35</v>
      </c>
      <c r="AD16" s="220">
        <f t="shared" ref="AD16:AD23" si="5">Z16</f>
        <v>0</v>
      </c>
      <c r="AE16" s="220">
        <f>IF(ISNUMBER(Daily!P5),Daily!P5+$AD16,$AD16+0.05)</f>
        <v>-0.2</v>
      </c>
      <c r="AF16" s="220">
        <f>IF(ISNUMBER(Daily!Q5),Daily!Q5+$AD16,$AD16+0.1)</f>
        <v>-0.3</v>
      </c>
      <c r="AG16" s="220">
        <f>IF(ISNUMBER(Daily!R5),Daily!R5+$AD16,$AD16+0.15)</f>
        <v>0.15</v>
      </c>
      <c r="AJ16" s="114">
        <f t="shared" ca="1" si="0"/>
        <v>37316</v>
      </c>
      <c r="AK16" s="207">
        <v>-0.13818</v>
      </c>
      <c r="AL16" s="207">
        <v>0.31507400000000002</v>
      </c>
      <c r="AM16" s="207">
        <v>-5.7619999999999998E-3</v>
      </c>
      <c r="AW16" s="114">
        <f ca="1">Monthly!K5</f>
        <v>36976</v>
      </c>
      <c r="AX16" s="220">
        <v>0</v>
      </c>
      <c r="AY16" s="220">
        <f>IF(ISNUMBER(Monthly!M5),Monthly!M5+$AX16, $AX16+0.05)</f>
        <v>0</v>
      </c>
      <c r="AZ16" s="220">
        <f>IF(ISNUMBER(Monthly!N5),Override!N5+$AX16, $AX16+0.15)</f>
        <v>0.15</v>
      </c>
      <c r="BA16" s="220">
        <f>IF(ISNUMBER(Monthly!O5),Monthly!O5+$AX16, $AX16+0.15)</f>
        <v>0.35</v>
      </c>
      <c r="BB16" s="220">
        <f t="shared" ref="BB16:BB23" si="6">AX16</f>
        <v>0</v>
      </c>
      <c r="BC16" s="220">
        <f>IF(ISNUMBER(Monthly!P5),Monthly!P5+$BB16,$BB16+0.05)</f>
        <v>-0.2</v>
      </c>
      <c r="BD16" s="220">
        <f>IF(ISNUMBER(Monthly!Q5),Monthly!Q5+$BB16,$BB16+0.1)</f>
        <v>-0.3</v>
      </c>
      <c r="BE16" s="220">
        <f>IF(ISNUMBER(Monthly!R5),Monthly!R5+$BB16,$BB16+0.15)</f>
        <v>0.15</v>
      </c>
      <c r="BH16" s="114">
        <f t="shared" ca="1" si="1"/>
        <v>37316</v>
      </c>
      <c r="BI16" s="207">
        <v>-0.13818</v>
      </c>
      <c r="BJ16" s="207">
        <v>0.31507400000000002</v>
      </c>
      <c r="BK16" s="207">
        <v>-5.7619999999999998E-3</v>
      </c>
      <c r="BU16" s="34">
        <f ca="1">Monthly!E16</f>
        <v>46.437141418457031</v>
      </c>
      <c r="BV16" s="34">
        <f>Monthly!F16</f>
        <v>0.99</v>
      </c>
      <c r="BX16" s="41">
        <f ca="1">Calc!AA16</f>
        <v>37288</v>
      </c>
      <c r="BY16" s="35">
        <f ca="1">IF(AND(ISNUMBER(BU16),BU16&lt;&gt;0), IF(Monthly!$BB$12=1,Calc!AI16+BU16,IF(Monthly!$BB$12=2,Calc!AI16*BU16,IF(Monthly!$BB$12=3,BU16,Calc!AI16))),Calc!AI16)</f>
        <v>46.437141418457031</v>
      </c>
      <c r="BZ16" s="35">
        <f ca="1">IF(AND(ISNUMBER(BV16),BV16&lt;&gt;0),IF(Monthly!$BB$13=1,Calc!AJ16+BV16, IF(Monthly!$BB$13=2,Calc!AJ16*BV16, IF(Monthly!$BB$13=3,BV16,Calc!AJ16))),Calc!AJ16)</f>
        <v>0.42499999999999999</v>
      </c>
      <c r="CA16" s="35">
        <f ca="1">VLOOKUP(BX16,Calc!$AA$5:$AH$72,8)</f>
        <v>5.3428466084266005E-2</v>
      </c>
      <c r="CB16" s="73">
        <v>0</v>
      </c>
      <c r="CC16" s="73">
        <v>1</v>
      </c>
      <c r="CD16" s="73">
        <f t="shared" ca="1" si="2"/>
        <v>0.85420944558521561</v>
      </c>
    </row>
    <row r="17" spans="3:82" x14ac:dyDescent="0.2">
      <c r="C17" s="277"/>
      <c r="D17" s="248"/>
      <c r="E17" s="248"/>
      <c r="F17" s="248"/>
      <c r="H17" s="34">
        <f ca="1">Daily!E17</f>
        <v>36.651039123535156</v>
      </c>
      <c r="I17" s="34">
        <f>Daily!F17</f>
        <v>0.99</v>
      </c>
      <c r="K17" s="41">
        <f ca="1">Calc!AA17</f>
        <v>37316</v>
      </c>
      <c r="L17" s="35">
        <f ca="1">IF(AND(ISNUMBER(H17),H17&lt;&gt;0), IF(Daily!$BB$12=1,Calc!AF17+H17,IF(Daily!$BB$12=2,Calc!AF17*H17,IF(Daily!$BB$12=3,H17,Calc!AF17))),Calc!AF17)</f>
        <v>36.651039123535156</v>
      </c>
      <c r="M17" s="35">
        <f ca="1">IF(AND(ISNUMBER(I17),I17&lt;&gt;0),IF(Daily!$BB$13=1,Calc!AG17+I17, IF(Daily!$BB$13=2,Calc!AG17*I17, IF(Daily!$BB$13=3,I17,Calc!AG17))),Calc!AG17)</f>
        <v>0.38600000000000001</v>
      </c>
      <c r="N17" s="35">
        <f ca="1">VLOOKUP(K17,Calc!$AA$5:$AH$72,8)</f>
        <v>5.3442106428677007E-2</v>
      </c>
      <c r="R17" s="70">
        <v>13</v>
      </c>
      <c r="S17" s="271">
        <f>'Power Curves'!D21</f>
        <v>36984</v>
      </c>
      <c r="T17" s="272">
        <f>IF(ISNUMBER(VLOOKUP(S17,Daily!$G$5:$I$36,3, FALSE)), VLOOKUP(S17,Daily!$G$5:$I$36,3),VLOOKUP(S17, $K$5:$L$72,2))</f>
        <v>40.25</v>
      </c>
      <c r="U17" s="35">
        <f t="shared" ca="1" si="3"/>
        <v>0.75</v>
      </c>
      <c r="V17" s="35">
        <f t="shared" ca="1" si="4"/>
        <v>5.3442106428677007E-2</v>
      </c>
      <c r="Y17" s="114">
        <f ca="1">Daily!K6</f>
        <v>36982</v>
      </c>
      <c r="Z17" s="269">
        <v>0</v>
      </c>
      <c r="AA17" s="220">
        <f>IF(ISNUMBER(Daily!M6),Daily!M6+$Z17, $Z17+0.05)</f>
        <v>0.05</v>
      </c>
      <c r="AB17" s="220">
        <f>IF(ISNUMBER(Daily!N6),Daily!N6+$Z17, $Z17+0.15)</f>
        <v>0</v>
      </c>
      <c r="AC17" s="220">
        <f>IF(ISNUMBER(Daily!O6),Daily!O6+$Z17, $Z17+0.15)</f>
        <v>0.15</v>
      </c>
      <c r="AD17" s="220">
        <f t="shared" si="5"/>
        <v>0</v>
      </c>
      <c r="AE17" s="220">
        <f>IF(ISNUMBER(Daily!P6),Daily!P6+$AD17,$AD17+0.05)</f>
        <v>-0.05</v>
      </c>
      <c r="AF17" s="220">
        <f>IF(ISNUMBER(Daily!Q6),Daily!Q6+$AD17,$AD17+0.1)</f>
        <v>-0.1</v>
      </c>
      <c r="AG17" s="220">
        <f>IF(ISNUMBER(Daily!R6),Daily!R6+$AD17,$AD17+0.15)</f>
        <v>0.15</v>
      </c>
      <c r="AJ17" s="114">
        <f t="shared" ca="1" si="0"/>
        <v>37347</v>
      </c>
      <c r="AK17" s="207">
        <v>-0.13818</v>
      </c>
      <c r="AL17" s="207">
        <v>0.31507400000000002</v>
      </c>
      <c r="AM17" s="207">
        <v>-5.7619999999999998E-3</v>
      </c>
      <c r="AW17" s="114">
        <f ca="1">Monthly!K6</f>
        <v>36982</v>
      </c>
      <c r="AX17" s="220">
        <v>0</v>
      </c>
      <c r="AY17" s="220">
        <f>IF(ISNUMBER(Monthly!M6),Monthly!M6+$AX17, $AX17+0.05)</f>
        <v>0.05</v>
      </c>
      <c r="AZ17" s="220">
        <f ca="1">IF(ISNUMBER(Monthly!N6),Override!N6+$AX17, $AX17+0.15)</f>
        <v>5.6935221700728011E-2</v>
      </c>
      <c r="BA17" s="220">
        <f>IF(ISNUMBER(Monthly!O6),Monthly!O6+$AX17, $AX17+0.15)</f>
        <v>0.15</v>
      </c>
      <c r="BB17" s="220">
        <f t="shared" si="6"/>
        <v>0</v>
      </c>
      <c r="BC17" s="220">
        <f>IF(ISNUMBER(Monthly!P6),Monthly!P6+$BB17,$BB17+0.05)</f>
        <v>-0.05</v>
      </c>
      <c r="BD17" s="220">
        <f>IF(ISNUMBER(Monthly!Q6),Monthly!Q6+$BB17,$BB17+0.1)</f>
        <v>-0.1</v>
      </c>
      <c r="BE17" s="220">
        <f>IF(ISNUMBER(Monthly!R6),Monthly!R6+$BB17,$BB17+0.15)</f>
        <v>0.15</v>
      </c>
      <c r="BH17" s="114">
        <f t="shared" ca="1" si="1"/>
        <v>37347</v>
      </c>
      <c r="BI17" s="207">
        <v>-0.13818</v>
      </c>
      <c r="BJ17" s="207">
        <v>0.31507400000000002</v>
      </c>
      <c r="BK17" s="207">
        <v>-5.7619999999999998E-3</v>
      </c>
      <c r="BU17" s="34">
        <f ca="1">Monthly!E17</f>
        <v>36.651039123535156</v>
      </c>
      <c r="BV17" s="34">
        <f>Monthly!F17</f>
        <v>0.99</v>
      </c>
      <c r="BX17" s="41">
        <f ca="1">Calc!AA17</f>
        <v>37316</v>
      </c>
      <c r="BY17" s="35">
        <f ca="1">IF(AND(ISNUMBER(BU17),BU17&lt;&gt;0), IF(Monthly!$BB$12=1,Calc!AI17+BU17,IF(Monthly!$BB$12=2,Calc!AI17*BU17,IF(Monthly!$BB$12=3,BU17,Calc!AI17))),Calc!AI17)</f>
        <v>36.651039123535156</v>
      </c>
      <c r="BZ17" s="35">
        <f ca="1">IF(AND(ISNUMBER(BV17),BV17&lt;&gt;0),IF(Monthly!$BB$13=1,Calc!AJ17+BV17, IF(Monthly!$BB$13=2,Calc!AJ17*BV17, IF(Monthly!$BB$13=3,BV17,Calc!AJ17))),Calc!AJ17)</f>
        <v>0.38600000000000001</v>
      </c>
      <c r="CA17" s="35">
        <f ca="1">VLOOKUP(BX17,Calc!$AA$5:$AH$72,8)</f>
        <v>5.3442106428677007E-2</v>
      </c>
      <c r="CB17" s="73">
        <v>0</v>
      </c>
      <c r="CC17" s="73">
        <v>1</v>
      </c>
      <c r="CD17" s="73">
        <f t="shared" ca="1" si="2"/>
        <v>0.9308692676249144</v>
      </c>
    </row>
    <row r="18" spans="3:82" x14ac:dyDescent="0.2">
      <c r="C18" s="277"/>
      <c r="D18" s="248"/>
      <c r="E18" s="248"/>
      <c r="F18" s="248"/>
      <c r="H18" s="34">
        <f ca="1">Daily!E18</f>
        <v>36.851043701171875</v>
      </c>
      <c r="I18" s="34">
        <f>Daily!F18</f>
        <v>0.99</v>
      </c>
      <c r="K18" s="41">
        <f ca="1">Calc!AA18</f>
        <v>37347</v>
      </c>
      <c r="L18" s="35">
        <f ca="1">IF(AND(ISNUMBER(H18),H18&lt;&gt;0), IF(Daily!$BB$12=1,Calc!AF18+H18,IF(Daily!$BB$12=2,Calc!AF18*H18,IF(Daily!$BB$12=3,H18,Calc!AF18))),Calc!AF18)</f>
        <v>36.851043701171875</v>
      </c>
      <c r="M18" s="35">
        <f ca="1">IF(AND(ISNUMBER(I18),I18&lt;&gt;0),IF(Daily!$BB$13=1,Calc!AG18+I18, IF(Daily!$BB$13=2,Calc!AG18*I18, IF(Daily!$BB$13=3,I18,Calc!AG18))),Calc!AG18)</f>
        <v>0.38600000000000001</v>
      </c>
      <c r="N18" s="35">
        <f ca="1">VLOOKUP(K18,Calc!$AA$5:$AH$72,8)</f>
        <v>5.3487811448450009E-2</v>
      </c>
      <c r="R18" s="70">
        <v>14</v>
      </c>
      <c r="S18" s="271">
        <f>'Power Curves'!D22</f>
        <v>36985</v>
      </c>
      <c r="T18" s="272">
        <f>IF(ISNUMBER(VLOOKUP(S18,Daily!$G$5:$I$36,3, FALSE)), VLOOKUP(S18,Daily!$G$5:$I$36,3),VLOOKUP(S18, $K$5:$L$72,2))</f>
        <v>40.25</v>
      </c>
      <c r="U18" s="35">
        <f t="shared" ca="1" si="3"/>
        <v>0.75</v>
      </c>
      <c r="V18" s="35">
        <f t="shared" ca="1" si="4"/>
        <v>5.3487811448450009E-2</v>
      </c>
      <c r="Y18" s="114">
        <f ca="1">Daily!K7</f>
        <v>37012</v>
      </c>
      <c r="Z18" s="269">
        <v>0</v>
      </c>
      <c r="AA18" s="220">
        <f>IF(ISNUMBER(Daily!M7),Daily!M7+$Z18, $Z18+0.05)</f>
        <v>0.35</v>
      </c>
      <c r="AB18" s="220">
        <f>IF(ISNUMBER(Daily!N7),Daily!N7+$Z18, $Z18+0.15)</f>
        <v>0.25</v>
      </c>
      <c r="AC18" s="220">
        <f>IF(ISNUMBER(Daily!O7),Daily!O7+$Z18, $Z18+0.15)</f>
        <v>0.4</v>
      </c>
      <c r="AD18" s="220">
        <f t="shared" si="5"/>
        <v>0</v>
      </c>
      <c r="AE18" s="220">
        <f>IF(ISNUMBER(Daily!P7),Daily!P7+$AD18,$AD18+0.05)</f>
        <v>0</v>
      </c>
      <c r="AF18" s="220">
        <f>IF(ISNUMBER(Daily!Q7),Daily!Q7+$AD18,$AD18+0.1)</f>
        <v>0.15</v>
      </c>
      <c r="AG18" s="220">
        <f>IF(ISNUMBER(Daily!R7),Daily!R7+$AD18,$AD18+0.15)</f>
        <v>0.15</v>
      </c>
      <c r="AJ18" s="114">
        <f t="shared" ca="1" si="0"/>
        <v>37377</v>
      </c>
      <c r="AK18" s="207">
        <v>-0.13818</v>
      </c>
      <c r="AL18" s="207">
        <v>0.31507400000000002</v>
      </c>
      <c r="AM18" s="207">
        <v>-5.7619999999999998E-3</v>
      </c>
      <c r="AW18" s="114">
        <f ca="1">Monthly!K7</f>
        <v>37012</v>
      </c>
      <c r="AX18" s="220">
        <v>0</v>
      </c>
      <c r="AY18" s="220">
        <f>IF(ISNUMBER(Monthly!M7),Monthly!M7+$AX18, $AX18+0.05)</f>
        <v>0.1</v>
      </c>
      <c r="AZ18" s="220">
        <f ca="1">IF(ISNUMBER(Monthly!N7),Override!N7+$AX18, $AX18+0.15)</f>
        <v>5.6349405031458001E-2</v>
      </c>
      <c r="BA18" s="220">
        <f>IF(ISNUMBER(Monthly!O7),Monthly!O7+$AX18, $AX18+0.15)</f>
        <v>0.3</v>
      </c>
      <c r="BB18" s="220">
        <f t="shared" si="6"/>
        <v>0</v>
      </c>
      <c r="BC18" s="220">
        <f>IF(ISNUMBER(Monthly!P7),Monthly!P7+$BB18,$BB18+0.05)</f>
        <v>0</v>
      </c>
      <c r="BD18" s="220">
        <f>IF(ISNUMBER(Monthly!Q7),Monthly!Q7+$BB18,$BB18+0.1)</f>
        <v>0.15</v>
      </c>
      <c r="BE18" s="220">
        <f>IF(ISNUMBER(Monthly!R7),Monthly!R7+$BB18,$BB18+0.15)</f>
        <v>0.15</v>
      </c>
      <c r="BH18" s="114">
        <f t="shared" ca="1" si="1"/>
        <v>37377</v>
      </c>
      <c r="BI18" s="207">
        <v>-0.13818</v>
      </c>
      <c r="BJ18" s="207">
        <v>0.31507400000000002</v>
      </c>
      <c r="BK18" s="207">
        <v>-5.7619999999999998E-3</v>
      </c>
      <c r="BU18" s="34">
        <f ca="1">Monthly!E18</f>
        <v>36.851043701171875</v>
      </c>
      <c r="BV18" s="34">
        <f>Monthly!F18</f>
        <v>0.99</v>
      </c>
      <c r="BX18" s="41">
        <f ca="1">Calc!AA18</f>
        <v>37347</v>
      </c>
      <c r="BY18" s="35">
        <f ca="1">IF(AND(ISNUMBER(BU18),BU18&lt;&gt;0), IF(Monthly!$BB$12=1,Calc!AI18+BU18,IF(Monthly!$BB$12=2,Calc!AI18*BU18,IF(Monthly!$BB$12=3,BU18,Calc!AI18))),Calc!AI18)</f>
        <v>36.851043701171875</v>
      </c>
      <c r="BZ18" s="35">
        <f ca="1">IF(AND(ISNUMBER(BV18),BV18&lt;&gt;0),IF(Monthly!$BB$13=1,Calc!AJ18+BV18, IF(Monthly!$BB$13=2,Calc!AJ18*BV18, IF(Monthly!$BB$13=3,BV18,Calc!AJ18))),Calc!AJ18)</f>
        <v>0.38600000000000001</v>
      </c>
      <c r="CA18" s="35">
        <f ca="1">VLOOKUP(BX18,Calc!$AA$5:$AH$72,8)</f>
        <v>5.3487811448450009E-2</v>
      </c>
      <c r="CB18" s="73">
        <v>0</v>
      </c>
      <c r="CC18" s="73">
        <v>1</v>
      </c>
      <c r="CD18" s="73">
        <f t="shared" ca="1" si="2"/>
        <v>1.0157426420260096</v>
      </c>
    </row>
    <row r="19" spans="3:82" x14ac:dyDescent="0.2">
      <c r="C19" s="277"/>
      <c r="D19" s="248"/>
      <c r="E19" s="248"/>
      <c r="F19" s="248"/>
      <c r="H19" s="34">
        <f ca="1">Daily!E19</f>
        <v>40.999996185302734</v>
      </c>
      <c r="I19" s="34">
        <f>Daily!F19</f>
        <v>0.99</v>
      </c>
      <c r="K19" s="41">
        <f ca="1">Calc!AA19</f>
        <v>37377</v>
      </c>
      <c r="L19" s="35">
        <f ca="1">IF(AND(ISNUMBER(H19),H19&lt;&gt;0), IF(Daily!$BB$12=1,Calc!AF19+H19,IF(Daily!$BB$12=2,Calc!AF19*H19,IF(Daily!$BB$12=3,H19,Calc!AF19))),Calc!AF19)</f>
        <v>40.999996185302734</v>
      </c>
      <c r="M19" s="35">
        <f ca="1">IF(AND(ISNUMBER(I19),I19&lt;&gt;0),IF(Daily!$BB$13=1,Calc!AG19+I19, IF(Daily!$BB$13=2,Calc!AG19*I19, IF(Daily!$BB$13=3,I19,Calc!AG19))),Calc!AG19)</f>
        <v>0.41600000000000004</v>
      </c>
      <c r="N19" s="35">
        <f ca="1">VLOOKUP(K19,Calc!$AA$5:$AH$72,8)</f>
        <v>5.3535039969613001E-2</v>
      </c>
      <c r="R19" s="70">
        <v>15</v>
      </c>
      <c r="S19" s="271">
        <f>'Power Curves'!D23</f>
        <v>36986</v>
      </c>
      <c r="T19" s="272">
        <f>IF(ISNUMBER(VLOOKUP(S19,Daily!$G$5:$I$36,3, FALSE)), VLOOKUP(S19,Daily!$G$5:$I$36,3),VLOOKUP(S19, $K$5:$L$72,2))</f>
        <v>40.25</v>
      </c>
      <c r="U19" s="35">
        <f t="shared" ca="1" si="3"/>
        <v>0.75</v>
      </c>
      <c r="V19" s="35">
        <f t="shared" ca="1" si="4"/>
        <v>5.3535039969613001E-2</v>
      </c>
      <c r="Y19" s="114">
        <f ca="1">Daily!K8</f>
        <v>37043</v>
      </c>
      <c r="Z19" s="269">
        <v>0</v>
      </c>
      <c r="AA19" s="220">
        <f>IF(ISNUMBER(Daily!M8),Daily!M8+$Z19, $Z19+0.05)</f>
        <v>0.05</v>
      </c>
      <c r="AB19" s="220">
        <f>IF(ISNUMBER(Daily!N8),Daily!N8+$Z19, $Z19+0.15)</f>
        <v>0.7</v>
      </c>
      <c r="AC19" s="220">
        <f>IF(ISNUMBER(Daily!O8),Daily!O8+$Z19, $Z19+0.15)</f>
        <v>0.15</v>
      </c>
      <c r="AD19" s="220">
        <f t="shared" si="5"/>
        <v>0</v>
      </c>
      <c r="AE19" s="220">
        <f>IF(ISNUMBER(Daily!P8),Daily!P8+$AD19,$AD19+0.05)</f>
        <v>0.5</v>
      </c>
      <c r="AF19" s="220">
        <f>IF(ISNUMBER(Daily!Q8),Daily!Q8+$AD19,$AD19+0.1)</f>
        <v>0.4</v>
      </c>
      <c r="AG19" s="220">
        <f>IF(ISNUMBER(Daily!R8),Daily!R8+$AD19,$AD19+0.15)</f>
        <v>0.15</v>
      </c>
      <c r="AJ19" s="114">
        <f t="shared" ca="1" si="0"/>
        <v>37408</v>
      </c>
      <c r="AK19" s="207">
        <v>-0.13818</v>
      </c>
      <c r="AL19" s="207">
        <v>0.31507400000000002</v>
      </c>
      <c r="AM19" s="207">
        <v>-5.7619999999999998E-3</v>
      </c>
      <c r="AW19" s="114">
        <f ca="1">Monthly!K8</f>
        <v>37043</v>
      </c>
      <c r="AX19" s="220">
        <v>0</v>
      </c>
      <c r="AY19" s="220">
        <f>IF(ISNUMBER(Monthly!M8),Monthly!M8+$AX19, $AX19+0.05)</f>
        <v>0.05</v>
      </c>
      <c r="AZ19" s="220">
        <f ca="1">IF(ISNUMBER(Monthly!N8),Override!N8+$AX19, $AX19+0.15)</f>
        <v>5.5788260418609015E-2</v>
      </c>
      <c r="BA19" s="220">
        <f>IF(ISNUMBER(Monthly!O8),Monthly!O8+$AX19, $AX19+0.15)</f>
        <v>0.15</v>
      </c>
      <c r="BB19" s="220">
        <f t="shared" si="6"/>
        <v>0</v>
      </c>
      <c r="BC19" s="220">
        <f>IF(ISNUMBER(Monthly!P8),Monthly!P8+$BB19,$BB19+0.05)</f>
        <v>0.5</v>
      </c>
      <c r="BD19" s="220">
        <f>IF(ISNUMBER(Monthly!Q8),Monthly!Q8+$BB19,$BB19+0.1)</f>
        <v>0.4</v>
      </c>
      <c r="BE19" s="220">
        <f>IF(ISNUMBER(Monthly!R8),Monthly!R8+$BB19,$BB19+0.15)</f>
        <v>0.15</v>
      </c>
      <c r="BH19" s="114">
        <f t="shared" ca="1" si="1"/>
        <v>37408</v>
      </c>
      <c r="BI19" s="207">
        <v>-0.13818</v>
      </c>
      <c r="BJ19" s="207">
        <v>0.31507400000000002</v>
      </c>
      <c r="BK19" s="207">
        <v>-5.7619999999999998E-3</v>
      </c>
      <c r="BU19" s="34">
        <f ca="1">Monthly!E19</f>
        <v>40.999996185302734</v>
      </c>
      <c r="BV19" s="34">
        <f>Monthly!F19</f>
        <v>0.99</v>
      </c>
      <c r="BX19" s="41">
        <f ca="1">Calc!AA19</f>
        <v>37377</v>
      </c>
      <c r="BY19" s="35">
        <f ca="1">IF(AND(ISNUMBER(BU19),BU19&lt;&gt;0), IF(Monthly!$BB$12=1,Calc!AI19+BU19,IF(Monthly!$BB$12=2,Calc!AI19*BU19,IF(Monthly!$BB$12=3,BU19,Calc!AI19))),Calc!AI19)</f>
        <v>40.999996185302734</v>
      </c>
      <c r="BZ19" s="35">
        <f ca="1">IF(AND(ISNUMBER(BV19),BV19&lt;&gt;0),IF(Monthly!$BB$13=1,Calc!AJ19+BV19, IF(Monthly!$BB$13=2,Calc!AJ19*BV19, IF(Monthly!$BB$13=3,BV19,Calc!AJ19))),Calc!AJ19)</f>
        <v>0.41600000000000004</v>
      </c>
      <c r="CA19" s="35">
        <f ca="1">VLOOKUP(BX19,Calc!$AA$5:$AH$72,8)</f>
        <v>5.3535039969613001E-2</v>
      </c>
      <c r="CB19" s="73">
        <v>0</v>
      </c>
      <c r="CC19" s="73">
        <v>1</v>
      </c>
      <c r="CD19" s="73">
        <f t="shared" ca="1" si="2"/>
        <v>1.0978781656399725</v>
      </c>
    </row>
    <row r="20" spans="3:82" x14ac:dyDescent="0.2">
      <c r="C20" s="277"/>
      <c r="D20" s="248"/>
      <c r="E20" s="248"/>
      <c r="F20" s="248"/>
      <c r="H20" s="34">
        <f ca="1">Daily!E20</f>
        <v>59.5</v>
      </c>
      <c r="I20" s="34">
        <f>Daily!F20</f>
        <v>0.99</v>
      </c>
      <c r="K20" s="41">
        <f ca="1">Calc!AA20</f>
        <v>37408</v>
      </c>
      <c r="L20" s="35">
        <f ca="1">IF(AND(ISNUMBER(H20),H20&lt;&gt;0), IF(Daily!$BB$12=1,Calc!AF20+H20,IF(Daily!$BB$12=2,Calc!AF20*H20,IF(Daily!$BB$12=3,H20,Calc!AF20))),Calc!AF20)</f>
        <v>59.5</v>
      </c>
      <c r="M20" s="35">
        <f ca="1">IF(AND(ISNUMBER(I20),I20&lt;&gt;0),IF(Daily!$BB$13=1,Calc!AG20+I20, IF(Daily!$BB$13=2,Calc!AG20*I20, IF(Daily!$BB$13=3,I20,Calc!AG20))),Calc!AG20)</f>
        <v>0.45050000000000001</v>
      </c>
      <c r="N20" s="35">
        <f ca="1">VLOOKUP(K20,Calc!$AA$5:$AH$72,8)</f>
        <v>5.3610157746085012E-2</v>
      </c>
      <c r="R20" s="70">
        <v>16</v>
      </c>
      <c r="S20" s="271">
        <f>'Power Curves'!D24</f>
        <v>36987</v>
      </c>
      <c r="T20" s="272">
        <f>IF(ISNUMBER(VLOOKUP(S20,Daily!$G$5:$I$36,3, FALSE)), VLOOKUP(S20,Daily!$G$5:$I$36,3),VLOOKUP(S20, $K$5:$L$72,2))</f>
        <v>40.25</v>
      </c>
      <c r="U20" s="35">
        <f t="shared" ca="1" si="3"/>
        <v>0.75</v>
      </c>
      <c r="V20" s="35">
        <f t="shared" ca="1" si="4"/>
        <v>5.3610157746085012E-2</v>
      </c>
      <c r="Y20" s="114">
        <f ca="1">Daily!K9</f>
        <v>37073</v>
      </c>
      <c r="Z20" s="269">
        <v>0</v>
      </c>
      <c r="AA20" s="220">
        <f>IF(ISNUMBER(Daily!M9),Daily!M9+$Z20, $Z20+0.05)</f>
        <v>0.05</v>
      </c>
      <c r="AB20" s="220">
        <f>IF(ISNUMBER(Daily!N9),Daily!N9+$Z20, $Z20+0.15)</f>
        <v>0.15</v>
      </c>
      <c r="AC20" s="220">
        <f>IF(ISNUMBER(Daily!O9),Daily!O9+$Z20, $Z20+0.15)</f>
        <v>0.15</v>
      </c>
      <c r="AD20" s="220">
        <f t="shared" si="5"/>
        <v>0</v>
      </c>
      <c r="AE20" s="220">
        <f>IF(ISNUMBER(Daily!P9),Daily!P9+$AD20,$AD20+0.05)</f>
        <v>0.05</v>
      </c>
      <c r="AF20" s="220">
        <f>IF(ISNUMBER(Daily!Q9),Daily!Q9+$AD20,$AD20+0.1)</f>
        <v>0.1</v>
      </c>
      <c r="AG20" s="220">
        <f>IF(ISNUMBER(Daily!R9),Daily!R9+$AD20,$AD20+0.15)</f>
        <v>0.15</v>
      </c>
      <c r="AJ20" s="114">
        <f t="shared" ca="1" si="0"/>
        <v>37438</v>
      </c>
      <c r="AK20" s="207">
        <v>-0.13818</v>
      </c>
      <c r="AL20" s="207">
        <v>0.31507400000000002</v>
      </c>
      <c r="AM20" s="207">
        <v>-5.7619999999999998E-3</v>
      </c>
      <c r="AW20" s="114">
        <f ca="1">Monthly!K9</f>
        <v>37073</v>
      </c>
      <c r="AX20" s="220">
        <v>0</v>
      </c>
      <c r="AY20" s="220">
        <f>IF(ISNUMBER(Monthly!M9),Monthly!M9+$AX20, $AX20+0.05)</f>
        <v>0.05</v>
      </c>
      <c r="AZ20" s="220">
        <f>IF(ISNUMBER(Monthly!N9),Override!N9+$AX20, $AX20+0.15)</f>
        <v>0.15</v>
      </c>
      <c r="BA20" s="220">
        <f>IF(ISNUMBER(Monthly!O9),Monthly!O9+$AX20, $AX20+0.15)</f>
        <v>0.15</v>
      </c>
      <c r="BB20" s="220">
        <f t="shared" si="6"/>
        <v>0</v>
      </c>
      <c r="BC20" s="220">
        <f>IF(ISNUMBER(Monthly!P9),Monthly!P9+$BB20,$BB20+0.05)</f>
        <v>0.05</v>
      </c>
      <c r="BD20" s="220">
        <f>IF(ISNUMBER(Monthly!Q9),Monthly!Q9+$BB20,$BB20+0.1)</f>
        <v>0.1</v>
      </c>
      <c r="BE20" s="220">
        <f>IF(ISNUMBER(Monthly!R9),Monthly!R9+$BB20,$BB20+0.15)</f>
        <v>0.15</v>
      </c>
      <c r="BH20" s="114">
        <f t="shared" ca="1" si="1"/>
        <v>37438</v>
      </c>
      <c r="BI20" s="207">
        <v>-0.13818</v>
      </c>
      <c r="BJ20" s="207">
        <v>0.31507400000000002</v>
      </c>
      <c r="BK20" s="207">
        <v>-5.7619999999999998E-3</v>
      </c>
      <c r="BU20" s="34">
        <f ca="1">Monthly!E20</f>
        <v>59.5</v>
      </c>
      <c r="BV20" s="34">
        <f>Monthly!F20</f>
        <v>0.99</v>
      </c>
      <c r="BX20" s="41">
        <f ca="1">Calc!AA20</f>
        <v>37408</v>
      </c>
      <c r="BY20" s="35">
        <f ca="1">IF(AND(ISNUMBER(BU20),BU20&lt;&gt;0), IF(Monthly!$BB$12=1,Calc!AI20+BU20,IF(Monthly!$BB$12=2,Calc!AI20*BU20,IF(Monthly!$BB$12=3,BU20,Calc!AI20))),Calc!AI20)</f>
        <v>59.5</v>
      </c>
      <c r="BZ20" s="35">
        <f ca="1">IF(AND(ISNUMBER(BV20),BV20&lt;&gt;0),IF(Monthly!$BB$13=1,Calc!AJ20+BV20, IF(Monthly!$BB$13=2,Calc!AJ20*BV20, IF(Monthly!$BB$13=3,BV20,Calc!AJ20))),Calc!AJ20)</f>
        <v>0.45050000000000001</v>
      </c>
      <c r="CA20" s="35">
        <f ca="1">VLOOKUP(BX20,Calc!$AA$5:$AH$72,8)</f>
        <v>5.3610157746085012E-2</v>
      </c>
      <c r="CB20" s="73">
        <v>0</v>
      </c>
      <c r="CC20" s="73">
        <v>1</v>
      </c>
      <c r="CD20" s="73">
        <f t="shared" ca="1" si="2"/>
        <v>1.1827515400410678</v>
      </c>
    </row>
    <row r="21" spans="3:82" x14ac:dyDescent="0.2">
      <c r="C21" s="277"/>
      <c r="D21" s="248"/>
      <c r="E21" s="248"/>
      <c r="F21" s="248"/>
      <c r="H21" s="34">
        <f ca="1">Daily!E21</f>
        <v>85.5</v>
      </c>
      <c r="I21" s="34">
        <f>Daily!F21</f>
        <v>0.99</v>
      </c>
      <c r="K21" s="41">
        <f ca="1">Calc!AA21</f>
        <v>37438</v>
      </c>
      <c r="L21" s="35">
        <f ca="1">IF(AND(ISNUMBER(H21),H21&lt;&gt;0), IF(Daily!$BB$12=1,Calc!AF21+H21,IF(Daily!$BB$12=2,Calc!AF21*H21,IF(Daily!$BB$12=3,H21,Calc!AF21))),Calc!AF21)</f>
        <v>85.5</v>
      </c>
      <c r="M21" s="35">
        <f ca="1">IF(AND(ISNUMBER(I21),I21&lt;&gt;0),IF(Daily!$BB$13=1,Calc!AG21+I21, IF(Daily!$BB$13=2,Calc!AG21*I21, IF(Daily!$BB$13=3,I21,Calc!AG21))),Calc!AG21)</f>
        <v>0.51550000000000007</v>
      </c>
      <c r="N21" s="35">
        <f ca="1">VLOOKUP(K21,Calc!$AA$5:$AH$72,8)</f>
        <v>5.373605290087103E-2</v>
      </c>
      <c r="R21" s="70">
        <v>17</v>
      </c>
      <c r="S21" s="271">
        <f>'Power Curves'!D25</f>
        <v>36988</v>
      </c>
      <c r="T21" s="272">
        <f>IF(ISNUMBER(VLOOKUP(S21,Daily!$G$5:$I$36,3, FALSE)), VLOOKUP(S21,Daily!$G$5:$I$36,3),VLOOKUP(S21, $K$5:$L$72,2))</f>
        <v>25</v>
      </c>
      <c r="U21" s="35">
        <f t="shared" ca="1" si="3"/>
        <v>0.75</v>
      </c>
      <c r="V21" s="35">
        <f t="shared" ca="1" si="4"/>
        <v>5.373605290087103E-2</v>
      </c>
      <c r="Y21" s="114">
        <f ca="1">Daily!K10</f>
        <v>37104</v>
      </c>
      <c r="Z21" s="269">
        <v>0</v>
      </c>
      <c r="AA21" s="220">
        <f>IF(ISNUMBER(Daily!M10),Daily!M10+$Z21, $Z21+0.05)</f>
        <v>0.05</v>
      </c>
      <c r="AB21" s="220">
        <f>IF(ISNUMBER(Daily!N10),Daily!N10+$Z21, $Z21+0.15)</f>
        <v>0.15</v>
      </c>
      <c r="AC21" s="220">
        <f>IF(ISNUMBER(Daily!O10),Daily!O10+$Z21, $Z21+0.15)</f>
        <v>0.15</v>
      </c>
      <c r="AD21" s="220">
        <f t="shared" si="5"/>
        <v>0</v>
      </c>
      <c r="AE21" s="220">
        <f>IF(ISNUMBER(Daily!P10),Daily!P10+$AD21,$AD21+0.05)</f>
        <v>0.05</v>
      </c>
      <c r="AF21" s="220">
        <f>IF(ISNUMBER(Daily!Q10),Daily!Q10+$AD21,$AD21+0.1)</f>
        <v>0.1</v>
      </c>
      <c r="AG21" s="220">
        <f>IF(ISNUMBER(Daily!R10),Daily!R10+$AD21,$AD21+0.15)</f>
        <v>0.15</v>
      </c>
      <c r="AJ21" s="114">
        <f t="shared" ca="1" si="0"/>
        <v>37469</v>
      </c>
      <c r="AK21" s="207">
        <v>-0.13818</v>
      </c>
      <c r="AL21" s="207">
        <v>0.31507400000000002</v>
      </c>
      <c r="AM21" s="207">
        <v>-5.7619999999999998E-3</v>
      </c>
      <c r="AW21" s="114">
        <f ca="1">Monthly!K10</f>
        <v>37104</v>
      </c>
      <c r="AX21" s="220">
        <v>0</v>
      </c>
      <c r="AY21" s="220">
        <f>IF(ISNUMBER(Monthly!M10),Monthly!M10+$AX21, $AX21+0.05)</f>
        <v>0.05</v>
      </c>
      <c r="AZ21" s="220">
        <f>IF(ISNUMBER(Monthly!N10),Override!N10+$AX21, $AX21+0.15)</f>
        <v>0.15</v>
      </c>
      <c r="BA21" s="220">
        <f>IF(ISNUMBER(Monthly!O10),Monthly!O10+$AX21, $AX21+0.15)</f>
        <v>0.15</v>
      </c>
      <c r="BB21" s="220">
        <f t="shared" si="6"/>
        <v>0</v>
      </c>
      <c r="BC21" s="220">
        <f>IF(ISNUMBER(Monthly!P10),Monthly!P10+$BB21,$BB21+0.05)</f>
        <v>0.05</v>
      </c>
      <c r="BD21" s="220">
        <f>IF(ISNUMBER(Monthly!Q10),Monthly!Q10+$BB21,$BB21+0.1)</f>
        <v>0.1</v>
      </c>
      <c r="BE21" s="220">
        <f>IF(ISNUMBER(Monthly!R10),Monthly!R10+$BB21,$BB21+0.15)</f>
        <v>0.15</v>
      </c>
      <c r="BH21" s="114">
        <f t="shared" ca="1" si="1"/>
        <v>37469</v>
      </c>
      <c r="BI21" s="207">
        <v>-0.13818</v>
      </c>
      <c r="BJ21" s="207">
        <v>0.31507400000000002</v>
      </c>
      <c r="BK21" s="207">
        <v>-5.7619999999999998E-3</v>
      </c>
      <c r="BU21" s="34">
        <f ca="1">Monthly!E21</f>
        <v>85.5</v>
      </c>
      <c r="BV21" s="34">
        <f>Monthly!F21</f>
        <v>0.99</v>
      </c>
      <c r="BX21" s="41">
        <f ca="1">Calc!AA21</f>
        <v>37438</v>
      </c>
      <c r="BY21" s="35">
        <f ca="1">IF(AND(ISNUMBER(BU21),BU21&lt;&gt;0), IF(Monthly!$BB$12=1,Calc!AI21+BU21,IF(Monthly!$BB$12=2,Calc!AI21*BU21,IF(Monthly!$BB$12=3,BU21,Calc!AI21))),Calc!AI21)</f>
        <v>85.5</v>
      </c>
      <c r="BZ21" s="35">
        <f ca="1">IF(AND(ISNUMBER(BV21),BV21&lt;&gt;0),IF(Monthly!$BB$13=1,Calc!AJ21+BV21, IF(Monthly!$BB$13=2,Calc!AJ21*BV21, IF(Monthly!$BB$13=3,BV21,Calc!AJ21))),Calc!AJ21)</f>
        <v>0.51550000000000007</v>
      </c>
      <c r="CA21" s="35">
        <f ca="1">VLOOKUP(BX21,Calc!$AA$5:$AH$72,8)</f>
        <v>5.373605290087103E-2</v>
      </c>
      <c r="CB21" s="73">
        <v>0</v>
      </c>
      <c r="CC21" s="73">
        <v>1</v>
      </c>
      <c r="CD21" s="73">
        <f t="shared" ca="1" si="2"/>
        <v>1.2648870636550309</v>
      </c>
    </row>
    <row r="22" spans="3:82" x14ac:dyDescent="0.2">
      <c r="C22" s="277"/>
      <c r="D22" s="248"/>
      <c r="E22" s="248"/>
      <c r="F22" s="248"/>
      <c r="H22" s="34">
        <f ca="1">Daily!E22</f>
        <v>85.5</v>
      </c>
      <c r="I22" s="34">
        <f>Daily!F22</f>
        <v>0.99</v>
      </c>
      <c r="K22" s="41">
        <f ca="1">Calc!AA22</f>
        <v>37469</v>
      </c>
      <c r="L22" s="35">
        <f ca="1">IF(AND(ISNUMBER(H22),H22&lt;&gt;0), IF(Daily!$BB$12=1,Calc!AF22+H22,IF(Daily!$BB$12=2,Calc!AF22*H22,IF(Daily!$BB$12=3,H22,Calc!AF22))),Calc!AF22)</f>
        <v>85.5</v>
      </c>
      <c r="M22" s="35">
        <f ca="1">IF(AND(ISNUMBER(I22),I22&lt;&gt;0),IF(Daily!$BB$13=1,Calc!AG22+I22, IF(Daily!$BB$13=2,Calc!AG22*I22, IF(Daily!$BB$13=3,I22,Calc!AG22))),Calc!AG22)</f>
        <v>0.51550000000000007</v>
      </c>
      <c r="N22" s="35">
        <f ca="1">VLOOKUP(K22,Calc!$AA$5:$AH$72,8)</f>
        <v>5.3861948060937997E-2</v>
      </c>
      <c r="R22" s="70">
        <v>18</v>
      </c>
      <c r="S22" s="271">
        <f>'Power Curves'!D26</f>
        <v>36989</v>
      </c>
      <c r="T22" s="272">
        <f>IF(ISNUMBER(VLOOKUP(S22,Daily!$G$5:$I$36,3, FALSE)), VLOOKUP(S22,Daily!$G$5:$I$36,3),VLOOKUP(S22, $K$5:$L$72,2))</f>
        <v>25</v>
      </c>
      <c r="U22" s="35">
        <f t="shared" ca="1" si="3"/>
        <v>0.75</v>
      </c>
      <c r="V22" s="35">
        <f t="shared" ca="1" si="4"/>
        <v>5.3861948060937997E-2</v>
      </c>
      <c r="Y22" s="114">
        <f ca="1">Daily!K11</f>
        <v>37135</v>
      </c>
      <c r="Z22" s="269">
        <v>0</v>
      </c>
      <c r="AA22" s="220">
        <f>IF(ISNUMBER(Daily!M11),Daily!M11+$Z22, $Z22+0.05)</f>
        <v>0.05</v>
      </c>
      <c r="AB22" s="220">
        <f>IF(ISNUMBER(Daily!N11),Daily!N11+$Z22, $Z22+0.15)</f>
        <v>0.15</v>
      </c>
      <c r="AC22" s="220">
        <f>IF(ISNUMBER(Daily!O11),Daily!O11+$Z22, $Z22+0.15)</f>
        <v>0.15</v>
      </c>
      <c r="AD22" s="220">
        <f t="shared" si="5"/>
        <v>0</v>
      </c>
      <c r="AE22" s="220">
        <f>IF(ISNUMBER(Daily!P11),Daily!P11+$AD22,$AD22+0.05)</f>
        <v>0.05</v>
      </c>
      <c r="AF22" s="220">
        <f>IF(ISNUMBER(Daily!Q11),Daily!Q11+$AD22,$AD22+0.1)</f>
        <v>0.1</v>
      </c>
      <c r="AG22" s="220">
        <f>IF(ISNUMBER(Daily!R11),Daily!R11+$AD22,$AD22+0.15)</f>
        <v>0.15</v>
      </c>
      <c r="AJ22" s="114">
        <f t="shared" ca="1" si="0"/>
        <v>37500</v>
      </c>
      <c r="AK22" s="207">
        <v>-0.13818</v>
      </c>
      <c r="AL22" s="207">
        <v>0.31507400000000002</v>
      </c>
      <c r="AM22" s="207">
        <v>-5.7619999999999998E-3</v>
      </c>
      <c r="AW22" s="114">
        <f ca="1">Monthly!K11</f>
        <v>37135</v>
      </c>
      <c r="AX22" s="220">
        <v>0</v>
      </c>
      <c r="AY22" s="220">
        <f>IF(ISNUMBER(Monthly!M11),Monthly!M11+$AX22, $AX22+0.05)</f>
        <v>0.05</v>
      </c>
      <c r="AZ22" s="220">
        <f>IF(ISNUMBER(Monthly!N11),Override!N11+$AX22, $AX22+0.15)</f>
        <v>0.15</v>
      </c>
      <c r="BA22" s="220">
        <f>IF(ISNUMBER(Monthly!O11),Monthly!O11+$AX22, $AX22+0.15)</f>
        <v>0.15</v>
      </c>
      <c r="BB22" s="220">
        <f t="shared" si="6"/>
        <v>0</v>
      </c>
      <c r="BC22" s="220">
        <f>IF(ISNUMBER(Monthly!P11),Monthly!P11+$BB22,$BB22+0.05)</f>
        <v>0.05</v>
      </c>
      <c r="BD22" s="220">
        <f>IF(ISNUMBER(Monthly!Q11),Monthly!Q11+$BB22,$BB22+0.1)</f>
        <v>0.1</v>
      </c>
      <c r="BE22" s="220">
        <f>IF(ISNUMBER(Monthly!R11),Monthly!R11+$BB22,$BB22+0.15)</f>
        <v>0.15</v>
      </c>
      <c r="BH22" s="114">
        <f t="shared" ca="1" si="1"/>
        <v>37500</v>
      </c>
      <c r="BI22" s="207">
        <v>-0.13818</v>
      </c>
      <c r="BJ22" s="207">
        <v>0.31507400000000002</v>
      </c>
      <c r="BK22" s="207">
        <v>-5.7619999999999998E-3</v>
      </c>
      <c r="BU22" s="34">
        <f ca="1">Monthly!E22</f>
        <v>85.5</v>
      </c>
      <c r="BV22" s="34">
        <f>Monthly!F22</f>
        <v>0.99</v>
      </c>
      <c r="BX22" s="41">
        <f ca="1">Calc!AA22</f>
        <v>37469</v>
      </c>
      <c r="BY22" s="35">
        <f ca="1">IF(AND(ISNUMBER(BU22),BU22&lt;&gt;0), IF(Monthly!$BB$12=1,Calc!AI22+BU22,IF(Monthly!$BB$12=2,Calc!AI22*BU22,IF(Monthly!$BB$12=3,BU22,Calc!AI22))),Calc!AI22)</f>
        <v>85.5</v>
      </c>
      <c r="BZ22" s="35">
        <f ca="1">IF(AND(ISNUMBER(BV22),BV22&lt;&gt;0),IF(Monthly!$BB$13=1,Calc!AJ22+BV22, IF(Monthly!$BB$13=2,Calc!AJ22*BV22, IF(Monthly!$BB$13=3,BV22,Calc!AJ22))),Calc!AJ22)</f>
        <v>0.51550000000000007</v>
      </c>
      <c r="CA22" s="35">
        <f ca="1">VLOOKUP(BX22,Calc!$AA$5:$AH$72,8)</f>
        <v>5.3861948060937997E-2</v>
      </c>
      <c r="CB22" s="73">
        <v>0</v>
      </c>
      <c r="CC22" s="73">
        <v>1</v>
      </c>
      <c r="CD22" s="73">
        <f t="shared" ca="1" si="2"/>
        <v>1.3497604380561259</v>
      </c>
    </row>
    <row r="23" spans="3:82" x14ac:dyDescent="0.2">
      <c r="C23" s="277"/>
      <c r="D23" s="248"/>
      <c r="E23" s="248"/>
      <c r="F23" s="248"/>
      <c r="H23" s="34">
        <f ca="1">Daily!E23</f>
        <v>37.500003814697266</v>
      </c>
      <c r="I23" s="34">
        <f>Daily!F23</f>
        <v>0.99</v>
      </c>
      <c r="K23" s="41">
        <f ca="1">Calc!AA23</f>
        <v>37500</v>
      </c>
      <c r="L23" s="35">
        <f ca="1">IF(AND(ISNUMBER(H23),H23&lt;&gt;0), IF(Daily!$BB$12=1,Calc!AF23+H23,IF(Daily!$BB$12=2,Calc!AF23*H23,IF(Daily!$BB$12=3,H23,Calc!AF23))),Calc!AF23)</f>
        <v>37.500003814697266</v>
      </c>
      <c r="M23" s="35">
        <f ca="1">IF(AND(ISNUMBER(I23),I23&lt;&gt;0),IF(Daily!$BB$13=1,Calc!AG23+I23, IF(Daily!$BB$13=2,Calc!AG23*I23, IF(Daily!$BB$13=3,I23,Calc!AG23))),Calc!AG23)</f>
        <v>0.37050000000000005</v>
      </c>
      <c r="N23" s="35">
        <f ca="1">VLOOKUP(K23,Calc!$AA$5:$AH$72,8)</f>
        <v>5.3996077213610008E-2</v>
      </c>
      <c r="R23" s="70">
        <v>19</v>
      </c>
      <c r="S23" s="271">
        <f>'Power Curves'!D27</f>
        <v>36990</v>
      </c>
      <c r="T23" s="272">
        <f>IF(ISNUMBER(VLOOKUP(S23,Daily!$G$5:$I$36,3, FALSE)), VLOOKUP(S23,Daily!$G$5:$I$36,3),VLOOKUP(S23, $K$5:$L$72,2))</f>
        <v>40.25</v>
      </c>
      <c r="U23" s="35">
        <f t="shared" ca="1" si="3"/>
        <v>0.75</v>
      </c>
      <c r="V23" s="35">
        <f t="shared" ca="1" si="4"/>
        <v>5.3996077213610008E-2</v>
      </c>
      <c r="Y23" s="114">
        <f ca="1">Daily!K12</f>
        <v>37165</v>
      </c>
      <c r="Z23" s="269">
        <v>0</v>
      </c>
      <c r="AA23" s="220">
        <f>IF(ISNUMBER(Daily!M12),Daily!M12+$Z23, $Z23+0.05)</f>
        <v>0.05</v>
      </c>
      <c r="AB23" s="220">
        <f>IF(ISNUMBER(Daily!N12),Daily!N12+$Z23, $Z23+0.15)</f>
        <v>0.15</v>
      </c>
      <c r="AC23" s="220">
        <f>IF(ISNUMBER(Daily!O12),Daily!O12+$Z23, $Z23+0.15)</f>
        <v>0.15</v>
      </c>
      <c r="AD23" s="220">
        <f t="shared" si="5"/>
        <v>0</v>
      </c>
      <c r="AE23" s="220">
        <f>IF(ISNUMBER(Daily!P12),Daily!P12+$AD23,$AD23+0.05)</f>
        <v>0.05</v>
      </c>
      <c r="AF23" s="220">
        <f>IF(ISNUMBER(Daily!Q12),Daily!Q12+$AD23,$AD23+0.1)</f>
        <v>0.1</v>
      </c>
      <c r="AG23" s="220">
        <f>IF(ISNUMBER(Daily!R12),Daily!R12+$AD23,$AD23+0.15)</f>
        <v>0.15</v>
      </c>
      <c r="AJ23" s="114">
        <f t="shared" ca="1" si="0"/>
        <v>37530</v>
      </c>
      <c r="AK23" s="207">
        <v>-0.13818</v>
      </c>
      <c r="AL23" s="207">
        <v>0.31507400000000002</v>
      </c>
      <c r="AM23" s="207">
        <v>-5.7619999999999998E-3</v>
      </c>
      <c r="AW23" s="114">
        <f ca="1">Monthly!K12</f>
        <v>37165</v>
      </c>
      <c r="AX23" s="220">
        <v>0</v>
      </c>
      <c r="AY23" s="220">
        <f>IF(ISNUMBER(Monthly!M12),Monthly!M12+$AX23, $AX23+0.05)</f>
        <v>0.05</v>
      </c>
      <c r="AZ23" s="220">
        <f>IF(ISNUMBER(Monthly!N12),Override!N12+$AX23, $AX23+0.15)</f>
        <v>0.15</v>
      </c>
      <c r="BA23" s="220">
        <f>IF(ISNUMBER(Monthly!O12),Monthly!O12+$AX23, $AX23+0.15)</f>
        <v>0.15</v>
      </c>
      <c r="BB23" s="220">
        <f t="shared" si="6"/>
        <v>0</v>
      </c>
      <c r="BC23" s="220">
        <f>IF(ISNUMBER(Monthly!P12),Monthly!P12+$BB23,$BB23+0.05)</f>
        <v>0.05</v>
      </c>
      <c r="BD23" s="220">
        <f>IF(ISNUMBER(Monthly!Q12),Monthly!Q12+$BB23,$BB23+0.1)</f>
        <v>0.1</v>
      </c>
      <c r="BE23" s="220">
        <f>IF(ISNUMBER(Monthly!R12),Monthly!R12+$BB23,$BB23+0.15)</f>
        <v>0.15</v>
      </c>
      <c r="BH23" s="114">
        <f t="shared" ca="1" si="1"/>
        <v>37530</v>
      </c>
      <c r="BI23" s="207">
        <v>-0.13818</v>
      </c>
      <c r="BJ23" s="207">
        <v>0.31507400000000002</v>
      </c>
      <c r="BK23" s="207">
        <v>-5.7619999999999998E-3</v>
      </c>
      <c r="BU23" s="34">
        <f ca="1">Monthly!E23</f>
        <v>37.500003814697266</v>
      </c>
      <c r="BV23" s="34">
        <f>Monthly!F23</f>
        <v>0.99</v>
      </c>
      <c r="BX23" s="41">
        <f ca="1">Calc!AA23</f>
        <v>37500</v>
      </c>
      <c r="BY23" s="35">
        <f ca="1">IF(AND(ISNUMBER(BU23),BU23&lt;&gt;0), IF(Monthly!$BB$12=1,Calc!AI23+BU23,IF(Monthly!$BB$12=2,Calc!AI23*BU23,IF(Monthly!$BB$12=3,BU23,Calc!AI23))),Calc!AI23)</f>
        <v>37.500003814697266</v>
      </c>
      <c r="BZ23" s="35">
        <f ca="1">IF(AND(ISNUMBER(BV23),BV23&lt;&gt;0),IF(Monthly!$BB$13=1,Calc!AJ23+BV23, IF(Monthly!$BB$13=2,Calc!AJ23*BV23, IF(Monthly!$BB$13=3,BV23,Calc!AJ23))),Calc!AJ23)</f>
        <v>0.37050000000000005</v>
      </c>
      <c r="CA23" s="35">
        <f ca="1">VLOOKUP(BX23,Calc!$AA$5:$AH$72,8)</f>
        <v>5.3996077213610008E-2</v>
      </c>
      <c r="CB23" s="73">
        <v>0</v>
      </c>
      <c r="CC23" s="73">
        <v>1</v>
      </c>
      <c r="CD23" s="73">
        <f t="shared" ca="1" si="2"/>
        <v>1.4346338124572211</v>
      </c>
    </row>
    <row r="24" spans="3:82" x14ac:dyDescent="0.2">
      <c r="C24" s="277"/>
      <c r="D24" s="248"/>
      <c r="E24" s="248"/>
      <c r="F24" s="248"/>
      <c r="H24" s="34">
        <f ca="1">Daily!E24</f>
        <v>35.904998779296875</v>
      </c>
      <c r="I24" s="34">
        <f>Daily!F24</f>
        <v>0.99</v>
      </c>
      <c r="K24" s="41">
        <f ca="1">Calc!AA24</f>
        <v>37530</v>
      </c>
      <c r="L24" s="35">
        <f ca="1">IF(AND(ISNUMBER(H24),H24&lt;&gt;0), IF(Daily!$BB$12=1,Calc!AF24+H24,IF(Daily!$BB$12=2,Calc!AF24*H24,IF(Daily!$BB$12=3,H24,Calc!AF24))),Calc!AF24)</f>
        <v>35.904998779296875</v>
      </c>
      <c r="M24" s="35">
        <f ca="1">IF(AND(ISNUMBER(I24),I24&lt;&gt;0),IF(Daily!$BB$13=1,Calc!AG24+I24, IF(Daily!$BB$13=2,Calc!AG24*I24, IF(Daily!$BB$13=3,I24,Calc!AG24))),Calc!AG24)</f>
        <v>0.33050000000000002</v>
      </c>
      <c r="N24" s="35">
        <f ca="1">VLOOKUP(K24,Calc!$AA$5:$AH$72,8)</f>
        <v>5.4152282890442993E-2</v>
      </c>
      <c r="R24" s="70">
        <v>20</v>
      </c>
      <c r="S24" s="271">
        <f>'Power Curves'!D28</f>
        <v>36991</v>
      </c>
      <c r="T24" s="272">
        <f>IF(ISNUMBER(VLOOKUP(S24,Daily!$G$5:$I$36,3, FALSE)), VLOOKUP(S24,Daily!$G$5:$I$36,3),VLOOKUP(S24, $K$5:$L$72,2))</f>
        <v>40.25</v>
      </c>
      <c r="U24" s="35">
        <f t="shared" ca="1" si="3"/>
        <v>0.75</v>
      </c>
      <c r="V24" s="35">
        <f t="shared" ca="1" si="4"/>
        <v>5.4152282890442993E-2</v>
      </c>
      <c r="Y24" s="114">
        <f ca="1">Daily!K13</f>
        <v>37196</v>
      </c>
      <c r="Z24" s="269">
        <v>0</v>
      </c>
      <c r="AA24" s="220">
        <f>IF(ISNUMBER(Daily!M13),Daily!M13+$Z24, $Z24+0.05)</f>
        <v>0.05</v>
      </c>
      <c r="AB24" s="220">
        <f>IF(ISNUMBER(Daily!N13),Daily!N13+$Z24, $Z24+0.15)</f>
        <v>0.15</v>
      </c>
      <c r="AC24" s="220">
        <f>IF(ISNUMBER(Daily!O13),Daily!O13+$Z24, $Z24+0.15)</f>
        <v>0.15</v>
      </c>
      <c r="AD24" s="220">
        <f>Z24</f>
        <v>0</v>
      </c>
      <c r="AE24" s="220">
        <f>IF(ISNUMBER(Daily!P13),Daily!P13+$AD24,$AD24+0.05)</f>
        <v>0.05</v>
      </c>
      <c r="AF24" s="220">
        <f>IF(ISNUMBER(Daily!Q13),Daily!Q13+$AD24,$AD24+0.1)</f>
        <v>0.1</v>
      </c>
      <c r="AG24" s="220">
        <f>IF(ISNUMBER(Daily!R13),Daily!R13+$AD24,$AD24+0.15)</f>
        <v>0.15</v>
      </c>
      <c r="AJ24" s="114">
        <f t="shared" ca="1" si="0"/>
        <v>37561</v>
      </c>
      <c r="AK24" s="207">
        <v>-0.13818</v>
      </c>
      <c r="AL24" s="207">
        <v>0.31507400000000002</v>
      </c>
      <c r="AM24" s="207">
        <v>-5.7619999999999998E-3</v>
      </c>
      <c r="AW24" s="114">
        <f ca="1">Monthly!K13</f>
        <v>37196</v>
      </c>
      <c r="AX24" s="220">
        <v>0</v>
      </c>
      <c r="AY24" s="220">
        <f>IF(ISNUMBER(Monthly!M13),Monthly!M13+$AX24, $AX24+0.05)</f>
        <v>0.05</v>
      </c>
      <c r="AZ24" s="220">
        <f>IF(ISNUMBER(Monthly!N13),Override!N13+$AX24, $AX24+0.15)</f>
        <v>0.15</v>
      </c>
      <c r="BA24" s="220">
        <f>IF(ISNUMBER(Monthly!O13),Monthly!O13+$AX24, $AX24+0.15)</f>
        <v>0.15</v>
      </c>
      <c r="BB24" s="220">
        <f>AX24</f>
        <v>0</v>
      </c>
      <c r="BC24" s="220">
        <f>IF(ISNUMBER(Monthly!P13),Monthly!P13+$BB24,$BB24+0.05)</f>
        <v>0.05</v>
      </c>
      <c r="BD24" s="220">
        <f>IF(ISNUMBER(Monthly!Q13),Monthly!Q13+$BB24,$BB24+0.1)</f>
        <v>0.1</v>
      </c>
      <c r="BE24" s="220">
        <f>IF(ISNUMBER(Monthly!R13),Monthly!R13+$BB24,$BB24+0.15)</f>
        <v>0.15</v>
      </c>
      <c r="BH24" s="114">
        <f t="shared" ca="1" si="1"/>
        <v>37561</v>
      </c>
      <c r="BI24" s="207">
        <v>-0.13818</v>
      </c>
      <c r="BJ24" s="207">
        <v>0.31507400000000002</v>
      </c>
      <c r="BK24" s="207">
        <v>-5.7619999999999998E-3</v>
      </c>
      <c r="BU24" s="34">
        <f ca="1">Monthly!E24</f>
        <v>35.904998779296875</v>
      </c>
      <c r="BV24" s="34">
        <f>Monthly!F24</f>
        <v>0.99</v>
      </c>
      <c r="BX24" s="41">
        <f ca="1">Calc!AA24</f>
        <v>37530</v>
      </c>
      <c r="BY24" s="35">
        <f ca="1">IF(AND(ISNUMBER(BU24),BU24&lt;&gt;0), IF(Monthly!$BB$12=1,Calc!AI24+BU24,IF(Monthly!$BB$12=2,Calc!AI24*BU24,IF(Monthly!$BB$12=3,BU24,Calc!AI24))),Calc!AI24)</f>
        <v>35.904998779296875</v>
      </c>
      <c r="BZ24" s="35">
        <f ca="1">IF(AND(ISNUMBER(BV24),BV24&lt;&gt;0),IF(Monthly!$BB$13=1,Calc!AJ24+BV24, IF(Monthly!$BB$13=2,Calc!AJ24*BV24, IF(Monthly!$BB$13=3,BV24,Calc!AJ24))),Calc!AJ24)</f>
        <v>0.33050000000000002</v>
      </c>
      <c r="CA24" s="35">
        <f ca="1">VLOOKUP(BX24,Calc!$AA$5:$AH$72,8)</f>
        <v>5.4152282890442993E-2</v>
      </c>
      <c r="CB24" s="73">
        <v>0</v>
      </c>
      <c r="CC24" s="73">
        <v>1</v>
      </c>
      <c r="CD24" s="73">
        <f t="shared" ca="1" si="2"/>
        <v>1.516769336071184</v>
      </c>
    </row>
    <row r="25" spans="3:82" x14ac:dyDescent="0.2">
      <c r="C25" s="277"/>
      <c r="D25" s="248"/>
      <c r="E25" s="248"/>
      <c r="F25" s="248"/>
      <c r="H25" s="34">
        <f ca="1">Daily!E25</f>
        <v>36.004997253417969</v>
      </c>
      <c r="I25" s="34">
        <f>Daily!F25</f>
        <v>0.99</v>
      </c>
      <c r="K25" s="41">
        <f ca="1">Calc!AA25</f>
        <v>37561</v>
      </c>
      <c r="L25" s="35">
        <f ca="1">IF(AND(ISNUMBER(H25),H25&lt;&gt;0), IF(Daily!$BB$12=1,Calc!AF25+H25,IF(Daily!$BB$12=2,Calc!AF25*H25,IF(Daily!$BB$12=3,H25,Calc!AF25))),Calc!AF25)</f>
        <v>36.004997253417969</v>
      </c>
      <c r="M25" s="35">
        <f ca="1">IF(AND(ISNUMBER(I25),I25&lt;&gt;0),IF(Daily!$BB$13=1,Calc!AG25+I25, IF(Daily!$BB$13=2,Calc!AG25*I25, IF(Daily!$BB$13=3,I25,Calc!AG25))),Calc!AG25)</f>
        <v>0.33050000000000002</v>
      </c>
      <c r="N25" s="35">
        <f ca="1">VLOOKUP(K25,Calc!$AA$5:$AH$72,8)</f>
        <v>5.430344968221601E-2</v>
      </c>
      <c r="R25" s="70">
        <v>21</v>
      </c>
      <c r="S25" s="271">
        <f>'Power Curves'!D29</f>
        <v>36992</v>
      </c>
      <c r="T25" s="272">
        <f>IF(ISNUMBER(VLOOKUP(S25,Daily!$G$5:$I$36,3, FALSE)), VLOOKUP(S25,Daily!$G$5:$I$36,3),VLOOKUP(S25, $K$5:$L$72,2))</f>
        <v>40.25</v>
      </c>
      <c r="U25" s="35">
        <f t="shared" ca="1" si="3"/>
        <v>0.75</v>
      </c>
      <c r="V25" s="35">
        <f t="shared" ca="1" si="4"/>
        <v>5.430344968221601E-2</v>
      </c>
      <c r="Y25" s="114">
        <f ca="1">Daily!K14</f>
        <v>37226</v>
      </c>
      <c r="Z25" s="269">
        <v>0</v>
      </c>
      <c r="AA25" s="220">
        <f>IF(ISNUMBER(Daily!M14),Daily!M14+$Z25, $Z25+0.05)</f>
        <v>0.05</v>
      </c>
      <c r="AB25" s="220">
        <f>IF(ISNUMBER(Daily!N14),Daily!N14+$Z25, $Z25+0.15)</f>
        <v>0.15</v>
      </c>
      <c r="AC25" s="220">
        <f>IF(ISNUMBER(Daily!O14),Daily!O14+$Z25, $Z25+0.15)</f>
        <v>0.15</v>
      </c>
      <c r="AD25" s="220">
        <f t="shared" ref="AD25:AD37" si="7">Z25</f>
        <v>0</v>
      </c>
      <c r="AE25" s="220">
        <f>IF(ISNUMBER(Daily!P14),Daily!P14+$AD25,$AD25+0.05)</f>
        <v>0.05</v>
      </c>
      <c r="AF25" s="220">
        <f>IF(ISNUMBER(Daily!Q14),Daily!Q14+$AD25,$AD25+0.1)</f>
        <v>0.1</v>
      </c>
      <c r="AG25" s="220">
        <f>IF(ISNUMBER(Daily!R14),Daily!R14+$AD25,$AD25+0.15)</f>
        <v>0.15</v>
      </c>
      <c r="AJ25" s="114">
        <f t="shared" ca="1" si="0"/>
        <v>37591</v>
      </c>
      <c r="AK25" s="207">
        <v>-0.13818</v>
      </c>
      <c r="AL25" s="207">
        <v>0.31507400000000002</v>
      </c>
      <c r="AM25" s="207">
        <v>-5.7619999999999998E-3</v>
      </c>
      <c r="AW25" s="114">
        <f ca="1">Monthly!K14</f>
        <v>37226</v>
      </c>
      <c r="AX25" s="220">
        <v>0</v>
      </c>
      <c r="AY25" s="220">
        <f>IF(ISNUMBER(Monthly!M14),Monthly!M14+$AX25, $AX25+0.05)</f>
        <v>0.05</v>
      </c>
      <c r="AZ25" s="220">
        <f>IF(ISNUMBER(Monthly!N14),Override!N14+$AX25, $AX25+0.15)</f>
        <v>0.15</v>
      </c>
      <c r="BA25" s="220">
        <f>IF(ISNUMBER(Monthly!O14),Monthly!O14+$AX25, $AX25+0.15)</f>
        <v>0.15</v>
      </c>
      <c r="BB25" s="220">
        <f t="shared" ref="BB25:BB47" si="8">AX25</f>
        <v>0</v>
      </c>
      <c r="BC25" s="220">
        <f>IF(ISNUMBER(Monthly!P14),Monthly!P14+$BB25,$BB25+0.05)</f>
        <v>0.05</v>
      </c>
      <c r="BD25" s="220">
        <f>IF(ISNUMBER(Monthly!Q14),Monthly!Q14+$BB25,$BB25+0.1)</f>
        <v>0.1</v>
      </c>
      <c r="BE25" s="220">
        <f>IF(ISNUMBER(Monthly!R14),Monthly!R14+$BB25,$BB25+0.15)</f>
        <v>0.15</v>
      </c>
      <c r="BH25" s="114">
        <f t="shared" ca="1" si="1"/>
        <v>37591</v>
      </c>
      <c r="BI25" s="207">
        <v>-0.13818</v>
      </c>
      <c r="BJ25" s="207">
        <v>0.31507400000000002</v>
      </c>
      <c r="BK25" s="207">
        <v>-5.7619999999999998E-3</v>
      </c>
      <c r="BU25" s="34">
        <f ca="1">Monthly!E25</f>
        <v>36.004997253417969</v>
      </c>
      <c r="BV25" s="34">
        <f>Monthly!F25</f>
        <v>0.99</v>
      </c>
      <c r="BX25" s="41">
        <f ca="1">Calc!AA25</f>
        <v>37561</v>
      </c>
      <c r="BY25" s="35">
        <f ca="1">IF(AND(ISNUMBER(BU25),BU25&lt;&gt;0), IF(Monthly!$BB$12=1,Calc!AI25+BU25,IF(Monthly!$BB$12=2,Calc!AI25*BU25,IF(Monthly!$BB$12=3,BU25,Calc!AI25))),Calc!AI25)</f>
        <v>36.004997253417969</v>
      </c>
      <c r="BZ25" s="35">
        <f ca="1">IF(AND(ISNUMBER(BV25),BV25&lt;&gt;0),IF(Monthly!$BB$13=1,Calc!AJ25+BV25, IF(Monthly!$BB$13=2,Calc!AJ25*BV25, IF(Monthly!$BB$13=3,BV25,Calc!AJ25))),Calc!AJ25)</f>
        <v>0.33050000000000002</v>
      </c>
      <c r="CA25" s="35">
        <f ca="1">VLOOKUP(BX25,Calc!$AA$5:$AH$72,8)</f>
        <v>5.430344968221601E-2</v>
      </c>
      <c r="CB25" s="73">
        <v>0</v>
      </c>
      <c r="CC25" s="73">
        <v>1</v>
      </c>
      <c r="CD25" s="73">
        <f t="shared" ca="1" si="2"/>
        <v>1.6016427104722792</v>
      </c>
    </row>
    <row r="26" spans="3:82" x14ac:dyDescent="0.2">
      <c r="C26" s="277"/>
      <c r="D26" s="248"/>
      <c r="E26" s="248"/>
      <c r="F26" s="248"/>
      <c r="H26" s="34">
        <f ca="1">Daily!E26</f>
        <v>36.104995727539063</v>
      </c>
      <c r="I26" s="34">
        <f>Daily!F26</f>
        <v>0.99</v>
      </c>
      <c r="K26" s="41">
        <f ca="1">Calc!AA26</f>
        <v>37591</v>
      </c>
      <c r="L26" s="35">
        <f ca="1">IF(AND(ISNUMBER(H26),H26&lt;&gt;0), IF(Daily!$BB$12=1,Calc!AF26+H26,IF(Daily!$BB$12=2,Calc!AF26*H26,IF(Daily!$BB$12=3,H26,Calc!AF26))),Calc!AF26)</f>
        <v>36.104995727539063</v>
      </c>
      <c r="M26" s="35">
        <f ca="1">IF(AND(ISNUMBER(I26),I26&lt;&gt;0),IF(Daily!$BB$13=1,Calc!AG26+I26, IF(Daily!$BB$13=2,Calc!AG26*I26, IF(Daily!$BB$13=3,I26,Calc!AG26))),Calc!AG26)</f>
        <v>0.33050000000000002</v>
      </c>
      <c r="N26" s="35">
        <f ca="1">VLOOKUP(K26,Calc!$AA$5:$AH$72,8)</f>
        <v>5.4474976899793019E-2</v>
      </c>
      <c r="R26" s="70">
        <v>22</v>
      </c>
      <c r="S26" s="271">
        <f>'Power Curves'!D30</f>
        <v>36993</v>
      </c>
      <c r="T26" s="272">
        <f>IF(ISNUMBER(VLOOKUP(S26,Daily!$G$5:$I$36,3, FALSE)), VLOOKUP(S26,Daily!$G$5:$I$36,3),VLOOKUP(S26, $K$5:$L$72,2))</f>
        <v>40.25</v>
      </c>
      <c r="U26" s="35">
        <f t="shared" ca="1" si="3"/>
        <v>0.75</v>
      </c>
      <c r="V26" s="35">
        <f t="shared" ca="1" si="4"/>
        <v>5.4474976899793019E-2</v>
      </c>
      <c r="Y26" s="114">
        <f ca="1">Daily!K15</f>
        <v>37257</v>
      </c>
      <c r="Z26" s="269">
        <v>0</v>
      </c>
      <c r="AA26" s="220">
        <f>IF(ISNUMBER(Daily!M15),Daily!M15+$Z26, $Z26+0.05)</f>
        <v>0.05</v>
      </c>
      <c r="AB26" s="220">
        <f>IF(ISNUMBER(Daily!N15),Daily!N15+$Z26, $Z26+0.15)</f>
        <v>0.15</v>
      </c>
      <c r="AC26" s="220">
        <f>IF(ISNUMBER(Daily!O15),Daily!O15+$Z26, $Z26+0.15)</f>
        <v>0.15</v>
      </c>
      <c r="AD26" s="220">
        <f t="shared" si="7"/>
        <v>0</v>
      </c>
      <c r="AE26" s="220">
        <f>IF(ISNUMBER(Daily!P15),Daily!P15+$AD26,$AD26+0.05)</f>
        <v>0.05</v>
      </c>
      <c r="AF26" s="220">
        <f>IF(ISNUMBER(Daily!Q15),Daily!Q15+$AD26,$AD26+0.1)</f>
        <v>0.1</v>
      </c>
      <c r="AG26" s="220">
        <f>IF(ISNUMBER(Daily!R15),Daily!R15+$AD26,$AD26+0.15)</f>
        <v>0.15</v>
      </c>
      <c r="AJ26" s="114">
        <f t="shared" ca="1" si="0"/>
        <v>37622</v>
      </c>
      <c r="AK26" s="207">
        <v>-0.13818</v>
      </c>
      <c r="AL26" s="207">
        <v>0.31507400000000002</v>
      </c>
      <c r="AM26" s="207">
        <v>-5.7619999999999998E-3</v>
      </c>
      <c r="AW26" s="114">
        <f ca="1">Monthly!K15</f>
        <v>37257</v>
      </c>
      <c r="AX26" s="220">
        <v>0</v>
      </c>
      <c r="AY26" s="220">
        <f>IF(ISNUMBER(Monthly!M15),Monthly!M15+$AX26, $AX26+0.05)</f>
        <v>0.05</v>
      </c>
      <c r="AZ26" s="220">
        <f>IF(ISNUMBER(Monthly!N15),Override!N15+$AX26, $AX26+0.15)</f>
        <v>0.15</v>
      </c>
      <c r="BA26" s="220">
        <f>IF(ISNUMBER(Monthly!O15),Monthly!O15+$AX26, $AX26+0.15)</f>
        <v>0.15</v>
      </c>
      <c r="BB26" s="220">
        <f t="shared" si="8"/>
        <v>0</v>
      </c>
      <c r="BC26" s="220">
        <f>IF(ISNUMBER(Monthly!P15),Monthly!P15+$BB26,$BB26+0.05)</f>
        <v>0.05</v>
      </c>
      <c r="BD26" s="220">
        <f>IF(ISNUMBER(Monthly!Q15),Monthly!Q15+$BB26,$BB26+0.1)</f>
        <v>0.1</v>
      </c>
      <c r="BE26" s="220">
        <f>IF(ISNUMBER(Monthly!R15),Monthly!R15+$BB26,$BB26+0.15)</f>
        <v>0.15</v>
      </c>
      <c r="BH26" s="114">
        <f t="shared" ca="1" si="1"/>
        <v>37622</v>
      </c>
      <c r="BI26" s="207">
        <v>-0.13818</v>
      </c>
      <c r="BJ26" s="207">
        <v>0.31507400000000002</v>
      </c>
      <c r="BK26" s="207">
        <v>-5.7619999999999998E-3</v>
      </c>
      <c r="BU26" s="34">
        <f ca="1">Monthly!E26</f>
        <v>36.104995727539063</v>
      </c>
      <c r="BV26" s="34">
        <f>Monthly!F26</f>
        <v>0.99</v>
      </c>
      <c r="BX26" s="41">
        <f ca="1">Calc!AA26</f>
        <v>37591</v>
      </c>
      <c r="BY26" s="35">
        <f ca="1">IF(AND(ISNUMBER(BU26),BU26&lt;&gt;0), IF(Monthly!$BB$12=1,Calc!AI26+BU26,IF(Monthly!$BB$12=2,Calc!AI26*BU26,IF(Monthly!$BB$12=3,BU26,Calc!AI26))),Calc!AI26)</f>
        <v>36.104995727539063</v>
      </c>
      <c r="BZ26" s="35">
        <f ca="1">IF(AND(ISNUMBER(BV26),BV26&lt;&gt;0),IF(Monthly!$BB$13=1,Calc!AJ26+BV26, IF(Monthly!$BB$13=2,Calc!AJ26*BV26, IF(Monthly!$BB$13=3,BV26,Calc!AJ26))),Calc!AJ26)</f>
        <v>0.33050000000000002</v>
      </c>
      <c r="CA26" s="35">
        <f ca="1">VLOOKUP(BX26,Calc!$AA$5:$AH$72,8)</f>
        <v>5.4474976899793019E-2</v>
      </c>
      <c r="CB26" s="73">
        <v>0</v>
      </c>
      <c r="CC26" s="73">
        <v>1</v>
      </c>
      <c r="CD26" s="73">
        <f t="shared" ca="1" si="2"/>
        <v>1.6837782340862424</v>
      </c>
    </row>
    <row r="27" spans="3:82" x14ac:dyDescent="0.2">
      <c r="C27" s="277"/>
      <c r="D27" s="248"/>
      <c r="E27" s="248"/>
      <c r="F27" s="248"/>
      <c r="H27" s="34">
        <f ca="1">Daily!E27</f>
        <v>40.287864685058594</v>
      </c>
      <c r="I27" s="34">
        <v>0.99</v>
      </c>
      <c r="K27" s="41">
        <f ca="1">Calc!AA27</f>
        <v>37622</v>
      </c>
      <c r="L27" s="35">
        <f ca="1">IF(AND(ISNUMBER(H27),H27&lt;&gt;0), IF(Daily!$BB$12=1,Calc!AF27+H27,IF(Daily!$BB$12=2,Calc!AF27*H27,IF(Daily!$BB$12=3,H27,Calc!AF27))),Calc!AF27)</f>
        <v>40.287864685058594</v>
      </c>
      <c r="M27" s="35">
        <f ca="1">IF(AND(ISNUMBER(I27),I27&lt;&gt;0),IF(Daily!$BB$13=1,Calc!AG27+I27, IF(Daily!$BB$13=2,Calc!AG27*I27, IF(Daily!$BB$13=3,I27,Calc!AG27))),Calc!AG27)</f>
        <v>0.42600000000000005</v>
      </c>
      <c r="N27" s="35">
        <f ca="1">VLOOKUP(K27,Calc!$AA$5:$AH$72,8)</f>
        <v>5.4665108836960012E-2</v>
      </c>
      <c r="R27" s="70">
        <v>23</v>
      </c>
      <c r="S27" s="271">
        <f>'Power Curves'!D31</f>
        <v>36994</v>
      </c>
      <c r="T27" s="272">
        <f>IF(ISNUMBER(VLOOKUP(S27,Daily!$G$5:$I$36,3, FALSE)), VLOOKUP(S27,Daily!$G$5:$I$36,3),VLOOKUP(S27, $K$5:$L$72,2))</f>
        <v>40.25</v>
      </c>
      <c r="U27" s="35">
        <f t="shared" ca="1" si="3"/>
        <v>0.75</v>
      </c>
      <c r="V27" s="35">
        <f t="shared" ca="1" si="4"/>
        <v>5.4665108836960012E-2</v>
      </c>
      <c r="Y27" s="114">
        <f ca="1">Daily!K16</f>
        <v>37288</v>
      </c>
      <c r="Z27" s="269">
        <v>0</v>
      </c>
      <c r="AA27" s="220">
        <f>IF(ISNUMBER(Daily!M16),Daily!M16+$Z27, $Z27+0.05)</f>
        <v>0.05</v>
      </c>
      <c r="AB27" s="220">
        <f>IF(ISNUMBER(Daily!N16),Daily!N16+$Z27, $Z27+0.15)</f>
        <v>0.15</v>
      </c>
      <c r="AC27" s="220">
        <f>IF(ISNUMBER(Daily!O16),Daily!O16+$Z27, $Z27+0.15)</f>
        <v>0.15</v>
      </c>
      <c r="AD27" s="220">
        <f t="shared" si="7"/>
        <v>0</v>
      </c>
      <c r="AE27" s="220">
        <f>IF(ISNUMBER(Daily!P16),Daily!P16+$AD27,$AD27+0.05)</f>
        <v>0.05</v>
      </c>
      <c r="AF27" s="220">
        <f>IF(ISNUMBER(Daily!Q16),Daily!Q16+$AD27,$AD27+0.1)</f>
        <v>0.1</v>
      </c>
      <c r="AG27" s="220">
        <f>IF(ISNUMBER(Daily!R16),Daily!R16+$AD27,$AD27+0.15)</f>
        <v>0.15</v>
      </c>
      <c r="AJ27" s="114">
        <f t="shared" ca="1" si="0"/>
        <v>37653</v>
      </c>
      <c r="AK27" s="207">
        <v>-0.13818</v>
      </c>
      <c r="AL27" s="207">
        <v>0.31507400000000002</v>
      </c>
      <c r="AM27" s="207">
        <v>-5.7619999999999998E-3</v>
      </c>
      <c r="AW27" s="114">
        <f ca="1">Monthly!K16</f>
        <v>37288</v>
      </c>
      <c r="AX27" s="220">
        <v>0</v>
      </c>
      <c r="AY27" s="220">
        <f>IF(ISNUMBER(Monthly!M16),Monthly!M16+$AX27, $AX27+0.05)</f>
        <v>0.05</v>
      </c>
      <c r="AZ27" s="220">
        <f>IF(ISNUMBER(Monthly!N16),Override!N16+$AX27, $AX27+0.15)</f>
        <v>0.15</v>
      </c>
      <c r="BA27" s="220">
        <f>IF(ISNUMBER(Monthly!O16),Monthly!O16+$AX27, $AX27+0.15)</f>
        <v>0.15</v>
      </c>
      <c r="BB27" s="220">
        <f t="shared" si="8"/>
        <v>0</v>
      </c>
      <c r="BC27" s="220">
        <f>IF(ISNUMBER(Monthly!P16),Monthly!P16+$BB27,$BB27+0.05)</f>
        <v>0.05</v>
      </c>
      <c r="BD27" s="220">
        <f>IF(ISNUMBER(Monthly!Q16),Monthly!Q16+$BB27,$BB27+0.1)</f>
        <v>0.1</v>
      </c>
      <c r="BE27" s="220">
        <f>IF(ISNUMBER(Monthly!R16),Monthly!R16+$BB27,$BB27+0.15)</f>
        <v>0.15</v>
      </c>
      <c r="BH27" s="114">
        <f t="shared" ca="1" si="1"/>
        <v>37653</v>
      </c>
      <c r="BI27" s="207">
        <v>-0.13818</v>
      </c>
      <c r="BJ27" s="207">
        <v>0.31507400000000002</v>
      </c>
      <c r="BK27" s="207">
        <v>-5.7619999999999998E-3</v>
      </c>
      <c r="BU27" s="34">
        <f ca="1">Monthly!E27</f>
        <v>40.287864685058594</v>
      </c>
      <c r="BV27" s="34">
        <f>Monthly!F27</f>
        <v>0.99</v>
      </c>
      <c r="BX27" s="41">
        <f ca="1">Calc!AA27</f>
        <v>37622</v>
      </c>
      <c r="BY27" s="35">
        <f ca="1">IF(AND(ISNUMBER(BU27),BU27&lt;&gt;0), IF(Monthly!$BB$12=1,Calc!AI27+BU27,IF(Monthly!$BB$12=2,Calc!AI27*BU27,IF(Monthly!$BB$12=3,BU27,Calc!AI27))),Calc!AI27)</f>
        <v>40.287864685058594</v>
      </c>
      <c r="BZ27" s="35">
        <f ca="1">IF(AND(ISNUMBER(BV27),BV27&lt;&gt;0),IF(Monthly!$BB$13=1,Calc!AJ27+BV27, IF(Monthly!$BB$13=2,Calc!AJ27*BV27, IF(Monthly!$BB$13=3,BV27,Calc!AJ27))),Calc!AJ27)</f>
        <v>0.42600000000000005</v>
      </c>
      <c r="CA27" s="35">
        <f ca="1">VLOOKUP(BX27,Calc!$AA$5:$AH$72,8)</f>
        <v>5.4665108836960012E-2</v>
      </c>
      <c r="CB27" s="73">
        <v>0</v>
      </c>
      <c r="CC27" s="73">
        <v>1</v>
      </c>
      <c r="CD27" s="73">
        <f t="shared" ca="1" si="2"/>
        <v>1.7686516084873374</v>
      </c>
    </row>
    <row r="28" spans="3:82" x14ac:dyDescent="0.2">
      <c r="C28" s="277"/>
      <c r="D28" s="248"/>
      <c r="E28" s="248"/>
      <c r="F28" s="248"/>
      <c r="H28" s="34">
        <f ca="1">Daily!E28</f>
        <v>39.687862396240234</v>
      </c>
      <c r="I28" s="34">
        <v>0.99</v>
      </c>
      <c r="K28" s="41">
        <f ca="1">Calc!AA28</f>
        <v>37653</v>
      </c>
      <c r="L28" s="35">
        <f ca="1">IF(AND(ISNUMBER(H28),H28&lt;&gt;0), IF(Daily!$BB$12=1,Calc!AF28+H28,IF(Daily!$BB$12=2,Calc!AF28*H28,IF(Daily!$BB$12=3,H28,Calc!AF28))),Calc!AF28)</f>
        <v>39.687862396240234</v>
      </c>
      <c r="M28" s="35">
        <f ca="1">IF(AND(ISNUMBER(I28),I28&lt;&gt;0),IF(Daily!$BB$13=1,Calc!AG28+I28, IF(Daily!$BB$13=2,Calc!AG28*I28, IF(Daily!$BB$13=3,I28,Calc!AG28))),Calc!AG28)</f>
        <v>0.42600000000000005</v>
      </c>
      <c r="N28" s="35">
        <f ca="1">VLOOKUP(K28,Calc!$AA$5:$AH$72,8)</f>
        <v>5.4836840919591019E-2</v>
      </c>
      <c r="R28" s="70">
        <v>24</v>
      </c>
      <c r="S28" s="271">
        <f>'Power Curves'!D32</f>
        <v>36995</v>
      </c>
      <c r="T28" s="272">
        <f>IF(ISNUMBER(VLOOKUP(S28,Daily!$G$5:$I$36,3, FALSE)), VLOOKUP(S28,Daily!$G$5:$I$36,3),VLOOKUP(S28, $K$5:$L$72,2))</f>
        <v>25</v>
      </c>
      <c r="U28" s="35">
        <f t="shared" ca="1" si="3"/>
        <v>0.75</v>
      </c>
      <c r="V28" s="35">
        <f t="shared" ca="1" si="4"/>
        <v>5.4836840919591019E-2</v>
      </c>
      <c r="Y28" s="114">
        <f ca="1">Daily!K17</f>
        <v>37316</v>
      </c>
      <c r="Z28" s="269">
        <v>0</v>
      </c>
      <c r="AA28" s="220">
        <f>IF(ISNUMBER(Daily!M17),Daily!M17+$Z28, $Z28+0.05)</f>
        <v>0.05</v>
      </c>
      <c r="AB28" s="220">
        <f>IF(ISNUMBER(Daily!N17),Daily!N17+$Z28, $Z28+0.15)</f>
        <v>0.15</v>
      </c>
      <c r="AC28" s="220">
        <f>IF(ISNUMBER(Daily!O17),Daily!O17+$Z28, $Z28+0.15)</f>
        <v>0.15</v>
      </c>
      <c r="AD28" s="220">
        <f t="shared" si="7"/>
        <v>0</v>
      </c>
      <c r="AE28" s="220">
        <f>IF(ISNUMBER(Daily!P17),Daily!P17+$AD28,$AD28+0.05)</f>
        <v>0.05</v>
      </c>
      <c r="AF28" s="220">
        <f>IF(ISNUMBER(Daily!Q17),Daily!Q17+$AD28,$AD28+0.1)</f>
        <v>0.1</v>
      </c>
      <c r="AG28" s="220">
        <f>IF(ISNUMBER(Daily!R17),Daily!R17+$AD28,$AD28+0.15)</f>
        <v>0.15</v>
      </c>
      <c r="AJ28" s="114">
        <f t="shared" ca="1" si="0"/>
        <v>37681</v>
      </c>
      <c r="AK28" s="207">
        <v>-0.13818</v>
      </c>
      <c r="AL28" s="207">
        <v>0.31507400000000002</v>
      </c>
      <c r="AM28" s="207">
        <v>-5.7619999999999998E-3</v>
      </c>
      <c r="AW28" s="114">
        <f ca="1">Monthly!K17</f>
        <v>37316</v>
      </c>
      <c r="AX28" s="220">
        <v>0</v>
      </c>
      <c r="AY28" s="220">
        <f>IF(ISNUMBER(Monthly!M17),Monthly!M17+$AX28, $AX28+0.05)</f>
        <v>0.05</v>
      </c>
      <c r="AZ28" s="220">
        <f>IF(ISNUMBER(Monthly!N17),Override!N17+$AX28, $AX28+0.15)</f>
        <v>0.15</v>
      </c>
      <c r="BA28" s="220">
        <f>IF(ISNUMBER(Monthly!O17),Monthly!O17+$AX28, $AX28+0.15)</f>
        <v>0.15</v>
      </c>
      <c r="BB28" s="220">
        <f t="shared" si="8"/>
        <v>0</v>
      </c>
      <c r="BC28" s="220">
        <f>IF(ISNUMBER(Monthly!P17),Monthly!P17+$BB28,$BB28+0.05)</f>
        <v>0.05</v>
      </c>
      <c r="BD28" s="220">
        <f>IF(ISNUMBER(Monthly!Q17),Monthly!Q17+$BB28,$BB28+0.1)</f>
        <v>0.1</v>
      </c>
      <c r="BE28" s="220">
        <f>IF(ISNUMBER(Monthly!R17),Monthly!R17+$BB28,$BB28+0.15)</f>
        <v>0.15</v>
      </c>
      <c r="BH28" s="114">
        <f t="shared" ca="1" si="1"/>
        <v>37681</v>
      </c>
      <c r="BI28" s="207">
        <v>-0.13818</v>
      </c>
      <c r="BJ28" s="207">
        <v>0.31507400000000002</v>
      </c>
      <c r="BK28" s="207">
        <v>-5.7619999999999998E-3</v>
      </c>
      <c r="BU28" s="34">
        <f ca="1">Monthly!E28</f>
        <v>39.687862396240234</v>
      </c>
      <c r="BV28" s="34">
        <f>Monthly!F28</f>
        <v>0.99</v>
      </c>
      <c r="BX28" s="41">
        <f ca="1">Calc!AA28</f>
        <v>37653</v>
      </c>
      <c r="BY28" s="35">
        <f ca="1">IF(AND(ISNUMBER(BU28),BU28&lt;&gt;0), IF(Monthly!$BB$12=1,Calc!AI28+BU28,IF(Monthly!$BB$12=2,Calc!AI28*BU28,IF(Monthly!$BB$12=3,BU28,Calc!AI28))),Calc!AI28)</f>
        <v>39.687862396240234</v>
      </c>
      <c r="BZ28" s="35">
        <f ca="1">IF(AND(ISNUMBER(BV28),BV28&lt;&gt;0),IF(Monthly!$BB$13=1,Calc!AJ28+BV28, IF(Monthly!$BB$13=2,Calc!AJ28*BV28, IF(Monthly!$BB$13=3,BV28,Calc!AJ28))),Calc!AJ28)</f>
        <v>0.42600000000000005</v>
      </c>
      <c r="CA28" s="35">
        <f ca="1">VLOOKUP(BX28,Calc!$AA$5:$AH$72,8)</f>
        <v>5.4836840919591019E-2</v>
      </c>
      <c r="CB28" s="73">
        <v>0</v>
      </c>
      <c r="CC28" s="73">
        <v>1</v>
      </c>
      <c r="CD28" s="73">
        <f t="shared" ca="1" si="2"/>
        <v>1.8535249828884326</v>
      </c>
    </row>
    <row r="29" spans="3:82" x14ac:dyDescent="0.2">
      <c r="C29" s="277"/>
      <c r="D29" s="248"/>
      <c r="E29" s="248"/>
      <c r="F29" s="248"/>
      <c r="H29" s="34">
        <f ca="1">Daily!E29</f>
        <v>33.898544311523438</v>
      </c>
      <c r="I29" s="34">
        <v>0.99</v>
      </c>
      <c r="K29" s="41">
        <f ca="1">Calc!AA29</f>
        <v>37681</v>
      </c>
      <c r="L29" s="35">
        <f ca="1">IF(AND(ISNUMBER(H29),H29&lt;&gt;0), IF(Daily!$BB$12=1,Calc!AF29+H29,IF(Daily!$BB$12=2,Calc!AF29*H29,IF(Daily!$BB$12=3,H29,Calc!AF29))),Calc!AF29)</f>
        <v>33.898544311523438</v>
      </c>
      <c r="M29" s="35">
        <f ca="1">IF(AND(ISNUMBER(I29),I29&lt;&gt;0),IF(Daily!$BB$13=1,Calc!AG29+I29, IF(Daily!$BB$13=2,Calc!AG29*I29, IF(Daily!$BB$13=3,I29,Calc!AG29))),Calc!AG29)</f>
        <v>0.25</v>
      </c>
      <c r="N29" s="35">
        <f ca="1">VLOOKUP(K29,Calc!$AA$5:$AH$72,8)</f>
        <v>5.5013777784327013E-2</v>
      </c>
      <c r="R29" s="70">
        <v>25</v>
      </c>
      <c r="S29" s="271">
        <f>'Power Curves'!D33</f>
        <v>36996</v>
      </c>
      <c r="T29" s="272">
        <f>IF(ISNUMBER(VLOOKUP(S29,Daily!$G$5:$I$36,3, FALSE)), VLOOKUP(S29,Daily!$G$5:$I$36,3),VLOOKUP(S29, $K$5:$L$72,2))</f>
        <v>25</v>
      </c>
      <c r="U29" s="35">
        <f t="shared" ca="1" si="3"/>
        <v>0.75</v>
      </c>
      <c r="V29" s="35">
        <f t="shared" ca="1" si="4"/>
        <v>5.5013777784327013E-2</v>
      </c>
      <c r="Y29" s="114">
        <f ca="1">Daily!K18</f>
        <v>37347</v>
      </c>
      <c r="Z29" s="269">
        <v>0</v>
      </c>
      <c r="AA29" s="220">
        <f>IF(ISNUMBER(Daily!M18),Daily!M18+$Z29, $Z29+0.05)</f>
        <v>0.05</v>
      </c>
      <c r="AB29" s="220">
        <f>IF(ISNUMBER(Daily!N18),Daily!N18+$Z29, $Z29+0.15)</f>
        <v>0.15</v>
      </c>
      <c r="AC29" s="220">
        <f>IF(ISNUMBER(Daily!O18),Daily!O18+$Z29, $Z29+0.15)</f>
        <v>0.15</v>
      </c>
      <c r="AD29" s="220">
        <f t="shared" si="7"/>
        <v>0</v>
      </c>
      <c r="AE29" s="220">
        <f>IF(ISNUMBER(Daily!P18),Daily!P18+$AD29,$AD29+0.05)</f>
        <v>0.05</v>
      </c>
      <c r="AF29" s="220">
        <f>IF(ISNUMBER(Daily!Q18),Daily!Q18+$AD29,$AD29+0.1)</f>
        <v>0.1</v>
      </c>
      <c r="AG29" s="220">
        <f>IF(ISNUMBER(Daily!R18),Daily!R18+$AD29,$AD29+0.15)</f>
        <v>0.15</v>
      </c>
      <c r="AJ29" s="114">
        <f t="shared" ca="1" si="0"/>
        <v>37712</v>
      </c>
      <c r="AK29" s="207">
        <v>-0.13818</v>
      </c>
      <c r="AL29" s="207">
        <v>0.31507400000000002</v>
      </c>
      <c r="AM29" s="207">
        <v>-5.7619999999999998E-3</v>
      </c>
      <c r="AW29" s="114">
        <f ca="1">Monthly!K18</f>
        <v>37347</v>
      </c>
      <c r="AX29" s="220">
        <v>0</v>
      </c>
      <c r="AY29" s="220">
        <f>IF(ISNUMBER(Monthly!M18),Monthly!M18+$AX29, $AX29+0.05)</f>
        <v>0.05</v>
      </c>
      <c r="AZ29" s="220">
        <f>IF(ISNUMBER(Monthly!N18),Override!N18+$AX29, $AX29+0.15)</f>
        <v>0.15</v>
      </c>
      <c r="BA29" s="220">
        <f>IF(ISNUMBER(Monthly!O18),Monthly!O18+$AX29, $AX29+0.15)</f>
        <v>0.15</v>
      </c>
      <c r="BB29" s="220">
        <f t="shared" si="8"/>
        <v>0</v>
      </c>
      <c r="BC29" s="220">
        <f>IF(ISNUMBER(Monthly!P18),Monthly!P18+$BB29,$BB29+0.05)</f>
        <v>0.05</v>
      </c>
      <c r="BD29" s="220">
        <f>IF(ISNUMBER(Monthly!Q18),Monthly!Q18+$BB29,$BB29+0.1)</f>
        <v>0.1</v>
      </c>
      <c r="BE29" s="220">
        <f>IF(ISNUMBER(Monthly!R18),Monthly!R18+$BB29,$BB29+0.15)</f>
        <v>0.15</v>
      </c>
      <c r="BH29" s="114">
        <f t="shared" ca="1" si="1"/>
        <v>37712</v>
      </c>
      <c r="BI29" s="207">
        <v>-0.13818</v>
      </c>
      <c r="BJ29" s="207">
        <v>0.31507400000000002</v>
      </c>
      <c r="BK29" s="207">
        <v>-5.7619999999999998E-3</v>
      </c>
      <c r="BU29" s="34">
        <f ca="1">Monthly!E29</f>
        <v>33.898544311523438</v>
      </c>
      <c r="BV29" s="34">
        <f>Monthly!F29</f>
        <v>0.99</v>
      </c>
      <c r="BX29" s="41">
        <f ca="1">Calc!AA29</f>
        <v>37681</v>
      </c>
      <c r="BY29" s="35">
        <f ca="1">IF(AND(ISNUMBER(BU29),BU29&lt;&gt;0), IF(Monthly!$BB$12=1,Calc!AI29+BU29,IF(Monthly!$BB$12=2,Calc!AI29*BU29,IF(Monthly!$BB$12=3,BU29,Calc!AI29))),Calc!AI29)</f>
        <v>33.898544311523438</v>
      </c>
      <c r="BZ29" s="35">
        <f ca="1">IF(AND(ISNUMBER(BV29),BV29&lt;&gt;0),IF(Monthly!$BB$13=1,Calc!AJ29+BV29, IF(Monthly!$BB$13=2,Calc!AJ29*BV29, IF(Monthly!$BB$13=3,BV29,Calc!AJ29))),Calc!AJ29)</f>
        <v>0.25</v>
      </c>
      <c r="CA29" s="35">
        <f ca="1">VLOOKUP(BX29,Calc!$AA$5:$AH$72,8)</f>
        <v>5.5013777784327013E-2</v>
      </c>
      <c r="CB29" s="73">
        <v>0</v>
      </c>
      <c r="CC29" s="73">
        <v>1</v>
      </c>
      <c r="CD29" s="73">
        <f t="shared" ca="1" si="2"/>
        <v>1.9301848049281314</v>
      </c>
    </row>
    <row r="30" spans="3:82" x14ac:dyDescent="0.2">
      <c r="C30" s="277"/>
      <c r="D30" s="248"/>
      <c r="E30" s="248"/>
      <c r="F30" s="248"/>
      <c r="H30" s="34">
        <f ca="1">Daily!E30</f>
        <v>34.098545074462891</v>
      </c>
      <c r="I30" s="34">
        <v>0.99</v>
      </c>
      <c r="K30" s="41">
        <f ca="1">Calc!AA30</f>
        <v>37712</v>
      </c>
      <c r="L30" s="35">
        <f ca="1">IF(AND(ISNUMBER(H30),H30&lt;&gt;0), IF(Daily!$BB$12=1,Calc!AF30+H30,IF(Daily!$BB$12=2,Calc!AF30*H30,IF(Daily!$BB$12=3,H30,Calc!AF30))),Calc!AF30)</f>
        <v>34.098545074462891</v>
      </c>
      <c r="M30" s="35">
        <f ca="1">IF(AND(ISNUMBER(I30),I30&lt;&gt;0),IF(Daily!$BB$13=1,Calc!AG30+I30, IF(Daily!$BB$13=2,Calc!AG30*I30, IF(Daily!$BB$13=3,I30,Calc!AG30))),Calc!AG30)</f>
        <v>0.25</v>
      </c>
      <c r="N30" s="35">
        <f ca="1">VLOOKUP(K30,Calc!$AA$5:$AH$72,8)</f>
        <v>5.5167025939401995E-2</v>
      </c>
      <c r="R30" s="70">
        <v>26</v>
      </c>
      <c r="S30" s="271">
        <f>'Power Curves'!D34</f>
        <v>36997</v>
      </c>
      <c r="T30" s="272">
        <f>IF(ISNUMBER(VLOOKUP(S30,Daily!$G$5:$I$36,3, FALSE)), VLOOKUP(S30,Daily!$G$5:$I$36,3),VLOOKUP(S30, $K$5:$L$72,2))</f>
        <v>40.25</v>
      </c>
      <c r="U30" s="35">
        <f t="shared" ca="1" si="3"/>
        <v>0.75</v>
      </c>
      <c r="V30" s="35">
        <f t="shared" ca="1" si="4"/>
        <v>5.5167025939401995E-2</v>
      </c>
      <c r="Y30" s="114">
        <f ca="1">Daily!K19</f>
        <v>37377</v>
      </c>
      <c r="Z30" s="269">
        <v>0</v>
      </c>
      <c r="AA30" s="220">
        <f>IF(ISNUMBER(Daily!M19),Daily!M19+$Z30, $Z30+0.05)</f>
        <v>0.05</v>
      </c>
      <c r="AB30" s="220">
        <f>IF(ISNUMBER(Daily!N19),Daily!N19+$Z30, $Z30+0.15)</f>
        <v>0.15</v>
      </c>
      <c r="AC30" s="220">
        <f>IF(ISNUMBER(Daily!O19),Daily!O19+$Z30, $Z30+0.15)</f>
        <v>0.15</v>
      </c>
      <c r="AD30" s="220">
        <f t="shared" si="7"/>
        <v>0</v>
      </c>
      <c r="AE30" s="220">
        <f>IF(ISNUMBER(Daily!P19),Daily!P19+$AD30,$AD30+0.05)</f>
        <v>0.05</v>
      </c>
      <c r="AF30" s="220">
        <f>IF(ISNUMBER(Daily!Q19),Daily!Q19+$AD30,$AD30+0.1)</f>
        <v>0.1</v>
      </c>
      <c r="AG30" s="220">
        <f>IF(ISNUMBER(Daily!R19),Daily!R19+$AD30,$AD30+0.15)</f>
        <v>0.15</v>
      </c>
      <c r="AJ30" s="114">
        <f t="shared" ca="1" si="0"/>
        <v>37742</v>
      </c>
      <c r="AK30" s="207">
        <v>-0.13818</v>
      </c>
      <c r="AL30" s="207">
        <v>0.31507400000000002</v>
      </c>
      <c r="AM30" s="207">
        <v>-5.7619999999999998E-3</v>
      </c>
      <c r="AW30" s="114">
        <f ca="1">Monthly!K19</f>
        <v>37377</v>
      </c>
      <c r="AX30" s="220">
        <v>0</v>
      </c>
      <c r="AY30" s="220">
        <f>IF(ISNUMBER(Monthly!M19),Monthly!M19+$AX30, $AX30+0.05)</f>
        <v>0.05</v>
      </c>
      <c r="AZ30" s="220">
        <f>IF(ISNUMBER(Monthly!N19),Override!N19+$AX30, $AX30+0.15)</f>
        <v>0.15</v>
      </c>
      <c r="BA30" s="220">
        <f>IF(ISNUMBER(Monthly!O19),Monthly!O19+$AX30, $AX30+0.15)</f>
        <v>0.15</v>
      </c>
      <c r="BB30" s="220">
        <f t="shared" si="8"/>
        <v>0</v>
      </c>
      <c r="BC30" s="220">
        <f>IF(ISNUMBER(Monthly!P19),Monthly!P19+$BB30,$BB30+0.05)</f>
        <v>0.05</v>
      </c>
      <c r="BD30" s="220">
        <f>IF(ISNUMBER(Monthly!Q19),Monthly!Q19+$BB30,$BB30+0.1)</f>
        <v>0.1</v>
      </c>
      <c r="BE30" s="220">
        <f>IF(ISNUMBER(Monthly!R19),Monthly!R19+$BB30,$BB30+0.15)</f>
        <v>0.15</v>
      </c>
      <c r="BH30" s="114">
        <f t="shared" ca="1" si="1"/>
        <v>37742</v>
      </c>
      <c r="BI30" s="207">
        <v>-0.13818</v>
      </c>
      <c r="BJ30" s="207">
        <v>0.31507400000000002</v>
      </c>
      <c r="BK30" s="207">
        <v>-5.7619999999999998E-3</v>
      </c>
      <c r="BU30" s="34">
        <f ca="1">Monthly!E30</f>
        <v>34.098545074462891</v>
      </c>
      <c r="BV30" s="34">
        <f>Monthly!F30</f>
        <v>0.99</v>
      </c>
      <c r="BX30" s="41">
        <f ca="1">Calc!AA30</f>
        <v>37712</v>
      </c>
      <c r="BY30" s="35">
        <f ca="1">IF(AND(ISNUMBER(BU30),BU30&lt;&gt;0), IF(Monthly!$BB$12=1,Calc!AI30+BU30,IF(Monthly!$BB$12=2,Calc!AI30*BU30,IF(Monthly!$BB$12=3,BU30,Calc!AI30))),Calc!AI30)</f>
        <v>34.098545074462891</v>
      </c>
      <c r="BZ30" s="35">
        <f ca="1">IF(AND(ISNUMBER(BV30),BV30&lt;&gt;0),IF(Monthly!$BB$13=1,Calc!AJ30+BV30, IF(Monthly!$BB$13=2,Calc!AJ30*BV30, IF(Monthly!$BB$13=3,BV30,Calc!AJ30))),Calc!AJ30)</f>
        <v>0.25</v>
      </c>
      <c r="CA30" s="35">
        <f ca="1">VLOOKUP(BX30,Calc!$AA$5:$AH$72,8)</f>
        <v>5.5167025939401995E-2</v>
      </c>
      <c r="CB30" s="73">
        <v>0</v>
      </c>
      <c r="CC30" s="73">
        <v>1</v>
      </c>
      <c r="CD30" s="73">
        <f t="shared" ca="1" si="2"/>
        <v>2.0150581793292264</v>
      </c>
    </row>
    <row r="31" spans="3:82" x14ac:dyDescent="0.2">
      <c r="C31" s="277"/>
      <c r="D31" s="248"/>
      <c r="E31" s="248"/>
      <c r="F31" s="248"/>
      <c r="H31" s="34">
        <f ca="1">Daily!E31</f>
        <v>35.003566741943359</v>
      </c>
      <c r="I31" s="34">
        <v>0.99</v>
      </c>
      <c r="K31" s="41">
        <f ca="1">Calc!AA31</f>
        <v>37742</v>
      </c>
      <c r="L31" s="35">
        <f ca="1">IF(AND(ISNUMBER(H31),H31&lt;&gt;0), IF(Daily!$BB$12=1,Calc!AF31+H31,IF(Daily!$BB$12=2,Calc!AF31*H31,IF(Daily!$BB$12=3,H31,Calc!AF31))),Calc!AF31)</f>
        <v>35.003566741943359</v>
      </c>
      <c r="M31" s="35">
        <f ca="1">IF(AND(ISNUMBER(I31),I31&lt;&gt;0),IF(Daily!$BB$13=1,Calc!AG31+I31, IF(Daily!$BB$13=2,Calc!AG31*I31, IF(Daily!$BB$13=3,I31,Calc!AG31))),Calc!AG31)</f>
        <v>0.42600000000000005</v>
      </c>
      <c r="N31" s="35">
        <f ca="1">VLOOKUP(K31,Calc!$AA$5:$AH$72,8)</f>
        <v>5.5325382374528005E-2</v>
      </c>
      <c r="R31" s="70">
        <v>27</v>
      </c>
      <c r="S31" s="271">
        <f>'Power Curves'!D35</f>
        <v>36998</v>
      </c>
      <c r="T31" s="272">
        <f>IF(ISNUMBER(VLOOKUP(S31,Daily!$G$5:$I$36,3, FALSE)), VLOOKUP(S31,Daily!$G$5:$I$36,3),VLOOKUP(S31, $K$5:$L$72,2))</f>
        <v>40.25</v>
      </c>
      <c r="U31" s="35">
        <f t="shared" ca="1" si="3"/>
        <v>0.75</v>
      </c>
      <c r="V31" s="35">
        <f t="shared" ca="1" si="4"/>
        <v>5.5325382374528005E-2</v>
      </c>
      <c r="Y31" s="114">
        <f ca="1">Daily!K20</f>
        <v>37408</v>
      </c>
      <c r="Z31" s="269">
        <v>0</v>
      </c>
      <c r="AA31" s="220">
        <f>IF(ISNUMBER(Daily!M20),Daily!M20+$Z31, $Z31+0.05)</f>
        <v>0.05</v>
      </c>
      <c r="AB31" s="220">
        <f>IF(ISNUMBER(Daily!N20),Daily!N20+$Z31, $Z31+0.15)</f>
        <v>0.15</v>
      </c>
      <c r="AC31" s="220">
        <f>IF(ISNUMBER(Daily!O20),Daily!O20+$Z31, $Z31+0.15)</f>
        <v>0.15</v>
      </c>
      <c r="AD31" s="220">
        <f t="shared" si="7"/>
        <v>0</v>
      </c>
      <c r="AE31" s="220">
        <f>IF(ISNUMBER(Daily!P20),Daily!P20+$AD31,$AD31+0.05)</f>
        <v>0.05</v>
      </c>
      <c r="AF31" s="220">
        <f>IF(ISNUMBER(Daily!Q20),Daily!Q20+$AD31,$AD31+0.1)</f>
        <v>0.1</v>
      </c>
      <c r="AG31" s="220">
        <f>IF(ISNUMBER(Daily!R20),Daily!R20+$AD31,$AD31+0.15)</f>
        <v>0.15</v>
      </c>
      <c r="AJ31" s="114">
        <f t="shared" ca="1" si="0"/>
        <v>37773</v>
      </c>
      <c r="AK31" s="207">
        <v>-0.13818</v>
      </c>
      <c r="AL31" s="207">
        <v>0.31507400000000002</v>
      </c>
      <c r="AM31" s="207">
        <v>-5.7619999999999998E-3</v>
      </c>
      <c r="AW31" s="114">
        <f ca="1">Monthly!K20</f>
        <v>37408</v>
      </c>
      <c r="AX31" s="220">
        <v>0</v>
      </c>
      <c r="AY31" s="220">
        <f>IF(ISNUMBER(Monthly!M20),Monthly!M20+$AX31, $AX31+0.05)</f>
        <v>0.05</v>
      </c>
      <c r="AZ31" s="220">
        <f>IF(ISNUMBER(Monthly!N20),Override!N20+$AX31, $AX31+0.15)</f>
        <v>0.15</v>
      </c>
      <c r="BA31" s="220">
        <f>IF(ISNUMBER(Monthly!O20),Monthly!O20+$AX31, $AX31+0.15)</f>
        <v>0.15</v>
      </c>
      <c r="BB31" s="220">
        <f t="shared" si="8"/>
        <v>0</v>
      </c>
      <c r="BC31" s="220">
        <f>IF(ISNUMBER(Monthly!P20),Monthly!P20+$BB31,$BB31+0.05)</f>
        <v>0.05</v>
      </c>
      <c r="BD31" s="220">
        <f>IF(ISNUMBER(Monthly!Q20),Monthly!Q20+$BB31,$BB31+0.1)</f>
        <v>0.1</v>
      </c>
      <c r="BE31" s="220">
        <f>IF(ISNUMBER(Monthly!R20),Monthly!R20+$BB31,$BB31+0.15)</f>
        <v>0.15</v>
      </c>
      <c r="BH31" s="114">
        <f t="shared" ca="1" si="1"/>
        <v>37773</v>
      </c>
      <c r="BI31" s="207">
        <v>-0.13818</v>
      </c>
      <c r="BJ31" s="207">
        <v>0.31507400000000002</v>
      </c>
      <c r="BK31" s="207">
        <v>-5.7619999999999998E-3</v>
      </c>
      <c r="BU31" s="34">
        <f ca="1">Monthly!E31</f>
        <v>35.003566741943359</v>
      </c>
      <c r="BV31" s="34">
        <f>Monthly!F31</f>
        <v>0.99</v>
      </c>
      <c r="BX31" s="41">
        <f ca="1">Calc!AA31</f>
        <v>37742</v>
      </c>
      <c r="BY31" s="35">
        <f ca="1">IF(AND(ISNUMBER(BU31),BU31&lt;&gt;0), IF(Monthly!$BB$12=1,Calc!AI31+BU31,IF(Monthly!$BB$12=2,Calc!AI31*BU31,IF(Monthly!$BB$12=3,BU31,Calc!AI31))),Calc!AI31)</f>
        <v>35.003566741943359</v>
      </c>
      <c r="BZ31" s="35">
        <f ca="1">IF(AND(ISNUMBER(BV31),BV31&lt;&gt;0),IF(Monthly!$BB$13=1,Calc!AJ31+BV31, IF(Monthly!$BB$13=2,Calc!AJ31*BV31, IF(Monthly!$BB$13=3,BV31,Calc!AJ31))),Calc!AJ31)</f>
        <v>0.42600000000000005</v>
      </c>
      <c r="CA31" s="35">
        <f ca="1">VLOOKUP(BX31,Calc!$AA$5:$AH$72,8)</f>
        <v>5.5325382374528005E-2</v>
      </c>
      <c r="CB31" s="73">
        <v>0</v>
      </c>
      <c r="CC31" s="73">
        <v>1</v>
      </c>
      <c r="CD31" s="73">
        <f t="shared" ca="1" si="2"/>
        <v>2.0971937029431897</v>
      </c>
    </row>
    <row r="32" spans="3:82" x14ac:dyDescent="0.2">
      <c r="C32" s="277"/>
      <c r="D32" s="248"/>
      <c r="E32" s="248"/>
      <c r="F32" s="248"/>
      <c r="H32" s="34">
        <f ca="1">Daily!E32</f>
        <v>51.747856140136719</v>
      </c>
      <c r="I32" s="34">
        <v>0.99</v>
      </c>
      <c r="K32" s="41">
        <f ca="1">Calc!AA32</f>
        <v>37773</v>
      </c>
      <c r="L32" s="35">
        <f ca="1">IF(AND(ISNUMBER(H32),H32&lt;&gt;0), IF(Daily!$BB$12=1,Calc!AF32+H32,IF(Daily!$BB$12=2,Calc!AF32*H32,IF(Daily!$BB$12=3,H32,Calc!AF32))),Calc!AF32)</f>
        <v>51.747856140136719</v>
      </c>
      <c r="M32" s="35">
        <f ca="1">IF(AND(ISNUMBER(I32),I32&lt;&gt;0),IF(Daily!$BB$13=1,Calc!AG32+I32, IF(Daily!$BB$13=2,Calc!AG32*I32, IF(Daily!$BB$13=3,I32,Calc!AG32))),Calc!AG32)</f>
        <v>0.46550000000000002</v>
      </c>
      <c r="N32" s="35">
        <f ca="1">VLOOKUP(K32,Calc!$AA$5:$AH$72,8)</f>
        <v>5.5474153248809006E-2</v>
      </c>
      <c r="R32" s="70">
        <v>28</v>
      </c>
      <c r="S32" s="271">
        <f>'Power Curves'!D36</f>
        <v>36999</v>
      </c>
      <c r="T32" s="272">
        <f>IF(ISNUMBER(VLOOKUP(S32,Daily!$G$5:$I$36,3, FALSE)), VLOOKUP(S32,Daily!$G$5:$I$36,3),VLOOKUP(S32, $K$5:$L$72,2))</f>
        <v>40.25</v>
      </c>
      <c r="U32" s="35">
        <f t="shared" ca="1" si="3"/>
        <v>0.75</v>
      </c>
      <c r="V32" s="35">
        <f t="shared" ca="1" si="4"/>
        <v>5.5474153248809006E-2</v>
      </c>
      <c r="Y32" s="114">
        <f ca="1">Daily!K21</f>
        <v>37438</v>
      </c>
      <c r="Z32" s="269">
        <v>0</v>
      </c>
      <c r="AA32" s="220">
        <f>IF(ISNUMBER(Daily!M21),Daily!M21+$Z32, $Z32+0.05)</f>
        <v>0.05</v>
      </c>
      <c r="AB32" s="220">
        <f>IF(ISNUMBER(Daily!N21),Daily!N21+$Z32, $Z32+0.15)</f>
        <v>0.15</v>
      </c>
      <c r="AC32" s="220">
        <f>IF(ISNUMBER(Daily!O21),Daily!O21+$Z32, $Z32+0.15)</f>
        <v>0.15</v>
      </c>
      <c r="AD32" s="220">
        <f t="shared" si="7"/>
        <v>0</v>
      </c>
      <c r="AE32" s="220">
        <f>IF(ISNUMBER(Daily!P21),Daily!P21+$AD32,$AD32+0.05)</f>
        <v>0.05</v>
      </c>
      <c r="AF32" s="220">
        <f>IF(ISNUMBER(Daily!Q21),Daily!Q21+$AD32,$AD32+0.1)</f>
        <v>0.1</v>
      </c>
      <c r="AG32" s="220">
        <f>IF(ISNUMBER(Daily!R21),Daily!R21+$AD32,$AD32+0.15)</f>
        <v>0.15</v>
      </c>
      <c r="AJ32" s="114">
        <f t="shared" ca="1" si="0"/>
        <v>37803</v>
      </c>
      <c r="AK32" s="207">
        <v>-0.13818</v>
      </c>
      <c r="AL32" s="207">
        <v>0.31507400000000002</v>
      </c>
      <c r="AM32" s="207">
        <v>-5.7619999999999998E-3</v>
      </c>
      <c r="AW32" s="114">
        <f ca="1">Monthly!K21</f>
        <v>37438</v>
      </c>
      <c r="AX32" s="220">
        <v>0</v>
      </c>
      <c r="AY32" s="220">
        <f>IF(ISNUMBER(Monthly!M21),Monthly!M21+$AX32, $AX32+0.05)</f>
        <v>0.05</v>
      </c>
      <c r="AZ32" s="220">
        <f>IF(ISNUMBER(Monthly!N21),Override!N21+$AX32, $AX32+0.15)</f>
        <v>0.15</v>
      </c>
      <c r="BA32" s="220">
        <f>IF(ISNUMBER(Monthly!O21),Monthly!O21+$AX32, $AX32+0.15)</f>
        <v>0.15</v>
      </c>
      <c r="BB32" s="220">
        <f t="shared" si="8"/>
        <v>0</v>
      </c>
      <c r="BC32" s="220">
        <f>IF(ISNUMBER(Monthly!P21),Monthly!P21+$BB32,$BB32+0.05)</f>
        <v>0.05</v>
      </c>
      <c r="BD32" s="220">
        <f>IF(ISNUMBER(Monthly!Q21),Monthly!Q21+$BB32,$BB32+0.1)</f>
        <v>0.1</v>
      </c>
      <c r="BE32" s="220">
        <f>IF(ISNUMBER(Monthly!R21),Monthly!R21+$BB32,$BB32+0.15)</f>
        <v>0.15</v>
      </c>
      <c r="BH32" s="114">
        <f t="shared" ca="1" si="1"/>
        <v>37803</v>
      </c>
      <c r="BI32" s="207">
        <v>-0.13818</v>
      </c>
      <c r="BJ32" s="207">
        <v>0.31507400000000002</v>
      </c>
      <c r="BK32" s="207">
        <v>-5.7619999999999998E-3</v>
      </c>
      <c r="BU32" s="34">
        <f ca="1">Monthly!E32</f>
        <v>51.747856140136719</v>
      </c>
      <c r="BV32" s="34">
        <f>Monthly!F32</f>
        <v>0.99</v>
      </c>
      <c r="BX32" s="41">
        <f ca="1">Calc!AA32</f>
        <v>37773</v>
      </c>
      <c r="BY32" s="35">
        <f ca="1">IF(AND(ISNUMBER(BU32),BU32&lt;&gt;0), IF(Monthly!$BB$12=1,Calc!AI32+BU32,IF(Monthly!$BB$12=2,Calc!AI32*BU32,IF(Monthly!$BB$12=3,BU32,Calc!AI32))),Calc!AI32)</f>
        <v>51.747856140136719</v>
      </c>
      <c r="BZ32" s="35">
        <f ca="1">IF(AND(ISNUMBER(BV32),BV32&lt;&gt;0),IF(Monthly!$BB$13=1,Calc!AJ32+BV32, IF(Monthly!$BB$13=2,Calc!AJ32*BV32, IF(Monthly!$BB$13=3,BV32,Calc!AJ32))),Calc!AJ32)</f>
        <v>0.46550000000000002</v>
      </c>
      <c r="CA32" s="35">
        <f ca="1">VLOOKUP(BX32,Calc!$AA$5:$AH$72,8)</f>
        <v>5.5474153248809006E-2</v>
      </c>
      <c r="CB32" s="73">
        <v>0</v>
      </c>
      <c r="CC32" s="73">
        <v>1</v>
      </c>
      <c r="CD32" s="73">
        <f t="shared" ca="1" si="2"/>
        <v>2.1820670773442847</v>
      </c>
    </row>
    <row r="33" spans="3:82" x14ac:dyDescent="0.2">
      <c r="C33" s="277"/>
      <c r="D33" s="248"/>
      <c r="E33" s="248"/>
      <c r="F33" s="248"/>
      <c r="H33" s="34">
        <f ca="1">Daily!E33</f>
        <v>76.997146606445313</v>
      </c>
      <c r="I33" s="34">
        <v>0.99</v>
      </c>
      <c r="K33" s="41">
        <f ca="1">Calc!AA33</f>
        <v>37803</v>
      </c>
      <c r="L33" s="35">
        <f ca="1">IF(AND(ISNUMBER(H33),H33&lt;&gt;0), IF(Daily!$BB$12=1,Calc!AF33+H33,IF(Daily!$BB$12=2,Calc!AF33*H33,IF(Daily!$BB$12=3,H33,Calc!AF33))),Calc!AF33)</f>
        <v>76.997146606445313</v>
      </c>
      <c r="M33" s="35">
        <f ca="1">IF(AND(ISNUMBER(I33),I33&lt;&gt;0),IF(Daily!$BB$13=1,Calc!AG33+I33, IF(Daily!$BB$13=2,Calc!AG33*I33, IF(Daily!$BB$13=3,I33,Calc!AG33))),Calc!AG33)</f>
        <v>0.4955</v>
      </c>
      <c r="N33" s="35">
        <f ca="1">VLOOKUP(K33,Calc!$AA$5:$AH$72,8)</f>
        <v>5.562145439014702E-2</v>
      </c>
      <c r="R33" s="70">
        <v>29</v>
      </c>
      <c r="S33" s="271">
        <f>'Power Curves'!D37</f>
        <v>37000</v>
      </c>
      <c r="T33" s="272">
        <f>IF(ISNUMBER(VLOOKUP(S33,Daily!$G$5:$I$36,3, FALSE)), VLOOKUP(S33,Daily!$G$5:$I$36,3),VLOOKUP(S33, $K$5:$L$72,2))</f>
        <v>40.25</v>
      </c>
      <c r="U33" s="35">
        <f t="shared" ca="1" si="3"/>
        <v>0.75</v>
      </c>
      <c r="V33" s="35">
        <f t="shared" ca="1" si="4"/>
        <v>5.562145439014702E-2</v>
      </c>
      <c r="Y33" s="114">
        <f ca="1">Daily!K22</f>
        <v>37469</v>
      </c>
      <c r="Z33" s="269">
        <v>0</v>
      </c>
      <c r="AA33" s="220">
        <f>IF(ISNUMBER(Daily!M22),Daily!M22+$Z33, $Z33+0.05)</f>
        <v>0.05</v>
      </c>
      <c r="AB33" s="220">
        <f>IF(ISNUMBER(Daily!N22),Daily!N22+$Z33, $Z33+0.15)</f>
        <v>0.15</v>
      </c>
      <c r="AC33" s="220">
        <f>IF(ISNUMBER(Daily!O22),Daily!O22+$Z33, $Z33+0.15)</f>
        <v>0.15</v>
      </c>
      <c r="AD33" s="220">
        <f t="shared" si="7"/>
        <v>0</v>
      </c>
      <c r="AE33" s="220">
        <f>IF(ISNUMBER(Daily!P22),Daily!P22+$AD33,$AD33+0.05)</f>
        <v>0.05</v>
      </c>
      <c r="AF33" s="220">
        <f>IF(ISNUMBER(Daily!Q22),Daily!Q22+$AD33,$AD33+0.1)</f>
        <v>0.1</v>
      </c>
      <c r="AG33" s="220">
        <f>IF(ISNUMBER(Daily!R22),Daily!R22+$AD33,$AD33+0.15)</f>
        <v>0.15</v>
      </c>
      <c r="AJ33" s="114">
        <f t="shared" ca="1" si="0"/>
        <v>37834</v>
      </c>
      <c r="AK33" s="207">
        <v>-0.13818</v>
      </c>
      <c r="AL33" s="207">
        <v>0.31507400000000002</v>
      </c>
      <c r="AM33" s="207">
        <v>-5.7619999999999998E-3</v>
      </c>
      <c r="AW33" s="114">
        <f ca="1">Monthly!K22</f>
        <v>37469</v>
      </c>
      <c r="AX33" s="220">
        <v>0</v>
      </c>
      <c r="AY33" s="220">
        <f>IF(ISNUMBER(Monthly!M22),Monthly!M22+$AX33, $AX33+0.05)</f>
        <v>0.05</v>
      </c>
      <c r="AZ33" s="220">
        <f>IF(ISNUMBER(Monthly!N22),Override!N22+$AX33, $AX33+0.15)</f>
        <v>0.15</v>
      </c>
      <c r="BA33" s="220">
        <f>IF(ISNUMBER(Monthly!O22),Monthly!O22+$AX33, $AX33+0.15)</f>
        <v>0.15</v>
      </c>
      <c r="BB33" s="220">
        <f t="shared" si="8"/>
        <v>0</v>
      </c>
      <c r="BC33" s="220">
        <f>IF(ISNUMBER(Monthly!P22),Monthly!P22+$BB33,$BB33+0.05)</f>
        <v>0.05</v>
      </c>
      <c r="BD33" s="220">
        <f>IF(ISNUMBER(Monthly!Q22),Monthly!Q22+$BB33,$BB33+0.1)</f>
        <v>0.1</v>
      </c>
      <c r="BE33" s="220">
        <f>IF(ISNUMBER(Monthly!R22),Monthly!R22+$BB33,$BB33+0.15)</f>
        <v>0.15</v>
      </c>
      <c r="BH33" s="114">
        <f t="shared" ca="1" si="1"/>
        <v>37834</v>
      </c>
      <c r="BI33" s="207">
        <v>-0.13818</v>
      </c>
      <c r="BJ33" s="207">
        <v>0.31507400000000002</v>
      </c>
      <c r="BK33" s="207">
        <v>-5.7619999999999998E-3</v>
      </c>
      <c r="BU33" s="34">
        <f ca="1">Monthly!E33</f>
        <v>76.997146606445313</v>
      </c>
      <c r="BV33" s="34">
        <f>Monthly!F33</f>
        <v>0.99</v>
      </c>
      <c r="BX33" s="41">
        <f ca="1">Calc!AA33</f>
        <v>37803</v>
      </c>
      <c r="BY33" s="35">
        <f ca="1">IF(AND(ISNUMBER(BU33),BU33&lt;&gt;0), IF(Monthly!$BB$12=1,Calc!AI33+BU33,IF(Monthly!$BB$12=2,Calc!AI33*BU33,IF(Monthly!$BB$12=3,BU33,Calc!AI33))),Calc!AI33)</f>
        <v>76.997146606445313</v>
      </c>
      <c r="BZ33" s="35">
        <f ca="1">IF(AND(ISNUMBER(BV33),BV33&lt;&gt;0),IF(Monthly!$BB$13=1,Calc!AJ33+BV33, IF(Monthly!$BB$13=2,Calc!AJ33*BV33, IF(Monthly!$BB$13=3,BV33,Calc!AJ33))),Calc!AJ33)</f>
        <v>0.4955</v>
      </c>
      <c r="CA33" s="35">
        <f ca="1">VLOOKUP(BX33,Calc!$AA$5:$AH$72,8)</f>
        <v>5.562145439014702E-2</v>
      </c>
      <c r="CB33" s="73">
        <v>0</v>
      </c>
      <c r="CC33" s="73">
        <v>1</v>
      </c>
      <c r="CD33" s="73">
        <f t="shared" ca="1" si="2"/>
        <v>2.2642026009582477</v>
      </c>
    </row>
    <row r="34" spans="3:82" x14ac:dyDescent="0.2">
      <c r="C34" s="277"/>
      <c r="D34" s="248"/>
      <c r="E34" s="248"/>
      <c r="F34" s="248"/>
      <c r="H34" s="34">
        <f ca="1">Daily!E34</f>
        <v>76.997146606445313</v>
      </c>
      <c r="I34" s="34">
        <v>0.99</v>
      </c>
      <c r="K34" s="41">
        <f ca="1">Calc!AA34</f>
        <v>37834</v>
      </c>
      <c r="L34" s="35">
        <f ca="1">IF(AND(ISNUMBER(H34),H34&lt;&gt;0), IF(Daily!$BB$12=1,Calc!AF34+H34,IF(Daily!$BB$12=2,Calc!AF34*H34,IF(Daily!$BB$12=3,H34,Calc!AF34))),Calc!AF34)</f>
        <v>76.997146606445313</v>
      </c>
      <c r="M34" s="35">
        <f ca="1">IF(AND(ISNUMBER(I34),I34&lt;&gt;0),IF(Daily!$BB$13=1,Calc!AG34+I34, IF(Daily!$BB$13=2,Calc!AG34*I34, IF(Daily!$BB$13=3,I34,Calc!AG34))),Calc!AG34)</f>
        <v>0.4955</v>
      </c>
      <c r="N34" s="35">
        <f ca="1">VLOOKUP(K34,Calc!$AA$5:$AH$72,8)</f>
        <v>5.5768755538709004E-2</v>
      </c>
      <c r="R34" s="70">
        <v>30</v>
      </c>
      <c r="S34" s="271">
        <f>'Power Curves'!D38</f>
        <v>37001</v>
      </c>
      <c r="T34" s="272">
        <f>IF(ISNUMBER(VLOOKUP(S34,Daily!$G$5:$I$36,3, FALSE)), VLOOKUP(S34,Daily!$G$5:$I$36,3),VLOOKUP(S34, $K$5:$L$72,2))</f>
        <v>40.25</v>
      </c>
      <c r="U34" s="35">
        <f t="shared" ca="1" si="3"/>
        <v>0.75</v>
      </c>
      <c r="V34" s="35">
        <f t="shared" ca="1" si="4"/>
        <v>5.5768755538709004E-2</v>
      </c>
      <c r="Y34" s="114">
        <f ca="1">Daily!K23</f>
        <v>37500</v>
      </c>
      <c r="Z34" s="269">
        <v>0</v>
      </c>
      <c r="AA34" s="220">
        <f>IF(ISNUMBER(Daily!M23),Daily!M23+$Z34, $Z34+0.05)</f>
        <v>0.05</v>
      </c>
      <c r="AB34" s="220">
        <f>IF(ISNUMBER(Daily!N23),Daily!N23+$Z34, $Z34+0.15)</f>
        <v>0.15</v>
      </c>
      <c r="AC34" s="220">
        <f>IF(ISNUMBER(Daily!O23),Daily!O23+$Z34, $Z34+0.15)</f>
        <v>0.15</v>
      </c>
      <c r="AD34" s="220">
        <f t="shared" si="7"/>
        <v>0</v>
      </c>
      <c r="AE34" s="220">
        <f>IF(ISNUMBER(Daily!P23),Daily!P23+$AD34,$AD34+0.05)</f>
        <v>0.05</v>
      </c>
      <c r="AF34" s="220">
        <f>IF(ISNUMBER(Daily!Q23),Daily!Q23+$AD34,$AD34+0.1)</f>
        <v>0.1</v>
      </c>
      <c r="AG34" s="220">
        <f>IF(ISNUMBER(Daily!R23),Daily!R23+$AD34,$AD34+0.15)</f>
        <v>0.15</v>
      </c>
      <c r="AJ34" s="114">
        <f t="shared" ca="1" si="0"/>
        <v>37865</v>
      </c>
      <c r="AK34" s="207">
        <v>-0.13818</v>
      </c>
      <c r="AL34" s="207">
        <v>0.31507400000000002</v>
      </c>
      <c r="AM34" s="207">
        <v>-5.7619999999999998E-3</v>
      </c>
      <c r="AW34" s="114">
        <f ca="1">Monthly!K23</f>
        <v>37500</v>
      </c>
      <c r="AX34" s="220">
        <v>0</v>
      </c>
      <c r="AY34" s="220">
        <f>IF(ISNUMBER(Monthly!M23),Monthly!M23+$AX34, $AX34+0.05)</f>
        <v>0.05</v>
      </c>
      <c r="AZ34" s="220">
        <f>IF(ISNUMBER(Monthly!N23),Override!N23+$AX34, $AX34+0.15)</f>
        <v>0.15</v>
      </c>
      <c r="BA34" s="220">
        <f>IF(ISNUMBER(Monthly!O23),Monthly!O23+$AX34, $AX34+0.15)</f>
        <v>0.15</v>
      </c>
      <c r="BB34" s="220">
        <f t="shared" si="8"/>
        <v>0</v>
      </c>
      <c r="BC34" s="220">
        <f>IF(ISNUMBER(Monthly!P23),Monthly!P23+$BB34,$BB34+0.05)</f>
        <v>0.05</v>
      </c>
      <c r="BD34" s="220">
        <f>IF(ISNUMBER(Monthly!Q23),Monthly!Q23+$BB34,$BB34+0.1)</f>
        <v>0.1</v>
      </c>
      <c r="BE34" s="220">
        <f>IF(ISNUMBER(Monthly!R23),Monthly!R23+$BB34,$BB34+0.15)</f>
        <v>0.15</v>
      </c>
      <c r="BH34" s="114">
        <f t="shared" ca="1" si="1"/>
        <v>37865</v>
      </c>
      <c r="BI34" s="207">
        <v>-0.13818</v>
      </c>
      <c r="BJ34" s="207">
        <v>0.31507400000000002</v>
      </c>
      <c r="BK34" s="207">
        <v>-5.7619999999999998E-3</v>
      </c>
      <c r="BU34" s="34">
        <f ca="1">Monthly!E34</f>
        <v>76.997146606445313</v>
      </c>
      <c r="BV34" s="34">
        <f>Monthly!F34</f>
        <v>0.99</v>
      </c>
      <c r="BX34" s="41">
        <f ca="1">Calc!AA34</f>
        <v>37834</v>
      </c>
      <c r="BY34" s="35">
        <f ca="1">IF(AND(ISNUMBER(BU34),BU34&lt;&gt;0), IF(Monthly!$BB$12=1,Calc!AI34+BU34,IF(Monthly!$BB$12=2,Calc!AI34*BU34,IF(Monthly!$BB$12=3,BU34,Calc!AI34))),Calc!AI34)</f>
        <v>76.997146606445313</v>
      </c>
      <c r="BZ34" s="35">
        <f ca="1">IF(AND(ISNUMBER(BV34),BV34&lt;&gt;0),IF(Monthly!$BB$13=1,Calc!AJ34+BV34, IF(Monthly!$BB$13=2,Calc!AJ34*BV34, IF(Monthly!$BB$13=3,BV34,Calc!AJ34))),Calc!AJ34)</f>
        <v>0.4955</v>
      </c>
      <c r="CA34" s="35">
        <f ca="1">VLOOKUP(BX34,Calc!$AA$5:$AH$72,8)</f>
        <v>5.5768755538709004E-2</v>
      </c>
      <c r="CB34" s="73">
        <v>0</v>
      </c>
      <c r="CC34" s="73">
        <v>1</v>
      </c>
      <c r="CD34" s="73">
        <f t="shared" ca="1" si="2"/>
        <v>2.3490759753593431</v>
      </c>
    </row>
    <row r="35" spans="3:82" x14ac:dyDescent="0.2">
      <c r="C35" s="277"/>
      <c r="D35" s="248"/>
      <c r="E35" s="248"/>
      <c r="F35" s="248"/>
      <c r="H35" s="34">
        <f ca="1">Daily!E35</f>
        <v>34.502143859863281</v>
      </c>
      <c r="I35" s="34">
        <v>0.99</v>
      </c>
      <c r="K35" s="41">
        <f ca="1">Calc!AA35</f>
        <v>37865</v>
      </c>
      <c r="L35" s="35">
        <f ca="1">IF(AND(ISNUMBER(H35),H35&lt;&gt;0), IF(Daily!$BB$12=1,Calc!AF35+H35,IF(Daily!$BB$12=2,Calc!AF35*H35,IF(Daily!$BB$12=3,H35,Calc!AF35))),Calc!AF35)</f>
        <v>34.502143859863281</v>
      </c>
      <c r="M35" s="35">
        <f ca="1">IF(AND(ISNUMBER(I35),I35&lt;&gt;0),IF(Daily!$BB$13=1,Calc!AG35+I35, IF(Daily!$BB$13=2,Calc!AG35*I35, IF(Daily!$BB$13=3,I35,Calc!AG35))),Calc!AG35)</f>
        <v>0.42600000000000005</v>
      </c>
      <c r="N35" s="35">
        <f ca="1">VLOOKUP(K35,Calc!$AA$5:$AH$72,8)</f>
        <v>5.5907717235592014E-2</v>
      </c>
      <c r="R35" s="70">
        <v>31</v>
      </c>
      <c r="S35" s="271">
        <f>'Power Curves'!D39</f>
        <v>37002</v>
      </c>
      <c r="T35" s="272">
        <f>IF(ISNUMBER(VLOOKUP(S35,Daily!$G$5:$I$36,3, FALSE)), VLOOKUP(S35,Daily!$G$5:$I$36,3),VLOOKUP(S35, $K$5:$L$72,2))</f>
        <v>25</v>
      </c>
      <c r="U35" s="35">
        <f t="shared" ca="1" si="3"/>
        <v>0.75</v>
      </c>
      <c r="V35" s="35">
        <f t="shared" ca="1" si="4"/>
        <v>5.5907717235592014E-2</v>
      </c>
      <c r="Y35" s="114">
        <f ca="1">Daily!K24</f>
        <v>37530</v>
      </c>
      <c r="Z35" s="269">
        <v>0</v>
      </c>
      <c r="AA35" s="220">
        <f>IF(ISNUMBER(Daily!M24),Daily!M24+$Z35, $Z35+0.05)</f>
        <v>0.05</v>
      </c>
      <c r="AB35" s="220">
        <f>IF(ISNUMBER(Daily!N24),Daily!N24+$Z35, $Z35+0.15)</f>
        <v>0.15</v>
      </c>
      <c r="AC35" s="220">
        <f>IF(ISNUMBER(Daily!O24),Daily!O24+$Z35, $Z35+0.15)</f>
        <v>0.15</v>
      </c>
      <c r="AD35" s="220">
        <f t="shared" si="7"/>
        <v>0</v>
      </c>
      <c r="AE35" s="220">
        <f>IF(ISNUMBER(Daily!P24),Daily!P24+$AD35,$AD35+0.05)</f>
        <v>0.05</v>
      </c>
      <c r="AF35" s="220">
        <f>IF(ISNUMBER(Daily!Q24),Daily!Q24+$AD35,$AD35+0.1)</f>
        <v>0.1</v>
      </c>
      <c r="AG35" s="220">
        <f>IF(ISNUMBER(Daily!R24),Daily!R24+$AD35,$AD35+0.15)</f>
        <v>0.15</v>
      </c>
      <c r="AJ35" s="137">
        <f t="shared" ca="1" si="0"/>
        <v>37895</v>
      </c>
      <c r="AK35" s="207">
        <v>-0.13818</v>
      </c>
      <c r="AL35" s="207">
        <v>0.31507400000000002</v>
      </c>
      <c r="AM35" s="207">
        <v>-5.7619999999999998E-3</v>
      </c>
      <c r="AW35" s="114">
        <f ca="1">Monthly!K24</f>
        <v>37530</v>
      </c>
      <c r="AX35" s="220">
        <v>0</v>
      </c>
      <c r="AY35" s="220">
        <f>IF(ISNUMBER(Monthly!M24),Monthly!M24+$AX35, $AX35+0.05)</f>
        <v>0.05</v>
      </c>
      <c r="AZ35" s="220">
        <f>IF(ISNUMBER(Monthly!N24),Override!N24+$AX35, $AX35+0.15)</f>
        <v>0.15</v>
      </c>
      <c r="BA35" s="220">
        <f>IF(ISNUMBER(Monthly!O24),Monthly!O24+$AX35, $AX35+0.15)</f>
        <v>0.15</v>
      </c>
      <c r="BB35" s="220">
        <f t="shared" si="8"/>
        <v>0</v>
      </c>
      <c r="BC35" s="220">
        <f>IF(ISNUMBER(Monthly!P24),Monthly!P24+$BB35,$BB35+0.05)</f>
        <v>0.05</v>
      </c>
      <c r="BD35" s="220">
        <f>IF(ISNUMBER(Monthly!Q24),Monthly!Q24+$BB35,$BB35+0.1)</f>
        <v>0.1</v>
      </c>
      <c r="BE35" s="220">
        <f>IF(ISNUMBER(Monthly!R24),Monthly!R24+$BB35,$BB35+0.15)</f>
        <v>0.15</v>
      </c>
      <c r="BH35" s="137">
        <f t="shared" ca="1" si="1"/>
        <v>37895</v>
      </c>
      <c r="BI35" s="207">
        <v>-0.13818</v>
      </c>
      <c r="BJ35" s="207">
        <v>0.31507400000000002</v>
      </c>
      <c r="BK35" s="207">
        <v>-5.7619999999999998E-3</v>
      </c>
      <c r="BU35" s="34">
        <f ca="1">Monthly!E35</f>
        <v>34.502143859863281</v>
      </c>
      <c r="BV35" s="34">
        <f>Monthly!F35</f>
        <v>0.99</v>
      </c>
      <c r="BX35" s="41">
        <f ca="1">Calc!AA35</f>
        <v>37865</v>
      </c>
      <c r="BY35" s="35">
        <f ca="1">IF(AND(ISNUMBER(BU35),BU35&lt;&gt;0), IF(Monthly!$BB$12=1,Calc!AI35+BU35,IF(Monthly!$BB$12=2,Calc!AI35*BU35,IF(Monthly!$BB$12=3,BU35,Calc!AI35))),Calc!AI35)</f>
        <v>34.502143859863281</v>
      </c>
      <c r="BZ35" s="35">
        <f ca="1">IF(AND(ISNUMBER(BV35),BV35&lt;&gt;0),IF(Monthly!$BB$13=1,Calc!AJ35+BV35, IF(Monthly!$BB$13=2,Calc!AJ35*BV35, IF(Monthly!$BB$13=3,BV35,Calc!AJ35))),Calc!AJ35)</f>
        <v>0.42600000000000005</v>
      </c>
      <c r="CA35" s="35">
        <f ca="1">VLOOKUP(BX35,Calc!$AA$5:$AH$72,8)</f>
        <v>5.5907717235592014E-2</v>
      </c>
      <c r="CB35" s="73">
        <v>0</v>
      </c>
      <c r="CC35" s="73">
        <v>1</v>
      </c>
      <c r="CD35" s="73">
        <f t="shared" ca="1" si="2"/>
        <v>2.4339493497604381</v>
      </c>
    </row>
    <row r="36" spans="3:82" x14ac:dyDescent="0.2">
      <c r="C36" s="277"/>
      <c r="D36" s="248"/>
      <c r="E36" s="248"/>
      <c r="F36" s="248"/>
      <c r="H36" s="34">
        <f ca="1">Daily!E36</f>
        <v>32.648933410644531</v>
      </c>
      <c r="I36" s="34">
        <v>0.99</v>
      </c>
      <c r="K36" s="41">
        <f ca="1">Calc!AA36</f>
        <v>37895</v>
      </c>
      <c r="L36" s="35">
        <f ca="1">IF(AND(ISNUMBER(H36),H36&lt;&gt;0), IF(Daily!$BB$12=1,Calc!AF36+H36,IF(Daily!$BB$12=2,Calc!AF36*H36,IF(Daily!$BB$12=3,H36,Calc!AF36))),Calc!AF36)</f>
        <v>32.648933410644531</v>
      </c>
      <c r="M36" s="35">
        <f ca="1">IF(AND(ISNUMBER(I36),I36&lt;&gt;0),IF(Daily!$BB$13=1,Calc!AG36+I36, IF(Daily!$BB$13=2,Calc!AG36*I36, IF(Daily!$BB$13=3,I36,Calc!AG36))),Calc!AG36)</f>
        <v>0.19500000000000001</v>
      </c>
      <c r="N36" s="35">
        <f ca="1">VLOOKUP(K36,Calc!$AA$5:$AH$72,8)</f>
        <v>5.6046808209464005E-2</v>
      </c>
      <c r="S36" s="273">
        <f>'Power Curves'!D40</f>
        <v>37011</v>
      </c>
      <c r="T36" s="274">
        <f>IF(ISNUMBER(VLOOKUP(S36,Daily!$G$5:$I$36,3, FALSE)), VLOOKUP(S36,Daily!$G$5:$I$36,3),VLOOKUP(S36, $K$5:$L$72,2))</f>
        <v>40.25</v>
      </c>
      <c r="U36" s="2">
        <f t="shared" ca="1" si="3"/>
        <v>0.75</v>
      </c>
      <c r="V36" s="2">
        <f t="shared" ca="1" si="4"/>
        <v>5.6046808209464005E-2</v>
      </c>
      <c r="Y36" s="114">
        <f ca="1">Daily!K25</f>
        <v>37561</v>
      </c>
      <c r="Z36" s="269">
        <v>0</v>
      </c>
      <c r="AA36" s="220">
        <f>IF(ISNUMBER(Daily!M25),Daily!M25+$Z36, $Z36+0.05)</f>
        <v>0.05</v>
      </c>
      <c r="AB36" s="220">
        <f>IF(ISNUMBER(Daily!N25),Daily!N25+$Z36, $Z36+0.15)</f>
        <v>0.15</v>
      </c>
      <c r="AC36" s="220">
        <f>IF(ISNUMBER(Daily!O25),Daily!O25+$Z36, $Z36+0.15)</f>
        <v>0.15</v>
      </c>
      <c r="AD36" s="220">
        <f t="shared" si="7"/>
        <v>0</v>
      </c>
      <c r="AE36" s="220">
        <f>IF(ISNUMBER(Daily!P25),Daily!P25+$AD36,$AD36+0.05)</f>
        <v>0.05</v>
      </c>
      <c r="AF36" s="220">
        <f>IF(ISNUMBER(Daily!Q25),Daily!Q25+$AD36,$AD36+0.1)</f>
        <v>0.1</v>
      </c>
      <c r="AG36" s="220">
        <f>IF(ISNUMBER(Daily!R25),Daily!R25+$AD36,$AD36+0.15)</f>
        <v>0.15</v>
      </c>
      <c r="AJ36" s="138">
        <f ca="1">AJ4</f>
        <v>36976</v>
      </c>
      <c r="AK36" s="207">
        <v>2.9362409999999999</v>
      </c>
      <c r="AL36" s="207">
        <v>-1.874161</v>
      </c>
      <c r="AM36" s="207">
        <v>1.5100000000000001E-2</v>
      </c>
      <c r="AW36" s="114">
        <f ca="1">Monthly!K25</f>
        <v>37561</v>
      </c>
      <c r="AX36" s="220">
        <v>0</v>
      </c>
      <c r="AY36" s="220">
        <f>IF(ISNUMBER(Monthly!M25),Monthly!M25+$AX36, $AX36+0.05)</f>
        <v>0.05</v>
      </c>
      <c r="AZ36" s="220">
        <f>IF(ISNUMBER(Monthly!N25),Override!N25+$AX36, $AX36+0.15)</f>
        <v>0.15</v>
      </c>
      <c r="BA36" s="220">
        <f>IF(ISNUMBER(Monthly!O25),Monthly!O25+$AX36, $AX36+0.15)</f>
        <v>0.15</v>
      </c>
      <c r="BB36" s="220">
        <f t="shared" si="8"/>
        <v>0</v>
      </c>
      <c r="BC36" s="220">
        <f>IF(ISNUMBER(Monthly!P25),Monthly!P25+$BB36,$BB36+0.05)</f>
        <v>0.05</v>
      </c>
      <c r="BD36" s="220">
        <f>IF(ISNUMBER(Monthly!Q25),Monthly!Q25+$BB36,$BB36+0.1)</f>
        <v>0.1</v>
      </c>
      <c r="BE36" s="220">
        <f>IF(ISNUMBER(Monthly!R25),Monthly!R25+$BB36,$BB36+0.15)</f>
        <v>0.15</v>
      </c>
      <c r="BH36" s="138">
        <f ca="1">BH4</f>
        <v>36976</v>
      </c>
      <c r="BI36" s="207">
        <v>2.9362409999999999</v>
      </c>
      <c r="BJ36" s="207">
        <v>-1.874161</v>
      </c>
      <c r="BK36" s="207">
        <v>1.5100000000000001E-2</v>
      </c>
      <c r="BU36" s="34">
        <f ca="1">Monthly!E36</f>
        <v>32.648933410644531</v>
      </c>
      <c r="BV36" s="34">
        <f>Monthly!F36</f>
        <v>0.99</v>
      </c>
      <c r="BX36" s="41">
        <f ca="1">Calc!AA36</f>
        <v>37895</v>
      </c>
      <c r="BY36" s="35">
        <f ca="1">IF(AND(ISNUMBER(BU36),BU36&lt;&gt;0), IF(Monthly!$BB$12=1,Calc!AI36+BU36,IF(Monthly!$BB$12=2,Calc!AI36*BU36,IF(Monthly!$BB$12=3,BU36,Calc!AI36))),Calc!AI36)</f>
        <v>32.648933410644531</v>
      </c>
      <c r="BZ36" s="35">
        <f ca="1">IF(AND(ISNUMBER(BV36),BV36&lt;&gt;0),IF(Monthly!$BB$13=1,Calc!AJ36+BV36, IF(Monthly!$BB$13=2,Calc!AJ36*BV36, IF(Monthly!$BB$13=3,BV36,Calc!AJ36))),Calc!AJ36)</f>
        <v>0.19500000000000001</v>
      </c>
      <c r="CA36" s="35">
        <f ca="1">VLOOKUP(BX36,Calc!$AA$5:$AH$72,8)</f>
        <v>5.6046808209464005E-2</v>
      </c>
      <c r="CB36" s="73">
        <v>0</v>
      </c>
      <c r="CC36" s="73">
        <v>1</v>
      </c>
      <c r="CD36" s="73">
        <f t="shared" ca="1" si="2"/>
        <v>2.516084873374401</v>
      </c>
    </row>
    <row r="37" spans="3:82" x14ac:dyDescent="0.2">
      <c r="C37" s="277"/>
      <c r="D37" s="248"/>
      <c r="E37" s="248"/>
      <c r="F37" s="248"/>
      <c r="H37" s="280"/>
      <c r="I37" s="280"/>
      <c r="K37" s="41">
        <f ca="1">Calc!AA37</f>
        <v>37926</v>
      </c>
      <c r="L37" s="35">
        <f ca="1">IF(AND(ISNUMBER(H37),H37&lt;&gt;0), IF(Daily!$BB$12=1,Calc!AF37+H37,IF(Daily!$BB$12=2,Calc!AF37*H37,IF(Daily!$BB$12=3,H37,Calc!AF37))),Calc!AF37)</f>
        <v>32.748931884765625</v>
      </c>
      <c r="M37" s="35">
        <f ca="1">IF(AND(ISNUMBER(I37),I37&lt;&gt;0),IF(Daily!$BB$13=1,Calc!AG37+I37, IF(Daily!$BB$13=2,Calc!AG37*I37, IF(Daily!$BB$13=3,I37,Calc!AG37))),Calc!AG37)</f>
        <v>0.19500000000000001</v>
      </c>
      <c r="N37" s="35">
        <f ca="1">VLOOKUP(K37,Calc!$AA$5:$AH$72,8)</f>
        <v>5.6181412383859021E-2</v>
      </c>
      <c r="S37" s="273">
        <f>'Power Curves'!D41</f>
        <v>37012</v>
      </c>
      <c r="T37" s="274">
        <f ca="1">IF(ISNUMBER(VLOOKUP(S37,Daily!$G$5:$I$36,3, FALSE)), VLOOKUP(S37,Daily!$G$5:$I$36,3),VLOOKUP(S37, $K$5:$L$72,2))</f>
        <v>47</v>
      </c>
      <c r="U37" s="2">
        <f t="shared" ca="1" si="3"/>
        <v>0.75</v>
      </c>
      <c r="V37" s="2">
        <f t="shared" ca="1" si="4"/>
        <v>5.6181412383859021E-2</v>
      </c>
      <c r="Y37" s="137">
        <f ca="1">Daily!K26</f>
        <v>37591</v>
      </c>
      <c r="Z37" s="269">
        <v>0</v>
      </c>
      <c r="AA37" s="220">
        <f>IF(ISNUMBER(Daily!M26),Daily!M26+$Z37, $Z37+0.05)</f>
        <v>0.05</v>
      </c>
      <c r="AB37" s="220">
        <f>IF(ISNUMBER(Daily!N26),Daily!N26+$Z37, $Z37+0.15)</f>
        <v>0.15</v>
      </c>
      <c r="AC37" s="220">
        <f>IF(ISNUMBER(Daily!O26),Daily!O26+$Z37, $Z37+0.15)</f>
        <v>0.15</v>
      </c>
      <c r="AD37" s="220">
        <f t="shared" si="7"/>
        <v>0</v>
      </c>
      <c r="AE37" s="220">
        <f>IF(ISNUMBER(Daily!P26),Daily!P26+$AD37,$AD37+0.05)</f>
        <v>0.05</v>
      </c>
      <c r="AF37" s="220">
        <f>IF(ISNUMBER(Daily!Q26),Daily!Q26+$AD37,$AD37+0.1)</f>
        <v>0.1</v>
      </c>
      <c r="AG37" s="220">
        <f>IF(ISNUMBER(Daily!R26),Daily!R26+$AD37,$AD37+0.15)</f>
        <v>0.15</v>
      </c>
      <c r="AJ37" s="138">
        <f t="shared" ref="AJ37:AJ67" ca="1" si="9">AJ5</f>
        <v>36982</v>
      </c>
      <c r="AK37" s="207">
        <v>1.3285530000000001</v>
      </c>
      <c r="AL37" s="207">
        <v>-0.74176299999999995</v>
      </c>
      <c r="AM37" s="207">
        <v>1.1897E-2</v>
      </c>
      <c r="AW37" s="137">
        <f ca="1">Monthly!K26</f>
        <v>37591</v>
      </c>
      <c r="AX37" s="220">
        <v>0</v>
      </c>
      <c r="AY37" s="220">
        <f>IF(ISNUMBER(Monthly!M26),Monthly!M26+$AX37, $AX37+0.05)</f>
        <v>0.05</v>
      </c>
      <c r="AZ37" s="220">
        <f>IF(ISNUMBER(Monthly!N26),Override!N26+$AX37, $AX37+0.15)</f>
        <v>0.15</v>
      </c>
      <c r="BA37" s="220">
        <f>IF(ISNUMBER(Monthly!O26),Monthly!O26+$AX37, $AX37+0.15)</f>
        <v>0.15</v>
      </c>
      <c r="BB37" s="220">
        <f t="shared" si="8"/>
        <v>0</v>
      </c>
      <c r="BC37" s="220">
        <f>IF(ISNUMBER(Monthly!P26),Monthly!P26+$BB37,$BB37+0.05)</f>
        <v>0.05</v>
      </c>
      <c r="BD37" s="220">
        <f>IF(ISNUMBER(Monthly!Q26),Monthly!Q26+$BB37,$BB37+0.1)</f>
        <v>0.1</v>
      </c>
      <c r="BE37" s="220">
        <f>IF(ISNUMBER(Monthly!R26),Monthly!R26+$BB37,$BB37+0.15)</f>
        <v>0.15</v>
      </c>
      <c r="BH37" s="138">
        <f t="shared" ref="BH37:BH67" ca="1" si="10">BH5</f>
        <v>36982</v>
      </c>
      <c r="BI37" s="207">
        <v>1.3285530000000001</v>
      </c>
      <c r="BJ37" s="207">
        <v>-0.74176299999999995</v>
      </c>
      <c r="BK37" s="207">
        <v>1.1897E-2</v>
      </c>
      <c r="BU37" s="34">
        <f ca="1">Monthly!E37</f>
        <v>32.748931884765625</v>
      </c>
      <c r="BV37" s="34">
        <f>Monthly!F37</f>
        <v>1.99</v>
      </c>
      <c r="BX37" s="41">
        <f ca="1">Calc!AA37</f>
        <v>37926</v>
      </c>
      <c r="BY37" s="35">
        <f ca="1">IF(AND(ISNUMBER(BU37),BU37&lt;&gt;0), IF(Monthly!$BB$12=1,Calc!AI37+BU37,IF(Monthly!$BB$12=2,Calc!AI37*BU37,IF(Monthly!$BB$12=3,BU37,Calc!AI37))),Calc!AI37)</f>
        <v>32.748931884765625</v>
      </c>
      <c r="BZ37" s="35">
        <f ca="1">IF(AND(ISNUMBER(BV37),BV37&lt;&gt;0),IF(Monthly!$BB$13=1,Calc!AJ37+BV37, IF(Monthly!$BB$13=2,Calc!AJ37*BV37, IF(Monthly!$BB$13=3,BV37,Calc!AJ37))),Calc!AJ37)</f>
        <v>0.19500000000000001</v>
      </c>
      <c r="CA37" s="35">
        <f ca="1">VLOOKUP(BX37,Calc!$AA$5:$AH$72,8)</f>
        <v>5.6181412383859021E-2</v>
      </c>
      <c r="CB37" s="73">
        <v>0</v>
      </c>
      <c r="CC37" s="73">
        <v>1</v>
      </c>
      <c r="CD37" s="73">
        <f t="shared" ref="CD37:CD72" ca="1" si="11">(K37-datetoday)/365.25</f>
        <v>2.6009582477754964</v>
      </c>
    </row>
    <row r="38" spans="3:82" x14ac:dyDescent="0.2">
      <c r="C38" s="277"/>
      <c r="D38" s="248"/>
      <c r="E38" s="248"/>
      <c r="F38" s="248"/>
      <c r="H38" s="247"/>
      <c r="I38" s="247"/>
      <c r="K38" s="41">
        <f ca="1">Calc!AA38</f>
        <v>37956</v>
      </c>
      <c r="L38" s="35">
        <f ca="1">IF(AND(ISNUMBER(H38),H38&lt;&gt;0), IF(Daily!$BB$12=1,Calc!AF38+H38,IF(Daily!$BB$12=2,Calc!AF38*H38,IF(Daily!$BB$12=3,H38,Calc!AF38))),Calc!AF38)</f>
        <v>32.848930358886719</v>
      </c>
      <c r="M38" s="35">
        <f ca="1">IF(AND(ISNUMBER(I38),I38&lt;&gt;0),IF(Daily!$BB$13=1,Calc!AG38+I38, IF(Daily!$BB$13=2,Calc!AG38*I38, IF(Daily!$BB$13=3,I38,Calc!AG38))),Calc!AG38)</f>
        <v>0.19750000000000001</v>
      </c>
      <c r="N38" s="35">
        <f ca="1">VLOOKUP(K38,Calc!$AA$5:$AH$72,8)</f>
        <v>5.6324763125970012E-2</v>
      </c>
      <c r="S38" s="273">
        <f>'Power Curves'!D42</f>
        <v>37043</v>
      </c>
      <c r="T38" s="274">
        <f ca="1">IF(ISNUMBER(VLOOKUP(S38,Daily!$G$5:$I$36,3, FALSE)), VLOOKUP(S38,Daily!$G$5:$I$36,3),VLOOKUP(S38, $K$5:$L$72,2))</f>
        <v>72.999992370605469</v>
      </c>
      <c r="U38" s="2">
        <f t="shared" ca="1" si="3"/>
        <v>0.7</v>
      </c>
      <c r="V38" s="2">
        <f t="shared" ca="1" si="4"/>
        <v>5.6324763125970012E-2</v>
      </c>
      <c r="Y38" s="137">
        <f ca="1">Daily!K27</f>
        <v>37622</v>
      </c>
      <c r="Z38" s="269">
        <v>0</v>
      </c>
      <c r="AA38" s="220">
        <f>IF(ISNUMBER(Daily!M27),Daily!M27+$Z38, $Z38+0.05)</f>
        <v>0.05</v>
      </c>
      <c r="AB38" s="220">
        <f>IF(ISNUMBER(Daily!N27),Daily!N27+$Z38, $Z38+0.15)</f>
        <v>0.15</v>
      </c>
      <c r="AC38" s="220">
        <f>IF(ISNUMBER(Daily!O27),Daily!O27+$Z38, $Z38+0.15)</f>
        <v>0.15</v>
      </c>
      <c r="AD38" s="220">
        <f t="shared" ref="AD38:AD47" si="12">Z38</f>
        <v>0</v>
      </c>
      <c r="AE38" s="220">
        <f>IF(ISNUMBER(Daily!P27),Daily!P27+$AD38,$AD38+0.05)</f>
        <v>0.05</v>
      </c>
      <c r="AF38" s="220">
        <f>IF(ISNUMBER(Daily!Q27),Daily!Q27+$AD38,$AD38+0.1)</f>
        <v>0.1</v>
      </c>
      <c r="AG38" s="220">
        <f>IF(ISNUMBER(Daily!R27),Daily!R27+$AD38,$AD38+0.15)</f>
        <v>0.15</v>
      </c>
      <c r="AJ38" s="138">
        <f t="shared" ca="1" si="9"/>
        <v>37012</v>
      </c>
      <c r="AK38" s="207">
        <v>-0.19447</v>
      </c>
      <c r="AL38" s="207">
        <v>0.391015</v>
      </c>
      <c r="AM38" s="207">
        <v>-1.8532E-2</v>
      </c>
      <c r="AW38" s="137">
        <f ca="1">Monthly!K27</f>
        <v>37622</v>
      </c>
      <c r="AX38" s="220">
        <v>0</v>
      </c>
      <c r="AY38" s="220">
        <f>IF(ISNUMBER(Monthly!M27),Monthly!M27+$AX38, $AX38+0.05)</f>
        <v>0.05</v>
      </c>
      <c r="AZ38" s="220">
        <f>IF(ISNUMBER(Monthly!N27),Override!N27+$AX38, $AX38+0.15)</f>
        <v>0.15</v>
      </c>
      <c r="BA38" s="220">
        <f>IF(ISNUMBER(Monthly!O27),Monthly!O27+$AX38, $AX38+0.15)</f>
        <v>0.15</v>
      </c>
      <c r="BB38" s="220">
        <f t="shared" si="8"/>
        <v>0</v>
      </c>
      <c r="BC38" s="220">
        <f>IF(ISNUMBER(Monthly!P27),Monthly!P27+$BB38,$BB38+0.05)</f>
        <v>0.05</v>
      </c>
      <c r="BD38" s="220">
        <f>IF(ISNUMBER(Monthly!Q27),Monthly!Q27+$BB38,$BB38+0.1)</f>
        <v>0.1</v>
      </c>
      <c r="BE38" s="220">
        <f>IF(ISNUMBER(Monthly!R27),Monthly!R27+$BB38,$BB38+0.15)</f>
        <v>0.15</v>
      </c>
      <c r="BH38" s="138">
        <f t="shared" ca="1" si="10"/>
        <v>37012</v>
      </c>
      <c r="BI38" s="207">
        <v>-0.19447</v>
      </c>
      <c r="BJ38" s="207">
        <v>0.391015</v>
      </c>
      <c r="BK38" s="207">
        <v>-1.8532E-2</v>
      </c>
      <c r="BU38" s="34">
        <f ca="1">Monthly!E38</f>
        <v>32.848930358886719</v>
      </c>
      <c r="BV38" s="34">
        <f>Monthly!F38</f>
        <v>2.99</v>
      </c>
      <c r="BX38" s="41">
        <f ca="1">Calc!AA38</f>
        <v>37956</v>
      </c>
      <c r="BY38" s="35">
        <f ca="1">IF(AND(ISNUMBER(BU38),BU38&lt;&gt;0), IF(Monthly!$BB$12=1,Calc!AI38+BU38,IF(Monthly!$BB$12=2,Calc!AI38*BU38,IF(Monthly!$BB$12=3,BU38,Calc!AI38))),Calc!AI38)</f>
        <v>32.848930358886719</v>
      </c>
      <c r="BZ38" s="35">
        <f ca="1">IF(AND(ISNUMBER(BV38),BV38&lt;&gt;0),IF(Monthly!$BB$13=1,Calc!AJ38+BV38, IF(Monthly!$BB$13=2,Calc!AJ38*BV38, IF(Monthly!$BB$13=3,BV38,Calc!AJ38))),Calc!AJ38)</f>
        <v>0.19750000000000001</v>
      </c>
      <c r="CA38" s="35">
        <f ca="1">VLOOKUP(BX38,Calc!$AA$5:$AH$72,8)</f>
        <v>5.6324763125970012E-2</v>
      </c>
      <c r="CB38" s="73">
        <v>0</v>
      </c>
      <c r="CC38" s="73">
        <v>1</v>
      </c>
      <c r="CD38" s="73">
        <f t="shared" ca="1" si="11"/>
        <v>2.6830937713894594</v>
      </c>
    </row>
    <row r="39" spans="3:82" x14ac:dyDescent="0.2">
      <c r="C39" s="277"/>
      <c r="D39" s="248"/>
      <c r="E39" s="248"/>
      <c r="F39" s="248"/>
      <c r="H39" s="247"/>
      <c r="I39" s="247"/>
      <c r="K39" s="41">
        <f ca="1">Calc!AA39</f>
        <v>37987</v>
      </c>
      <c r="L39" s="35">
        <f ca="1">IF(AND(ISNUMBER(H39),H39&lt;&gt;0), IF(Daily!$BB$12=1,Calc!AF39+H39,IF(Daily!$BB$12=2,Calc!AF39*H39,IF(Daily!$BB$12=3,H39,Calc!AF39))),Calc!AF39)</f>
        <v>42.287864685058594</v>
      </c>
      <c r="M39" s="35">
        <f ca="1">IF(AND(ISNUMBER(I39),I39&lt;&gt;0),IF(Daily!$BB$13=1,Calc!AG39+I39, IF(Daily!$BB$13=2,Calc!AG39*I39, IF(Daily!$BB$13=3,I39,Calc!AG39))),Calc!AG39)</f>
        <v>0.29049999999999998</v>
      </c>
      <c r="N39" s="35">
        <f ca="1">VLOOKUP(K39,Calc!$AA$5:$AH$72,8)</f>
        <v>5.6472657614416007E-2</v>
      </c>
      <c r="S39" s="273">
        <f>'Power Curves'!D43</f>
        <v>37073</v>
      </c>
      <c r="T39" s="274">
        <f ca="1">IF(ISNUMBER(VLOOKUP(S39,Daily!$G$5:$I$36,3, FALSE)), VLOOKUP(S39,Daily!$G$5:$I$36,3),VLOOKUP(S39, $K$5:$L$72,2))</f>
        <v>115</v>
      </c>
      <c r="U39" s="2">
        <f t="shared" ca="1" si="3"/>
        <v>0.85</v>
      </c>
      <c r="V39" s="2">
        <f t="shared" ca="1" si="4"/>
        <v>5.6472657614416007E-2</v>
      </c>
      <c r="Y39" s="137">
        <f ca="1">Daily!K28</f>
        <v>37653</v>
      </c>
      <c r="Z39" s="269">
        <v>0</v>
      </c>
      <c r="AA39" s="220">
        <f>IF(ISNUMBER(Daily!M28),Daily!M28+$Z39, $Z39+0.05)</f>
        <v>0.05</v>
      </c>
      <c r="AB39" s="220">
        <f>IF(ISNUMBER(Daily!N28),Daily!N28+$Z39, $Z39+0.15)</f>
        <v>0.15</v>
      </c>
      <c r="AC39" s="220">
        <f>IF(ISNUMBER(Daily!O28),Daily!O28+$Z39, $Z39+0.15)</f>
        <v>0.15</v>
      </c>
      <c r="AD39" s="220">
        <f t="shared" si="12"/>
        <v>0</v>
      </c>
      <c r="AE39" s="220">
        <f>IF(ISNUMBER(Daily!P28),Daily!P28+$AD39,$AD39+0.05)</f>
        <v>0.05</v>
      </c>
      <c r="AF39" s="220">
        <f>IF(ISNUMBER(Daily!Q28),Daily!Q28+$AD39,$AD39+0.1)</f>
        <v>0.1</v>
      </c>
      <c r="AG39" s="220">
        <f>IF(ISNUMBER(Daily!R28),Daily!R28+$AD39,$AD39+0.15)</f>
        <v>0.15</v>
      </c>
      <c r="AJ39" s="138">
        <f t="shared" ca="1" si="9"/>
        <v>37043</v>
      </c>
      <c r="AK39" s="207">
        <v>-3.3099400000000001</v>
      </c>
      <c r="AL39" s="207">
        <v>2.4490539999999998</v>
      </c>
      <c r="AM39" s="207">
        <v>3.7522E-2</v>
      </c>
      <c r="AW39" s="137">
        <f ca="1">Monthly!K28</f>
        <v>37653</v>
      </c>
      <c r="AX39" s="220">
        <v>0</v>
      </c>
      <c r="AY39" s="220">
        <f>IF(ISNUMBER(Monthly!M28),Monthly!M28+$AX39, $AX39+0.05)</f>
        <v>0.05</v>
      </c>
      <c r="AZ39" s="220">
        <f>IF(ISNUMBER(Monthly!N28),Override!N28+$AX39, $AX39+0.15)</f>
        <v>0.15</v>
      </c>
      <c r="BA39" s="220">
        <f>IF(ISNUMBER(Monthly!O28),Monthly!O28+$AX39, $AX39+0.15)</f>
        <v>0.15</v>
      </c>
      <c r="BB39" s="220">
        <f t="shared" si="8"/>
        <v>0</v>
      </c>
      <c r="BC39" s="220">
        <f>IF(ISNUMBER(Monthly!P28),Monthly!P28+$BB39,$BB39+0.05)</f>
        <v>0.05</v>
      </c>
      <c r="BD39" s="220">
        <f>IF(ISNUMBER(Monthly!Q28),Monthly!Q28+$BB39,$BB39+0.1)</f>
        <v>0.1</v>
      </c>
      <c r="BE39" s="220">
        <f>IF(ISNUMBER(Monthly!R28),Monthly!R28+$BB39,$BB39+0.15)</f>
        <v>0.15</v>
      </c>
      <c r="BH39" s="138">
        <f t="shared" ca="1" si="10"/>
        <v>37043</v>
      </c>
      <c r="BI39" s="207">
        <v>-3.3099400000000001</v>
      </c>
      <c r="BJ39" s="207">
        <v>2.4490539999999998</v>
      </c>
      <c r="BK39" s="207">
        <v>3.7522E-2</v>
      </c>
      <c r="BU39" s="34">
        <f ca="1">Monthly!E39</f>
        <v>42.287864685058594</v>
      </c>
      <c r="BV39" s="34">
        <f>Monthly!F39</f>
        <v>3.99</v>
      </c>
      <c r="BX39" s="41">
        <f ca="1">Calc!AA39</f>
        <v>37987</v>
      </c>
      <c r="BY39" s="35">
        <f ca="1">IF(AND(ISNUMBER(BU39),BU39&lt;&gt;0), IF(Monthly!$BB$12=1,Calc!AI39+BU39,IF(Monthly!$BB$12=2,Calc!AI39*BU39,IF(Monthly!$BB$12=3,BU39,Calc!AI39))),Calc!AI39)</f>
        <v>42.287864685058594</v>
      </c>
      <c r="BZ39" s="35">
        <f ca="1">IF(AND(ISNUMBER(BV39),BV39&lt;&gt;0),IF(Monthly!$BB$13=1,Calc!AJ39+BV39, IF(Monthly!$BB$13=2,Calc!AJ39*BV39, IF(Monthly!$BB$13=3,BV39,Calc!AJ39))),Calc!AJ39)</f>
        <v>0.29049999999999998</v>
      </c>
      <c r="CA39" s="35">
        <f ca="1">VLOOKUP(BX39,Calc!$AA$5:$AH$72,8)</f>
        <v>5.6472657614416007E-2</v>
      </c>
      <c r="CB39" s="73">
        <v>0</v>
      </c>
      <c r="CC39" s="73">
        <v>1</v>
      </c>
      <c r="CD39" s="73">
        <f t="shared" ca="1" si="11"/>
        <v>2.7679671457905544</v>
      </c>
    </row>
    <row r="40" spans="3:82" x14ac:dyDescent="0.2">
      <c r="C40" s="277"/>
      <c r="D40" s="248"/>
      <c r="E40" s="248"/>
      <c r="F40" s="248"/>
      <c r="H40" s="247"/>
      <c r="I40" s="247"/>
      <c r="K40" s="41">
        <f ca="1">Calc!AA40</f>
        <v>38018</v>
      </c>
      <c r="L40" s="35">
        <f ca="1">IF(AND(ISNUMBER(H40),H40&lt;&gt;0), IF(Daily!$BB$12=1,Calc!AF40+H40,IF(Daily!$BB$12=2,Calc!AF40*H40,IF(Daily!$BB$12=3,H40,Calc!AF40))),Calc!AF40)</f>
        <v>41.437862396240234</v>
      </c>
      <c r="M40" s="35">
        <f ca="1">IF(AND(ISNUMBER(I40),I40&lt;&gt;0),IF(Daily!$BB$13=1,Calc!AG40+I40, IF(Daily!$BB$13=2,Calc!AG40*I40, IF(Daily!$BB$13=3,I40,Calc!AG40))),Calc!AG40)</f>
        <v>0.29049999999999998</v>
      </c>
      <c r="N40" s="35">
        <f ca="1">VLOOKUP(K40,Calc!$AA$5:$AH$72,8)</f>
        <v>5.6611010529553009E-2</v>
      </c>
      <c r="S40" s="273">
        <f>'Power Curves'!D44</f>
        <v>37104</v>
      </c>
      <c r="T40" s="274">
        <f ca="1">IF(ISNUMBER(VLOOKUP(S40,Daily!$G$5:$I$36,3, FALSE)), VLOOKUP(S40,Daily!$G$5:$I$36,3),VLOOKUP(S40, $K$5:$L$72,2))</f>
        <v>115</v>
      </c>
      <c r="U40" s="2">
        <f t="shared" ca="1" si="3"/>
        <v>0.7</v>
      </c>
      <c r="V40" s="2">
        <f t="shared" ca="1" si="4"/>
        <v>5.6611010529553009E-2</v>
      </c>
      <c r="Y40" s="137">
        <f ca="1">Daily!K29</f>
        <v>37681</v>
      </c>
      <c r="Z40" s="269">
        <v>0</v>
      </c>
      <c r="AA40" s="220">
        <f>IF(ISNUMBER(Daily!M29),Daily!M29+$Z40, $Z40+0.05)</f>
        <v>0.05</v>
      </c>
      <c r="AB40" s="220">
        <f>IF(ISNUMBER(Daily!N29),Daily!N29+$Z40, $Z40+0.15)</f>
        <v>0.15</v>
      </c>
      <c r="AC40" s="220">
        <f>IF(ISNUMBER(Daily!O29),Daily!O29+$Z40, $Z40+0.15)</f>
        <v>0.15</v>
      </c>
      <c r="AD40" s="220">
        <f t="shared" si="12"/>
        <v>0</v>
      </c>
      <c r="AE40" s="220">
        <f>IF(ISNUMBER(Daily!P29),Daily!P29+$AD40,$AD40+0.05)</f>
        <v>0.05</v>
      </c>
      <c r="AF40" s="220">
        <f>IF(ISNUMBER(Daily!Q29),Daily!Q29+$AD40,$AD40+0.1)</f>
        <v>0.1</v>
      </c>
      <c r="AG40" s="220">
        <f>IF(ISNUMBER(Daily!R29),Daily!R29+$AD40,$AD40+0.15)</f>
        <v>0.15</v>
      </c>
      <c r="AJ40" s="138">
        <f t="shared" ca="1" si="9"/>
        <v>37073</v>
      </c>
      <c r="AK40" s="207">
        <v>-0.10219</v>
      </c>
      <c r="AL40" s="207">
        <v>0.287827</v>
      </c>
      <c r="AM40" s="207">
        <v>-9.1500000000000001E-4</v>
      </c>
      <c r="AW40" s="137">
        <f ca="1">Monthly!K29</f>
        <v>37681</v>
      </c>
      <c r="AX40" s="220">
        <v>0</v>
      </c>
      <c r="AY40" s="220">
        <f>IF(ISNUMBER(Monthly!M29),Monthly!M29+$AX40, $AX40+0.05)</f>
        <v>0.05</v>
      </c>
      <c r="AZ40" s="220">
        <f>IF(ISNUMBER(Monthly!N29),Override!N29+$AX40, $AX40+0.15)</f>
        <v>0.15</v>
      </c>
      <c r="BA40" s="220">
        <f>IF(ISNUMBER(Monthly!O29),Monthly!O29+$AX40, $AX40+0.15)</f>
        <v>0.15</v>
      </c>
      <c r="BB40" s="220">
        <f t="shared" si="8"/>
        <v>0</v>
      </c>
      <c r="BC40" s="220">
        <f>IF(ISNUMBER(Monthly!P29),Monthly!P29+$BB40,$BB40+0.05)</f>
        <v>0.05</v>
      </c>
      <c r="BD40" s="220">
        <f>IF(ISNUMBER(Monthly!Q29),Monthly!Q29+$BB40,$BB40+0.1)</f>
        <v>0.1</v>
      </c>
      <c r="BE40" s="220">
        <f>IF(ISNUMBER(Monthly!R29),Monthly!R29+$BB40,$BB40+0.15)</f>
        <v>0.15</v>
      </c>
      <c r="BH40" s="138">
        <f t="shared" ca="1" si="10"/>
        <v>37073</v>
      </c>
      <c r="BI40" s="207">
        <v>-0.10219</v>
      </c>
      <c r="BJ40" s="207">
        <v>0.287827</v>
      </c>
      <c r="BK40" s="207">
        <v>-9.1500000000000001E-4</v>
      </c>
      <c r="BU40" s="34">
        <f ca="1">Monthly!E40</f>
        <v>41.437862396240234</v>
      </c>
      <c r="BV40" s="34">
        <f>Monthly!F40</f>
        <v>4.99</v>
      </c>
      <c r="BX40" s="41">
        <f ca="1">Calc!AA40</f>
        <v>38018</v>
      </c>
      <c r="BY40" s="35">
        <f ca="1">IF(AND(ISNUMBER(BU40),BU40&lt;&gt;0), IF(Monthly!$BB$12=1,Calc!AI40+BU40,IF(Monthly!$BB$12=2,Calc!AI40*BU40,IF(Monthly!$BB$12=3,BU40,Calc!AI40))),Calc!AI40)</f>
        <v>41.437862396240234</v>
      </c>
      <c r="BZ40" s="35">
        <f ca="1">IF(AND(ISNUMBER(BV40),BV40&lt;&gt;0),IF(Monthly!$BB$13=1,Calc!AJ40+BV40, IF(Monthly!$BB$13=2,Calc!AJ40*BV40, IF(Monthly!$BB$13=3,BV40,Calc!AJ40))),Calc!AJ40)</f>
        <v>0.29049999999999998</v>
      </c>
      <c r="CA40" s="35">
        <f ca="1">VLOOKUP(BX40,Calc!$AA$5:$AH$72,8)</f>
        <v>5.6611010529553009E-2</v>
      </c>
      <c r="CB40" s="73">
        <v>0</v>
      </c>
      <c r="CC40" s="73">
        <v>1</v>
      </c>
      <c r="CD40" s="73">
        <f t="shared" ca="1" si="11"/>
        <v>2.8528405201916494</v>
      </c>
    </row>
    <row r="41" spans="3:82" x14ac:dyDescent="0.2">
      <c r="C41" s="277"/>
      <c r="D41" s="248"/>
      <c r="E41" s="248"/>
      <c r="F41" s="248"/>
      <c r="H41" s="247"/>
      <c r="I41" s="247"/>
      <c r="K41" s="41">
        <f ca="1">Calc!AA41</f>
        <v>38047</v>
      </c>
      <c r="L41" s="35">
        <f ca="1">IF(AND(ISNUMBER(H41),H41&lt;&gt;0), IF(Daily!$BB$12=1,Calc!AF41+H41,IF(Daily!$BB$12=2,Calc!AF41*H41,IF(Daily!$BB$12=3,H41,Calc!AF41))),Calc!AF41)</f>
        <v>32.648544311523438</v>
      </c>
      <c r="M41" s="35">
        <f ca="1">IF(AND(ISNUMBER(I41),I41&lt;&gt;0),IF(Daily!$BB$13=1,Calc!AG41+I41, IF(Daily!$BB$13=2,Calc!AG41*I41, IF(Daily!$BB$13=3,I41,Calc!AG41))),Calc!AG41)</f>
        <v>0.18</v>
      </c>
      <c r="N41" s="35">
        <f ca="1">VLOOKUP(K41,Calc!$AA$5:$AH$72,8)</f>
        <v>5.6745831066000008E-2</v>
      </c>
      <c r="S41" s="273">
        <f>'Power Curves'!D45</f>
        <v>37135</v>
      </c>
      <c r="T41" s="274">
        <f ca="1">IF(ISNUMBER(VLOOKUP(S41,Daily!$G$5:$I$36,3, FALSE)), VLOOKUP(S41,Daily!$G$5:$I$36,3),VLOOKUP(S41, $K$5:$L$72,2))</f>
        <v>43.500003814697266</v>
      </c>
      <c r="U41" s="2">
        <f t="shared" ca="1" si="3"/>
        <v>0.6</v>
      </c>
      <c r="V41" s="2">
        <f t="shared" ca="1" si="4"/>
        <v>5.6745831066000008E-2</v>
      </c>
      <c r="Y41" s="137">
        <f ca="1">Daily!K30</f>
        <v>37712</v>
      </c>
      <c r="Z41" s="269">
        <v>0</v>
      </c>
      <c r="AA41" s="220">
        <f>IF(ISNUMBER(Daily!M30),Daily!M30+$Z41, $Z41+0.05)</f>
        <v>0.05</v>
      </c>
      <c r="AB41" s="220">
        <f>IF(ISNUMBER(Daily!N30),Daily!N30+$Z41, $Z41+0.15)</f>
        <v>0.15</v>
      </c>
      <c r="AC41" s="220">
        <f>IF(ISNUMBER(Daily!O30),Daily!O30+$Z41, $Z41+0.15)</f>
        <v>0.15</v>
      </c>
      <c r="AD41" s="220">
        <f t="shared" si="12"/>
        <v>0</v>
      </c>
      <c r="AE41" s="220">
        <f>IF(ISNUMBER(Daily!P30),Daily!P30+$AD41,$AD41+0.05)</f>
        <v>0.05</v>
      </c>
      <c r="AF41" s="220">
        <f>IF(ISNUMBER(Daily!Q30),Daily!Q30+$AD41,$AD41+0.1)</f>
        <v>0.1</v>
      </c>
      <c r="AG41" s="220">
        <f>IF(ISNUMBER(Daily!R30),Daily!R30+$AD41,$AD41+0.15)</f>
        <v>0.15</v>
      </c>
      <c r="AJ41" s="138">
        <f t="shared" ca="1" si="9"/>
        <v>37104</v>
      </c>
      <c r="AK41" s="207">
        <v>-0.10219</v>
      </c>
      <c r="AL41" s="207">
        <v>0.287827</v>
      </c>
      <c r="AM41" s="207">
        <v>-9.1500000000000001E-4</v>
      </c>
      <c r="AW41" s="137">
        <f ca="1">Monthly!K30</f>
        <v>37712</v>
      </c>
      <c r="AX41" s="220">
        <v>0</v>
      </c>
      <c r="AY41" s="220">
        <f>IF(ISNUMBER(Monthly!M30),Monthly!M30+$AX41, $AX41+0.05)</f>
        <v>0.05</v>
      </c>
      <c r="AZ41" s="220">
        <f>IF(ISNUMBER(Monthly!N30),Override!N30+$AX41, $AX41+0.15)</f>
        <v>0.15</v>
      </c>
      <c r="BA41" s="220">
        <f>IF(ISNUMBER(Monthly!O30),Monthly!O30+$AX41, $AX41+0.15)</f>
        <v>0.15</v>
      </c>
      <c r="BB41" s="220">
        <f t="shared" si="8"/>
        <v>0</v>
      </c>
      <c r="BC41" s="220">
        <f>IF(ISNUMBER(Monthly!P30),Monthly!P30+$BB41,$BB41+0.05)</f>
        <v>0.05</v>
      </c>
      <c r="BD41" s="220">
        <f>IF(ISNUMBER(Monthly!Q30),Monthly!Q30+$BB41,$BB41+0.1)</f>
        <v>0.1</v>
      </c>
      <c r="BE41" s="220">
        <f>IF(ISNUMBER(Monthly!R30),Monthly!R30+$BB41,$BB41+0.15)</f>
        <v>0.15</v>
      </c>
      <c r="BH41" s="138">
        <f t="shared" ca="1" si="10"/>
        <v>37104</v>
      </c>
      <c r="BI41" s="207">
        <v>-0.10219</v>
      </c>
      <c r="BJ41" s="207">
        <v>0.287827</v>
      </c>
      <c r="BK41" s="207">
        <v>-9.1500000000000001E-4</v>
      </c>
      <c r="BU41" s="34">
        <f ca="1">Monthly!E41</f>
        <v>32.648544311523438</v>
      </c>
      <c r="BV41" s="34">
        <f>Monthly!F41</f>
        <v>5.99</v>
      </c>
      <c r="BX41" s="41">
        <f ca="1">Calc!AA41</f>
        <v>38047</v>
      </c>
      <c r="BY41" s="35">
        <f ca="1">IF(AND(ISNUMBER(BU41),BU41&lt;&gt;0), IF(Monthly!$BB$12=1,Calc!AI41+BU41,IF(Monthly!$BB$12=2,Calc!AI41*BU41,IF(Monthly!$BB$12=3,BU41,Calc!AI41))),Calc!AI41)</f>
        <v>32.648544311523438</v>
      </c>
      <c r="BZ41" s="35">
        <f ca="1">IF(AND(ISNUMBER(BV41),BV41&lt;&gt;0),IF(Monthly!$BB$13=1,Calc!AJ41+BV41, IF(Monthly!$BB$13=2,Calc!AJ41*BV41, IF(Monthly!$BB$13=3,BV41,Calc!AJ41))),Calc!AJ41)</f>
        <v>0.18</v>
      </c>
      <c r="CA41" s="35">
        <f ca="1">VLOOKUP(BX41,Calc!$AA$5:$AH$72,8)</f>
        <v>5.6745831066000008E-2</v>
      </c>
      <c r="CB41" s="73">
        <v>0</v>
      </c>
      <c r="CC41" s="73">
        <v>1</v>
      </c>
      <c r="CD41" s="73">
        <f t="shared" ca="1" si="11"/>
        <v>2.9322381930184807</v>
      </c>
    </row>
    <row r="42" spans="3:82" x14ac:dyDescent="0.2">
      <c r="C42" s="277"/>
      <c r="D42" s="248"/>
      <c r="E42" s="248"/>
      <c r="F42" s="248"/>
      <c r="H42" s="247"/>
      <c r="I42" s="247"/>
      <c r="K42" s="41">
        <f ca="1">Calc!AA42</f>
        <v>38078</v>
      </c>
      <c r="L42" s="35">
        <f ca="1">IF(AND(ISNUMBER(H42),H42&lt;&gt;0), IF(Daily!$BB$12=1,Calc!AF42+H42,IF(Daily!$BB$12=2,Calc!AF42*H42,IF(Daily!$BB$12=3,H42,Calc!AF42))),Calc!AF42)</f>
        <v>33.098545074462891</v>
      </c>
      <c r="M42" s="35">
        <f ca="1">IF(AND(ISNUMBER(I42),I42&lt;&gt;0),IF(Daily!$BB$13=1,Calc!AG42+I42, IF(Daily!$BB$13=2,Calc!AG42*I42, IF(Daily!$BB$13=3,I42,Calc!AG42))),Calc!AG42)</f>
        <v>0.18</v>
      </c>
      <c r="N42" s="35">
        <f ca="1">VLOOKUP(K42,Calc!$AA$5:$AH$72,8)</f>
        <v>5.6862806851182023E-2</v>
      </c>
      <c r="S42" s="273">
        <f>'Power Curves'!D46</f>
        <v>37165</v>
      </c>
      <c r="T42" s="274">
        <f ca="1">IF(ISNUMBER(VLOOKUP(S42,Daily!$G$5:$I$36,3, FALSE)), VLOOKUP(S42,Daily!$G$5:$I$36,3),VLOOKUP(S42, $K$5:$L$72,2))</f>
        <v>41.400001525878906</v>
      </c>
      <c r="U42" s="2">
        <f t="shared" ca="1" si="3"/>
        <v>0.5</v>
      </c>
      <c r="V42" s="2">
        <f t="shared" ca="1" si="4"/>
        <v>5.6862806851182023E-2</v>
      </c>
      <c r="Y42" s="137">
        <f ca="1">Daily!K31</f>
        <v>37742</v>
      </c>
      <c r="Z42" s="269">
        <v>0</v>
      </c>
      <c r="AA42" s="220">
        <f>IF(ISNUMBER(Daily!M31),Daily!M31+$Z42, $Z42+0.05)</f>
        <v>0.05</v>
      </c>
      <c r="AB42" s="220">
        <f>IF(ISNUMBER(Daily!N31),Daily!N31+$Z42, $Z42+0.15)</f>
        <v>0.15</v>
      </c>
      <c r="AC42" s="220">
        <f>IF(ISNUMBER(Daily!O31),Daily!O31+$Z42, $Z42+0.15)</f>
        <v>0.15</v>
      </c>
      <c r="AD42" s="220">
        <f t="shared" si="12"/>
        <v>0</v>
      </c>
      <c r="AE42" s="220">
        <f>IF(ISNUMBER(Daily!P31),Daily!P31+$AD42,$AD42+0.05)</f>
        <v>0.05</v>
      </c>
      <c r="AF42" s="220">
        <f>IF(ISNUMBER(Daily!Q31),Daily!Q31+$AD42,$AD42+0.1)</f>
        <v>0.1</v>
      </c>
      <c r="AG42" s="220">
        <f>IF(ISNUMBER(Daily!R31),Daily!R31+$AD42,$AD42+0.15)</f>
        <v>0.15</v>
      </c>
      <c r="AJ42" s="138">
        <f t="shared" ca="1" si="9"/>
        <v>37135</v>
      </c>
      <c r="AK42" s="207">
        <v>-0.10219</v>
      </c>
      <c r="AL42" s="207">
        <v>0.287827</v>
      </c>
      <c r="AM42" s="207">
        <v>-9.1500000000000001E-4</v>
      </c>
      <c r="AW42" s="137">
        <f ca="1">Monthly!K31</f>
        <v>37742</v>
      </c>
      <c r="AX42" s="220">
        <v>0</v>
      </c>
      <c r="AY42" s="220">
        <f>IF(ISNUMBER(Monthly!M31),Monthly!M31+$AX42, $AX42+0.05)</f>
        <v>0.05</v>
      </c>
      <c r="AZ42" s="220">
        <f>IF(ISNUMBER(Monthly!N31),Override!N31+$AX42, $AX42+0.15)</f>
        <v>0.15</v>
      </c>
      <c r="BA42" s="220">
        <f>IF(ISNUMBER(Monthly!O31),Monthly!O31+$AX42, $AX42+0.15)</f>
        <v>0.15</v>
      </c>
      <c r="BB42" s="220">
        <f t="shared" si="8"/>
        <v>0</v>
      </c>
      <c r="BC42" s="220">
        <f>IF(ISNUMBER(Monthly!P31),Monthly!P31+$BB42,$BB42+0.05)</f>
        <v>0.05</v>
      </c>
      <c r="BD42" s="220">
        <f>IF(ISNUMBER(Monthly!Q31),Monthly!Q31+$BB42,$BB42+0.1)</f>
        <v>0.1</v>
      </c>
      <c r="BE42" s="220">
        <f>IF(ISNUMBER(Monthly!R31),Monthly!R31+$BB42,$BB42+0.15)</f>
        <v>0.15</v>
      </c>
      <c r="BH42" s="138">
        <f t="shared" ca="1" si="10"/>
        <v>37135</v>
      </c>
      <c r="BI42" s="207">
        <v>-0.10219</v>
      </c>
      <c r="BJ42" s="207">
        <v>0.287827</v>
      </c>
      <c r="BK42" s="207">
        <v>-9.1500000000000001E-4</v>
      </c>
      <c r="BU42" s="34">
        <f ca="1">Monthly!E42</f>
        <v>33.098545074462891</v>
      </c>
      <c r="BV42" s="34">
        <f>Monthly!F42</f>
        <v>6.99</v>
      </c>
      <c r="BX42" s="41">
        <f ca="1">Calc!AA42</f>
        <v>38078</v>
      </c>
      <c r="BY42" s="35">
        <f ca="1">IF(AND(ISNUMBER(BU42),BU42&lt;&gt;0), IF(Monthly!$BB$12=1,Calc!AI42+BU42,IF(Monthly!$BB$12=2,Calc!AI42*BU42,IF(Monthly!$BB$12=3,BU42,Calc!AI42))),Calc!AI42)</f>
        <v>33.098545074462891</v>
      </c>
      <c r="BZ42" s="35">
        <f ca="1">IF(AND(ISNUMBER(BV42),BV42&lt;&gt;0),IF(Monthly!$BB$13=1,Calc!AJ42+BV42, IF(Monthly!$BB$13=2,Calc!AJ42*BV42, IF(Monthly!$BB$13=3,BV42,Calc!AJ42))),Calc!AJ42)</f>
        <v>0.18</v>
      </c>
      <c r="CA42" s="35">
        <f ca="1">VLOOKUP(BX42,Calc!$AA$5:$AH$72,8)</f>
        <v>5.6862806851182023E-2</v>
      </c>
      <c r="CB42" s="73">
        <v>0</v>
      </c>
      <c r="CC42" s="73">
        <v>1</v>
      </c>
      <c r="CD42" s="73">
        <f t="shared" ca="1" si="11"/>
        <v>3.0171115674195756</v>
      </c>
    </row>
    <row r="43" spans="3:82" x14ac:dyDescent="0.2">
      <c r="C43" s="277"/>
      <c r="D43" s="248"/>
      <c r="E43" s="248"/>
      <c r="F43" s="248"/>
      <c r="H43" s="247"/>
      <c r="I43" s="247"/>
      <c r="K43" s="41">
        <f ca="1">Calc!AA43</f>
        <v>38108</v>
      </c>
      <c r="L43" s="35">
        <f ca="1">IF(AND(ISNUMBER(H43),H43&lt;&gt;0), IF(Daily!$BB$12=1,Calc!AF43+H43,IF(Daily!$BB$12=2,Calc!AF43*H43,IF(Daily!$BB$12=3,H43,Calc!AF43))),Calc!AF43)</f>
        <v>34.753566741943359</v>
      </c>
      <c r="M43" s="35">
        <f ca="1">IF(AND(ISNUMBER(I43),I43&lt;&gt;0),IF(Daily!$BB$13=1,Calc!AG43+I43, IF(Daily!$BB$13=2,Calc!AG43*I43, IF(Daily!$BB$13=3,I43,Calc!AG43))),Calc!AG43)</f>
        <v>0.28575</v>
      </c>
      <c r="N43" s="35">
        <f ca="1">VLOOKUP(K43,Calc!$AA$5:$AH$72,8)</f>
        <v>5.6983681833989025E-2</v>
      </c>
      <c r="S43" s="273">
        <f>'Power Curves'!D47</f>
        <v>37196</v>
      </c>
      <c r="T43" s="274">
        <f ca="1">IF(ISNUMBER(VLOOKUP(S43,Daily!$G$5:$I$36,3, FALSE)), VLOOKUP(S43,Daily!$G$5:$I$36,3),VLOOKUP(S43, $K$5:$L$72,2))</f>
        <v>41.5</v>
      </c>
      <c r="U43" s="2">
        <f t="shared" ca="1" si="3"/>
        <v>0.47499999999999998</v>
      </c>
      <c r="V43" s="2">
        <f t="shared" ca="1" si="4"/>
        <v>5.6983681833989025E-2</v>
      </c>
      <c r="Y43" s="137">
        <f ca="1">Daily!K32</f>
        <v>37773</v>
      </c>
      <c r="Z43" s="269">
        <v>0</v>
      </c>
      <c r="AA43" s="220">
        <f>IF(ISNUMBER(Daily!M32),Daily!M32+$Z43, $Z43+0.05)</f>
        <v>0.05</v>
      </c>
      <c r="AB43" s="220">
        <f>IF(ISNUMBER(Daily!N32),Daily!N32+$Z43, $Z43+0.15)</f>
        <v>0.15</v>
      </c>
      <c r="AC43" s="220">
        <f>IF(ISNUMBER(Daily!O32),Daily!O32+$Z43, $Z43+0.15)</f>
        <v>0.15</v>
      </c>
      <c r="AD43" s="220">
        <f t="shared" si="12"/>
        <v>0</v>
      </c>
      <c r="AE43" s="220">
        <f>IF(ISNUMBER(Daily!P32),Daily!P32+$AD43,$AD43+0.05)</f>
        <v>0.05</v>
      </c>
      <c r="AF43" s="220">
        <f>IF(ISNUMBER(Daily!Q32),Daily!Q32+$AD43,$AD43+0.1)</f>
        <v>0.1</v>
      </c>
      <c r="AG43" s="220">
        <f>IF(ISNUMBER(Daily!R32),Daily!R32+$AD43,$AD43+0.15)</f>
        <v>0.15</v>
      </c>
      <c r="AJ43" s="138">
        <f t="shared" ca="1" si="9"/>
        <v>37165</v>
      </c>
      <c r="AK43" s="207">
        <v>-0.10219</v>
      </c>
      <c r="AL43" s="207">
        <v>0.287827</v>
      </c>
      <c r="AM43" s="207">
        <v>-9.1500000000000001E-4</v>
      </c>
      <c r="AW43" s="137">
        <f ca="1">Monthly!K32</f>
        <v>37773</v>
      </c>
      <c r="AX43" s="220">
        <v>0</v>
      </c>
      <c r="AY43" s="220">
        <f>IF(ISNUMBER(Monthly!M32),Monthly!M32+$AX43, $AX43+0.05)</f>
        <v>0.05</v>
      </c>
      <c r="AZ43" s="220">
        <f>IF(ISNUMBER(Monthly!N32),Override!N32+$AX43, $AX43+0.15)</f>
        <v>0.15</v>
      </c>
      <c r="BA43" s="220">
        <f>IF(ISNUMBER(Monthly!O32),Monthly!O32+$AX43, $AX43+0.15)</f>
        <v>0.15</v>
      </c>
      <c r="BB43" s="220">
        <f t="shared" si="8"/>
        <v>0</v>
      </c>
      <c r="BC43" s="220">
        <f>IF(ISNUMBER(Monthly!P32),Monthly!P32+$BB43,$BB43+0.05)</f>
        <v>0.05</v>
      </c>
      <c r="BD43" s="220">
        <f>IF(ISNUMBER(Monthly!Q32),Monthly!Q32+$BB43,$BB43+0.1)</f>
        <v>0.1</v>
      </c>
      <c r="BE43" s="220">
        <f>IF(ISNUMBER(Monthly!R32),Monthly!R32+$BB43,$BB43+0.15)</f>
        <v>0.15</v>
      </c>
      <c r="BH43" s="138">
        <f t="shared" ca="1" si="10"/>
        <v>37165</v>
      </c>
      <c r="BI43" s="207">
        <v>-0.10219</v>
      </c>
      <c r="BJ43" s="207">
        <v>0.287827</v>
      </c>
      <c r="BK43" s="207">
        <v>-9.1500000000000001E-4</v>
      </c>
      <c r="BU43" s="34">
        <f ca="1">Monthly!E43</f>
        <v>34.753566741943359</v>
      </c>
      <c r="BV43" s="34">
        <f>Monthly!F43</f>
        <v>7.99</v>
      </c>
      <c r="BX43" s="41">
        <f ca="1">Calc!AA43</f>
        <v>38108</v>
      </c>
      <c r="BY43" s="35">
        <f ca="1">IF(AND(ISNUMBER(BU43),BU43&lt;&gt;0), IF(Monthly!$BB$12=1,Calc!AI43+BU43,IF(Monthly!$BB$12=2,Calc!AI43*BU43,IF(Monthly!$BB$12=3,BU43,Calc!AI43))),Calc!AI43)</f>
        <v>34.753566741943359</v>
      </c>
      <c r="BZ43" s="35">
        <f ca="1">IF(AND(ISNUMBER(BV43),BV43&lt;&gt;0),IF(Monthly!$BB$13=1,Calc!AJ43+BV43, IF(Monthly!$BB$13=2,Calc!AJ43*BV43, IF(Monthly!$BB$13=3,BV43,Calc!AJ43))),Calc!AJ43)</f>
        <v>0.28575</v>
      </c>
      <c r="CA43" s="35">
        <f ca="1">VLOOKUP(BX43,Calc!$AA$5:$AH$72,8)</f>
        <v>5.6983681833989025E-2</v>
      </c>
      <c r="CB43" s="73">
        <v>0</v>
      </c>
      <c r="CC43" s="73">
        <v>1</v>
      </c>
      <c r="CD43" s="73">
        <f t="shared" ca="1" si="11"/>
        <v>3.0992470910335386</v>
      </c>
    </row>
    <row r="44" spans="3:82" x14ac:dyDescent="0.2">
      <c r="C44" s="277"/>
      <c r="D44" s="248"/>
      <c r="E44" s="248"/>
      <c r="F44" s="248"/>
      <c r="H44" s="247"/>
      <c r="I44" s="247"/>
      <c r="K44" s="41">
        <f ca="1">Calc!AA44</f>
        <v>38139</v>
      </c>
      <c r="L44" s="35">
        <f ca="1">IF(AND(ISNUMBER(H44),H44&lt;&gt;0), IF(Daily!$BB$12=1,Calc!AF44+H44,IF(Daily!$BB$12=2,Calc!AF44*H44,IF(Daily!$BB$12=3,H44,Calc!AF44))),Calc!AF44)</f>
        <v>47.747856140136719</v>
      </c>
      <c r="M44" s="35">
        <f ca="1">IF(AND(ISNUMBER(I44),I44&lt;&gt;0),IF(Daily!$BB$13=1,Calc!AG44+I44, IF(Daily!$BB$13=2,Calc!AG44*I44, IF(Daily!$BB$13=3,I44,Calc!AG44))),Calc!AG44)</f>
        <v>0.41100000000000003</v>
      </c>
      <c r="N44" s="35">
        <f ca="1">VLOOKUP(K44,Calc!$AA$5:$AH$72,8)</f>
        <v>5.7098405443181018E-2</v>
      </c>
      <c r="S44" s="273">
        <f>'Power Curves'!D48</f>
        <v>37226</v>
      </c>
      <c r="T44" s="274">
        <f ca="1">IF(ISNUMBER(VLOOKUP(S44,Daily!$G$5:$I$36,3, FALSE)), VLOOKUP(S44,Daily!$G$5:$I$36,3),VLOOKUP(S44, $K$5:$L$72,2))</f>
        <v>41.599998474121094</v>
      </c>
      <c r="U44" s="2">
        <f t="shared" ca="1" si="3"/>
        <v>0.52500000000000002</v>
      </c>
      <c r="V44" s="2">
        <f t="shared" ca="1" si="4"/>
        <v>5.7098405443181018E-2</v>
      </c>
      <c r="Y44" s="137">
        <f ca="1">Daily!K33</f>
        <v>37803</v>
      </c>
      <c r="Z44" s="269">
        <v>0</v>
      </c>
      <c r="AA44" s="220">
        <f>IF(ISNUMBER(Daily!M33),Daily!M33+$Z44, $Z44+0.05)</f>
        <v>0.05</v>
      </c>
      <c r="AB44" s="220">
        <f>IF(ISNUMBER(Daily!N33),Daily!N33+$Z44, $Z44+0.15)</f>
        <v>0.15</v>
      </c>
      <c r="AC44" s="220">
        <f>IF(ISNUMBER(Daily!O33),Daily!O33+$Z44, $Z44+0.15)</f>
        <v>0.15</v>
      </c>
      <c r="AD44" s="220">
        <f t="shared" si="12"/>
        <v>0</v>
      </c>
      <c r="AE44" s="220">
        <f>IF(ISNUMBER(Daily!P33),Daily!P33+$AD44,$AD44+0.05)</f>
        <v>0.05</v>
      </c>
      <c r="AF44" s="220">
        <f>IF(ISNUMBER(Daily!Q33),Daily!Q33+$AD44,$AD44+0.1)</f>
        <v>0.1</v>
      </c>
      <c r="AG44" s="220">
        <f>IF(ISNUMBER(Daily!R33),Daily!R33+$AD44,$AD44+0.15)</f>
        <v>0.15</v>
      </c>
      <c r="AJ44" s="138">
        <f t="shared" ca="1" si="9"/>
        <v>37196</v>
      </c>
      <c r="AK44" s="207">
        <v>-0.10219</v>
      </c>
      <c r="AL44" s="207">
        <v>0.287827</v>
      </c>
      <c r="AM44" s="207">
        <v>-9.1500000000000001E-4</v>
      </c>
      <c r="AW44" s="137">
        <f ca="1">Monthly!K33</f>
        <v>37803</v>
      </c>
      <c r="AX44" s="220">
        <v>0</v>
      </c>
      <c r="AY44" s="220">
        <f>IF(ISNUMBER(Monthly!M33),Monthly!M33+$AX44, $AX44+0.05)</f>
        <v>0.05</v>
      </c>
      <c r="AZ44" s="220">
        <f>IF(ISNUMBER(Monthly!N33),Override!N33+$AX44, $AX44+0.15)</f>
        <v>0.15</v>
      </c>
      <c r="BA44" s="220">
        <f>IF(ISNUMBER(Monthly!O33),Monthly!O33+$AX44, $AX44+0.15)</f>
        <v>0.15</v>
      </c>
      <c r="BB44" s="220">
        <f t="shared" si="8"/>
        <v>0</v>
      </c>
      <c r="BC44" s="220">
        <f>IF(ISNUMBER(Monthly!P33),Monthly!P33+$BB44,$BB44+0.05)</f>
        <v>0.05</v>
      </c>
      <c r="BD44" s="220">
        <f>IF(ISNUMBER(Monthly!Q33),Monthly!Q33+$BB44,$BB44+0.1)</f>
        <v>0.1</v>
      </c>
      <c r="BE44" s="220">
        <f>IF(ISNUMBER(Monthly!R33),Monthly!R33+$BB44,$BB44+0.15)</f>
        <v>0.15</v>
      </c>
      <c r="BH44" s="138">
        <f t="shared" ca="1" si="10"/>
        <v>37196</v>
      </c>
      <c r="BI44" s="207">
        <v>-0.10219</v>
      </c>
      <c r="BJ44" s="207">
        <v>0.287827</v>
      </c>
      <c r="BK44" s="207">
        <v>-9.1500000000000001E-4</v>
      </c>
      <c r="BU44" s="34">
        <f ca="1">Monthly!E44</f>
        <v>47.747856140136719</v>
      </c>
      <c r="BV44" s="34">
        <f>Monthly!F44</f>
        <v>8.99</v>
      </c>
      <c r="BX44" s="41">
        <f ca="1">Calc!AA44</f>
        <v>38139</v>
      </c>
      <c r="BY44" s="35">
        <f ca="1">IF(AND(ISNUMBER(BU44),BU44&lt;&gt;0), IF(Monthly!$BB$12=1,Calc!AI44+BU44,IF(Monthly!$BB$12=2,Calc!AI44*BU44,IF(Monthly!$BB$12=3,BU44,Calc!AI44))),Calc!AI44)</f>
        <v>47.747856140136719</v>
      </c>
      <c r="BZ44" s="35">
        <f ca="1">IF(AND(ISNUMBER(BV44),BV44&lt;&gt;0),IF(Monthly!$BB$13=1,Calc!AJ44+BV44, IF(Monthly!$BB$13=2,Calc!AJ44*BV44, IF(Monthly!$BB$13=3,BV44,Calc!AJ44))),Calc!AJ44)</f>
        <v>0.41100000000000003</v>
      </c>
      <c r="CA44" s="35">
        <f ca="1">VLOOKUP(BX44,Calc!$AA$5:$AH$72,8)</f>
        <v>5.7098405443181018E-2</v>
      </c>
      <c r="CB44" s="73">
        <v>0</v>
      </c>
      <c r="CC44" s="73">
        <v>1</v>
      </c>
      <c r="CD44" s="73">
        <f t="shared" ca="1" si="11"/>
        <v>3.184120465434634</v>
      </c>
    </row>
    <row r="45" spans="3:82" x14ac:dyDescent="0.2">
      <c r="C45" s="277"/>
      <c r="D45" s="248"/>
      <c r="E45" s="248"/>
      <c r="F45" s="248"/>
      <c r="H45" s="247"/>
      <c r="I45" s="247"/>
      <c r="K45" s="41">
        <f ca="1">Calc!AA45</f>
        <v>38169</v>
      </c>
      <c r="L45" s="35">
        <f ca="1">IF(AND(ISNUMBER(H45),H45&lt;&gt;0), IF(Daily!$BB$12=1,Calc!AF45+H45,IF(Daily!$BB$12=2,Calc!AF45*H45,IF(Daily!$BB$12=3,H45,Calc!AF45))),Calc!AF45)</f>
        <v>72.747146606445312</v>
      </c>
      <c r="M45" s="35">
        <f ca="1">IF(AND(ISNUMBER(I45),I45&lt;&gt;0),IF(Daily!$BB$13=1,Calc!AG45+I45, IF(Daily!$BB$13=2,Calc!AG45*I45, IF(Daily!$BB$13=3,I45,Calc!AG45))),Calc!AG45)</f>
        <v>0.41600000000000004</v>
      </c>
      <c r="N45" s="35">
        <f ca="1">VLOOKUP(K45,Calc!$AA$5:$AH$72,8)</f>
        <v>5.7214478651606011E-2</v>
      </c>
      <c r="S45" s="273">
        <f>'Power Curves'!D49</f>
        <v>37257</v>
      </c>
      <c r="T45" s="274">
        <f ca="1">IF(ISNUMBER(VLOOKUP(S45,Daily!$G$5:$I$36,3, FALSE)), VLOOKUP(S45,Daily!$G$5:$I$36,3),VLOOKUP(S45, $K$5:$L$72,2))</f>
        <v>47.037143707275391</v>
      </c>
      <c r="U45" s="2">
        <f t="shared" ca="1" si="3"/>
        <v>0.47499999999999998</v>
      </c>
      <c r="V45" s="2">
        <f t="shared" ca="1" si="4"/>
        <v>5.7214478651606011E-2</v>
      </c>
      <c r="Y45" s="137">
        <f ca="1">Daily!K34</f>
        <v>37834</v>
      </c>
      <c r="Z45" s="269">
        <v>0</v>
      </c>
      <c r="AA45" s="220">
        <f>IF(ISNUMBER(Daily!M34),Daily!M34+$Z45, $Z45+0.05)</f>
        <v>0.05</v>
      </c>
      <c r="AB45" s="220">
        <f>IF(ISNUMBER(Daily!N34),Daily!N34+$Z45, $Z45+0.15)</f>
        <v>0.15</v>
      </c>
      <c r="AC45" s="220">
        <f>IF(ISNUMBER(Daily!O34),Daily!O34+$Z45, $Z45+0.15)</f>
        <v>0.15</v>
      </c>
      <c r="AD45" s="220">
        <f t="shared" si="12"/>
        <v>0</v>
      </c>
      <c r="AE45" s="220">
        <f>IF(ISNUMBER(Daily!P34),Daily!P34+$AD45,$AD45+0.05)</f>
        <v>0.05</v>
      </c>
      <c r="AF45" s="220">
        <f>IF(ISNUMBER(Daily!Q34),Daily!Q34+$AD45,$AD45+0.1)</f>
        <v>0.1</v>
      </c>
      <c r="AG45" s="220">
        <f>IF(ISNUMBER(Daily!R34),Daily!R34+$AD45,$AD45+0.15)</f>
        <v>0.15</v>
      </c>
      <c r="AJ45" s="138">
        <f t="shared" ca="1" si="9"/>
        <v>37226</v>
      </c>
      <c r="AK45" s="207">
        <v>-0.10219</v>
      </c>
      <c r="AL45" s="207">
        <v>0.287827</v>
      </c>
      <c r="AM45" s="207">
        <v>-9.1500000000000001E-4</v>
      </c>
      <c r="AW45" s="137">
        <f ca="1">Monthly!K34</f>
        <v>37834</v>
      </c>
      <c r="AX45" s="220">
        <v>0</v>
      </c>
      <c r="AY45" s="220">
        <f>IF(ISNUMBER(Monthly!M34),Monthly!M34+$AX45, $AX45+0.05)</f>
        <v>0.05</v>
      </c>
      <c r="AZ45" s="220">
        <f>IF(ISNUMBER(Monthly!N34),Override!N34+$AX45, $AX45+0.15)</f>
        <v>0.15</v>
      </c>
      <c r="BA45" s="220">
        <f>IF(ISNUMBER(Monthly!O34),Monthly!O34+$AX45, $AX45+0.15)</f>
        <v>0.15</v>
      </c>
      <c r="BB45" s="220">
        <f t="shared" si="8"/>
        <v>0</v>
      </c>
      <c r="BC45" s="220">
        <f>IF(ISNUMBER(Monthly!P34),Monthly!P34+$BB45,$BB45+0.05)</f>
        <v>0.05</v>
      </c>
      <c r="BD45" s="220">
        <f>IF(ISNUMBER(Monthly!Q34),Monthly!Q34+$BB45,$BB45+0.1)</f>
        <v>0.1</v>
      </c>
      <c r="BE45" s="220">
        <f>IF(ISNUMBER(Monthly!R34),Monthly!R34+$BB45,$BB45+0.15)</f>
        <v>0.15</v>
      </c>
      <c r="BH45" s="138">
        <f t="shared" ca="1" si="10"/>
        <v>37226</v>
      </c>
      <c r="BI45" s="207">
        <v>-0.10219</v>
      </c>
      <c r="BJ45" s="207">
        <v>0.287827</v>
      </c>
      <c r="BK45" s="207">
        <v>-9.1500000000000001E-4</v>
      </c>
      <c r="BU45" s="34">
        <f ca="1">Monthly!E45</f>
        <v>72.747146606445312</v>
      </c>
      <c r="BV45" s="34">
        <f>Monthly!F45</f>
        <v>9.99</v>
      </c>
      <c r="BX45" s="41">
        <f ca="1">Calc!AA45</f>
        <v>38169</v>
      </c>
      <c r="BY45" s="35">
        <f ca="1">IF(AND(ISNUMBER(BU45),BU45&lt;&gt;0), IF(Monthly!$BB$12=1,Calc!AI45+BU45,IF(Monthly!$BB$12=2,Calc!AI45*BU45,IF(Monthly!$BB$12=3,BU45,Calc!AI45))),Calc!AI45)</f>
        <v>72.747146606445312</v>
      </c>
      <c r="BZ45" s="35">
        <f ca="1">IF(AND(ISNUMBER(BV45),BV45&lt;&gt;0),IF(Monthly!$BB$13=1,Calc!AJ45+BV45, IF(Monthly!$BB$13=2,Calc!AJ45*BV45, IF(Monthly!$BB$13=3,BV45,Calc!AJ45))),Calc!AJ45)</f>
        <v>0.41600000000000004</v>
      </c>
      <c r="CA45" s="35">
        <f ca="1">VLOOKUP(BX45,Calc!$AA$5:$AH$72,8)</f>
        <v>5.7214478651606011E-2</v>
      </c>
      <c r="CB45" s="73">
        <v>0</v>
      </c>
      <c r="CC45" s="73">
        <v>1</v>
      </c>
      <c r="CD45" s="73">
        <f t="shared" ca="1" si="11"/>
        <v>3.2662559890485969</v>
      </c>
    </row>
    <row r="46" spans="3:82" x14ac:dyDescent="0.2">
      <c r="C46" s="277"/>
      <c r="D46" s="248"/>
      <c r="E46" s="248"/>
      <c r="F46" s="248"/>
      <c r="H46" s="247"/>
      <c r="I46" s="247"/>
      <c r="K46" s="41">
        <f ca="1">Calc!AA46</f>
        <v>38200</v>
      </c>
      <c r="L46" s="35">
        <f ca="1">IF(AND(ISNUMBER(H46),H46&lt;&gt;0), IF(Daily!$BB$12=1,Calc!AF46+H46,IF(Daily!$BB$12=2,Calc!AF46*H46,IF(Daily!$BB$12=3,H46,Calc!AF46))),Calc!AF46)</f>
        <v>72.747146606445312</v>
      </c>
      <c r="M46" s="35">
        <f ca="1">IF(AND(ISNUMBER(I46),I46&lt;&gt;0),IF(Daily!$BB$13=1,Calc!AG46+I46, IF(Daily!$BB$13=2,Calc!AG46*I46, IF(Daily!$BB$13=3,I46,Calc!AG46))),Calc!AG46)</f>
        <v>0.41600000000000004</v>
      </c>
      <c r="N46" s="35">
        <f ca="1">VLOOKUP(K46,Calc!$AA$5:$AH$72,8)</f>
        <v>5.7330551864514016E-2</v>
      </c>
      <c r="S46" s="273">
        <f>'Power Curves'!D50</f>
        <v>37288</v>
      </c>
      <c r="T46" s="274">
        <f ca="1">IF(ISNUMBER(VLOOKUP(S46,Daily!$G$5:$I$36,3, FALSE)), VLOOKUP(S46,Daily!$G$5:$I$36,3),VLOOKUP(S46, $K$5:$L$72,2))</f>
        <v>46.437141418457031</v>
      </c>
      <c r="U46" s="2">
        <f t="shared" ca="1" si="3"/>
        <v>0.42499999999999999</v>
      </c>
      <c r="V46" s="2">
        <f t="shared" ca="1" si="4"/>
        <v>5.7330551864514016E-2</v>
      </c>
      <c r="Y46" s="137">
        <f ca="1">Daily!K35</f>
        <v>37865</v>
      </c>
      <c r="Z46" s="269">
        <v>0</v>
      </c>
      <c r="AA46" s="220">
        <f>IF(ISNUMBER(Daily!M35),Daily!M35+$Z46, $Z46+0.05)</f>
        <v>0.05</v>
      </c>
      <c r="AB46" s="220">
        <f>IF(ISNUMBER(Daily!N35),Daily!N35+$Z46, $Z46+0.15)</f>
        <v>0.15</v>
      </c>
      <c r="AC46" s="220">
        <f>IF(ISNUMBER(Daily!O35),Daily!O35+$Z46, $Z46+0.15)</f>
        <v>0.15</v>
      </c>
      <c r="AD46" s="220">
        <f t="shared" si="12"/>
        <v>0</v>
      </c>
      <c r="AE46" s="220">
        <f>IF(ISNUMBER(Daily!P35),Daily!P35+$AD46,$AD46+0.05)</f>
        <v>0.05</v>
      </c>
      <c r="AF46" s="220">
        <f>IF(ISNUMBER(Daily!Q35),Daily!Q35+$AD46,$AD46+0.1)</f>
        <v>0.1</v>
      </c>
      <c r="AG46" s="220">
        <f>IF(ISNUMBER(Daily!R35),Daily!R35+$AD46,$AD46+0.15)</f>
        <v>0.15</v>
      </c>
      <c r="AJ46" s="138">
        <f t="shared" ca="1" si="9"/>
        <v>37257</v>
      </c>
      <c r="AK46" s="207">
        <v>-0.10219</v>
      </c>
      <c r="AL46" s="207">
        <v>0.287827</v>
      </c>
      <c r="AM46" s="207">
        <v>-9.1500000000000001E-4</v>
      </c>
      <c r="AW46" s="137">
        <f ca="1">Monthly!K35</f>
        <v>37865</v>
      </c>
      <c r="AX46" s="220">
        <v>0</v>
      </c>
      <c r="AY46" s="220">
        <f>IF(ISNUMBER(Monthly!M35),Monthly!M35+$AX46, $AX46+0.05)</f>
        <v>0.05</v>
      </c>
      <c r="AZ46" s="220">
        <f>IF(ISNUMBER(Monthly!N35),Override!N35+$AX46, $AX46+0.15)</f>
        <v>0.15</v>
      </c>
      <c r="BA46" s="220">
        <f>IF(ISNUMBER(Monthly!O35),Monthly!O35+$AX46, $AX46+0.15)</f>
        <v>0.15</v>
      </c>
      <c r="BB46" s="220">
        <f t="shared" si="8"/>
        <v>0</v>
      </c>
      <c r="BC46" s="220">
        <f>IF(ISNUMBER(Monthly!P35),Monthly!P35+$BB46,$BB46+0.05)</f>
        <v>0.05</v>
      </c>
      <c r="BD46" s="220">
        <f>IF(ISNUMBER(Monthly!Q35),Monthly!Q35+$BB46,$BB46+0.1)</f>
        <v>0.1</v>
      </c>
      <c r="BE46" s="220">
        <f>IF(ISNUMBER(Monthly!R35),Monthly!R35+$BB46,$BB46+0.15)</f>
        <v>0.15</v>
      </c>
      <c r="BH46" s="138">
        <f t="shared" ca="1" si="10"/>
        <v>37257</v>
      </c>
      <c r="BI46" s="207">
        <v>-0.10219</v>
      </c>
      <c r="BJ46" s="207">
        <v>0.287827</v>
      </c>
      <c r="BK46" s="207">
        <v>-9.1500000000000001E-4</v>
      </c>
      <c r="BU46" s="34">
        <f ca="1">Monthly!E46</f>
        <v>72.747146606445312</v>
      </c>
      <c r="BV46" s="34">
        <f>Monthly!F46</f>
        <v>10.99</v>
      </c>
      <c r="BX46" s="41">
        <f ca="1">Calc!AA46</f>
        <v>38200</v>
      </c>
      <c r="BY46" s="35">
        <f ca="1">IF(AND(ISNUMBER(BU46),BU46&lt;&gt;0), IF(Monthly!$BB$12=1,Calc!AI46+BU46,IF(Monthly!$BB$12=2,Calc!AI46*BU46,IF(Monthly!$BB$12=3,BU46,Calc!AI46))),Calc!AI46)</f>
        <v>72.747146606445312</v>
      </c>
      <c r="BZ46" s="35">
        <f ca="1">IF(AND(ISNUMBER(BV46),BV46&lt;&gt;0),IF(Monthly!$BB$13=1,Calc!AJ46+BV46, IF(Monthly!$BB$13=2,Calc!AJ46*BV46, IF(Monthly!$BB$13=3,BV46,Calc!AJ46))),Calc!AJ46)</f>
        <v>0.41600000000000004</v>
      </c>
      <c r="CA46" s="35">
        <f ca="1">VLOOKUP(BX46,Calc!$AA$5:$AH$72,8)</f>
        <v>5.7330551864514016E-2</v>
      </c>
      <c r="CB46" s="73">
        <v>0</v>
      </c>
      <c r="CC46" s="73">
        <v>1</v>
      </c>
      <c r="CD46" s="73">
        <f t="shared" ca="1" si="11"/>
        <v>3.3511293634496919</v>
      </c>
    </row>
    <row r="47" spans="3:82" x14ac:dyDescent="0.2">
      <c r="C47" s="277"/>
      <c r="D47" s="248"/>
      <c r="E47" s="248"/>
      <c r="F47" s="248"/>
      <c r="H47" s="247"/>
      <c r="I47" s="247"/>
      <c r="K47" s="41">
        <f ca="1">Calc!AA47</f>
        <v>38231</v>
      </c>
      <c r="L47" s="35">
        <f ca="1">IF(AND(ISNUMBER(H47),H47&lt;&gt;0), IF(Daily!$BB$12=1,Calc!AF47+H47,IF(Daily!$BB$12=2,Calc!AF47*H47,IF(Daily!$BB$12=3,H47,Calc!AF47))),Calc!AF47)</f>
        <v>35.002143859863281</v>
      </c>
      <c r="M47" s="35">
        <f ca="1">IF(AND(ISNUMBER(I47),I47&lt;&gt;0),IF(Daily!$BB$13=1,Calc!AG47+I47, IF(Daily!$BB$13=2,Calc!AG47*I47, IF(Daily!$BB$13=3,I47,Calc!AG47))),Calc!AG47)</f>
        <v>0.28575</v>
      </c>
      <c r="N47" s="35">
        <f ca="1">VLOOKUP(K47,Calc!$AA$5:$AH$72,8)</f>
        <v>5.7440582120900009E-2</v>
      </c>
      <c r="S47" s="273">
        <f>'Power Curves'!D51</f>
        <v>37316</v>
      </c>
      <c r="T47" s="274">
        <f ca="1">IF(ISNUMBER(VLOOKUP(S47,Daily!$G$5:$I$36,3, FALSE)), VLOOKUP(S47,Daily!$G$5:$I$36,3),VLOOKUP(S47, $K$5:$L$72,2))</f>
        <v>36.651039123535156</v>
      </c>
      <c r="U47" s="2">
        <f t="shared" ca="1" si="3"/>
        <v>0.38600000000000001</v>
      </c>
      <c r="V47" s="2">
        <f t="shared" ca="1" si="4"/>
        <v>5.7440582120900009E-2</v>
      </c>
      <c r="Y47" s="137">
        <f ca="1">Daily!K36</f>
        <v>37895</v>
      </c>
      <c r="Z47" s="269">
        <v>0</v>
      </c>
      <c r="AA47" s="220">
        <f>IF(ISNUMBER(Daily!M36),Daily!M36+$Z47, $Z47+0.05)</f>
        <v>0.05</v>
      </c>
      <c r="AB47" s="220">
        <f>IF(ISNUMBER(Daily!N36),Daily!N36+$Z47, $Z47+0.15)</f>
        <v>0.15</v>
      </c>
      <c r="AC47" s="220">
        <f>IF(ISNUMBER(Daily!O36),Daily!O36+$Z47, $Z47+0.15)</f>
        <v>0.15</v>
      </c>
      <c r="AD47" s="220">
        <f t="shared" si="12"/>
        <v>0</v>
      </c>
      <c r="AE47" s="220">
        <f>IF(ISNUMBER(Daily!P36),Daily!P36+$AD47,$AD47+0.05)</f>
        <v>0.05</v>
      </c>
      <c r="AF47" s="220">
        <f>IF(ISNUMBER(Daily!Q36),Daily!Q36+$AD47,$AD47+0.1)</f>
        <v>0.1</v>
      </c>
      <c r="AG47" s="220">
        <f>IF(ISNUMBER(Daily!R36),Daily!R36+$AD47,$AD47+0.15)</f>
        <v>0.15</v>
      </c>
      <c r="AJ47" s="138">
        <f t="shared" ca="1" si="9"/>
        <v>37288</v>
      </c>
      <c r="AK47" s="207">
        <v>-0.10219</v>
      </c>
      <c r="AL47" s="207">
        <v>0.287827</v>
      </c>
      <c r="AM47" s="207">
        <v>-9.1500000000000001E-4</v>
      </c>
      <c r="AW47" s="137">
        <f ca="1">Monthly!K36</f>
        <v>37895</v>
      </c>
      <c r="AX47" s="220">
        <v>0</v>
      </c>
      <c r="AY47" s="220">
        <f>IF(ISNUMBER(Monthly!M36),Monthly!M36+$AX47, $AX47+0.05)</f>
        <v>0.05</v>
      </c>
      <c r="AZ47" s="220">
        <f>IF(ISNUMBER(Monthly!N36),Override!N36+$AX47, $AX47+0.15)</f>
        <v>0.15</v>
      </c>
      <c r="BA47" s="220">
        <f>IF(ISNUMBER(Monthly!O36),Monthly!O36+$AX47, $AX47+0.15)</f>
        <v>0.15</v>
      </c>
      <c r="BB47" s="220">
        <f t="shared" si="8"/>
        <v>0</v>
      </c>
      <c r="BC47" s="220">
        <f>IF(ISNUMBER(Monthly!P36),Monthly!P36+$BB47,$BB47+0.05)</f>
        <v>0.05</v>
      </c>
      <c r="BD47" s="220">
        <f>IF(ISNUMBER(Monthly!Q36),Monthly!Q36+$BB47,$BB47+0.1)</f>
        <v>0.1</v>
      </c>
      <c r="BE47" s="220">
        <f>IF(ISNUMBER(Monthly!R36),Monthly!R36+$BB47,$BB47+0.15)</f>
        <v>0.15</v>
      </c>
      <c r="BH47" s="138">
        <f t="shared" ca="1" si="10"/>
        <v>37288</v>
      </c>
      <c r="BI47" s="207">
        <v>-0.10219</v>
      </c>
      <c r="BJ47" s="207">
        <v>0.287827</v>
      </c>
      <c r="BK47" s="207">
        <v>-9.1500000000000001E-4</v>
      </c>
      <c r="BU47" s="34">
        <f ca="1">Monthly!E47</f>
        <v>35.002143859863281</v>
      </c>
      <c r="BV47" s="34">
        <f>Monthly!F47</f>
        <v>11.99</v>
      </c>
      <c r="BX47" s="41">
        <f ca="1">Calc!AA47</f>
        <v>38231</v>
      </c>
      <c r="BY47" s="35">
        <f ca="1">IF(AND(ISNUMBER(BU47),BU47&lt;&gt;0), IF(Monthly!$BB$12=1,Calc!AI47+BU47,IF(Monthly!$BB$12=2,Calc!AI47*BU47,IF(Monthly!$BB$12=3,BU47,Calc!AI47))),Calc!AI47)</f>
        <v>35.002143859863281</v>
      </c>
      <c r="BZ47" s="35">
        <f ca="1">IF(AND(ISNUMBER(BV47),BV47&lt;&gt;0),IF(Monthly!$BB$13=1,Calc!AJ47+BV47, IF(Monthly!$BB$13=2,Calc!AJ47*BV47, IF(Monthly!$BB$13=3,BV47,Calc!AJ47))),Calc!AJ47)</f>
        <v>0.28575</v>
      </c>
      <c r="CA47" s="35">
        <f ca="1">VLOOKUP(BX47,Calc!$AA$5:$AH$72,8)</f>
        <v>5.7440582120900009E-2</v>
      </c>
      <c r="CB47" s="73">
        <v>0</v>
      </c>
      <c r="CC47" s="73">
        <v>1</v>
      </c>
      <c r="CD47" s="73">
        <f t="shared" ca="1" si="11"/>
        <v>3.4360027378507869</v>
      </c>
    </row>
    <row r="48" spans="3:82" x14ac:dyDescent="0.2">
      <c r="C48" s="277"/>
      <c r="D48" s="248"/>
      <c r="E48" s="248"/>
      <c r="F48" s="248"/>
      <c r="H48" s="247"/>
      <c r="I48" s="247"/>
      <c r="K48" s="41">
        <f ca="1">Calc!AA48</f>
        <v>38261</v>
      </c>
      <c r="L48" s="35">
        <f ca="1">IF(AND(ISNUMBER(H48),H48&lt;&gt;0), IF(Daily!$BB$12=1,Calc!AF48+H48,IF(Daily!$BB$12=2,Calc!AF48*H48,IF(Daily!$BB$12=3,H48,Calc!AF48))),Calc!AF48)</f>
        <v>32.898933410644531</v>
      </c>
      <c r="M48" s="35">
        <f ca="1">IF(AND(ISNUMBER(I48),I48&lt;&gt;0),IF(Daily!$BB$13=1,Calc!AG48+I48, IF(Daily!$BB$13=2,Calc!AG48*I48, IF(Daily!$BB$13=3,I48,Calc!AG48))),Calc!AG48)</f>
        <v>0.17</v>
      </c>
      <c r="N48" s="35">
        <f ca="1">VLOOKUP(K48,Calc!$AA$5:$AH$72,8)</f>
        <v>5.7552068089411011E-2</v>
      </c>
      <c r="S48" s="273">
        <f>'Power Curves'!D52</f>
        <v>37347</v>
      </c>
      <c r="T48" s="274">
        <f ca="1">IF(ISNUMBER(VLOOKUP(S48,Daily!$G$5:$I$36,3, FALSE)), VLOOKUP(S48,Daily!$G$5:$I$36,3),VLOOKUP(S48, $K$5:$L$72,2))</f>
        <v>36.851043701171875</v>
      </c>
      <c r="U48" s="2">
        <f t="shared" ca="1" si="3"/>
        <v>0.38600000000000001</v>
      </c>
      <c r="V48" s="2">
        <f t="shared" ca="1" si="4"/>
        <v>5.7552068089411011E-2</v>
      </c>
      <c r="Y48" s="138"/>
      <c r="Z48" s="156"/>
      <c r="AA48" s="156"/>
      <c r="AB48" s="156"/>
      <c r="AC48" s="156"/>
      <c r="AD48" s="156"/>
      <c r="AE48" s="156"/>
      <c r="AF48" s="156"/>
      <c r="AG48" s="156"/>
      <c r="AJ48" s="138">
        <f t="shared" ca="1" si="9"/>
        <v>37316</v>
      </c>
      <c r="AK48" s="207">
        <v>-0.10219</v>
      </c>
      <c r="AL48" s="207">
        <v>0.287827</v>
      </c>
      <c r="AM48" s="207">
        <v>-9.1500000000000001E-4</v>
      </c>
      <c r="BH48" s="138">
        <f t="shared" ca="1" si="10"/>
        <v>37316</v>
      </c>
      <c r="BI48" s="207">
        <v>-0.10219</v>
      </c>
      <c r="BJ48" s="207">
        <v>0.287827</v>
      </c>
      <c r="BK48" s="207">
        <v>-9.1500000000000001E-4</v>
      </c>
      <c r="BU48" s="34">
        <f ca="1">Monthly!E48</f>
        <v>32.898933410644531</v>
      </c>
      <c r="BV48" s="34">
        <f>Monthly!F48</f>
        <v>12.99</v>
      </c>
      <c r="BX48" s="41">
        <f ca="1">Calc!AA48</f>
        <v>38261</v>
      </c>
      <c r="BY48" s="35">
        <f ca="1">IF(AND(ISNUMBER(BU48),BU48&lt;&gt;0), IF(Monthly!$BB$12=1,Calc!AI48+BU48,IF(Monthly!$BB$12=2,Calc!AI48*BU48,IF(Monthly!$BB$12=3,BU48,Calc!AI48))),Calc!AI48)</f>
        <v>32.898933410644531</v>
      </c>
      <c r="BZ48" s="35">
        <f ca="1">IF(AND(ISNUMBER(BV48),BV48&lt;&gt;0),IF(Monthly!$BB$13=1,Calc!AJ48+BV48, IF(Monthly!$BB$13=2,Calc!AJ48*BV48, IF(Monthly!$BB$13=3,BV48,Calc!AJ48))),Calc!AJ48)</f>
        <v>0.17</v>
      </c>
      <c r="CA48" s="35">
        <f ca="1">VLOOKUP(BX48,Calc!$AA$5:$AH$72,8)</f>
        <v>5.7552068089411011E-2</v>
      </c>
      <c r="CB48" s="73">
        <v>0</v>
      </c>
      <c r="CC48" s="73">
        <v>1</v>
      </c>
      <c r="CD48" s="73">
        <f t="shared" ca="1" si="11"/>
        <v>3.5181382614647503</v>
      </c>
    </row>
    <row r="49" spans="3:82" x14ac:dyDescent="0.2">
      <c r="C49" s="277"/>
      <c r="D49" s="248"/>
      <c r="E49" s="248"/>
      <c r="F49" s="248"/>
      <c r="H49" s="247"/>
      <c r="I49" s="247"/>
      <c r="K49" s="41">
        <f ca="1">Calc!AA49</f>
        <v>38292</v>
      </c>
      <c r="L49" s="35">
        <f ca="1">IF(AND(ISNUMBER(H49),H49&lt;&gt;0), IF(Daily!$BB$12=1,Calc!AF49+H49,IF(Daily!$BB$12=2,Calc!AF49*H49,IF(Daily!$BB$12=3,H49,Calc!AF49))),Calc!AF49)</f>
        <v>32.998931884765625</v>
      </c>
      <c r="M49" s="35">
        <f ca="1">IF(AND(ISNUMBER(I49),I49&lt;&gt;0),IF(Daily!$BB$13=1,Calc!AG49+I49, IF(Daily!$BB$13=2,Calc!AG49*I49, IF(Daily!$BB$13=3,I49,Calc!AG49))),Calc!AG49)</f>
        <v>0.17</v>
      </c>
      <c r="N49" s="35">
        <f ca="1">VLOOKUP(K49,Calc!$AA$5:$AH$72,8)</f>
        <v>5.7659957740293012E-2</v>
      </c>
      <c r="S49" s="273">
        <f>'Power Curves'!D53</f>
        <v>37377</v>
      </c>
      <c r="T49" s="274">
        <f ca="1">IF(ISNUMBER(VLOOKUP(S49,Daily!$G$5:$I$36,3, FALSE)), VLOOKUP(S49,Daily!$G$5:$I$36,3),VLOOKUP(S49, $K$5:$L$72,2))</f>
        <v>40.999996185302734</v>
      </c>
      <c r="U49" s="2">
        <f t="shared" ca="1" si="3"/>
        <v>0.41600000000000004</v>
      </c>
      <c r="V49" s="2">
        <f t="shared" ca="1" si="4"/>
        <v>5.7659957740293012E-2</v>
      </c>
      <c r="Y49" s="138"/>
      <c r="Z49" s="156"/>
      <c r="AA49" s="156"/>
      <c r="AB49" s="156"/>
      <c r="AC49" s="156"/>
      <c r="AD49" s="156"/>
      <c r="AE49" s="156"/>
      <c r="AF49" s="156"/>
      <c r="AG49" s="156"/>
      <c r="AJ49" s="138">
        <f t="shared" ca="1" si="9"/>
        <v>37347</v>
      </c>
      <c r="AK49" s="207">
        <v>-0.10219</v>
      </c>
      <c r="AL49" s="207">
        <v>0.287827</v>
      </c>
      <c r="AM49" s="207">
        <v>-9.1500000000000001E-4</v>
      </c>
      <c r="BH49" s="138">
        <f t="shared" ca="1" si="10"/>
        <v>37347</v>
      </c>
      <c r="BI49" s="207">
        <v>-0.10219</v>
      </c>
      <c r="BJ49" s="207">
        <v>0.287827</v>
      </c>
      <c r="BK49" s="207">
        <v>-9.1500000000000001E-4</v>
      </c>
      <c r="BU49" s="34">
        <f ca="1">Monthly!E49</f>
        <v>32.998931884765625</v>
      </c>
      <c r="BV49" s="34">
        <f>Monthly!F49</f>
        <v>13.99</v>
      </c>
      <c r="BX49" s="41">
        <f ca="1">Calc!AA49</f>
        <v>38292</v>
      </c>
      <c r="BY49" s="35">
        <f ca="1">IF(AND(ISNUMBER(BU49),BU49&lt;&gt;0), IF(Monthly!$BB$12=1,Calc!AI49+BU49,IF(Monthly!$BB$12=2,Calc!AI49*BU49,IF(Monthly!$BB$12=3,BU49,Calc!AI49))),Calc!AI49)</f>
        <v>32.998931884765625</v>
      </c>
      <c r="BZ49" s="35">
        <f ca="1">IF(AND(ISNUMBER(BV49),BV49&lt;&gt;0),IF(Monthly!$BB$13=1,Calc!AJ49+BV49, IF(Monthly!$BB$13=2,Calc!AJ49*BV49, IF(Monthly!$BB$13=3,BV49,Calc!AJ49))),Calc!AJ49)</f>
        <v>0.17</v>
      </c>
      <c r="CA49" s="35">
        <f ca="1">VLOOKUP(BX49,Calc!$AA$5:$AH$72,8)</f>
        <v>5.7659957740293012E-2</v>
      </c>
      <c r="CB49" s="73">
        <v>0</v>
      </c>
      <c r="CC49" s="73">
        <v>1</v>
      </c>
      <c r="CD49" s="73">
        <f t="shared" ca="1" si="11"/>
        <v>3.6030116358658453</v>
      </c>
    </row>
    <row r="50" spans="3:82" x14ac:dyDescent="0.2">
      <c r="C50" s="277"/>
      <c r="D50" s="248"/>
      <c r="E50" s="248"/>
      <c r="F50" s="248"/>
      <c r="H50" s="247"/>
      <c r="I50" s="247"/>
      <c r="K50" s="41">
        <f ca="1">Calc!AA50</f>
        <v>38322</v>
      </c>
      <c r="L50" s="35">
        <f ca="1">IF(AND(ISNUMBER(H50),H50&lt;&gt;0), IF(Daily!$BB$12=1,Calc!AF50+H50,IF(Daily!$BB$12=2,Calc!AF50*H50,IF(Daily!$BB$12=3,H50,Calc!AF50))),Calc!AF50)</f>
        <v>33.098930358886719</v>
      </c>
      <c r="M50" s="35">
        <f ca="1">IF(AND(ISNUMBER(I50),I50&lt;&gt;0),IF(Daily!$BB$13=1,Calc!AG50+I50, IF(Daily!$BB$13=2,Calc!AG50*I50, IF(Daily!$BB$13=3,I50,Calc!AG50))),Calc!AG50)</f>
        <v>0.17249999999999999</v>
      </c>
      <c r="N50" s="35">
        <f ca="1">VLOOKUP(K50,Calc!$AA$5:$AH$72,8)</f>
        <v>5.7776111018460002E-2</v>
      </c>
      <c r="S50" s="273">
        <f>'Power Curves'!D54</f>
        <v>37408</v>
      </c>
      <c r="T50" s="274">
        <f ca="1">IF(ISNUMBER(VLOOKUP(S50,Daily!$G$5:$I$36,3, FALSE)), VLOOKUP(S50,Daily!$G$5:$I$36,3),VLOOKUP(S50, $K$5:$L$72,2))</f>
        <v>59.5</v>
      </c>
      <c r="U50" s="2">
        <f t="shared" ca="1" si="3"/>
        <v>0.45050000000000001</v>
      </c>
      <c r="V50" s="2">
        <f t="shared" ca="1" si="4"/>
        <v>5.7776111018460002E-2</v>
      </c>
      <c r="Y50" s="138"/>
      <c r="Z50" s="156"/>
      <c r="AA50" s="156"/>
      <c r="AB50" s="156"/>
      <c r="AC50" s="156"/>
      <c r="AD50" s="156"/>
      <c r="AE50" s="156"/>
      <c r="AF50" s="156"/>
      <c r="AG50" s="156"/>
      <c r="AJ50" s="138">
        <f t="shared" ca="1" si="9"/>
        <v>37377</v>
      </c>
      <c r="AK50" s="207">
        <v>-0.10219</v>
      </c>
      <c r="AL50" s="207">
        <v>0.287827</v>
      </c>
      <c r="AM50" s="207">
        <v>-9.1500000000000001E-4</v>
      </c>
      <c r="BH50" s="138">
        <f t="shared" ca="1" si="10"/>
        <v>37377</v>
      </c>
      <c r="BI50" s="207">
        <v>-0.10219</v>
      </c>
      <c r="BJ50" s="207">
        <v>0.287827</v>
      </c>
      <c r="BK50" s="207">
        <v>-9.1500000000000001E-4</v>
      </c>
      <c r="BU50" s="34">
        <f ca="1">Monthly!E50</f>
        <v>33.098930358886719</v>
      </c>
      <c r="BV50" s="34">
        <f>Monthly!F50</f>
        <v>14.99</v>
      </c>
      <c r="BX50" s="41">
        <f ca="1">Calc!AA50</f>
        <v>38322</v>
      </c>
      <c r="BY50" s="35">
        <f ca="1">IF(AND(ISNUMBER(BU50),BU50&lt;&gt;0), IF(Monthly!$BB$12=1,Calc!AI50+BU50,IF(Monthly!$BB$12=2,Calc!AI50*BU50,IF(Monthly!$BB$12=3,BU50,Calc!AI50))),Calc!AI50)</f>
        <v>33.098930358886719</v>
      </c>
      <c r="BZ50" s="35">
        <f ca="1">IF(AND(ISNUMBER(BV50),BV50&lt;&gt;0),IF(Monthly!$BB$13=1,Calc!AJ50+BV50, IF(Monthly!$BB$13=2,Calc!AJ50*BV50, IF(Monthly!$BB$13=3,BV50,Calc!AJ50))),Calc!AJ50)</f>
        <v>0.17249999999999999</v>
      </c>
      <c r="CA50" s="35">
        <f ca="1">VLOOKUP(BX50,Calc!$AA$5:$AH$72,8)</f>
        <v>5.7776111018460002E-2</v>
      </c>
      <c r="CB50" s="73">
        <v>0</v>
      </c>
      <c r="CC50" s="73">
        <v>1</v>
      </c>
      <c r="CD50" s="73">
        <f t="shared" ca="1" si="11"/>
        <v>3.6851471594798082</v>
      </c>
    </row>
    <row r="51" spans="3:82" x14ac:dyDescent="0.2">
      <c r="C51" s="277"/>
      <c r="D51" s="248"/>
      <c r="E51" s="248"/>
      <c r="F51" s="248"/>
      <c r="H51" s="247"/>
      <c r="I51" s="247"/>
      <c r="K51" s="41">
        <f ca="1">Calc!AA51</f>
        <v>38353</v>
      </c>
      <c r="L51" s="35">
        <f ca="1">IF(AND(ISNUMBER(H51),H51&lt;&gt;0), IF(Daily!$BB$12=1,Calc!AF51+H51,IF(Daily!$BB$12=2,Calc!AF51*H51,IF(Daily!$BB$12=3,H51,Calc!AF51))),Calc!AF51)</f>
        <v>42.037864685058594</v>
      </c>
      <c r="M51" s="35">
        <f ca="1">IF(AND(ISNUMBER(I51),I51&lt;&gt;0),IF(Daily!$BB$13=1,Calc!AG51+I51, IF(Daily!$BB$13=2,Calc!AG51*I51, IF(Daily!$BB$13=3,I51,Calc!AG51))),Calc!AG51)</f>
        <v>0.25700000000000001</v>
      </c>
      <c r="N51" s="35">
        <f ca="1">VLOOKUP(K51,Calc!$AA$5:$AH$72,8)</f>
        <v>5.7896107961344E-2</v>
      </c>
      <c r="S51" s="273">
        <f>'Power Curves'!D55</f>
        <v>37438</v>
      </c>
      <c r="T51" s="274">
        <f ca="1">IF(ISNUMBER(VLOOKUP(S51,Daily!$G$5:$I$36,3, FALSE)), VLOOKUP(S51,Daily!$G$5:$I$36,3),VLOOKUP(S51, $K$5:$L$72,2))</f>
        <v>85.5</v>
      </c>
      <c r="U51" s="2">
        <f t="shared" ca="1" si="3"/>
        <v>0.51550000000000007</v>
      </c>
      <c r="V51" s="2">
        <f t="shared" ca="1" si="4"/>
        <v>5.7896107961344E-2</v>
      </c>
      <c r="Y51" s="138"/>
      <c r="Z51" s="156"/>
      <c r="AA51" s="156"/>
      <c r="AB51" s="156"/>
      <c r="AC51" s="156"/>
      <c r="AD51" s="156"/>
      <c r="AE51" s="156"/>
      <c r="AF51" s="156"/>
      <c r="AG51" s="156"/>
      <c r="AJ51" s="138">
        <f t="shared" ca="1" si="9"/>
        <v>37408</v>
      </c>
      <c r="AK51" s="207">
        <v>-0.10219</v>
      </c>
      <c r="AL51" s="207">
        <v>0.287827</v>
      </c>
      <c r="AM51" s="207">
        <v>-9.1500000000000001E-4</v>
      </c>
      <c r="BH51" s="138">
        <f t="shared" ca="1" si="10"/>
        <v>37408</v>
      </c>
      <c r="BI51" s="207">
        <v>-0.10219</v>
      </c>
      <c r="BJ51" s="207">
        <v>0.287827</v>
      </c>
      <c r="BK51" s="207">
        <v>-9.1500000000000001E-4</v>
      </c>
      <c r="BU51" s="34">
        <f ca="1">Monthly!E51</f>
        <v>42.037864685058594</v>
      </c>
      <c r="BV51" s="34">
        <f>Monthly!F51</f>
        <v>15.99</v>
      </c>
      <c r="BX51" s="41">
        <f ca="1">Calc!AA51</f>
        <v>38353</v>
      </c>
      <c r="BY51" s="35">
        <f ca="1">IF(AND(ISNUMBER(BU51),BU51&lt;&gt;0), IF(Monthly!$BB$12=1,Calc!AI51+BU51,IF(Monthly!$BB$12=2,Calc!AI51*BU51,IF(Monthly!$BB$12=3,BU51,Calc!AI51))),Calc!AI51)</f>
        <v>42.037864685058594</v>
      </c>
      <c r="BZ51" s="35">
        <f ca="1">IF(AND(ISNUMBER(BV51),BV51&lt;&gt;0),IF(Monthly!$BB$13=1,Calc!AJ51+BV51, IF(Monthly!$BB$13=2,Calc!AJ51*BV51, IF(Monthly!$BB$13=3,BV51,Calc!AJ51))),Calc!AJ51)</f>
        <v>0.25700000000000001</v>
      </c>
      <c r="CA51" s="35">
        <f ca="1">VLOOKUP(BX51,Calc!$AA$5:$AH$72,8)</f>
        <v>5.7896107961344E-2</v>
      </c>
      <c r="CB51" s="73">
        <v>0</v>
      </c>
      <c r="CC51" s="73">
        <v>1</v>
      </c>
      <c r="CD51" s="73">
        <f t="shared" ca="1" si="11"/>
        <v>3.7700205338809036</v>
      </c>
    </row>
    <row r="52" spans="3:82" x14ac:dyDescent="0.2">
      <c r="C52" s="277"/>
      <c r="D52" s="248"/>
      <c r="E52" s="248"/>
      <c r="F52" s="248"/>
      <c r="H52" s="247"/>
      <c r="I52" s="247"/>
      <c r="K52" s="41">
        <f ca="1">Calc!AA52</f>
        <v>38384</v>
      </c>
      <c r="L52" s="35">
        <f ca="1">IF(AND(ISNUMBER(H52),H52&lt;&gt;0), IF(Daily!$BB$12=1,Calc!AF52+H52,IF(Daily!$BB$12=2,Calc!AF52*H52,IF(Daily!$BB$12=3,H52,Calc!AF52))),Calc!AF52)</f>
        <v>41.687862396240234</v>
      </c>
      <c r="M52" s="35">
        <f ca="1">IF(AND(ISNUMBER(I52),I52&lt;&gt;0),IF(Daily!$BB$13=1,Calc!AG52+I52, IF(Daily!$BB$13=2,Calc!AG52*I52, IF(Daily!$BB$13=3,I52,Calc!AG52))),Calc!AG52)</f>
        <v>0.25700000000000001</v>
      </c>
      <c r="N52" s="35">
        <f ca="1">VLOOKUP(K52,Calc!$AA$5:$AH$72,8)</f>
        <v>5.8004492300969011E-2</v>
      </c>
      <c r="S52" s="273">
        <f>'Power Curves'!D56</f>
        <v>37469</v>
      </c>
      <c r="T52" s="274">
        <f ca="1">IF(ISNUMBER(VLOOKUP(S52,Daily!$G$5:$I$36,3, FALSE)), VLOOKUP(S52,Daily!$G$5:$I$36,3),VLOOKUP(S52, $K$5:$L$72,2))</f>
        <v>85.5</v>
      </c>
      <c r="U52" s="2">
        <f t="shared" ca="1" si="3"/>
        <v>0.51550000000000007</v>
      </c>
      <c r="V52" s="2">
        <f t="shared" ca="1" si="4"/>
        <v>5.8004492300969011E-2</v>
      </c>
      <c r="Y52" s="138"/>
      <c r="Z52" s="156"/>
      <c r="AA52" s="156"/>
      <c r="AB52" s="156"/>
      <c r="AC52" s="156"/>
      <c r="AD52" s="156"/>
      <c r="AE52" s="156"/>
      <c r="AF52" s="156"/>
      <c r="AG52" s="156"/>
      <c r="AJ52" s="138">
        <f t="shared" ca="1" si="9"/>
        <v>37438</v>
      </c>
      <c r="AK52" s="207">
        <v>-0.10219</v>
      </c>
      <c r="AL52" s="207">
        <v>0.287827</v>
      </c>
      <c r="AM52" s="207">
        <v>-9.1500000000000001E-4</v>
      </c>
      <c r="BH52" s="138">
        <f t="shared" ca="1" si="10"/>
        <v>37438</v>
      </c>
      <c r="BI52" s="207">
        <v>-0.10219</v>
      </c>
      <c r="BJ52" s="207">
        <v>0.287827</v>
      </c>
      <c r="BK52" s="207">
        <v>-9.1500000000000001E-4</v>
      </c>
      <c r="BU52" s="34">
        <f ca="1">Monthly!E52</f>
        <v>41.687862396240234</v>
      </c>
      <c r="BV52" s="34">
        <f>Monthly!F52</f>
        <v>16.989999999999998</v>
      </c>
      <c r="BX52" s="41">
        <f ca="1">Calc!AA52</f>
        <v>38384</v>
      </c>
      <c r="BY52" s="35">
        <f ca="1">IF(AND(ISNUMBER(BU52),BU52&lt;&gt;0), IF(Monthly!$BB$12=1,Calc!AI52+BU52,IF(Monthly!$BB$12=2,Calc!AI52*BU52,IF(Monthly!$BB$12=3,BU52,Calc!AI52))),Calc!AI52)</f>
        <v>41.687862396240234</v>
      </c>
      <c r="BZ52" s="35">
        <f ca="1">IF(AND(ISNUMBER(BV52),BV52&lt;&gt;0),IF(Monthly!$BB$13=1,Calc!AJ52+BV52, IF(Monthly!$BB$13=2,Calc!AJ52*BV52, IF(Monthly!$BB$13=3,BV52,Calc!AJ52))),Calc!AJ52)</f>
        <v>0.25700000000000001</v>
      </c>
      <c r="CA52" s="35">
        <f ca="1">VLOOKUP(BX52,Calc!$AA$5:$AH$72,8)</f>
        <v>5.8004492300969011E-2</v>
      </c>
      <c r="CB52" s="73">
        <v>0</v>
      </c>
      <c r="CC52" s="73">
        <v>1</v>
      </c>
      <c r="CD52" s="73">
        <f t="shared" ca="1" si="11"/>
        <v>3.8548939082819986</v>
      </c>
    </row>
    <row r="53" spans="3:82" x14ac:dyDescent="0.2">
      <c r="C53" s="277"/>
      <c r="D53" s="248"/>
      <c r="E53" s="248"/>
      <c r="F53" s="248"/>
      <c r="H53" s="247"/>
      <c r="I53" s="247"/>
      <c r="K53" s="41">
        <f ca="1">Calc!AA53</f>
        <v>38412</v>
      </c>
      <c r="L53" s="35">
        <f ca="1">IF(AND(ISNUMBER(H53),H53&lt;&gt;0), IF(Daily!$BB$12=1,Calc!AF53+H53,IF(Daily!$BB$12=2,Calc!AF53*H53,IF(Daily!$BB$12=3,H53,Calc!AF53))),Calc!AF53)</f>
        <v>32.898544311523438</v>
      </c>
      <c r="M53" s="35">
        <f ca="1">IF(AND(ISNUMBER(I53),I53&lt;&gt;0),IF(Daily!$BB$13=1,Calc!AG53+I53, IF(Daily!$BB$13=2,Calc!AG53*I53, IF(Daily!$BB$13=3,I53,Calc!AG53))),Calc!AG53)</f>
        <v>0.247</v>
      </c>
      <c r="N53" s="35">
        <f ca="1">VLOOKUP(K53,Calc!$AA$5:$AH$72,8)</f>
        <v>5.8106718451507014E-2</v>
      </c>
      <c r="S53" s="273">
        <f>'Power Curves'!D57</f>
        <v>37500</v>
      </c>
      <c r="T53" s="274">
        <f ca="1">IF(ISNUMBER(VLOOKUP(S53,Daily!$G$5:$I$36,3, FALSE)), VLOOKUP(S53,Daily!$G$5:$I$36,3),VLOOKUP(S53, $K$5:$L$72,2))</f>
        <v>37.500003814697266</v>
      </c>
      <c r="U53" s="2">
        <f t="shared" ca="1" si="3"/>
        <v>0.37050000000000005</v>
      </c>
      <c r="V53" s="2">
        <f t="shared" ca="1" si="4"/>
        <v>5.8106718451507014E-2</v>
      </c>
      <c r="Y53" s="138"/>
      <c r="Z53" s="156"/>
      <c r="AA53" s="156"/>
      <c r="AB53" s="156"/>
      <c r="AC53" s="156"/>
      <c r="AD53" s="156"/>
      <c r="AE53" s="156"/>
      <c r="AF53" s="156"/>
      <c r="AG53" s="156"/>
      <c r="AJ53" s="138">
        <f t="shared" ca="1" si="9"/>
        <v>37469</v>
      </c>
      <c r="AK53" s="207">
        <v>-0.10219</v>
      </c>
      <c r="AL53" s="207">
        <v>0.287827</v>
      </c>
      <c r="AM53" s="207">
        <v>-9.1500000000000001E-4</v>
      </c>
      <c r="BH53" s="138">
        <f t="shared" ca="1" si="10"/>
        <v>37469</v>
      </c>
      <c r="BI53" s="207">
        <v>-0.10219</v>
      </c>
      <c r="BJ53" s="207">
        <v>0.287827</v>
      </c>
      <c r="BK53" s="207">
        <v>-9.1500000000000001E-4</v>
      </c>
      <c r="BU53" s="34">
        <f ca="1">Monthly!E53</f>
        <v>32.898544311523438</v>
      </c>
      <c r="BV53" s="34">
        <f>Monthly!F53</f>
        <v>17.989999999999998</v>
      </c>
      <c r="BX53" s="41">
        <f ca="1">Calc!AA53</f>
        <v>38412</v>
      </c>
      <c r="BY53" s="35">
        <f ca="1">IF(AND(ISNUMBER(BU53),BU53&lt;&gt;0), IF(Monthly!$BB$12=1,Calc!AI53+BU53,IF(Monthly!$BB$12=2,Calc!AI53*BU53,IF(Monthly!$BB$12=3,BU53,Calc!AI53))),Calc!AI53)</f>
        <v>32.898544311523438</v>
      </c>
      <c r="BZ53" s="35">
        <f ca="1">IF(AND(ISNUMBER(BV53),BV53&lt;&gt;0),IF(Monthly!$BB$13=1,Calc!AJ53+BV53, IF(Monthly!$BB$13=2,Calc!AJ53*BV53, IF(Monthly!$BB$13=3,BV53,Calc!AJ53))),Calc!AJ53)</f>
        <v>0.247</v>
      </c>
      <c r="CA53" s="35">
        <f ca="1">VLOOKUP(BX53,Calc!$AA$5:$AH$72,8)</f>
        <v>5.8106718451507014E-2</v>
      </c>
      <c r="CB53" s="73">
        <v>0</v>
      </c>
      <c r="CC53" s="73">
        <v>1</v>
      </c>
      <c r="CD53" s="73">
        <f t="shared" ca="1" si="11"/>
        <v>3.9315537303216974</v>
      </c>
    </row>
    <row r="54" spans="3:82" x14ac:dyDescent="0.2">
      <c r="C54" s="277"/>
      <c r="D54" s="248"/>
      <c r="E54" s="248"/>
      <c r="F54" s="248"/>
      <c r="H54" s="247"/>
      <c r="I54" s="247"/>
      <c r="K54" s="41">
        <f ca="1">Calc!AA54</f>
        <v>38443</v>
      </c>
      <c r="L54" s="35">
        <f ca="1">IF(AND(ISNUMBER(H54),H54&lt;&gt;0), IF(Daily!$BB$12=1,Calc!AF54+H54,IF(Daily!$BB$12=2,Calc!AF54*H54,IF(Daily!$BB$12=3,H54,Calc!AF54))),Calc!AF54)</f>
        <v>33.348545074462891</v>
      </c>
      <c r="M54" s="35">
        <f ca="1">IF(AND(ISNUMBER(I54),I54&lt;&gt;0),IF(Daily!$BB$13=1,Calc!AG54+I54, IF(Daily!$BB$13=2,Calc!AG54*I54, IF(Daily!$BB$13=3,I54,Calc!AG54))),Calc!AG54)</f>
        <v>0.247</v>
      </c>
      <c r="N54" s="35">
        <f ca="1">VLOOKUP(K54,Calc!$AA$5:$AH$72,8)</f>
        <v>5.8191484299130014E-2</v>
      </c>
      <c r="S54" s="273">
        <f>'Power Curves'!D58</f>
        <v>37530</v>
      </c>
      <c r="T54" s="274">
        <f ca="1">IF(ISNUMBER(VLOOKUP(S54,Daily!$G$5:$I$36,3, FALSE)), VLOOKUP(S54,Daily!$G$5:$I$36,3),VLOOKUP(S54, $K$5:$L$72,2))</f>
        <v>35.904998779296875</v>
      </c>
      <c r="U54" s="2">
        <f t="shared" ca="1" si="3"/>
        <v>0.33050000000000002</v>
      </c>
      <c r="V54" s="2">
        <f t="shared" ca="1" si="4"/>
        <v>5.8191484299130014E-2</v>
      </c>
      <c r="Y54" s="138"/>
      <c r="Z54" s="156"/>
      <c r="AA54" s="156"/>
      <c r="AB54" s="156"/>
      <c r="AC54" s="156"/>
      <c r="AD54" s="156"/>
      <c r="AE54" s="156"/>
      <c r="AF54" s="156"/>
      <c r="AG54" s="156"/>
      <c r="AJ54" s="138">
        <f t="shared" ca="1" si="9"/>
        <v>37500</v>
      </c>
      <c r="AK54" s="207">
        <v>-0.10219</v>
      </c>
      <c r="AL54" s="207">
        <v>0.287827</v>
      </c>
      <c r="AM54" s="207">
        <v>-9.1500000000000001E-4</v>
      </c>
      <c r="BH54" s="138">
        <f t="shared" ca="1" si="10"/>
        <v>37500</v>
      </c>
      <c r="BI54" s="207">
        <v>-0.10219</v>
      </c>
      <c r="BJ54" s="207">
        <v>0.287827</v>
      </c>
      <c r="BK54" s="207">
        <v>-9.1500000000000001E-4</v>
      </c>
      <c r="BU54" s="34">
        <f ca="1">Monthly!E54</f>
        <v>33.348545074462891</v>
      </c>
      <c r="BV54" s="34">
        <f>Monthly!F54</f>
        <v>18.989999999999998</v>
      </c>
      <c r="BX54" s="41">
        <f ca="1">Calc!AA54</f>
        <v>38443</v>
      </c>
      <c r="BY54" s="35">
        <f ca="1">IF(AND(ISNUMBER(BU54),BU54&lt;&gt;0), IF(Monthly!$BB$12=1,Calc!AI54+BU54,IF(Monthly!$BB$12=2,Calc!AI54*BU54,IF(Monthly!$BB$12=3,BU54,Calc!AI54))),Calc!AI54)</f>
        <v>33.348545074462891</v>
      </c>
      <c r="BZ54" s="35">
        <f ca="1">IF(AND(ISNUMBER(BV54),BV54&lt;&gt;0),IF(Monthly!$BB$13=1,Calc!AJ54+BV54, IF(Monthly!$BB$13=2,Calc!AJ54*BV54, IF(Monthly!$BB$13=3,BV54,Calc!AJ54))),Calc!AJ54)</f>
        <v>0.247</v>
      </c>
      <c r="CA54" s="35">
        <f ca="1">VLOOKUP(BX54,Calc!$AA$5:$AH$72,8)</f>
        <v>5.8191484299130014E-2</v>
      </c>
      <c r="CB54" s="73">
        <v>0</v>
      </c>
      <c r="CC54" s="73">
        <v>1</v>
      </c>
      <c r="CD54" s="73">
        <f t="shared" ca="1" si="11"/>
        <v>4.0164271047227924</v>
      </c>
    </row>
    <row r="55" spans="3:82" x14ac:dyDescent="0.2">
      <c r="C55" s="277"/>
      <c r="D55" s="248"/>
      <c r="E55" s="248"/>
      <c r="F55" s="248"/>
      <c r="H55" s="247"/>
      <c r="I55" s="247"/>
      <c r="K55" s="41">
        <f ca="1">Calc!AA55</f>
        <v>38473</v>
      </c>
      <c r="L55" s="35">
        <f ca="1">IF(AND(ISNUMBER(H55),H55&lt;&gt;0), IF(Daily!$BB$12=1,Calc!AF55+H55,IF(Daily!$BB$12=2,Calc!AF55*H55,IF(Daily!$BB$12=3,H55,Calc!AF55))),Calc!AF55)</f>
        <v>35.003566741943359</v>
      </c>
      <c r="M55" s="35">
        <f ca="1">IF(AND(ISNUMBER(I55),I55&lt;&gt;0),IF(Daily!$BB$13=1,Calc!AG55+I55, IF(Daily!$BB$13=2,Calc!AG55*I55, IF(Daily!$BB$13=3,I55,Calc!AG55))),Calc!AG55)</f>
        <v>0.25700000000000001</v>
      </c>
      <c r="N55" s="35">
        <f ca="1">VLOOKUP(K55,Calc!$AA$5:$AH$72,8)</f>
        <v>5.827907567751902E-2</v>
      </c>
      <c r="S55" s="273">
        <f>'Power Curves'!D59</f>
        <v>37561</v>
      </c>
      <c r="T55" s="274">
        <f ca="1">IF(ISNUMBER(VLOOKUP(S55,Daily!$G$5:$I$36,3, FALSE)), VLOOKUP(S55,Daily!$G$5:$I$36,3),VLOOKUP(S55, $K$5:$L$72,2))</f>
        <v>36.004997253417969</v>
      </c>
      <c r="U55" s="2">
        <f t="shared" ca="1" si="3"/>
        <v>0.33050000000000002</v>
      </c>
      <c r="V55" s="2">
        <f t="shared" ca="1" si="4"/>
        <v>5.827907567751902E-2</v>
      </c>
      <c r="Y55" s="138"/>
      <c r="Z55" s="156"/>
      <c r="AA55" s="156"/>
      <c r="AB55" s="156"/>
      <c r="AC55" s="156"/>
      <c r="AD55" s="156"/>
      <c r="AE55" s="156"/>
      <c r="AF55" s="156"/>
      <c r="AG55" s="156"/>
      <c r="AJ55" s="138">
        <f t="shared" ca="1" si="9"/>
        <v>37530</v>
      </c>
      <c r="AK55" s="207">
        <v>-0.10219</v>
      </c>
      <c r="AL55" s="207">
        <v>0.287827</v>
      </c>
      <c r="AM55" s="207">
        <v>-9.1500000000000001E-4</v>
      </c>
      <c r="BH55" s="138">
        <f t="shared" ca="1" si="10"/>
        <v>37530</v>
      </c>
      <c r="BI55" s="207">
        <v>-0.10219</v>
      </c>
      <c r="BJ55" s="207">
        <v>0.287827</v>
      </c>
      <c r="BK55" s="207">
        <v>-9.1500000000000001E-4</v>
      </c>
      <c r="BU55" s="34">
        <f ca="1">Monthly!E55</f>
        <v>35.003566741943359</v>
      </c>
      <c r="BV55" s="34">
        <f>Monthly!F55</f>
        <v>19.989999999999998</v>
      </c>
      <c r="BX55" s="41">
        <f ca="1">Calc!AA55</f>
        <v>38473</v>
      </c>
      <c r="BY55" s="35">
        <f ca="1">IF(AND(ISNUMBER(BU55),BU55&lt;&gt;0), IF(Monthly!$BB$12=1,Calc!AI55+BU55,IF(Monthly!$BB$12=2,Calc!AI55*BU55,IF(Monthly!$BB$12=3,BU55,Calc!AI55))),Calc!AI55)</f>
        <v>35.003566741943359</v>
      </c>
      <c r="BZ55" s="35">
        <f ca="1">IF(AND(ISNUMBER(BV55),BV55&lt;&gt;0),IF(Monthly!$BB$13=1,Calc!AJ55+BV55, IF(Monthly!$BB$13=2,Calc!AJ55*BV55, IF(Monthly!$BB$13=3,BV55,Calc!AJ55))),Calc!AJ55)</f>
        <v>0.25700000000000001</v>
      </c>
      <c r="CA55" s="35">
        <f ca="1">VLOOKUP(BX55,Calc!$AA$5:$AH$72,8)</f>
        <v>5.827907567751902E-2</v>
      </c>
      <c r="CB55" s="73">
        <v>0</v>
      </c>
      <c r="CC55" s="73">
        <v>1</v>
      </c>
      <c r="CD55" s="73">
        <f t="shared" ca="1" si="11"/>
        <v>4.0985626283367553</v>
      </c>
    </row>
    <row r="56" spans="3:82" x14ac:dyDescent="0.2">
      <c r="C56" s="277"/>
      <c r="D56" s="248"/>
      <c r="E56" s="248"/>
      <c r="F56" s="248"/>
      <c r="H56" s="247"/>
      <c r="I56" s="247"/>
      <c r="K56" s="41">
        <f ca="1">Calc!AA56</f>
        <v>38504</v>
      </c>
      <c r="L56" s="35">
        <f ca="1">IF(AND(ISNUMBER(H56),H56&lt;&gt;0), IF(Daily!$BB$12=1,Calc!AF56+H56,IF(Daily!$BB$12=2,Calc!AF56*H56,IF(Daily!$BB$12=3,H56,Calc!AF56))),Calc!AF56)</f>
        <v>44.497856140136719</v>
      </c>
      <c r="M56" s="35">
        <f ca="1">IF(AND(ISNUMBER(I56),I56&lt;&gt;0),IF(Daily!$BB$13=1,Calc!AG56+I56, IF(Daily!$BB$13=2,Calc!AG56*I56, IF(Daily!$BB$13=3,I56,Calc!AG56))),Calc!AG56)</f>
        <v>0.26050000000000001</v>
      </c>
      <c r="N56" s="35">
        <f ca="1">VLOOKUP(K56,Calc!$AA$5:$AH$72,8)</f>
        <v>5.8363841530002014E-2</v>
      </c>
      <c r="S56" s="273">
        <f>'Power Curves'!D60</f>
        <v>37591</v>
      </c>
      <c r="T56" s="274">
        <f ca="1">IF(ISNUMBER(VLOOKUP(S56,Daily!$G$5:$I$36,3, FALSE)), VLOOKUP(S56,Daily!$G$5:$I$36,3),VLOOKUP(S56, $K$5:$L$72,2))</f>
        <v>36.104995727539063</v>
      </c>
      <c r="U56" s="2">
        <f t="shared" ca="1" si="3"/>
        <v>0.33050000000000002</v>
      </c>
      <c r="V56" s="2">
        <f t="shared" ca="1" si="4"/>
        <v>5.8363841530002014E-2</v>
      </c>
      <c r="Y56" s="138"/>
      <c r="Z56" s="156"/>
      <c r="AA56" s="156"/>
      <c r="AB56" s="156"/>
      <c r="AC56" s="156"/>
      <c r="AD56" s="156"/>
      <c r="AE56" s="156"/>
      <c r="AF56" s="156"/>
      <c r="AG56" s="156"/>
      <c r="AJ56" s="138">
        <f t="shared" ca="1" si="9"/>
        <v>37561</v>
      </c>
      <c r="AK56" s="207">
        <v>-0.10219</v>
      </c>
      <c r="AL56" s="207">
        <v>0.287827</v>
      </c>
      <c r="AM56" s="207">
        <v>-9.1500000000000001E-4</v>
      </c>
      <c r="BH56" s="138">
        <f t="shared" ca="1" si="10"/>
        <v>37561</v>
      </c>
      <c r="BI56" s="207">
        <v>-0.10219</v>
      </c>
      <c r="BJ56" s="207">
        <v>0.287827</v>
      </c>
      <c r="BK56" s="207">
        <v>-9.1500000000000001E-4</v>
      </c>
      <c r="BU56" s="34">
        <f ca="1">Monthly!E56</f>
        <v>44.497856140136719</v>
      </c>
      <c r="BV56" s="34">
        <f>Monthly!F56</f>
        <v>20.99</v>
      </c>
      <c r="BX56" s="41">
        <f ca="1">Calc!AA56</f>
        <v>38504</v>
      </c>
      <c r="BY56" s="35">
        <f ca="1">IF(AND(ISNUMBER(BU56),BU56&lt;&gt;0), IF(Monthly!$BB$12=1,Calc!AI56+BU56,IF(Monthly!$BB$12=2,Calc!AI56*BU56,IF(Monthly!$BB$12=3,BU56,Calc!AI56))),Calc!AI56)</f>
        <v>44.497856140136719</v>
      </c>
      <c r="BZ56" s="35">
        <f ca="1">IF(AND(ISNUMBER(BV56),BV56&lt;&gt;0),IF(Monthly!$BB$13=1,Calc!AJ56+BV56, IF(Monthly!$BB$13=2,Calc!AJ56*BV56, IF(Monthly!$BB$13=3,BV56,Calc!AJ56))),Calc!AJ56)</f>
        <v>0.26050000000000001</v>
      </c>
      <c r="CA56" s="35">
        <f ca="1">VLOOKUP(BX56,Calc!$AA$5:$AH$72,8)</f>
        <v>5.8363841530002014E-2</v>
      </c>
      <c r="CB56" s="73">
        <v>0</v>
      </c>
      <c r="CC56" s="73">
        <v>1</v>
      </c>
      <c r="CD56" s="73">
        <f t="shared" ca="1" si="11"/>
        <v>4.1834360027378512</v>
      </c>
    </row>
    <row r="57" spans="3:82" x14ac:dyDescent="0.2">
      <c r="C57" s="277"/>
      <c r="D57" s="248"/>
      <c r="E57" s="248"/>
      <c r="F57" s="248"/>
      <c r="H57" s="247"/>
      <c r="I57" s="247"/>
      <c r="K57" s="41">
        <f ca="1">Calc!AA57</f>
        <v>38534</v>
      </c>
      <c r="L57" s="35">
        <f ca="1">IF(AND(ISNUMBER(H57),H57&lt;&gt;0), IF(Daily!$BB$12=1,Calc!AF57+H57,IF(Daily!$BB$12=2,Calc!AF57*H57,IF(Daily!$BB$12=3,H57,Calc!AF57))),Calc!AF57)</f>
        <v>67.997146606445313</v>
      </c>
      <c r="M57" s="35">
        <f ca="1">IF(AND(ISNUMBER(I57),I57&lt;&gt;0),IF(Daily!$BB$13=1,Calc!AG57+I57, IF(Daily!$BB$13=2,Calc!AG57*I57, IF(Daily!$BB$13=3,I57,Calc!AG57))),Calc!AG57)</f>
        <v>0.26050000000000001</v>
      </c>
      <c r="N57" s="35">
        <f ca="1">VLOOKUP(K57,Calc!$AA$5:$AH$72,8)</f>
        <v>5.8451432913410012E-2</v>
      </c>
      <c r="S57" s="273">
        <f>'Power Curves'!D61</f>
        <v>37622</v>
      </c>
      <c r="T57" s="274">
        <f ca="1">IF(ISNUMBER(VLOOKUP(S57,Daily!$G$5:$I$36,3, FALSE)), VLOOKUP(S57,Daily!$G$5:$I$36,3),VLOOKUP(S57, $K$5:$L$72,2))</f>
        <v>40.287864685058594</v>
      </c>
      <c r="U57" s="2">
        <f t="shared" ca="1" si="3"/>
        <v>0.42600000000000005</v>
      </c>
      <c r="V57" s="2">
        <f t="shared" ca="1" si="4"/>
        <v>5.8451432913410012E-2</v>
      </c>
      <c r="Y57" s="138"/>
      <c r="Z57" s="156"/>
      <c r="AA57" s="156"/>
      <c r="AB57" s="156"/>
      <c r="AC57" s="156"/>
      <c r="AD57" s="156"/>
      <c r="AE57" s="156"/>
      <c r="AF57" s="156"/>
      <c r="AG57" s="156"/>
      <c r="AJ57" s="138">
        <f t="shared" ca="1" si="9"/>
        <v>37591</v>
      </c>
      <c r="AK57" s="207">
        <v>-0.10219</v>
      </c>
      <c r="AL57" s="207">
        <v>0.287827</v>
      </c>
      <c r="AM57" s="207">
        <v>-9.1500000000000001E-4</v>
      </c>
      <c r="BH57" s="138">
        <f t="shared" ca="1" si="10"/>
        <v>37591</v>
      </c>
      <c r="BI57" s="207">
        <v>-0.10219</v>
      </c>
      <c r="BJ57" s="207">
        <v>0.287827</v>
      </c>
      <c r="BK57" s="207">
        <v>-9.1500000000000001E-4</v>
      </c>
      <c r="BU57" s="34">
        <f ca="1">Monthly!E57</f>
        <v>67.997146606445313</v>
      </c>
      <c r="BV57" s="34">
        <f>Monthly!F57</f>
        <v>21.99</v>
      </c>
      <c r="BX57" s="41">
        <f ca="1">Calc!AA57</f>
        <v>38534</v>
      </c>
      <c r="BY57" s="35">
        <f ca="1">IF(AND(ISNUMBER(BU57),BU57&lt;&gt;0), IF(Monthly!$BB$12=1,Calc!AI57+BU57,IF(Monthly!$BB$12=2,Calc!AI57*BU57,IF(Monthly!$BB$12=3,BU57,Calc!AI57))),Calc!AI57)</f>
        <v>67.997146606445313</v>
      </c>
      <c r="BZ57" s="35">
        <f ca="1">IF(AND(ISNUMBER(BV57),BV57&lt;&gt;0),IF(Monthly!$BB$13=1,Calc!AJ57+BV57, IF(Monthly!$BB$13=2,Calc!AJ57*BV57, IF(Monthly!$BB$13=3,BV57,Calc!AJ57))),Calc!AJ57)</f>
        <v>0.26050000000000001</v>
      </c>
      <c r="CA57" s="35">
        <f ca="1">VLOOKUP(BX57,Calc!$AA$5:$AH$72,8)</f>
        <v>5.8451432913410012E-2</v>
      </c>
      <c r="CB57" s="73">
        <v>0</v>
      </c>
      <c r="CC57" s="73">
        <v>1</v>
      </c>
      <c r="CD57" s="73">
        <f t="shared" ca="1" si="11"/>
        <v>4.2655715263518141</v>
      </c>
    </row>
    <row r="58" spans="3:82" x14ac:dyDescent="0.2">
      <c r="C58" s="277"/>
      <c r="D58" s="248"/>
      <c r="E58" s="248"/>
      <c r="F58" s="248"/>
      <c r="H58" s="247"/>
      <c r="I58" s="247"/>
      <c r="K58" s="41">
        <f ca="1">Calc!AA58</f>
        <v>38565</v>
      </c>
      <c r="L58" s="35">
        <f ca="1">IF(AND(ISNUMBER(H58),H58&lt;&gt;0), IF(Daily!$BB$12=1,Calc!AF58+H58,IF(Daily!$BB$12=2,Calc!AF58*H58,IF(Daily!$BB$12=3,H58,Calc!AF58))),Calc!AF58)</f>
        <v>67.997146606445313</v>
      </c>
      <c r="M58" s="35">
        <f ca="1">IF(AND(ISNUMBER(I58),I58&lt;&gt;0),IF(Daily!$BB$13=1,Calc!AG58+I58, IF(Daily!$BB$13=2,Calc!AG58*I58, IF(Daily!$BB$13=3,I58,Calc!AG58))),Calc!AG58)</f>
        <v>0.26050000000000001</v>
      </c>
      <c r="N58" s="35">
        <f ca="1">VLOOKUP(K58,Calc!$AA$5:$AH$72,8)</f>
        <v>5.8539024299370017E-2</v>
      </c>
      <c r="S58" s="273">
        <f>'Power Curves'!D62</f>
        <v>37653</v>
      </c>
      <c r="T58" s="274">
        <f ca="1">IF(ISNUMBER(VLOOKUP(S58,Daily!$G$5:$I$36,3, FALSE)), VLOOKUP(S58,Daily!$G$5:$I$36,3),VLOOKUP(S58, $K$5:$L$72,2))</f>
        <v>39.687862396240234</v>
      </c>
      <c r="U58" s="2">
        <f t="shared" ca="1" si="3"/>
        <v>0.42600000000000005</v>
      </c>
      <c r="V58" s="2">
        <f t="shared" ca="1" si="4"/>
        <v>5.8539024299370017E-2</v>
      </c>
      <c r="Y58" s="138"/>
      <c r="Z58" s="156"/>
      <c r="AA58" s="156"/>
      <c r="AB58" s="156"/>
      <c r="AC58" s="156"/>
      <c r="AD58" s="156"/>
      <c r="AE58" s="156"/>
      <c r="AF58" s="156"/>
      <c r="AG58" s="156"/>
      <c r="AJ58" s="138">
        <f t="shared" ca="1" si="9"/>
        <v>37622</v>
      </c>
      <c r="AK58" s="207">
        <v>-0.10219</v>
      </c>
      <c r="AL58" s="207">
        <v>0.287827</v>
      </c>
      <c r="AM58" s="207">
        <v>-9.1500000000000001E-4</v>
      </c>
      <c r="BH58" s="138">
        <f t="shared" ca="1" si="10"/>
        <v>37622</v>
      </c>
      <c r="BI58" s="207">
        <v>-0.10219</v>
      </c>
      <c r="BJ58" s="207">
        <v>0.287827</v>
      </c>
      <c r="BK58" s="207">
        <v>-9.1500000000000001E-4</v>
      </c>
      <c r="BU58" s="34">
        <f ca="1">Monthly!E58</f>
        <v>67.997146606445313</v>
      </c>
      <c r="BV58" s="34">
        <f>Monthly!F58</f>
        <v>22.99</v>
      </c>
      <c r="BX58" s="41">
        <f ca="1">Calc!AA58</f>
        <v>38565</v>
      </c>
      <c r="BY58" s="35">
        <f ca="1">IF(AND(ISNUMBER(BU58),BU58&lt;&gt;0), IF(Monthly!$BB$12=1,Calc!AI58+BU58,IF(Monthly!$BB$12=2,Calc!AI58*BU58,IF(Monthly!$BB$12=3,BU58,Calc!AI58))),Calc!AI58)</f>
        <v>67.997146606445313</v>
      </c>
      <c r="BZ58" s="35">
        <f ca="1">IF(AND(ISNUMBER(BV58),BV58&lt;&gt;0),IF(Monthly!$BB$13=1,Calc!AJ58+BV58, IF(Monthly!$BB$13=2,Calc!AJ58*BV58, IF(Monthly!$BB$13=3,BV58,Calc!AJ58))),Calc!AJ58)</f>
        <v>0.26050000000000001</v>
      </c>
      <c r="CA58" s="35">
        <f ca="1">VLOOKUP(BX58,Calc!$AA$5:$AH$72,8)</f>
        <v>5.8539024299370017E-2</v>
      </c>
      <c r="CB58" s="73">
        <v>0</v>
      </c>
      <c r="CC58" s="73">
        <v>1</v>
      </c>
      <c r="CD58" s="73">
        <f t="shared" ca="1" si="11"/>
        <v>4.3504449007529091</v>
      </c>
    </row>
    <row r="59" spans="3:82" x14ac:dyDescent="0.2">
      <c r="C59" s="277"/>
      <c r="D59" s="248"/>
      <c r="E59" s="248"/>
      <c r="F59" s="248"/>
      <c r="H59" s="247"/>
      <c r="I59" s="247"/>
      <c r="K59" s="41">
        <f ca="1">Calc!AA59</f>
        <v>38596</v>
      </c>
      <c r="L59" s="35">
        <f ca="1">IF(AND(ISNUMBER(H59),H59&lt;&gt;0), IF(Daily!$BB$12=1,Calc!AF59+H59,IF(Daily!$BB$12=2,Calc!AF59*H59,IF(Daily!$BB$12=3,H59,Calc!AF59))),Calc!AF59)</f>
        <v>35.252143859863281</v>
      </c>
      <c r="M59" s="35">
        <f ca="1">IF(AND(ISNUMBER(I59),I59&lt;&gt;0),IF(Daily!$BB$13=1,Calc!AG59+I59, IF(Daily!$BB$13=2,Calc!AG59*I59, IF(Daily!$BB$13=3,I59,Calc!AG59))),Calc!AG59)</f>
        <v>0.25700000000000001</v>
      </c>
      <c r="N59" s="35">
        <f ca="1">VLOOKUP(K59,Calc!$AA$5:$AH$72,8)</f>
        <v>5.8623790159179026E-2</v>
      </c>
      <c r="S59" s="273">
        <f>'Power Curves'!D63</f>
        <v>37681</v>
      </c>
      <c r="T59" s="274">
        <f ca="1">IF(ISNUMBER(VLOOKUP(S59,Daily!$G$5:$I$36,3, FALSE)), VLOOKUP(S59,Daily!$G$5:$I$36,3),VLOOKUP(S59, $K$5:$L$72,2))</f>
        <v>33.898544311523438</v>
      </c>
      <c r="U59" s="2">
        <f t="shared" ca="1" si="3"/>
        <v>0.25</v>
      </c>
      <c r="V59" s="2">
        <f t="shared" ca="1" si="4"/>
        <v>5.8623790159179026E-2</v>
      </c>
      <c r="Y59" s="138"/>
      <c r="Z59" s="156"/>
      <c r="AA59" s="156"/>
      <c r="AB59" s="156"/>
      <c r="AC59" s="156"/>
      <c r="AD59" s="156"/>
      <c r="AE59" s="156"/>
      <c r="AF59" s="156"/>
      <c r="AG59" s="156"/>
      <c r="AJ59" s="138">
        <f t="shared" ca="1" si="9"/>
        <v>37653</v>
      </c>
      <c r="AK59" s="207">
        <v>-0.10219</v>
      </c>
      <c r="AL59" s="207">
        <v>0.287827</v>
      </c>
      <c r="AM59" s="207">
        <v>-9.1500000000000001E-4</v>
      </c>
      <c r="BH59" s="138">
        <f t="shared" ca="1" si="10"/>
        <v>37653</v>
      </c>
      <c r="BI59" s="207">
        <v>-0.10219</v>
      </c>
      <c r="BJ59" s="207">
        <v>0.287827</v>
      </c>
      <c r="BK59" s="207">
        <v>-9.1500000000000001E-4</v>
      </c>
      <c r="BU59" s="34">
        <f ca="1">Monthly!E59</f>
        <v>35.252143859863281</v>
      </c>
      <c r="BV59" s="34">
        <f>Monthly!F59</f>
        <v>23.99</v>
      </c>
      <c r="BX59" s="41">
        <f ca="1">Calc!AA59</f>
        <v>38596</v>
      </c>
      <c r="BY59" s="35">
        <f ca="1">IF(AND(ISNUMBER(BU59),BU59&lt;&gt;0), IF(Monthly!$BB$12=1,Calc!AI59+BU59,IF(Monthly!$BB$12=2,Calc!AI59*BU59,IF(Monthly!$BB$12=3,BU59,Calc!AI59))),Calc!AI59)</f>
        <v>35.252143859863281</v>
      </c>
      <c r="BZ59" s="35">
        <f ca="1">IF(AND(ISNUMBER(BV59),BV59&lt;&gt;0),IF(Monthly!$BB$13=1,Calc!AJ59+BV59, IF(Monthly!$BB$13=2,Calc!AJ59*BV59, IF(Monthly!$BB$13=3,BV59,Calc!AJ59))),Calc!AJ59)</f>
        <v>0.25700000000000001</v>
      </c>
      <c r="CA59" s="35">
        <f ca="1">VLOOKUP(BX59,Calc!$AA$5:$AH$72,8)</f>
        <v>5.8623790159179026E-2</v>
      </c>
      <c r="CB59" s="73">
        <v>0</v>
      </c>
      <c r="CC59" s="73">
        <v>1</v>
      </c>
      <c r="CD59" s="73">
        <f t="shared" ca="1" si="11"/>
        <v>4.4353182751540041</v>
      </c>
    </row>
    <row r="60" spans="3:82" x14ac:dyDescent="0.2">
      <c r="C60" s="277"/>
      <c r="D60" s="248"/>
      <c r="E60" s="248"/>
      <c r="F60" s="248"/>
      <c r="H60" s="247"/>
      <c r="I60" s="247"/>
      <c r="K60" s="41">
        <f ca="1">Calc!AA60</f>
        <v>38626</v>
      </c>
      <c r="L60" s="35">
        <f ca="1">IF(AND(ISNUMBER(H60),H60&lt;&gt;0), IF(Daily!$BB$12=1,Calc!AF60+H60,IF(Daily!$BB$12=2,Calc!AF60*H60,IF(Daily!$BB$12=3,H60,Calc!AF60))),Calc!AF60)</f>
        <v>33.148933410644531</v>
      </c>
      <c r="M60" s="35">
        <f ca="1">IF(AND(ISNUMBER(I60),I60&lt;&gt;0),IF(Daily!$BB$13=1,Calc!AG60+I60, IF(Daily!$BB$13=2,Calc!AG60*I60, IF(Daily!$BB$13=3,I60,Calc!AG60))),Calc!AG60)</f>
        <v>0.247</v>
      </c>
      <c r="N60" s="35">
        <f ca="1">VLOOKUP(K60,Calc!$AA$5:$AH$72,8)</f>
        <v>5.8711381550158002E-2</v>
      </c>
      <c r="S60" s="273">
        <f>'Power Curves'!D64</f>
        <v>37712</v>
      </c>
      <c r="T60" s="274">
        <f ca="1">IF(ISNUMBER(VLOOKUP(S60,Daily!$G$5:$I$36,3, FALSE)), VLOOKUP(S60,Daily!$G$5:$I$36,3),VLOOKUP(S60, $K$5:$L$72,2))</f>
        <v>34.098545074462891</v>
      </c>
      <c r="U60" s="2">
        <f t="shared" ca="1" si="3"/>
        <v>0.25</v>
      </c>
      <c r="V60" s="2">
        <f t="shared" ca="1" si="4"/>
        <v>5.8711381550158002E-2</v>
      </c>
      <c r="Y60" s="138"/>
      <c r="Z60" s="156"/>
      <c r="AA60" s="156"/>
      <c r="AB60" s="156"/>
      <c r="AC60" s="156"/>
      <c r="AD60" s="156"/>
      <c r="AE60" s="156"/>
      <c r="AF60" s="156"/>
      <c r="AG60" s="156"/>
      <c r="AJ60" s="138">
        <f t="shared" ca="1" si="9"/>
        <v>37681</v>
      </c>
      <c r="AK60" s="207">
        <v>-0.10219</v>
      </c>
      <c r="AL60" s="207">
        <v>0.287827</v>
      </c>
      <c r="AM60" s="207">
        <v>-9.1500000000000001E-4</v>
      </c>
      <c r="BH60" s="138">
        <f t="shared" ca="1" si="10"/>
        <v>37681</v>
      </c>
      <c r="BI60" s="207">
        <v>-0.10219</v>
      </c>
      <c r="BJ60" s="207">
        <v>0.287827</v>
      </c>
      <c r="BK60" s="207">
        <v>-9.1500000000000001E-4</v>
      </c>
      <c r="BU60" s="34">
        <f ca="1">Monthly!E60</f>
        <v>33.148933410644531</v>
      </c>
      <c r="BV60" s="34">
        <f>Monthly!F60</f>
        <v>24.99</v>
      </c>
      <c r="BX60" s="41">
        <f ca="1">Calc!AA60</f>
        <v>38626</v>
      </c>
      <c r="BY60" s="35">
        <f ca="1">IF(AND(ISNUMBER(BU60),BU60&lt;&gt;0), IF(Monthly!$BB$12=1,Calc!AI60+BU60,IF(Monthly!$BB$12=2,Calc!AI60*BU60,IF(Monthly!$BB$12=3,BU60,Calc!AI60))),Calc!AI60)</f>
        <v>33.148933410644531</v>
      </c>
      <c r="BZ60" s="35">
        <f ca="1">IF(AND(ISNUMBER(BV60),BV60&lt;&gt;0),IF(Monthly!$BB$13=1,Calc!AJ60+BV60, IF(Monthly!$BB$13=2,Calc!AJ60*BV60, IF(Monthly!$BB$13=3,BV60,Calc!AJ60))),Calc!AJ60)</f>
        <v>0.247</v>
      </c>
      <c r="CA60" s="35">
        <f ca="1">VLOOKUP(BX60,Calc!$AA$5:$AH$72,8)</f>
        <v>5.8711381550158002E-2</v>
      </c>
      <c r="CB60" s="73">
        <v>0</v>
      </c>
      <c r="CC60" s="73">
        <v>1</v>
      </c>
      <c r="CD60" s="73">
        <f t="shared" ca="1" si="11"/>
        <v>4.517453798767967</v>
      </c>
    </row>
    <row r="61" spans="3:82" x14ac:dyDescent="0.2">
      <c r="C61" s="277"/>
      <c r="D61" s="248"/>
      <c r="E61" s="248"/>
      <c r="F61" s="248"/>
      <c r="H61" s="247"/>
      <c r="I61" s="247"/>
      <c r="K61" s="41">
        <f ca="1">Calc!AA61</f>
        <v>38657</v>
      </c>
      <c r="L61" s="35">
        <f ca="1">IF(AND(ISNUMBER(H61),H61&lt;&gt;0), IF(Daily!$BB$12=1,Calc!AF61+H61,IF(Daily!$BB$12=2,Calc!AF61*H61,IF(Daily!$BB$12=3,H61,Calc!AF61))),Calc!AF61)</f>
        <v>33.248931884765625</v>
      </c>
      <c r="M61" s="35">
        <f ca="1">IF(AND(ISNUMBER(I61),I61&lt;&gt;0),IF(Daily!$BB$13=1,Calc!AG61+I61, IF(Daily!$BB$13=2,Calc!AG61*I61, IF(Daily!$BB$13=3,I61,Calc!AG61))),Calc!AG61)</f>
        <v>0.247</v>
      </c>
      <c r="N61" s="35">
        <f ca="1">VLOOKUP(K61,Calc!$AA$5:$AH$72,8)</f>
        <v>5.8796147414825015E-2</v>
      </c>
      <c r="S61" s="273">
        <f>'Power Curves'!D65</f>
        <v>37742</v>
      </c>
      <c r="T61" s="274">
        <f ca="1">IF(ISNUMBER(VLOOKUP(S61,Daily!$G$5:$I$36,3, FALSE)), VLOOKUP(S61,Daily!$G$5:$I$36,3),VLOOKUP(S61, $K$5:$L$72,2))</f>
        <v>35.003566741943359</v>
      </c>
      <c r="U61" s="2">
        <f t="shared" ca="1" si="3"/>
        <v>0.42600000000000005</v>
      </c>
      <c r="V61" s="2">
        <f t="shared" ca="1" si="4"/>
        <v>5.8796147414825015E-2</v>
      </c>
      <c r="Y61" s="138"/>
      <c r="Z61" s="156"/>
      <c r="AA61" s="156"/>
      <c r="AB61" s="156"/>
      <c r="AC61" s="156"/>
      <c r="AD61" s="156"/>
      <c r="AE61" s="156"/>
      <c r="AF61" s="156"/>
      <c r="AG61" s="156"/>
      <c r="AJ61" s="138">
        <f t="shared" ca="1" si="9"/>
        <v>37712</v>
      </c>
      <c r="AK61" s="207">
        <v>-0.10219</v>
      </c>
      <c r="AL61" s="207">
        <v>0.287827</v>
      </c>
      <c r="AM61" s="207">
        <v>-9.1500000000000001E-4</v>
      </c>
      <c r="BH61" s="138">
        <f t="shared" ca="1" si="10"/>
        <v>37712</v>
      </c>
      <c r="BI61" s="207">
        <v>-0.10219</v>
      </c>
      <c r="BJ61" s="207">
        <v>0.287827</v>
      </c>
      <c r="BK61" s="207">
        <v>-9.1500000000000001E-4</v>
      </c>
      <c r="BU61" s="34">
        <f ca="1">Monthly!E61</f>
        <v>33.248931884765625</v>
      </c>
      <c r="BV61" s="34">
        <f>Monthly!F61</f>
        <v>25.99</v>
      </c>
      <c r="BX61" s="41">
        <f ca="1">Calc!AA61</f>
        <v>38657</v>
      </c>
      <c r="BY61" s="35">
        <f ca="1">IF(AND(ISNUMBER(BU61),BU61&lt;&gt;0), IF(Monthly!$BB$12=1,Calc!AI61+BU61,IF(Monthly!$BB$12=2,Calc!AI61*BU61,IF(Monthly!$BB$12=3,BU61,Calc!AI61))),Calc!AI61)</f>
        <v>33.248931884765625</v>
      </c>
      <c r="BZ61" s="35">
        <f ca="1">IF(AND(ISNUMBER(BV61),BV61&lt;&gt;0),IF(Monthly!$BB$13=1,Calc!AJ61+BV61, IF(Monthly!$BB$13=2,Calc!AJ61*BV61, IF(Monthly!$BB$13=3,BV61,Calc!AJ61))),Calc!AJ61)</f>
        <v>0.247</v>
      </c>
      <c r="CA61" s="35">
        <f ca="1">VLOOKUP(BX61,Calc!$AA$5:$AH$72,8)</f>
        <v>5.8796147414825015E-2</v>
      </c>
      <c r="CB61" s="73">
        <v>0</v>
      </c>
      <c r="CC61" s="73">
        <v>1</v>
      </c>
      <c r="CD61" s="73">
        <f t="shared" ca="1" si="11"/>
        <v>4.602327173169062</v>
      </c>
    </row>
    <row r="62" spans="3:82" x14ac:dyDescent="0.2">
      <c r="C62" s="277"/>
      <c r="D62" s="248"/>
      <c r="E62" s="248"/>
      <c r="F62" s="248"/>
      <c r="H62" s="247"/>
      <c r="I62" s="247"/>
      <c r="K62" s="41">
        <f ca="1">Calc!AA62</f>
        <v>38687</v>
      </c>
      <c r="L62" s="35">
        <f ca="1">IF(AND(ISNUMBER(H62),H62&lt;&gt;0), IF(Daily!$BB$12=1,Calc!AF62+H62,IF(Daily!$BB$12=2,Calc!AF62*H62,IF(Daily!$BB$12=3,H62,Calc!AF62))),Calc!AF62)</f>
        <v>33.348930358886719</v>
      </c>
      <c r="M62" s="35">
        <f ca="1">IF(AND(ISNUMBER(I62),I62&lt;&gt;0),IF(Daily!$BB$13=1,Calc!AG62+I62, IF(Daily!$BB$13=2,Calc!AG62*I62, IF(Daily!$BB$13=3,I62,Calc!AG62))),Calc!AG62)</f>
        <v>0.247</v>
      </c>
      <c r="N62" s="35">
        <f ca="1">VLOOKUP(K62,Calc!$AA$5:$AH$72,8)</f>
        <v>5.8883738810824003E-2</v>
      </c>
      <c r="S62" s="273">
        <f>'Power Curves'!D66</f>
        <v>37773</v>
      </c>
      <c r="T62" s="274">
        <f ca="1">IF(ISNUMBER(VLOOKUP(S62,Daily!$G$5:$I$36,3, FALSE)), VLOOKUP(S62,Daily!$G$5:$I$36,3),VLOOKUP(S62, $K$5:$L$72,2))</f>
        <v>51.747856140136719</v>
      </c>
      <c r="U62" s="2">
        <f t="shared" ca="1" si="3"/>
        <v>0.46550000000000002</v>
      </c>
      <c r="V62" s="2">
        <f t="shared" ca="1" si="4"/>
        <v>5.8883738810824003E-2</v>
      </c>
      <c r="Y62" s="138"/>
      <c r="Z62" s="156"/>
      <c r="AA62" s="156"/>
      <c r="AB62" s="156"/>
      <c r="AC62" s="156"/>
      <c r="AD62" s="156"/>
      <c r="AE62" s="156"/>
      <c r="AF62" s="156"/>
      <c r="AG62" s="156"/>
      <c r="AJ62" s="138">
        <f t="shared" ca="1" si="9"/>
        <v>37742</v>
      </c>
      <c r="AK62" s="207">
        <v>-0.10219</v>
      </c>
      <c r="AL62" s="207">
        <v>0.287827</v>
      </c>
      <c r="AM62" s="207">
        <v>-9.1500000000000001E-4</v>
      </c>
      <c r="BH62" s="138">
        <f t="shared" ca="1" si="10"/>
        <v>37742</v>
      </c>
      <c r="BI62" s="207">
        <v>-0.10219</v>
      </c>
      <c r="BJ62" s="207">
        <v>0.287827</v>
      </c>
      <c r="BK62" s="207">
        <v>-9.1500000000000001E-4</v>
      </c>
      <c r="BU62" s="34">
        <f ca="1">Monthly!E62</f>
        <v>33.348930358886719</v>
      </c>
      <c r="BV62" s="34">
        <f>Monthly!F62</f>
        <v>26.99</v>
      </c>
      <c r="BX62" s="41">
        <f ca="1">Calc!AA62</f>
        <v>38687</v>
      </c>
      <c r="BY62" s="35">
        <f ca="1">IF(AND(ISNUMBER(BU62),BU62&lt;&gt;0), IF(Monthly!$BB$12=1,Calc!AI62+BU62,IF(Monthly!$BB$12=2,Calc!AI62*BU62,IF(Monthly!$BB$12=3,BU62,Calc!AI62))),Calc!AI62)</f>
        <v>33.348930358886719</v>
      </c>
      <c r="BZ62" s="35">
        <f ca="1">IF(AND(ISNUMBER(BV62),BV62&lt;&gt;0),IF(Monthly!$BB$13=1,Calc!AJ62+BV62, IF(Monthly!$BB$13=2,Calc!AJ62*BV62, IF(Monthly!$BB$13=3,BV62,Calc!AJ62))),Calc!AJ62)</f>
        <v>0.247</v>
      </c>
      <c r="CA62" s="35">
        <f ca="1">VLOOKUP(BX62,Calc!$AA$5:$AH$72,8)</f>
        <v>5.8883738810824003E-2</v>
      </c>
      <c r="CB62" s="73">
        <v>0</v>
      </c>
      <c r="CC62" s="73">
        <v>1</v>
      </c>
      <c r="CD62" s="73">
        <f t="shared" ca="1" si="11"/>
        <v>4.684462696783025</v>
      </c>
    </row>
    <row r="63" spans="3:82" x14ac:dyDescent="0.2">
      <c r="C63" s="277"/>
      <c r="D63" s="248"/>
      <c r="E63" s="248"/>
      <c r="F63" s="248"/>
      <c r="H63" s="247"/>
      <c r="I63" s="247"/>
      <c r="K63" s="41">
        <f ca="1">Calc!AA63</f>
        <v>38718</v>
      </c>
      <c r="L63" s="35">
        <f ca="1">IF(AND(ISNUMBER(H63),H63&lt;&gt;0), IF(Daily!$BB$12=1,Calc!AF63+H63,IF(Daily!$BB$12=2,Calc!AF63*H63,IF(Daily!$BB$12=3,H63,Calc!AF63))),Calc!AF63)</f>
        <v>42.537864685058594</v>
      </c>
      <c r="M63" s="35">
        <f ca="1">IF(AND(ISNUMBER(I63),I63&lt;&gt;0),IF(Daily!$BB$13=1,Calc!AG63+I63, IF(Daily!$BB$13=2,Calc!AG63*I63, IF(Daily!$BB$13=3,I63,Calc!AG63))),Calc!AG63)</f>
        <v>0.2515</v>
      </c>
      <c r="N63" s="35">
        <f ca="1">VLOOKUP(K63,Calc!$AA$5:$AH$72,8)</f>
        <v>5.8968087742612009E-2</v>
      </c>
      <c r="S63" s="273">
        <f>'Power Curves'!D67</f>
        <v>37803</v>
      </c>
      <c r="T63" s="274">
        <f ca="1">IF(ISNUMBER(VLOOKUP(S63,Daily!$G$5:$I$36,3, FALSE)), VLOOKUP(S63,Daily!$G$5:$I$36,3),VLOOKUP(S63, $K$5:$L$72,2))</f>
        <v>76.997146606445313</v>
      </c>
      <c r="U63" s="2">
        <f t="shared" ca="1" si="3"/>
        <v>0.4955</v>
      </c>
      <c r="V63" s="2">
        <f t="shared" ca="1" si="4"/>
        <v>5.8968087742612009E-2</v>
      </c>
      <c r="Y63" s="138"/>
      <c r="Z63" s="156"/>
      <c r="AA63" s="156"/>
      <c r="AB63" s="156"/>
      <c r="AC63" s="156"/>
      <c r="AD63" s="156"/>
      <c r="AE63" s="156"/>
      <c r="AF63" s="156"/>
      <c r="AG63" s="156"/>
      <c r="AJ63" s="138">
        <f t="shared" ca="1" si="9"/>
        <v>37773</v>
      </c>
      <c r="AK63" s="207">
        <v>-0.10219</v>
      </c>
      <c r="AL63" s="207">
        <v>0.287827</v>
      </c>
      <c r="AM63" s="207">
        <v>-9.1500000000000001E-4</v>
      </c>
      <c r="BH63" s="138">
        <f t="shared" ca="1" si="10"/>
        <v>37773</v>
      </c>
      <c r="BI63" s="207">
        <v>-0.10219</v>
      </c>
      <c r="BJ63" s="207">
        <v>0.287827</v>
      </c>
      <c r="BK63" s="207">
        <v>-9.1500000000000001E-4</v>
      </c>
      <c r="BU63" s="34">
        <f ca="1">Monthly!E63</f>
        <v>42.537864685058594</v>
      </c>
      <c r="BV63" s="34">
        <f>Monthly!F63</f>
        <v>27.99</v>
      </c>
      <c r="BX63" s="41">
        <f ca="1">Calc!AA63</f>
        <v>38718</v>
      </c>
      <c r="BY63" s="35">
        <f ca="1">IF(AND(ISNUMBER(BU63),BU63&lt;&gt;0), IF(Monthly!$BB$12=1,Calc!AI63+BU63,IF(Monthly!$BB$12=2,Calc!AI63*BU63,IF(Monthly!$BB$12=3,BU63,Calc!AI63))),Calc!AI63)</f>
        <v>42.537864685058594</v>
      </c>
      <c r="BZ63" s="35">
        <f ca="1">IF(AND(ISNUMBER(BV63),BV63&lt;&gt;0),IF(Monthly!$BB$13=1,Calc!AJ63+BV63, IF(Monthly!$BB$13=2,Calc!AJ63*BV63, IF(Monthly!$BB$13=3,BV63,Calc!AJ63))),Calc!AJ63)</f>
        <v>0.2515</v>
      </c>
      <c r="CA63" s="35">
        <f ca="1">VLOOKUP(BX63,Calc!$AA$5:$AH$72,8)</f>
        <v>5.8968087742612009E-2</v>
      </c>
      <c r="CB63" s="73">
        <v>0</v>
      </c>
      <c r="CC63" s="73">
        <v>1</v>
      </c>
      <c r="CD63" s="73">
        <f t="shared" ca="1" si="11"/>
        <v>4.7693360711841208</v>
      </c>
    </row>
    <row r="64" spans="3:82" x14ac:dyDescent="0.2">
      <c r="C64" s="277"/>
      <c r="D64" s="248"/>
      <c r="E64" s="248"/>
      <c r="F64" s="248"/>
      <c r="H64" s="247"/>
      <c r="I64" s="247"/>
      <c r="K64" s="41">
        <f ca="1">Calc!AA64</f>
        <v>38749</v>
      </c>
      <c r="L64" s="35">
        <f ca="1">IF(AND(ISNUMBER(H64),H64&lt;&gt;0), IF(Daily!$BB$12=1,Calc!AF64+H64,IF(Daily!$BB$12=2,Calc!AF64*H64,IF(Daily!$BB$12=3,H64,Calc!AF64))),Calc!AF64)</f>
        <v>42.187862396240234</v>
      </c>
      <c r="M64" s="35">
        <f ca="1">IF(AND(ISNUMBER(I64),I64&lt;&gt;0),IF(Daily!$BB$13=1,Calc!AG64+I64, IF(Daily!$BB$13=2,Calc!AG64*I64, IF(Daily!$BB$13=3,I64,Calc!AG64))),Calc!AG64)</f>
        <v>0.2515</v>
      </c>
      <c r="N64" s="35">
        <f ca="1">VLOOKUP(K64,Calc!$AA$5:$AH$72,8)</f>
        <v>5.9034232688957008E-2</v>
      </c>
      <c r="S64" s="273">
        <f>'Power Curves'!D68</f>
        <v>37834</v>
      </c>
      <c r="T64" s="274">
        <f ca="1">IF(ISNUMBER(VLOOKUP(S64,Daily!$G$5:$I$36,3, FALSE)), VLOOKUP(S64,Daily!$G$5:$I$36,3),VLOOKUP(S64, $K$5:$L$72,2))</f>
        <v>76.997146606445313</v>
      </c>
      <c r="U64" s="2">
        <f t="shared" ca="1" si="3"/>
        <v>0.4955</v>
      </c>
      <c r="V64" s="2">
        <f t="shared" ca="1" si="4"/>
        <v>5.9034232688957008E-2</v>
      </c>
      <c r="Y64" s="138"/>
      <c r="Z64" s="156"/>
      <c r="AA64" s="156"/>
      <c r="AB64" s="156"/>
      <c r="AC64" s="156"/>
      <c r="AD64" s="156"/>
      <c r="AE64" s="156"/>
      <c r="AF64" s="156"/>
      <c r="AG64" s="156"/>
      <c r="AJ64" s="138">
        <f t="shared" ca="1" si="9"/>
        <v>37803</v>
      </c>
      <c r="AK64" s="207">
        <v>-0.10219</v>
      </c>
      <c r="AL64" s="207">
        <v>0.287827</v>
      </c>
      <c r="AM64" s="207">
        <v>-9.1500000000000001E-4</v>
      </c>
      <c r="BH64" s="138">
        <f t="shared" ca="1" si="10"/>
        <v>37803</v>
      </c>
      <c r="BI64" s="207">
        <v>-0.10219</v>
      </c>
      <c r="BJ64" s="207">
        <v>0.287827</v>
      </c>
      <c r="BK64" s="207">
        <v>-9.1500000000000001E-4</v>
      </c>
      <c r="BU64" s="34">
        <f ca="1">Monthly!E64</f>
        <v>42.187862396240234</v>
      </c>
      <c r="BV64" s="34">
        <f>Monthly!F64</f>
        <v>28.99</v>
      </c>
      <c r="BX64" s="41">
        <f ca="1">Calc!AA64</f>
        <v>38749</v>
      </c>
      <c r="BY64" s="35">
        <f ca="1">IF(AND(ISNUMBER(BU64),BU64&lt;&gt;0), IF(Monthly!$BB$12=1,Calc!AI64+BU64,IF(Monthly!$BB$12=2,Calc!AI64*BU64,IF(Monthly!$BB$12=3,BU64,Calc!AI64))),Calc!AI64)</f>
        <v>42.187862396240234</v>
      </c>
      <c r="BZ64" s="35">
        <f ca="1">IF(AND(ISNUMBER(BV64),BV64&lt;&gt;0),IF(Monthly!$BB$13=1,Calc!AJ64+BV64, IF(Monthly!$BB$13=2,Calc!AJ64*BV64, IF(Monthly!$BB$13=3,BV64,Calc!AJ64))),Calc!AJ64)</f>
        <v>0.2515</v>
      </c>
      <c r="CA64" s="35">
        <f ca="1">VLOOKUP(BX64,Calc!$AA$5:$AH$72,8)</f>
        <v>5.9034232688957008E-2</v>
      </c>
      <c r="CB64" s="73">
        <v>0</v>
      </c>
      <c r="CC64" s="73">
        <v>1</v>
      </c>
      <c r="CD64" s="73">
        <f t="shared" ca="1" si="11"/>
        <v>4.8542094455852158</v>
      </c>
    </row>
    <row r="65" spans="3:82" x14ac:dyDescent="0.2">
      <c r="C65" s="277"/>
      <c r="D65" s="248"/>
      <c r="E65" s="248"/>
      <c r="F65" s="248"/>
      <c r="H65" s="247"/>
      <c r="I65" s="247"/>
      <c r="K65" s="41">
        <f ca="1">Calc!AA65</f>
        <v>38777</v>
      </c>
      <c r="L65" s="35">
        <f ca="1">IF(AND(ISNUMBER(H65),H65&lt;&gt;0), IF(Daily!$BB$12=1,Calc!AF65+H65,IF(Daily!$BB$12=2,Calc!AF65*H65,IF(Daily!$BB$12=3,H65,Calc!AF65))),Calc!AF65)</f>
        <v>33.398544311523438</v>
      </c>
      <c r="M65" s="35">
        <f ca="1">IF(AND(ISNUMBER(I65),I65&lt;&gt;0),IF(Daily!$BB$13=1,Calc!AG65+I65, IF(Daily!$BB$13=2,Calc!AG65*I65, IF(Daily!$BB$13=3,I65,Calc!AG65))),Calc!AG65)</f>
        <v>0.24150000000000002</v>
      </c>
      <c r="N65" s="35">
        <f ca="1">VLOOKUP(K65,Calc!$AA$5:$AH$72,8)</f>
        <v>5.9107464595537014E-2</v>
      </c>
      <c r="S65" s="273">
        <f>'Power Curves'!D69</f>
        <v>37865</v>
      </c>
      <c r="T65" s="274">
        <f ca="1">IF(ISNUMBER(VLOOKUP(S65,Daily!$G$5:$I$36,3, FALSE)), VLOOKUP(S65,Daily!$G$5:$I$36,3),VLOOKUP(S65, $K$5:$L$72,2))</f>
        <v>34.502143859863281</v>
      </c>
      <c r="U65" s="2">
        <f t="shared" ca="1" si="3"/>
        <v>0.42600000000000005</v>
      </c>
      <c r="V65" s="2">
        <f t="shared" ca="1" si="4"/>
        <v>5.9107464595537014E-2</v>
      </c>
      <c r="Y65" s="138"/>
      <c r="Z65" s="156"/>
      <c r="AA65" s="156"/>
      <c r="AB65" s="156"/>
      <c r="AC65" s="156"/>
      <c r="AD65" s="156"/>
      <c r="AE65" s="156"/>
      <c r="AF65" s="156"/>
      <c r="AG65" s="156"/>
      <c r="AJ65" s="138">
        <f t="shared" ca="1" si="9"/>
        <v>37834</v>
      </c>
      <c r="AK65" s="207">
        <v>-0.10219</v>
      </c>
      <c r="AL65" s="207">
        <v>0.287827</v>
      </c>
      <c r="AM65" s="207">
        <v>-9.1500000000000001E-4</v>
      </c>
      <c r="BH65" s="138">
        <f t="shared" ca="1" si="10"/>
        <v>37834</v>
      </c>
      <c r="BI65" s="207">
        <v>-0.10219</v>
      </c>
      <c r="BJ65" s="207">
        <v>0.287827</v>
      </c>
      <c r="BK65" s="207">
        <v>-9.1500000000000001E-4</v>
      </c>
      <c r="BU65" s="280"/>
      <c r="BV65" s="280"/>
      <c r="BX65" s="41">
        <f ca="1">Calc!AA65</f>
        <v>38777</v>
      </c>
      <c r="BY65" s="35">
        <f ca="1">IF(AND(ISNUMBER(BU65),BU65&lt;&gt;0), IF(Monthly!$BB$12=1,Calc!AI65+BU65,IF(Monthly!$BB$12=2,Calc!AI65*BU65,IF(Monthly!$BB$12=3,BU65,Calc!AI65))),Calc!AI65)</f>
        <v>33.398544311523438</v>
      </c>
      <c r="BZ65" s="35">
        <f ca="1">IF(AND(ISNUMBER(BV65),BV65&lt;&gt;0),IF(Monthly!$BB$13=1,Calc!AJ65+BV65, IF(Monthly!$BB$13=2,Calc!AJ65*BV65, IF(Monthly!$BB$13=3,BV65,Calc!AJ65))),Calc!AJ65)</f>
        <v>0.24150000000000002</v>
      </c>
      <c r="CA65" s="35">
        <f ca="1">VLOOKUP(BX65,Calc!$AA$5:$AH$72,8)</f>
        <v>5.9107464595537014E-2</v>
      </c>
      <c r="CB65" s="73">
        <v>0</v>
      </c>
      <c r="CC65" s="73">
        <v>1</v>
      </c>
      <c r="CD65" s="73">
        <f t="shared" ca="1" si="11"/>
        <v>4.9308692676249146</v>
      </c>
    </row>
    <row r="66" spans="3:82" x14ac:dyDescent="0.2">
      <c r="C66" s="277"/>
      <c r="D66" s="248"/>
      <c r="E66" s="248"/>
      <c r="F66" s="248"/>
      <c r="H66" s="247"/>
      <c r="I66" s="247"/>
      <c r="K66" s="41">
        <f ca="1">Calc!AA66</f>
        <v>38808</v>
      </c>
      <c r="L66" s="35">
        <f ca="1">IF(AND(ISNUMBER(H66),H66&lt;&gt;0), IF(Daily!$BB$12=1,Calc!AF66+H66,IF(Daily!$BB$12=2,Calc!AF66*H66,IF(Daily!$BB$12=3,H66,Calc!AF66))),Calc!AF66)</f>
        <v>33.848545074462891</v>
      </c>
      <c r="M66" s="35">
        <f ca="1">IF(AND(ISNUMBER(I66),I66&lt;&gt;0),IF(Daily!$BB$13=1,Calc!AG66+I66, IF(Daily!$BB$13=2,Calc!AG66*I66, IF(Daily!$BB$13=3,I66,Calc!AG66))),Calc!AG66)</f>
        <v>0.24150000000000002</v>
      </c>
      <c r="N66" s="35">
        <f ca="1">VLOOKUP(K66,Calc!$AA$5:$AH$72,8)</f>
        <v>5.9178334184247006E-2</v>
      </c>
      <c r="S66" s="273">
        <f>'Power Curves'!D70</f>
        <v>37895</v>
      </c>
      <c r="T66" s="274">
        <f ca="1">IF(ISNUMBER(VLOOKUP(S66,Daily!$G$5:$I$36,3, FALSE)), VLOOKUP(S66,Daily!$G$5:$I$36,3),VLOOKUP(S66, $K$5:$L$72,2))</f>
        <v>32.648933410644531</v>
      </c>
      <c r="U66" s="2">
        <f t="shared" ca="1" si="3"/>
        <v>0.19500000000000001</v>
      </c>
      <c r="V66" s="2">
        <f t="shared" ca="1" si="4"/>
        <v>5.9178334184247006E-2</v>
      </c>
      <c r="AJ66" s="138">
        <f t="shared" ca="1" si="9"/>
        <v>37865</v>
      </c>
      <c r="AK66" s="207">
        <v>-0.10219</v>
      </c>
      <c r="AL66" s="207">
        <v>0.287827</v>
      </c>
      <c r="AM66" s="207">
        <v>-9.1500000000000001E-4</v>
      </c>
      <c r="BH66" s="138">
        <f t="shared" ca="1" si="10"/>
        <v>37865</v>
      </c>
      <c r="BI66" s="207">
        <v>-0.10219</v>
      </c>
      <c r="BJ66" s="207">
        <v>0.287827</v>
      </c>
      <c r="BK66" s="207">
        <v>-9.1500000000000001E-4</v>
      </c>
      <c r="BU66" s="247"/>
      <c r="BV66" s="247"/>
      <c r="BX66" s="41">
        <f ca="1">Calc!AA66</f>
        <v>38808</v>
      </c>
      <c r="BY66" s="35">
        <f ca="1">IF(AND(ISNUMBER(BU66),BU66&lt;&gt;0), IF(Monthly!$BB$12=1,Calc!AI66+BU66,IF(Monthly!$BB$12=2,Calc!AI66*BU66,IF(Monthly!$BB$12=3,BU66,Calc!AI66))),Calc!AI66)</f>
        <v>33.848545074462891</v>
      </c>
      <c r="BZ66" s="35">
        <f ca="1">IF(AND(ISNUMBER(BV66),BV66&lt;&gt;0),IF(Monthly!$BB$13=1,Calc!AJ66+BV66, IF(Monthly!$BB$13=2,Calc!AJ66*BV66, IF(Monthly!$BB$13=3,BV66,Calc!AJ66))),Calc!AJ66)</f>
        <v>0.24150000000000002</v>
      </c>
      <c r="CA66" s="35">
        <f ca="1">VLOOKUP(BX66,Calc!$AA$5:$AH$72,8)</f>
        <v>5.9178334184247006E-2</v>
      </c>
      <c r="CB66" s="73">
        <v>0</v>
      </c>
      <c r="CC66" s="73">
        <v>1</v>
      </c>
      <c r="CD66" s="73">
        <f t="shared" ca="1" si="11"/>
        <v>5.0157426420260096</v>
      </c>
    </row>
    <row r="67" spans="3:82" x14ac:dyDescent="0.2">
      <c r="C67" s="277"/>
      <c r="D67" s="248"/>
      <c r="E67" s="248"/>
      <c r="F67" s="248"/>
      <c r="H67" s="247"/>
      <c r="I67" s="247"/>
      <c r="K67" s="41">
        <f ca="1">Calc!AA67</f>
        <v>38838</v>
      </c>
      <c r="L67" s="35">
        <f ca="1">IF(AND(ISNUMBER(H67),H67&lt;&gt;0), IF(Daily!$BB$12=1,Calc!AF67+H67,IF(Daily!$BB$12=2,Calc!AF67*H67,IF(Daily!$BB$12=3,H67,Calc!AF67))),Calc!AF67)</f>
        <v>35.503566741943359</v>
      </c>
      <c r="M67" s="35">
        <f ca="1">IF(AND(ISNUMBER(I67),I67&lt;&gt;0),IF(Daily!$BB$13=1,Calc!AG67+I67, IF(Daily!$BB$13=2,Calc!AG67*I67, IF(Daily!$BB$13=3,I67,Calc!AG67))),Calc!AG67)</f>
        <v>0.2515</v>
      </c>
      <c r="N67" s="35">
        <f ca="1">VLOOKUP(K67,Calc!$AA$5:$AH$72,8)</f>
        <v>5.9251566094334011E-2</v>
      </c>
      <c r="S67" s="273">
        <f>'Power Curves'!D71</f>
        <v>37926</v>
      </c>
      <c r="T67" s="274">
        <f ca="1">IF(ISNUMBER(VLOOKUP(S67,Daily!$G$5:$I$36,3, FALSE)), VLOOKUP(S67,Daily!$G$5:$I$36,3),VLOOKUP(S67, $K$5:$L$72,2))</f>
        <v>32.748931884765625</v>
      </c>
      <c r="U67" s="2">
        <f t="shared" ca="1" si="3"/>
        <v>0.19500000000000001</v>
      </c>
      <c r="V67" s="2">
        <f t="shared" ca="1" si="4"/>
        <v>5.9251566094334011E-2</v>
      </c>
      <c r="AJ67" s="138">
        <f t="shared" ca="1" si="9"/>
        <v>37895</v>
      </c>
      <c r="AK67" s="207">
        <v>-0.10219</v>
      </c>
      <c r="AL67" s="207">
        <v>0.287827</v>
      </c>
      <c r="AM67" s="207">
        <v>-9.1500000000000001E-4</v>
      </c>
      <c r="BH67" s="138">
        <f t="shared" ca="1" si="10"/>
        <v>37895</v>
      </c>
      <c r="BI67" s="207">
        <v>-0.10219</v>
      </c>
      <c r="BJ67" s="207">
        <v>0.287827</v>
      </c>
      <c r="BK67" s="207">
        <v>-9.1500000000000001E-4</v>
      </c>
      <c r="BU67" s="247"/>
      <c r="BV67" s="247"/>
      <c r="BX67" s="41">
        <f ca="1">Calc!AA67</f>
        <v>38838</v>
      </c>
      <c r="BY67" s="35">
        <f ca="1">IF(AND(ISNUMBER(BU67),BU67&lt;&gt;0), IF(Monthly!$BB$12=1,Calc!AI67+BU67,IF(Monthly!$BB$12=2,Calc!AI67*BU67,IF(Monthly!$BB$12=3,BU67,Calc!AI67))),Calc!AI67)</f>
        <v>35.503566741943359</v>
      </c>
      <c r="BZ67" s="35">
        <f ca="1">IF(AND(ISNUMBER(BV67),BV67&lt;&gt;0),IF(Monthly!$BB$13=1,Calc!AJ67+BV67, IF(Monthly!$BB$13=2,Calc!AJ67*BV67, IF(Monthly!$BB$13=3,BV67,Calc!AJ67))),Calc!AJ67)</f>
        <v>0.2515</v>
      </c>
      <c r="CA67" s="35">
        <f ca="1">VLOOKUP(BX67,Calc!$AA$5:$AH$72,8)</f>
        <v>5.9251566094334011E-2</v>
      </c>
      <c r="CB67" s="73">
        <v>0</v>
      </c>
      <c r="CC67" s="73">
        <v>1</v>
      </c>
      <c r="CD67" s="73">
        <f t="shared" ca="1" si="11"/>
        <v>5.0978781656399725</v>
      </c>
    </row>
    <row r="68" spans="3:82" x14ac:dyDescent="0.2">
      <c r="C68" s="277"/>
      <c r="D68" s="248"/>
      <c r="E68" s="248"/>
      <c r="F68" s="248"/>
      <c r="H68" s="247"/>
      <c r="I68" s="247"/>
      <c r="K68" s="41">
        <f ca="1">Calc!AA68</f>
        <v>38869</v>
      </c>
      <c r="L68" s="35">
        <f ca="1">IF(AND(ISNUMBER(H68),H68&lt;&gt;0), IF(Daily!$BB$12=1,Calc!AF68+H68,IF(Daily!$BB$12=2,Calc!AF68*H68,IF(Daily!$BB$12=3,H68,Calc!AF68))),Calc!AF68)</f>
        <v>42.747856140136719</v>
      </c>
      <c r="M68" s="35">
        <f ca="1">IF(AND(ISNUMBER(I68),I68&lt;&gt;0),IF(Daily!$BB$13=1,Calc!AG68+I68, IF(Daily!$BB$13=2,Calc!AG68*I68, IF(Daily!$BB$13=3,I68,Calc!AG68))),Calc!AG68)</f>
        <v>0.2525</v>
      </c>
      <c r="N68" s="35">
        <f ca="1">VLOOKUP(K68,Calc!$AA$5:$AH$72,8)</f>
        <v>5.932243568643801E-2</v>
      </c>
      <c r="S68" s="273">
        <f>'Power Curves'!D72</f>
        <v>37956</v>
      </c>
      <c r="T68" s="274">
        <f ca="1">IF(ISNUMBER(VLOOKUP(S68,Daily!$G$5:$I$36,3, FALSE)), VLOOKUP(S68,Daily!$G$5:$I$36,3),VLOOKUP(S68, $K$5:$L$72,2))</f>
        <v>32.848930358886719</v>
      </c>
      <c r="U68" s="2">
        <f t="shared" ca="1" si="3"/>
        <v>0.19750000000000001</v>
      </c>
      <c r="V68" s="2">
        <f t="shared" ca="1" si="4"/>
        <v>5.932243568643801E-2</v>
      </c>
      <c r="AJ68" s="138"/>
      <c r="BU68" s="247"/>
      <c r="BV68" s="247"/>
      <c r="BX68" s="41">
        <f ca="1">Calc!AA68</f>
        <v>38869</v>
      </c>
      <c r="BY68" s="35">
        <f ca="1">IF(AND(ISNUMBER(BU68),BU68&lt;&gt;0), IF(Monthly!$BB$12=1,Calc!AI68+BU68,IF(Monthly!$BB$12=2,Calc!AI68*BU68,IF(Monthly!$BB$12=3,BU68,Calc!AI68))),Calc!AI68)</f>
        <v>42.747856140136719</v>
      </c>
      <c r="BZ68" s="35">
        <f ca="1">IF(AND(ISNUMBER(BV68),BV68&lt;&gt;0),IF(Monthly!$BB$13=1,Calc!AJ68+BV68, IF(Monthly!$BB$13=2,Calc!AJ68*BV68, IF(Monthly!$BB$13=3,BV68,Calc!AJ68))),Calc!AJ68)</f>
        <v>0.2525</v>
      </c>
      <c r="CA68" s="35">
        <f ca="1">VLOOKUP(BX68,Calc!$AA$5:$AH$72,8)</f>
        <v>5.932243568643801E-2</v>
      </c>
      <c r="CB68" s="73">
        <v>0</v>
      </c>
      <c r="CC68" s="73">
        <v>1</v>
      </c>
      <c r="CD68" s="73">
        <f t="shared" ca="1" si="11"/>
        <v>5.1827515400410675</v>
      </c>
    </row>
    <row r="69" spans="3:82" x14ac:dyDescent="0.2">
      <c r="C69" s="277"/>
      <c r="D69" s="248"/>
      <c r="E69" s="248"/>
      <c r="F69" s="248"/>
      <c r="H69" s="247"/>
      <c r="I69" s="247"/>
      <c r="K69" s="41">
        <f ca="1">Calc!AA69</f>
        <v>38899</v>
      </c>
      <c r="L69" s="35">
        <f ca="1">IF(AND(ISNUMBER(H69),H69&lt;&gt;0), IF(Daily!$BB$12=1,Calc!AF69+H69,IF(Daily!$BB$12=2,Calc!AF69*H69,IF(Daily!$BB$12=3,H69,Calc!AF69))),Calc!AF69)</f>
        <v>66.747146606445313</v>
      </c>
      <c r="M69" s="35">
        <f ca="1">IF(AND(ISNUMBER(I69),I69&lt;&gt;0),IF(Daily!$BB$13=1,Calc!AG69+I69, IF(Daily!$BB$13=2,Calc!AG69*I69, IF(Daily!$BB$13=3,I69,Calc!AG69))),Calc!AG69)</f>
        <v>0.2535</v>
      </c>
      <c r="N69" s="35">
        <f ca="1">VLOOKUP(K69,Calc!$AA$5:$AH$72,8)</f>
        <v>5.9395667600034008E-2</v>
      </c>
      <c r="S69" s="273">
        <f>'Power Curves'!D73</f>
        <v>37987</v>
      </c>
      <c r="T69" s="274">
        <f ca="1">IF(ISNUMBER(VLOOKUP(S69,Daily!$G$5:$I$36,3, FALSE)), VLOOKUP(S69,Daily!$G$5:$I$36,3),VLOOKUP(S69, $K$5:$L$72,2))</f>
        <v>42.287864685058594</v>
      </c>
      <c r="U69" s="2">
        <f t="shared" ca="1" si="3"/>
        <v>0.29049999999999998</v>
      </c>
      <c r="V69" s="2">
        <f t="shared" ca="1" si="4"/>
        <v>5.9395667600034008E-2</v>
      </c>
      <c r="AJ69" s="138"/>
      <c r="BU69" s="247"/>
      <c r="BV69" s="247"/>
      <c r="BX69" s="41">
        <f ca="1">Calc!AA69</f>
        <v>38899</v>
      </c>
      <c r="BY69" s="35">
        <f ca="1">IF(AND(ISNUMBER(BU69),BU69&lt;&gt;0), IF(Monthly!$BB$12=1,Calc!AI69+BU69,IF(Monthly!$BB$12=2,Calc!AI69*BU69,IF(Monthly!$BB$12=3,BU69,Calc!AI69))),Calc!AI69)</f>
        <v>66.747146606445313</v>
      </c>
      <c r="BZ69" s="35">
        <f ca="1">IF(AND(ISNUMBER(BV69),BV69&lt;&gt;0),IF(Monthly!$BB$13=1,Calc!AJ69+BV69, IF(Monthly!$BB$13=2,Calc!AJ69*BV69, IF(Monthly!$BB$13=3,BV69,Calc!AJ69))),Calc!AJ69)</f>
        <v>0.2535</v>
      </c>
      <c r="CA69" s="35">
        <f ca="1">VLOOKUP(BX69,Calc!$AA$5:$AH$72,8)</f>
        <v>5.9395667600034008E-2</v>
      </c>
      <c r="CB69" s="73">
        <v>0</v>
      </c>
      <c r="CC69" s="73">
        <v>1</v>
      </c>
      <c r="CD69" s="73">
        <f t="shared" ca="1" si="11"/>
        <v>5.2648870636550305</v>
      </c>
    </row>
    <row r="70" spans="3:82" x14ac:dyDescent="0.2">
      <c r="C70" s="277"/>
      <c r="D70" s="248"/>
      <c r="E70" s="248"/>
      <c r="F70" s="248"/>
      <c r="H70" s="247"/>
      <c r="I70" s="247"/>
      <c r="K70" s="41">
        <f ca="1">Calc!AA70</f>
        <v>38930</v>
      </c>
      <c r="L70" s="35">
        <f ca="1">IF(AND(ISNUMBER(H70),H70&lt;&gt;0), IF(Daily!$BB$12=1,Calc!AF70+H70,IF(Daily!$BB$12=2,Calc!AF70*H70,IF(Daily!$BB$12=3,H70,Calc!AF70))),Calc!AF70)</f>
        <v>66.747146606445313</v>
      </c>
      <c r="M70" s="35">
        <f ca="1">IF(AND(ISNUMBER(I70),I70&lt;&gt;0),IF(Daily!$BB$13=1,Calc!AG70+I70, IF(Daily!$BB$13=2,Calc!AG70*I70, IF(Daily!$BB$13=3,I70,Calc!AG70))),Calc!AG70)</f>
        <v>0.2535</v>
      </c>
      <c r="N70" s="35">
        <f ca="1">VLOOKUP(K70,Calc!$AA$5:$AH$72,8)</f>
        <v>5.9468899515411018E-2</v>
      </c>
      <c r="S70" s="273">
        <f>'Power Curves'!D74</f>
        <v>38018</v>
      </c>
      <c r="T70" s="274">
        <f ca="1">IF(ISNUMBER(VLOOKUP(S70,Daily!$G$5:$I$36,3, FALSE)), VLOOKUP(S70,Daily!$G$5:$I$36,3),VLOOKUP(S70, $K$5:$L$72,2))</f>
        <v>41.437862396240234</v>
      </c>
      <c r="U70" s="2">
        <f ca="1">IF(ISNUMBER(VLOOKUP(S70,$K$5:$M$72, 3)), VLOOKUP(S70,$K$5:$M$72, 3), U71)</f>
        <v>0.29049999999999998</v>
      </c>
      <c r="V70" s="2">
        <f ca="1">N70</f>
        <v>5.9468899515411018E-2</v>
      </c>
      <c r="AJ70" s="138"/>
      <c r="BU70" s="247"/>
      <c r="BV70" s="247"/>
      <c r="BX70" s="41">
        <f ca="1">Calc!AA70</f>
        <v>38930</v>
      </c>
      <c r="BY70" s="35">
        <f ca="1">IF(AND(ISNUMBER(BU70),BU70&lt;&gt;0), IF(Monthly!$BB$12=1,Calc!AI70+BU70,IF(Monthly!$BB$12=2,Calc!AI70*BU70,IF(Monthly!$BB$12=3,BU70,Calc!AI70))),Calc!AI70)</f>
        <v>66.747146606445313</v>
      </c>
      <c r="BZ70" s="35">
        <f ca="1">IF(AND(ISNUMBER(BV70),BV70&lt;&gt;0),IF(Monthly!$BB$13=1,Calc!AJ70+BV70, IF(Monthly!$BB$13=2,Calc!AJ70*BV70, IF(Monthly!$BB$13=3,BV70,Calc!AJ70))),Calc!AJ70)</f>
        <v>0.2535</v>
      </c>
      <c r="CA70" s="35">
        <f ca="1">VLOOKUP(BX70,Calc!$AA$5:$AH$72,8)</f>
        <v>5.9468899515411018E-2</v>
      </c>
      <c r="CB70" s="73">
        <v>0</v>
      </c>
      <c r="CC70" s="73">
        <v>1</v>
      </c>
      <c r="CD70" s="73">
        <f t="shared" ca="1" si="11"/>
        <v>5.3497604380561263</v>
      </c>
    </row>
    <row r="71" spans="3:82" x14ac:dyDescent="0.2">
      <c r="C71" s="277"/>
      <c r="D71" s="248"/>
      <c r="E71" s="248"/>
      <c r="F71" s="248"/>
      <c r="H71" s="247"/>
      <c r="I71" s="247"/>
      <c r="K71" s="41">
        <f ca="1">Calc!AA71</f>
        <v>38961</v>
      </c>
      <c r="L71" s="35">
        <f ca="1">IF(AND(ISNUMBER(H71),H71&lt;&gt;0), IF(Daily!$BB$12=1,Calc!AF71+H71,IF(Daily!$BB$12=2,Calc!AF71*H71,IF(Daily!$BB$12=3,H71,Calc!AF71))),Calc!AF71)</f>
        <v>35.752143859863281</v>
      </c>
      <c r="M71" s="35">
        <f ca="1">IF(AND(ISNUMBER(I71),I71&lt;&gt;0),IF(Daily!$BB$13=1,Calc!AG71+I71, IF(Daily!$BB$13=2,Calc!AG71*I71, IF(Daily!$BB$13=3,I71,Calc!AG71))),Calc!AG71)</f>
        <v>0.2515</v>
      </c>
      <c r="N71" s="35">
        <f ca="1">VLOOKUP(K71,Calc!$AA$5:$AH$72,8)</f>
        <v>5.9539769112634006E-2</v>
      </c>
      <c r="S71" s="273">
        <f>'Power Curves'!D75</f>
        <v>38047</v>
      </c>
      <c r="T71" s="274">
        <f ca="1">IF(ISNUMBER(VLOOKUP(S71,Daily!$G$5:$I$36,3, FALSE)), VLOOKUP(S71,Daily!$G$5:$I$36,3),VLOOKUP(S71, $K$5:$L$72,2))</f>
        <v>32.648544311523438</v>
      </c>
      <c r="U71" s="2">
        <f ca="1">IF(ISNUMBER(VLOOKUP(S71,$K$5:$M$72, 3)), VLOOKUP(S71,$K$5:$M$72, 3), U72)</f>
        <v>0.18</v>
      </c>
      <c r="V71" s="2">
        <f ca="1">N71</f>
        <v>5.9539769112634006E-2</v>
      </c>
      <c r="AJ71" s="138"/>
      <c r="BU71" s="247"/>
      <c r="BV71" s="247"/>
      <c r="BX71" s="41">
        <f ca="1">Calc!AA71</f>
        <v>38961</v>
      </c>
      <c r="BY71" s="35">
        <f ca="1">IF(AND(ISNUMBER(BU71),BU71&lt;&gt;0), IF(Monthly!$BB$12=1,Calc!AI71+BU71,IF(Monthly!$BB$12=2,Calc!AI71*BU71,IF(Monthly!$BB$12=3,BU71,Calc!AI71))),Calc!AI71)</f>
        <v>35.752143859863281</v>
      </c>
      <c r="BZ71" s="35">
        <f ca="1">IF(AND(ISNUMBER(BV71),BV71&lt;&gt;0),IF(Monthly!$BB$13=1,Calc!AJ71+BV71, IF(Monthly!$BB$13=2,Calc!AJ71*BV71, IF(Monthly!$BB$13=3,BV71,Calc!AJ71))),Calc!AJ71)</f>
        <v>0.2515</v>
      </c>
      <c r="CA71" s="35">
        <f ca="1">VLOOKUP(BX71,Calc!$AA$5:$AH$72,8)</f>
        <v>5.9539769112634006E-2</v>
      </c>
      <c r="CB71" s="73">
        <v>0</v>
      </c>
      <c r="CC71" s="73">
        <v>1</v>
      </c>
      <c r="CD71" s="73">
        <f t="shared" ca="1" si="11"/>
        <v>5.4346338124572213</v>
      </c>
    </row>
    <row r="72" spans="3:82" x14ac:dyDescent="0.2">
      <c r="C72" s="277"/>
      <c r="D72" s="248"/>
      <c r="E72" s="248"/>
      <c r="F72" s="248"/>
      <c r="H72" s="247"/>
      <c r="I72" s="247"/>
      <c r="K72" s="41">
        <f ca="1">Calc!AA72</f>
        <v>38991</v>
      </c>
      <c r="L72" s="35">
        <f ca="1">IF(AND(ISNUMBER(H72),H72&lt;&gt;0), IF(Daily!$BB$12=1,Calc!AF72+H72,IF(Daily!$BB$12=2,Calc!AF72*H72,IF(Daily!$BB$12=3,H72,Calc!AF72))),Calc!AF72)</f>
        <v>33.648933410644531</v>
      </c>
      <c r="M72" s="35">
        <f ca="1">IF(AND(ISNUMBER(I72),I72&lt;&gt;0),IF(Daily!$BB$13=1,Calc!AG72+I72, IF(Daily!$BB$13=2,Calc!AG72*I72, IF(Daily!$BB$13=3,I72,Calc!AG72))),Calc!AG72)</f>
        <v>0.24150000000000002</v>
      </c>
      <c r="N72" s="35">
        <f ca="1">VLOOKUP(K72,Calc!$AA$5:$AH$72,8)</f>
        <v>5.9613001031519015E-2</v>
      </c>
      <c r="S72" s="273">
        <f>'Power Curves'!D76</f>
        <v>38078</v>
      </c>
      <c r="T72" s="274">
        <f ca="1">IF(ISNUMBER(VLOOKUP(S72,Daily!$G$5:$I$36,3, FALSE)), VLOOKUP(S72,Daily!$G$5:$I$36,3),VLOOKUP(S72, $K$5:$L$72,2))</f>
        <v>33.098545074462891</v>
      </c>
      <c r="U72" s="2">
        <f ca="1">IF(ISNUMBER(VLOOKUP(S72,$K$5:$M$72, 3)), VLOOKUP(S72,$K$5:$M$72, 3), U73)</f>
        <v>0.18</v>
      </c>
      <c r="V72" s="2">
        <f ca="1">N72</f>
        <v>5.9613001031519015E-2</v>
      </c>
      <c r="AJ72" s="138"/>
      <c r="BU72" s="247"/>
      <c r="BV72" s="247"/>
      <c r="BX72" s="41">
        <f ca="1">Calc!AA72</f>
        <v>38991</v>
      </c>
      <c r="BY72" s="35">
        <f ca="1">IF(AND(ISNUMBER(BU72),BU72&lt;&gt;0), IF(Monthly!$BB$12=1,Calc!AI72+BU72,IF(Monthly!$BB$12=2,Calc!AI72*BU72,IF(Monthly!$BB$12=3,BU72,Calc!AI72))),Calc!AI72)</f>
        <v>33.648933410644531</v>
      </c>
      <c r="BZ72" s="35">
        <f ca="1">IF(AND(ISNUMBER(BV72),BV72&lt;&gt;0),IF(Monthly!$BB$13=1,Calc!AJ72+BV72, IF(Monthly!$BB$13=2,Calc!AJ72*BV72, IF(Monthly!$BB$13=3,BV72,Calc!AJ72))),Calc!AJ72)</f>
        <v>0.24150000000000002</v>
      </c>
      <c r="CA72" s="35">
        <f ca="1">VLOOKUP(BX72,Calc!$AA$5:$AH$72,8)</f>
        <v>5.9613001031519015E-2</v>
      </c>
      <c r="CB72" s="73">
        <v>0</v>
      </c>
      <c r="CC72" s="73">
        <v>1</v>
      </c>
      <c r="CD72" s="73">
        <f t="shared" ca="1" si="11"/>
        <v>5.5167693360711842</v>
      </c>
    </row>
    <row r="73" spans="3:82" x14ac:dyDescent="0.2">
      <c r="C73" s="29"/>
      <c r="AJ73" s="138"/>
    </row>
    <row r="74" spans="3:82" x14ac:dyDescent="0.2">
      <c r="C74" s="29"/>
    </row>
    <row r="75" spans="3:82" x14ac:dyDescent="0.2">
      <c r="C75" s="29"/>
    </row>
    <row r="76" spans="3:82" x14ac:dyDescent="0.2">
      <c r="C76" s="29"/>
    </row>
    <row r="77" spans="3:82" x14ac:dyDescent="0.2">
      <c r="C77" s="29"/>
    </row>
    <row r="78" spans="3:82" x14ac:dyDescent="0.2">
      <c r="C78" s="29"/>
    </row>
    <row r="79" spans="3:82" x14ac:dyDescent="0.2">
      <c r="C79" s="29"/>
    </row>
    <row r="80" spans="3:82" x14ac:dyDescent="0.2">
      <c r="C80" s="29"/>
    </row>
    <row r="81" spans="3:3" x14ac:dyDescent="0.2">
      <c r="C81" s="29"/>
    </row>
    <row r="82" spans="3:3" x14ac:dyDescent="0.2">
      <c r="C82" s="29"/>
    </row>
    <row r="83" spans="3:3" x14ac:dyDescent="0.2">
      <c r="C83" s="29"/>
    </row>
    <row r="84" spans="3:3" x14ac:dyDescent="0.2">
      <c r="C84" s="29"/>
    </row>
    <row r="85" spans="3:3" x14ac:dyDescent="0.2">
      <c r="C85" s="29"/>
    </row>
    <row r="86" spans="3:3" x14ac:dyDescent="0.2">
      <c r="C86" s="29"/>
    </row>
    <row r="87" spans="3:3" x14ac:dyDescent="0.2">
      <c r="C87" s="29"/>
    </row>
    <row r="88" spans="3:3" x14ac:dyDescent="0.2">
      <c r="C88" s="29"/>
    </row>
    <row r="89" spans="3:3" x14ac:dyDescent="0.2">
      <c r="C89" s="29"/>
    </row>
    <row r="90" spans="3:3" x14ac:dyDescent="0.2">
      <c r="C90" s="29"/>
    </row>
    <row r="91" spans="3:3" x14ac:dyDescent="0.2">
      <c r="C91" s="29"/>
    </row>
    <row r="92" spans="3:3" x14ac:dyDescent="0.2">
      <c r="C92" s="29"/>
    </row>
    <row r="93" spans="3:3" x14ac:dyDescent="0.2">
      <c r="C93" s="29"/>
    </row>
    <row r="94" spans="3:3" x14ac:dyDescent="0.2">
      <c r="C94" s="29"/>
    </row>
    <row r="95" spans="3:3" x14ac:dyDescent="0.2">
      <c r="C95" s="29"/>
    </row>
    <row r="96" spans="3:3" x14ac:dyDescent="0.2">
      <c r="C96" s="29"/>
    </row>
    <row r="97" spans="3:3" x14ac:dyDescent="0.2">
      <c r="C97" s="29"/>
    </row>
    <row r="98" spans="3:3" x14ac:dyDescent="0.2">
      <c r="C98" s="29"/>
    </row>
    <row r="99" spans="3:3" x14ac:dyDescent="0.2">
      <c r="C99" s="29"/>
    </row>
    <row r="100" spans="3:3" x14ac:dyDescent="0.2">
      <c r="C100" s="29"/>
    </row>
    <row r="101" spans="3:3" x14ac:dyDescent="0.2">
      <c r="C101" s="29"/>
    </row>
    <row r="102" spans="3:3" x14ac:dyDescent="0.2">
      <c r="C102" s="29"/>
    </row>
    <row r="103" spans="3:3" x14ac:dyDescent="0.2">
      <c r="C103" s="29"/>
    </row>
    <row r="104" spans="3:3" x14ac:dyDescent="0.2">
      <c r="C104" s="29"/>
    </row>
    <row r="105" spans="3:3" x14ac:dyDescent="0.2">
      <c r="C105" s="29"/>
    </row>
    <row r="106" spans="3:3" x14ac:dyDescent="0.2">
      <c r="C106" s="29"/>
    </row>
    <row r="107" spans="3:3" x14ac:dyDescent="0.2">
      <c r="C107" s="29"/>
    </row>
    <row r="108" spans="3:3" x14ac:dyDescent="0.2">
      <c r="C108" s="29"/>
    </row>
    <row r="109" spans="3:3" x14ac:dyDescent="0.2">
      <c r="C109" s="29"/>
    </row>
    <row r="110" spans="3:3" x14ac:dyDescent="0.2">
      <c r="C110" s="29"/>
    </row>
    <row r="111" spans="3:3" x14ac:dyDescent="0.2">
      <c r="C111" s="29"/>
    </row>
    <row r="112" spans="3:3" x14ac:dyDescent="0.2">
      <c r="C112" s="29"/>
    </row>
    <row r="113" spans="3:3" x14ac:dyDescent="0.2">
      <c r="C113" s="29"/>
    </row>
    <row r="114" spans="3:3" x14ac:dyDescent="0.2">
      <c r="C114" s="29"/>
    </row>
    <row r="115" spans="3:3" x14ac:dyDescent="0.2">
      <c r="C115" s="29"/>
    </row>
    <row r="116" spans="3:3" x14ac:dyDescent="0.2">
      <c r="C116" s="29"/>
    </row>
    <row r="117" spans="3:3" x14ac:dyDescent="0.2">
      <c r="C117" s="29"/>
    </row>
    <row r="118" spans="3:3" x14ac:dyDescent="0.2">
      <c r="C118" s="29"/>
    </row>
    <row r="119" spans="3:3" x14ac:dyDescent="0.2">
      <c r="C119" s="29"/>
    </row>
    <row r="120" spans="3:3" x14ac:dyDescent="0.2">
      <c r="C120" s="29"/>
    </row>
    <row r="121" spans="3:3" x14ac:dyDescent="0.2">
      <c r="C121" s="29"/>
    </row>
    <row r="122" spans="3:3" x14ac:dyDescent="0.2">
      <c r="C122" s="29"/>
    </row>
    <row r="123" spans="3:3" x14ac:dyDescent="0.2">
      <c r="C123" s="29"/>
    </row>
    <row r="124" spans="3:3" x14ac:dyDescent="0.2">
      <c r="C124" s="29"/>
    </row>
    <row r="125" spans="3:3" x14ac:dyDescent="0.2">
      <c r="C125" s="29"/>
    </row>
    <row r="126" spans="3:3" x14ac:dyDescent="0.2">
      <c r="C126" s="29"/>
    </row>
    <row r="127" spans="3:3" x14ac:dyDescent="0.2">
      <c r="C127" s="29"/>
    </row>
    <row r="128" spans="3:3" x14ac:dyDescent="0.2">
      <c r="C128" s="29"/>
    </row>
    <row r="129" spans="3:3" x14ac:dyDescent="0.2">
      <c r="C129" s="29"/>
    </row>
    <row r="130" spans="3:3" x14ac:dyDescent="0.2">
      <c r="C130" s="29"/>
    </row>
    <row r="131" spans="3:3" x14ac:dyDescent="0.2">
      <c r="C131" s="29"/>
    </row>
    <row r="132" spans="3:3" x14ac:dyDescent="0.2">
      <c r="C132" s="29"/>
    </row>
    <row r="133" spans="3:3" x14ac:dyDescent="0.2">
      <c r="C133" s="29"/>
    </row>
    <row r="134" spans="3:3" x14ac:dyDescent="0.2">
      <c r="C134" s="29"/>
    </row>
    <row r="135" spans="3:3" x14ac:dyDescent="0.2">
      <c r="C135" s="29"/>
    </row>
    <row r="136" spans="3:3" x14ac:dyDescent="0.2">
      <c r="C136" s="29"/>
    </row>
    <row r="137" spans="3:3" x14ac:dyDescent="0.2">
      <c r="C137" s="29"/>
    </row>
    <row r="138" spans="3:3" x14ac:dyDescent="0.2">
      <c r="C138" s="29"/>
    </row>
    <row r="139" spans="3:3" x14ac:dyDescent="0.2">
      <c r="C139" s="29"/>
    </row>
    <row r="140" spans="3:3" x14ac:dyDescent="0.2">
      <c r="C140" s="29"/>
    </row>
    <row r="141" spans="3:3" x14ac:dyDescent="0.2">
      <c r="C141" s="29"/>
    </row>
    <row r="142" spans="3:3" x14ac:dyDescent="0.2">
      <c r="C142" s="29"/>
    </row>
    <row r="143" spans="3:3" x14ac:dyDescent="0.2">
      <c r="C143" s="29"/>
    </row>
    <row r="144" spans="3:3" x14ac:dyDescent="0.2">
      <c r="C144" s="29"/>
    </row>
    <row r="145" spans="3:3" x14ac:dyDescent="0.2">
      <c r="C145" s="29"/>
    </row>
    <row r="146" spans="3:3" x14ac:dyDescent="0.2">
      <c r="C146" s="29"/>
    </row>
    <row r="147" spans="3:3" x14ac:dyDescent="0.2">
      <c r="C147" s="29"/>
    </row>
    <row r="148" spans="3:3" x14ac:dyDescent="0.2">
      <c r="C148" s="29"/>
    </row>
    <row r="149" spans="3:3" x14ac:dyDescent="0.2">
      <c r="C149" s="29"/>
    </row>
    <row r="150" spans="3:3" x14ac:dyDescent="0.2">
      <c r="C150" s="29"/>
    </row>
    <row r="151" spans="3:3" x14ac:dyDescent="0.2">
      <c r="C151" s="29"/>
    </row>
    <row r="152" spans="3:3" x14ac:dyDescent="0.2">
      <c r="C152" s="29"/>
    </row>
    <row r="153" spans="3:3" x14ac:dyDescent="0.2">
      <c r="C153" s="29"/>
    </row>
    <row r="154" spans="3:3" x14ac:dyDescent="0.2">
      <c r="C154" s="29"/>
    </row>
    <row r="155" spans="3:3" x14ac:dyDescent="0.2">
      <c r="C155" s="29"/>
    </row>
    <row r="156" spans="3:3" x14ac:dyDescent="0.2">
      <c r="C156" s="29"/>
    </row>
    <row r="157" spans="3:3" x14ac:dyDescent="0.2">
      <c r="C157" s="29"/>
    </row>
    <row r="158" spans="3:3" x14ac:dyDescent="0.2">
      <c r="C158" s="29"/>
    </row>
    <row r="159" spans="3:3" x14ac:dyDescent="0.2">
      <c r="C159" s="29"/>
    </row>
    <row r="160" spans="3:3" x14ac:dyDescent="0.2">
      <c r="C160" s="29"/>
    </row>
    <row r="161" spans="3:3" x14ac:dyDescent="0.2">
      <c r="C161" s="29"/>
    </row>
    <row r="162" spans="3:3" x14ac:dyDescent="0.2">
      <c r="C162" s="29"/>
    </row>
    <row r="163" spans="3:3" x14ac:dyDescent="0.2">
      <c r="C163" s="29"/>
    </row>
    <row r="164" spans="3:3" x14ac:dyDescent="0.2">
      <c r="C164" s="29"/>
    </row>
    <row r="165" spans="3:3" x14ac:dyDescent="0.2">
      <c r="C165" s="29"/>
    </row>
    <row r="166" spans="3:3" x14ac:dyDescent="0.2">
      <c r="C166" s="29"/>
    </row>
    <row r="167" spans="3:3" x14ac:dyDescent="0.2">
      <c r="C167" s="29"/>
    </row>
    <row r="168" spans="3:3" x14ac:dyDescent="0.2">
      <c r="C168" s="29"/>
    </row>
    <row r="169" spans="3:3" x14ac:dyDescent="0.2">
      <c r="C169" s="29"/>
    </row>
    <row r="170" spans="3:3" x14ac:dyDescent="0.2">
      <c r="C170" s="29"/>
    </row>
    <row r="171" spans="3:3" x14ac:dyDescent="0.2">
      <c r="C171" s="29"/>
    </row>
    <row r="172" spans="3:3" x14ac:dyDescent="0.2">
      <c r="C172" s="29"/>
    </row>
    <row r="173" spans="3:3" x14ac:dyDescent="0.2">
      <c r="C173" s="29"/>
    </row>
    <row r="174" spans="3:3" x14ac:dyDescent="0.2">
      <c r="C174" s="29"/>
    </row>
    <row r="175" spans="3:3" x14ac:dyDescent="0.2">
      <c r="C175" s="29"/>
    </row>
    <row r="176" spans="3:3" x14ac:dyDescent="0.2">
      <c r="C176" s="29"/>
    </row>
    <row r="177" spans="3:3" x14ac:dyDescent="0.2">
      <c r="C177" s="29"/>
    </row>
    <row r="178" spans="3:3" x14ac:dyDescent="0.2">
      <c r="C178" s="29"/>
    </row>
    <row r="179" spans="3:3" x14ac:dyDescent="0.2">
      <c r="C179" s="29"/>
    </row>
    <row r="180" spans="3:3" x14ac:dyDescent="0.2">
      <c r="C180" s="29"/>
    </row>
    <row r="181" spans="3:3" x14ac:dyDescent="0.2">
      <c r="C181" s="29"/>
    </row>
    <row r="182" spans="3:3" x14ac:dyDescent="0.2">
      <c r="C182" s="29"/>
    </row>
    <row r="183" spans="3:3" x14ac:dyDescent="0.2">
      <c r="C183" s="29"/>
    </row>
    <row r="184" spans="3:3" x14ac:dyDescent="0.2">
      <c r="C184" s="29"/>
    </row>
    <row r="185" spans="3:3" x14ac:dyDescent="0.2">
      <c r="C185" s="29"/>
    </row>
    <row r="186" spans="3:3" x14ac:dyDescent="0.2">
      <c r="C186" s="29"/>
    </row>
    <row r="187" spans="3:3" x14ac:dyDescent="0.2">
      <c r="C187" s="29"/>
    </row>
    <row r="188" spans="3:3" x14ac:dyDescent="0.2">
      <c r="C188" s="29"/>
    </row>
    <row r="189" spans="3:3" x14ac:dyDescent="0.2">
      <c r="C189" s="29"/>
    </row>
    <row r="190" spans="3:3" x14ac:dyDescent="0.2">
      <c r="C190" s="29"/>
    </row>
    <row r="191" spans="3:3" x14ac:dyDescent="0.2">
      <c r="C191" s="29"/>
    </row>
    <row r="192" spans="3:3" x14ac:dyDescent="0.2">
      <c r="C192" s="29"/>
    </row>
    <row r="193" spans="3:3" x14ac:dyDescent="0.2">
      <c r="C193" s="29"/>
    </row>
    <row r="194" spans="3:3" x14ac:dyDescent="0.2">
      <c r="C194" s="29"/>
    </row>
    <row r="195" spans="3:3" x14ac:dyDescent="0.2">
      <c r="C195" s="29"/>
    </row>
    <row r="196" spans="3:3" x14ac:dyDescent="0.2">
      <c r="C196" s="29"/>
    </row>
    <row r="197" spans="3:3" x14ac:dyDescent="0.2">
      <c r="C197" s="29"/>
    </row>
    <row r="198" spans="3:3" x14ac:dyDescent="0.2">
      <c r="C198" s="29"/>
    </row>
    <row r="199" spans="3:3" x14ac:dyDescent="0.2">
      <c r="C199" s="29"/>
    </row>
    <row r="200" spans="3:3" x14ac:dyDescent="0.2">
      <c r="C200" s="29"/>
    </row>
    <row r="201" spans="3:3" x14ac:dyDescent="0.2">
      <c r="C201" s="29"/>
    </row>
    <row r="202" spans="3:3" x14ac:dyDescent="0.2">
      <c r="C202" s="29"/>
    </row>
    <row r="203" spans="3:3" x14ac:dyDescent="0.2">
      <c r="C203" s="29"/>
    </row>
    <row r="204" spans="3:3" x14ac:dyDescent="0.2">
      <c r="C204" s="29"/>
    </row>
    <row r="205" spans="3:3" x14ac:dyDescent="0.2">
      <c r="C205" s="29"/>
    </row>
    <row r="206" spans="3:3" x14ac:dyDescent="0.2">
      <c r="C206" s="29"/>
    </row>
    <row r="207" spans="3:3" x14ac:dyDescent="0.2">
      <c r="C207" s="29"/>
    </row>
    <row r="208" spans="3:3" x14ac:dyDescent="0.2">
      <c r="C208" s="29"/>
    </row>
    <row r="209" spans="3:3" x14ac:dyDescent="0.2">
      <c r="C209" s="29"/>
    </row>
    <row r="210" spans="3:3" x14ac:dyDescent="0.2">
      <c r="C210" s="29"/>
    </row>
    <row r="211" spans="3:3" x14ac:dyDescent="0.2">
      <c r="C211" s="29"/>
    </row>
    <row r="212" spans="3:3" x14ac:dyDescent="0.2">
      <c r="C212" s="29"/>
    </row>
    <row r="213" spans="3:3" x14ac:dyDescent="0.2">
      <c r="C213" s="29"/>
    </row>
    <row r="214" spans="3:3" x14ac:dyDescent="0.2">
      <c r="C214" s="29"/>
    </row>
    <row r="215" spans="3:3" x14ac:dyDescent="0.2">
      <c r="C215" s="29"/>
    </row>
    <row r="216" spans="3:3" x14ac:dyDescent="0.2">
      <c r="C216" s="29"/>
    </row>
    <row r="217" spans="3:3" x14ac:dyDescent="0.2">
      <c r="C217" s="29"/>
    </row>
    <row r="218" spans="3:3" x14ac:dyDescent="0.2">
      <c r="C218" s="29"/>
    </row>
    <row r="219" spans="3:3" x14ac:dyDescent="0.2">
      <c r="C219" s="29"/>
    </row>
    <row r="220" spans="3:3" x14ac:dyDescent="0.2">
      <c r="C220" s="29"/>
    </row>
    <row r="221" spans="3:3" x14ac:dyDescent="0.2">
      <c r="C221" s="29"/>
    </row>
    <row r="222" spans="3:3" x14ac:dyDescent="0.2">
      <c r="C222" s="29"/>
    </row>
    <row r="223" spans="3:3" x14ac:dyDescent="0.2">
      <c r="C223" s="29"/>
    </row>
    <row r="224" spans="3:3" x14ac:dyDescent="0.2">
      <c r="C224" s="29"/>
    </row>
    <row r="225" spans="3:3" x14ac:dyDescent="0.2">
      <c r="C225" s="29"/>
    </row>
    <row r="226" spans="3:3" x14ac:dyDescent="0.2">
      <c r="C226" s="29"/>
    </row>
    <row r="227" spans="3:3" x14ac:dyDescent="0.2">
      <c r="C227" s="29"/>
    </row>
    <row r="228" spans="3:3" x14ac:dyDescent="0.2">
      <c r="C228" s="29"/>
    </row>
    <row r="229" spans="3:3" x14ac:dyDescent="0.2">
      <c r="C229" s="29"/>
    </row>
    <row r="230" spans="3:3" x14ac:dyDescent="0.2">
      <c r="C230" s="29"/>
    </row>
    <row r="231" spans="3:3" x14ac:dyDescent="0.2">
      <c r="C231" s="29"/>
    </row>
    <row r="232" spans="3:3" x14ac:dyDescent="0.2">
      <c r="C232" s="29"/>
    </row>
    <row r="233" spans="3:3" x14ac:dyDescent="0.2">
      <c r="C233" s="29"/>
    </row>
    <row r="234" spans="3:3" x14ac:dyDescent="0.2">
      <c r="C234" s="29"/>
    </row>
    <row r="235" spans="3:3" x14ac:dyDescent="0.2">
      <c r="C235" s="29"/>
    </row>
    <row r="236" spans="3:3" x14ac:dyDescent="0.2">
      <c r="C236" s="29"/>
    </row>
    <row r="237" spans="3:3" x14ac:dyDescent="0.2">
      <c r="C237" s="29"/>
    </row>
    <row r="238" spans="3:3" x14ac:dyDescent="0.2">
      <c r="C238" s="29"/>
    </row>
    <row r="239" spans="3:3" x14ac:dyDescent="0.2">
      <c r="C239" s="29"/>
    </row>
    <row r="240" spans="3:3" x14ac:dyDescent="0.2">
      <c r="C240" s="29"/>
    </row>
    <row r="241" spans="3:3" x14ac:dyDescent="0.2">
      <c r="C241" s="29"/>
    </row>
    <row r="242" spans="3:3" x14ac:dyDescent="0.2">
      <c r="C242" s="29"/>
    </row>
    <row r="243" spans="3:3" x14ac:dyDescent="0.2">
      <c r="C243" s="29"/>
    </row>
    <row r="244" spans="3:3" x14ac:dyDescent="0.2">
      <c r="C244" s="29"/>
    </row>
    <row r="245" spans="3:3" x14ac:dyDescent="0.2">
      <c r="C245" s="29"/>
    </row>
    <row r="246" spans="3:3" x14ac:dyDescent="0.2">
      <c r="C246" s="29"/>
    </row>
    <row r="247" spans="3:3" x14ac:dyDescent="0.2">
      <c r="C247" s="29"/>
    </row>
    <row r="248" spans="3:3" x14ac:dyDescent="0.2">
      <c r="C248" s="29"/>
    </row>
    <row r="249" spans="3:3" x14ac:dyDescent="0.2">
      <c r="C249" s="29"/>
    </row>
    <row r="250" spans="3:3" x14ac:dyDescent="0.2">
      <c r="C250" s="29"/>
    </row>
    <row r="251" spans="3:3" x14ac:dyDescent="0.2">
      <c r="C251" s="29"/>
    </row>
    <row r="252" spans="3:3" x14ac:dyDescent="0.2">
      <c r="C252" s="29"/>
    </row>
    <row r="253" spans="3:3" x14ac:dyDescent="0.2">
      <c r="C253" s="29"/>
    </row>
    <row r="254" spans="3:3" x14ac:dyDescent="0.2">
      <c r="C254" s="29"/>
    </row>
    <row r="255" spans="3:3" x14ac:dyDescent="0.2">
      <c r="C255" s="29"/>
    </row>
    <row r="256" spans="3:3" x14ac:dyDescent="0.2">
      <c r="C256" s="29"/>
    </row>
    <row r="257" spans="3:3" x14ac:dyDescent="0.2">
      <c r="C257" s="29"/>
    </row>
    <row r="258" spans="3:3" x14ac:dyDescent="0.2">
      <c r="C258" s="29"/>
    </row>
    <row r="259" spans="3:3" x14ac:dyDescent="0.2">
      <c r="C259" s="29"/>
    </row>
    <row r="260" spans="3:3" x14ac:dyDescent="0.2">
      <c r="C260" s="29"/>
    </row>
    <row r="261" spans="3:3" x14ac:dyDescent="0.2">
      <c r="C261" s="29"/>
    </row>
    <row r="262" spans="3:3" x14ac:dyDescent="0.2">
      <c r="C262" s="29"/>
    </row>
    <row r="263" spans="3:3" x14ac:dyDescent="0.2">
      <c r="C263" s="29"/>
    </row>
    <row r="264" spans="3:3" x14ac:dyDescent="0.2">
      <c r="C264" s="29"/>
    </row>
    <row r="265" spans="3:3" x14ac:dyDescent="0.2">
      <c r="C265" s="29"/>
    </row>
    <row r="266" spans="3:3" x14ac:dyDescent="0.2">
      <c r="C266" s="29"/>
    </row>
    <row r="267" spans="3:3" x14ac:dyDescent="0.2">
      <c r="C267" s="29"/>
    </row>
    <row r="268" spans="3:3" x14ac:dyDescent="0.2">
      <c r="C268" s="29"/>
    </row>
    <row r="269" spans="3:3" x14ac:dyDescent="0.2">
      <c r="C269" s="29"/>
    </row>
    <row r="270" spans="3:3" x14ac:dyDescent="0.2">
      <c r="C270" s="29"/>
    </row>
    <row r="271" spans="3:3" x14ac:dyDescent="0.2">
      <c r="C271" s="29"/>
    </row>
    <row r="272" spans="3:3" x14ac:dyDescent="0.2">
      <c r="C272" s="29"/>
    </row>
    <row r="273" spans="3:3" x14ac:dyDescent="0.2">
      <c r="C273" s="29"/>
    </row>
    <row r="274" spans="3:3" x14ac:dyDescent="0.2">
      <c r="C274" s="29"/>
    </row>
    <row r="275" spans="3:3" x14ac:dyDescent="0.2">
      <c r="C275" s="29"/>
    </row>
    <row r="276" spans="3:3" x14ac:dyDescent="0.2">
      <c r="C276" s="29"/>
    </row>
    <row r="277" spans="3:3" x14ac:dyDescent="0.2">
      <c r="C277" s="29"/>
    </row>
    <row r="278" spans="3:3" x14ac:dyDescent="0.2">
      <c r="C278" s="29"/>
    </row>
    <row r="279" spans="3:3" x14ac:dyDescent="0.2">
      <c r="C279" s="29"/>
    </row>
    <row r="280" spans="3:3" x14ac:dyDescent="0.2">
      <c r="C280" s="29"/>
    </row>
    <row r="281" spans="3:3" x14ac:dyDescent="0.2">
      <c r="C281" s="29"/>
    </row>
    <row r="282" spans="3:3" x14ac:dyDescent="0.2">
      <c r="C282" s="29"/>
    </row>
    <row r="283" spans="3:3" x14ac:dyDescent="0.2">
      <c r="C283" s="29"/>
    </row>
    <row r="284" spans="3:3" x14ac:dyDescent="0.2">
      <c r="C284" s="29"/>
    </row>
    <row r="285" spans="3:3" x14ac:dyDescent="0.2">
      <c r="C285" s="29"/>
    </row>
    <row r="286" spans="3:3" x14ac:dyDescent="0.2">
      <c r="C286" s="29"/>
    </row>
    <row r="287" spans="3:3" x14ac:dyDescent="0.2">
      <c r="C287" s="29"/>
    </row>
    <row r="288" spans="3:3" x14ac:dyDescent="0.2">
      <c r="C288" s="29"/>
    </row>
    <row r="289" spans="3:3" x14ac:dyDescent="0.2">
      <c r="C289" s="29"/>
    </row>
    <row r="290" spans="3:3" x14ac:dyDescent="0.2">
      <c r="C290" s="29"/>
    </row>
    <row r="291" spans="3:3" x14ac:dyDescent="0.2">
      <c r="C291" s="29"/>
    </row>
    <row r="292" spans="3:3" x14ac:dyDescent="0.2">
      <c r="C292" s="29"/>
    </row>
    <row r="293" spans="3:3" x14ac:dyDescent="0.2">
      <c r="C293" s="29"/>
    </row>
    <row r="294" spans="3:3" x14ac:dyDescent="0.2">
      <c r="C294" s="29"/>
    </row>
    <row r="295" spans="3:3" x14ac:dyDescent="0.2">
      <c r="C295" s="29"/>
    </row>
    <row r="296" spans="3:3" x14ac:dyDescent="0.2">
      <c r="C296" s="29"/>
    </row>
    <row r="297" spans="3:3" x14ac:dyDescent="0.2">
      <c r="C297" s="29"/>
    </row>
    <row r="298" spans="3:3" x14ac:dyDescent="0.2">
      <c r="C298" s="29"/>
    </row>
    <row r="299" spans="3:3" x14ac:dyDescent="0.2">
      <c r="C299" s="29"/>
    </row>
    <row r="300" spans="3:3" x14ac:dyDescent="0.2">
      <c r="C300" s="29"/>
    </row>
    <row r="301" spans="3:3" x14ac:dyDescent="0.2">
      <c r="C301" s="29"/>
    </row>
    <row r="302" spans="3:3" x14ac:dyDescent="0.2">
      <c r="C302" s="29"/>
    </row>
    <row r="303" spans="3:3" x14ac:dyDescent="0.2">
      <c r="C303" s="29"/>
    </row>
    <row r="304" spans="3:3" x14ac:dyDescent="0.2">
      <c r="C304" s="29"/>
    </row>
    <row r="305" spans="3:3" x14ac:dyDescent="0.2">
      <c r="C305" s="29"/>
    </row>
    <row r="306" spans="3:3" x14ac:dyDescent="0.2">
      <c r="C306" s="29"/>
    </row>
    <row r="307" spans="3:3" x14ac:dyDescent="0.2">
      <c r="C307" s="29"/>
    </row>
    <row r="308" spans="3:3" x14ac:dyDescent="0.2">
      <c r="C308" s="29"/>
    </row>
    <row r="309" spans="3:3" x14ac:dyDescent="0.2">
      <c r="C309" s="29"/>
    </row>
    <row r="310" spans="3:3" x14ac:dyDescent="0.2">
      <c r="C310" s="29"/>
    </row>
    <row r="311" spans="3:3" x14ac:dyDescent="0.2">
      <c r="C311" s="29"/>
    </row>
    <row r="312" spans="3:3" x14ac:dyDescent="0.2">
      <c r="C312" s="29"/>
    </row>
    <row r="313" spans="3:3" x14ac:dyDescent="0.2">
      <c r="C313" s="29"/>
    </row>
    <row r="314" spans="3:3" x14ac:dyDescent="0.2">
      <c r="C314" s="29"/>
    </row>
    <row r="315" spans="3:3" x14ac:dyDescent="0.2">
      <c r="C315" s="29"/>
    </row>
    <row r="316" spans="3:3" x14ac:dyDescent="0.2">
      <c r="C316" s="29"/>
    </row>
    <row r="317" spans="3:3" x14ac:dyDescent="0.2">
      <c r="C317" s="29"/>
    </row>
    <row r="318" spans="3:3" x14ac:dyDescent="0.2">
      <c r="C318" s="29"/>
    </row>
    <row r="319" spans="3:3" x14ac:dyDescent="0.2">
      <c r="C319" s="29"/>
    </row>
    <row r="320" spans="3:3" x14ac:dyDescent="0.2">
      <c r="C320" s="29"/>
    </row>
    <row r="321" spans="3:3" x14ac:dyDescent="0.2">
      <c r="C321" s="29"/>
    </row>
    <row r="322" spans="3:3" x14ac:dyDescent="0.2">
      <c r="C322" s="29"/>
    </row>
    <row r="323" spans="3:3" x14ac:dyDescent="0.2">
      <c r="C323" s="29"/>
    </row>
    <row r="324" spans="3:3" x14ac:dyDescent="0.2">
      <c r="C324" s="29"/>
    </row>
    <row r="325" spans="3:3" x14ac:dyDescent="0.2">
      <c r="C325" s="29"/>
    </row>
    <row r="326" spans="3:3" x14ac:dyDescent="0.2">
      <c r="C326" s="29"/>
    </row>
    <row r="327" spans="3:3" x14ac:dyDescent="0.2">
      <c r="C327" s="29"/>
    </row>
    <row r="328" spans="3:3" x14ac:dyDescent="0.2">
      <c r="C328" s="29"/>
    </row>
    <row r="329" spans="3:3" x14ac:dyDescent="0.2">
      <c r="C329" s="29"/>
    </row>
    <row r="330" spans="3:3" x14ac:dyDescent="0.2">
      <c r="C330" s="29"/>
    </row>
    <row r="331" spans="3:3" x14ac:dyDescent="0.2">
      <c r="C331" s="29"/>
    </row>
  </sheetData>
  <mergeCells count="6">
    <mergeCell ref="H3:I3"/>
    <mergeCell ref="CB3:CD3"/>
    <mergeCell ref="BU3:BV3"/>
    <mergeCell ref="BX3:CA3"/>
    <mergeCell ref="K3:N3"/>
    <mergeCell ref="S3:V3"/>
  </mergeCells>
  <pageMargins left="0.75" right="0.75" top="1" bottom="1" header="0.5" footer="0.5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BJ447"/>
  <sheetViews>
    <sheetView tabSelected="1" topLeftCell="AM1" workbookViewId="0">
      <selection activeCell="AR19" sqref="AR19"/>
    </sheetView>
  </sheetViews>
  <sheetFormatPr defaultRowHeight="11.25" x14ac:dyDescent="0.2"/>
  <cols>
    <col min="1" max="2" width="9.140625" style="21"/>
    <col min="3" max="3" width="10.140625" style="21" bestFit="1" customWidth="1"/>
    <col min="4" max="4" width="10.28515625" style="21" bestFit="1" customWidth="1"/>
    <col min="5" max="10" width="9.140625" style="21"/>
    <col min="11" max="11" width="9.5703125" style="21" bestFit="1" customWidth="1"/>
    <col min="12" max="12" width="9.140625" style="21"/>
    <col min="13" max="13" width="10.42578125" style="21" bestFit="1" customWidth="1"/>
    <col min="14" max="21" width="9.140625" style="21"/>
    <col min="22" max="22" width="8" style="37" bestFit="1" customWidth="1"/>
    <col min="23" max="23" width="3.28515625" style="37" bestFit="1" customWidth="1"/>
    <col min="24" max="24" width="3.7109375" style="37" bestFit="1" customWidth="1"/>
    <col min="25" max="25" width="3.140625" style="37" bestFit="1" customWidth="1"/>
    <col min="26" max="27" width="9.140625" style="21"/>
    <col min="28" max="30" width="9.140625" style="37"/>
    <col min="31" max="31" width="10.7109375" style="37" bestFit="1" customWidth="1"/>
    <col min="32" max="33" width="9.140625" style="21"/>
    <col min="34" max="34" width="6.42578125" style="21" customWidth="1"/>
    <col min="35" max="38" width="9.140625" style="21"/>
    <col min="39" max="39" width="10.140625" style="21" bestFit="1" customWidth="1"/>
    <col min="40" max="40" width="10.28515625" style="21" bestFit="1" customWidth="1"/>
    <col min="41" max="16384" width="9.140625" style="21"/>
  </cols>
  <sheetData>
    <row r="1" spans="2:62" x14ac:dyDescent="0.2">
      <c r="AA1" s="207"/>
      <c r="AB1" s="284"/>
      <c r="AC1" s="284"/>
      <c r="AD1" s="284"/>
      <c r="AE1" s="284"/>
      <c r="AF1" s="207"/>
      <c r="AG1" s="207"/>
      <c r="AH1" s="207"/>
      <c r="AI1" s="207"/>
      <c r="AJ1" s="207"/>
    </row>
    <row r="2" spans="2:62" ht="12" thickBot="1" x14ac:dyDescent="0.25">
      <c r="AA2" s="207"/>
      <c r="AB2" s="284"/>
      <c r="AC2" s="284"/>
      <c r="AD2" s="284"/>
      <c r="AE2" s="284"/>
      <c r="AF2" s="207"/>
      <c r="AG2" s="207"/>
      <c r="AH2" s="207"/>
      <c r="AI2" s="207"/>
      <c r="AJ2" s="207"/>
    </row>
    <row r="3" spans="2:62" ht="12" thickBot="1" x14ac:dyDescent="0.25">
      <c r="AA3" s="207"/>
      <c r="AB3" s="289"/>
      <c r="AC3" s="284"/>
      <c r="AD3" s="284"/>
      <c r="AE3" s="285"/>
      <c r="AF3" s="429" t="s">
        <v>184</v>
      </c>
      <c r="AG3" s="430"/>
      <c r="AH3" s="283"/>
      <c r="AI3" s="429" t="s">
        <v>185</v>
      </c>
      <c r="AJ3" s="430"/>
    </row>
    <row r="4" spans="2:62" ht="12" thickBot="1" x14ac:dyDescent="0.25">
      <c r="C4" s="416" t="s">
        <v>99</v>
      </c>
      <c r="D4" s="423"/>
      <c r="E4" s="419" t="s">
        <v>5</v>
      </c>
      <c r="F4" s="420"/>
      <c r="G4" s="421"/>
      <c r="H4" s="424" t="s">
        <v>103</v>
      </c>
      <c r="I4" s="426" t="s">
        <v>33</v>
      </c>
      <c r="J4" s="415" t="s">
        <v>6</v>
      </c>
      <c r="M4" s="415" t="s">
        <v>7</v>
      </c>
      <c r="N4" s="424" t="s">
        <v>8</v>
      </c>
      <c r="O4" s="419" t="s">
        <v>114</v>
      </c>
      <c r="P4" s="420"/>
      <c r="Q4" s="420"/>
      <c r="R4" s="421"/>
      <c r="U4" s="218"/>
      <c r="V4" s="209" t="s">
        <v>73</v>
      </c>
      <c r="W4" s="209" t="s">
        <v>70</v>
      </c>
      <c r="X4" s="209" t="s">
        <v>71</v>
      </c>
      <c r="Y4" s="210" t="s">
        <v>72</v>
      </c>
      <c r="AA4" s="288"/>
      <c r="AB4" s="39" t="s">
        <v>74</v>
      </c>
      <c r="AC4" s="39" t="s">
        <v>70</v>
      </c>
      <c r="AD4" s="39" t="s">
        <v>71</v>
      </c>
      <c r="AE4" s="193" t="s">
        <v>178</v>
      </c>
      <c r="AF4" s="294" t="s">
        <v>104</v>
      </c>
      <c r="AG4" s="295" t="s">
        <v>95</v>
      </c>
      <c r="AH4" s="286" t="s">
        <v>32</v>
      </c>
      <c r="AI4" s="294" t="s">
        <v>104</v>
      </c>
      <c r="AJ4" s="295" t="s">
        <v>95</v>
      </c>
      <c r="AM4" s="416" t="s">
        <v>99</v>
      </c>
      <c r="AN4" s="423"/>
      <c r="AO4" s="419" t="s">
        <v>5</v>
      </c>
      <c r="AP4" s="420"/>
      <c r="AQ4" s="421"/>
      <c r="AR4" s="424" t="s">
        <v>103</v>
      </c>
      <c r="AS4" s="426" t="s">
        <v>33</v>
      </c>
      <c r="AT4" s="415" t="s">
        <v>6</v>
      </c>
      <c r="AW4" s="415" t="s">
        <v>7</v>
      </c>
      <c r="AX4" s="424" t="s">
        <v>8</v>
      </c>
      <c r="AY4" s="419" t="s">
        <v>114</v>
      </c>
      <c r="AZ4" s="420"/>
      <c r="BA4" s="420"/>
      <c r="BB4" s="421"/>
      <c r="BD4" s="431" t="s">
        <v>113</v>
      </c>
      <c r="BE4" s="431" t="s">
        <v>5</v>
      </c>
      <c r="BF4" s="343" t="s">
        <v>127</v>
      </c>
    </row>
    <row r="5" spans="2:62" ht="11.25" customHeight="1" x14ac:dyDescent="0.2">
      <c r="B5" s="275"/>
      <c r="C5" s="299" t="s">
        <v>97</v>
      </c>
      <c r="D5" s="299" t="s">
        <v>98</v>
      </c>
      <c r="E5" s="299" t="s">
        <v>18</v>
      </c>
      <c r="F5" s="299" t="s">
        <v>19</v>
      </c>
      <c r="G5" s="299" t="s">
        <v>112</v>
      </c>
      <c r="H5" s="425"/>
      <c r="I5" s="427"/>
      <c r="J5" s="428"/>
      <c r="K5" s="37" t="s">
        <v>110</v>
      </c>
      <c r="L5" s="37" t="s">
        <v>111</v>
      </c>
      <c r="M5" s="428"/>
      <c r="N5" s="425"/>
      <c r="O5" s="299" t="s">
        <v>115</v>
      </c>
      <c r="P5" s="299" t="s">
        <v>116</v>
      </c>
      <c r="Q5" s="299" t="s">
        <v>117</v>
      </c>
      <c r="R5" s="299" t="s">
        <v>118</v>
      </c>
      <c r="U5" s="211">
        <v>36557</v>
      </c>
      <c r="V5" s="212">
        <v>21</v>
      </c>
      <c r="W5" s="212">
        <v>4</v>
      </c>
      <c r="X5" s="212">
        <v>4</v>
      </c>
      <c r="Y5" s="213">
        <v>0</v>
      </c>
      <c r="AA5" s="290">
        <f ca="1">datetoday</f>
        <v>36976</v>
      </c>
      <c r="AB5" s="291">
        <f t="shared" ref="AB5:AB36" ca="1" si="0">VLOOKUP(AA5, daytable, 2)</f>
        <v>22</v>
      </c>
      <c r="AC5" s="291">
        <f t="shared" ref="AC5:AC36" ca="1" si="1">VLOOKUP(AA5, daytable, 3)</f>
        <v>5</v>
      </c>
      <c r="AD5" s="291">
        <f t="shared" ref="AD5:AD36" ca="1" si="2">VLOOKUP(AA5, daytable, 4)</f>
        <v>4</v>
      </c>
      <c r="AE5" s="292">
        <f t="shared" ref="AE5:AE36" ca="1" si="3">SUM(AB5:AD5)</f>
        <v>31</v>
      </c>
      <c r="AF5" s="296">
        <f ca="1">IF(peak_base=1,VLOOKUP(AA5,PriceTable,3),(VLOOKUP(AA5,PriceTable,3)*16*AB5+VLOOKUP(AA5,PriceTable,7)*8*AB5 +VLOOKUP(AA5,PriceTable,12)*AC5*24+VLOOKUP(AA5,PriceTable,16)*AD5*24)/SUM(AB5:AD5)/24)+IF(BasisNumber=1,0,VLOOKUP(AA5,'Power Curves'!$BO$9:$BP$316,2))</f>
        <v>41.249996185302734</v>
      </c>
      <c r="AG5" s="254">
        <f ca="1">IF(peak_base=1,VLOOKUP(AA5,VolTable,15),SQRT((VLOOKUP(AA5,VolTable,15)^2*AB5*16+VLOOKUP(AA5,VolTable,19)^2*((AC5+AD5)*24+8*AB5))/(AB5+AC5+AD5)/24))</f>
        <v>0.8</v>
      </c>
      <c r="AH5" s="287">
        <f ca="1">VLOOKUP(AA5,'Power Curves'!$A$4:$B$261,2)</f>
        <v>5.782291193348401E-2</v>
      </c>
      <c r="AI5" s="297">
        <f ca="1">IF(peak_base_m=1,VLOOKUP(AA5,PriceTable,3),(VLOOKUP(AA5,PriceTable,3)*16*AB5+VLOOKUP(AA5,PriceTable,7)*8*AB5 +VLOOKUP(AA5,PriceTable,12)*AC5*24+VLOOKUP(AA5,PriceTable,16)*AD5*24)/SUM(AB5:AD5)/24)+IF(BasisNumber_m=1,0,VLOOKUP(AA5,'Power Curves'!$BO$9:$BP$316,2))</f>
        <v>41.249996185302734</v>
      </c>
      <c r="AJ5" s="298">
        <f ca="1">IF(peak_base_m=1,VLOOKUP(AA5,VolTable,15),SQRT((VLOOKUP(AA5,VolTable,15)^2*AB5*16+VLOOKUP(AA5,VolTable,19)^2*((AC5+AD5)*24+8*AB5))/(AB5+AC5+AD5)/24))</f>
        <v>0.8</v>
      </c>
      <c r="AM5" s="299" t="s">
        <v>97</v>
      </c>
      <c r="AN5" s="299" t="s">
        <v>98</v>
      </c>
      <c r="AO5" s="299" t="s">
        <v>18</v>
      </c>
      <c r="AP5" s="299" t="s">
        <v>19</v>
      </c>
      <c r="AQ5" s="299" t="s">
        <v>112</v>
      </c>
      <c r="AR5" s="425"/>
      <c r="AS5" s="427"/>
      <c r="AT5" s="428"/>
      <c r="AU5" s="37" t="s">
        <v>110</v>
      </c>
      <c r="AV5" s="37" t="s">
        <v>111</v>
      </c>
      <c r="AW5" s="428"/>
      <c r="AX5" s="425"/>
      <c r="AY5" s="299" t="s">
        <v>115</v>
      </c>
      <c r="AZ5" s="299" t="s">
        <v>116</v>
      </c>
      <c r="BA5" s="299" t="s">
        <v>117</v>
      </c>
      <c r="BB5" s="299" t="s">
        <v>118</v>
      </c>
      <c r="BD5" s="432"/>
      <c r="BE5" s="432"/>
      <c r="BF5" s="344" t="s">
        <v>7</v>
      </c>
      <c r="BG5" s="299" t="s">
        <v>115</v>
      </c>
      <c r="BH5" s="299" t="s">
        <v>116</v>
      </c>
      <c r="BI5" s="299" t="s">
        <v>117</v>
      </c>
      <c r="BJ5" s="299" t="s">
        <v>118</v>
      </c>
    </row>
    <row r="6" spans="2:62" ht="11.25" customHeight="1" x14ac:dyDescent="0.2">
      <c r="C6" s="300">
        <f>Daily!B46</f>
        <v>1</v>
      </c>
      <c r="D6" s="300">
        <f>Daily!C46</f>
        <v>0</v>
      </c>
      <c r="E6" s="301">
        <f ca="1">OFFSET(Daily!$BJ$11,Daily!BO12,0)</f>
        <v>36982</v>
      </c>
      <c r="F6" s="301">
        <f ca="1">OFFSET(Daily!$BK$11,Daily!BP12,0)</f>
        <v>37011</v>
      </c>
      <c r="G6" s="302">
        <f ca="1">OFFSET(Daily!$BU$11,Daily!BR12,1)</f>
        <v>1</v>
      </c>
      <c r="H6" s="301">
        <f ca="1">OFFSET(Daily!$BK$11,Daily!BQ12,0)</f>
        <v>36981</v>
      </c>
      <c r="I6" s="300">
        <f>Daily!H46</f>
        <v>50</v>
      </c>
      <c r="J6" s="300">
        <f>Daily!I46</f>
        <v>40</v>
      </c>
      <c r="K6" s="300">
        <f ca="1">pricepickup(VLOOKUP(E6, InputTable, 2), datetoday, E6,F6,CindailyPrices, peak_base)</f>
        <v>33.351190294538227</v>
      </c>
      <c r="L6" s="303">
        <f ca="1">IF(Daily!BS12=FALSE, VLOOKUP(E6,Daily!$K$5:$L$28,2)+skewcalc(D6,K6,J6,OFFSET(Override!$AK$4,Daily!BO12+(1-D6)*Override!$AL$2-1,0, 1,3)), Daily!M46)</f>
        <v>0.75</v>
      </c>
      <c r="M6" s="300">
        <f ca="1">IF(driver=2, IF(G6=2, swap(Daily!BP12-Daily!BO12, K6,OFFSET(Override!$L$5,Daily!BO12-1,0,MAX(2,Daily!BP12-Daily!BO12)),J6,OFFSET(Override!$N$5,Daily!BO12-1,0,MAX(2,Daily!BP12-Daily!BO12)),OFFSET(IF(peak_base=1, $AB$5, $AE$5),Daily!BO12-1,0,MAX(2,Daily!BP12-Daily!BO12)),datetoday, E6),dailyvaluation(K6,J6,VLOOKUP(E6, InputTable, 4),L6,CindailyPrices,peak_base,datetoday, E6,F6,D6,0)), Daily!L46)</f>
        <v>8</v>
      </c>
      <c r="N6" s="300">
        <f ca="1">IF(G6=1, _xll.EIMPVOL(D6,ABS(M6),K6,J6,H6-datetoday+15,VLOOKUP(E6,InputTable,4),VLOOKUP(E6,InputTable,4),5,0.001,100), 0)</f>
        <v>1.1199792724380346</v>
      </c>
      <c r="O6" s="300">
        <f ca="1">IF(G6=2, 1, dailyvaluation(K6,J6,VLOOKUP(E6, InputTable, 4),L6,CindailyPrices,peak_base, datetoday, E6,F6,D6,1))</f>
        <v>-0.75955611088052866</v>
      </c>
      <c r="P6" s="300">
        <f ca="1">IF(G6=2, 0,dailyvaluation(K6,J6,VLOOKUP(E6, InputTable, 4),L6,CindailyPrices,peak_base, datetoday, E6,F6,D6,2))</f>
        <v>2.9586881144818462E-2</v>
      </c>
      <c r="Q6" s="300">
        <f ca="1">IF(G6=2, 0,dailyvaluation(K6,J6,VLOOKUP(E6, InputTable, 4),L6,CindailyPrices,peak_base, datetoday, E6,F6,D6,3))</f>
        <v>1.478001625094564</v>
      </c>
      <c r="R6" s="300">
        <f ca="1">IF(G6=2, 0,dailyvaluation(K6,J6,VLOOKUP(E6, InputTable, 4),L6,CindailyPrices,peak_base, datetoday, E6,F6,D6,5))</f>
        <v>-12.366351659210878</v>
      </c>
      <c r="U6" s="214">
        <v>36586</v>
      </c>
      <c r="V6" s="212">
        <v>23</v>
      </c>
      <c r="W6" s="212">
        <v>4</v>
      </c>
      <c r="X6" s="212">
        <v>4</v>
      </c>
      <c r="Y6" s="213">
        <v>0</v>
      </c>
      <c r="AA6" s="293">
        <f t="shared" ref="AA6:AA37" ca="1" si="4">EOMONTH(AA5,0)+1</f>
        <v>36982</v>
      </c>
      <c r="AB6" s="291">
        <f t="shared" ca="1" si="0"/>
        <v>21</v>
      </c>
      <c r="AC6" s="291">
        <f t="shared" ca="1" si="1"/>
        <v>4</v>
      </c>
      <c r="AD6" s="291">
        <f t="shared" ca="1" si="2"/>
        <v>5</v>
      </c>
      <c r="AE6" s="292">
        <f t="shared" ca="1" si="3"/>
        <v>30</v>
      </c>
      <c r="AF6" s="296">
        <f ca="1">IF(peak_base=1,VLOOKUP(AA6,PriceTable,3),(VLOOKUP(AA6,PriceTable,3)*16*AB6+VLOOKUP(AA6,PriceTable,7)*8*AB6 +VLOOKUP(AA6,PriceTable,12)*AC6*24+VLOOKUP(AA6,PriceTable,16)*AD6*24)/SUM(AB6:AD6)/24)+IF(BasisNumber=1,0,VLOOKUP(AA6,'Power Curves'!$BO$9:$BP$316,2))</f>
        <v>25</v>
      </c>
      <c r="AG6" s="254">
        <f t="shared" ref="AG6:AG36" ca="1" si="5">IF(peak_base=1,VLOOKUP(AA6,VolTable,15),SQRT((VLOOKUP(AA6,VolTable,15)^2*AB6*16+VLOOKUP(AA6,VolTable,19)^2*((AC6+AD6)*24+8*AB6))/(AB6+AC6+AD6)/24))</f>
        <v>0.75</v>
      </c>
      <c r="AH6" s="287">
        <f ca="1">VLOOKUP(AA6,'Power Curves'!$A$4:$B$261,2)</f>
        <v>5.6935221700728011E-2</v>
      </c>
      <c r="AI6" s="297">
        <f ca="1">IF(peak_base_m=1,VLOOKUP(AA6,PriceTable,3),(VLOOKUP(AA6,PriceTable,3)*16*AB6+VLOOKUP(AA6,PriceTable,7)*8*AB6 +VLOOKUP(AA6,PriceTable,12)*AC6*24+VLOOKUP(AA6,PriceTable,16)*AD6*24)/SUM(AB6:AD6)/24)+IF(BasisNumber_m=1,0,VLOOKUP(AA6,'Power Curves'!$BO$9:$BP$316,2))</f>
        <v>25</v>
      </c>
      <c r="AJ6" s="298">
        <f t="shared" ref="AJ6:AJ69" ca="1" si="6">IF(peak_base_m=1,VLOOKUP(AA6,VolTable,15),SQRT((VLOOKUP(AA6,VolTable,15)^2*AB6*16+VLOOKUP(AA6,VolTable,19)^2*((AC6+AD6)*24+8*AB6))/(AB6+AC6+AD6)/24))</f>
        <v>0.75</v>
      </c>
      <c r="AM6" s="300">
        <f>Monthly!B74</f>
        <v>1</v>
      </c>
      <c r="AN6" s="300">
        <f>Monthly!C74</f>
        <v>1</v>
      </c>
      <c r="AO6" s="301">
        <f ca="1">OFFSET(Monthly!$BJ$11,Monthly!BO12,0)</f>
        <v>37012</v>
      </c>
      <c r="AP6" s="301">
        <f ca="1">OFFSET(Monthly!$BK$11,Monthly!BP12,0)</f>
        <v>37042</v>
      </c>
      <c r="AQ6" s="302">
        <f ca="1">OFFSET(Monthly!$BU$11,Monthly!BR12,1)</f>
        <v>1</v>
      </c>
      <c r="AR6" s="301">
        <f ca="1">OFFSET(Monthly!$BK$11,Monthly!BQ12,0)</f>
        <v>37011</v>
      </c>
      <c r="AS6" s="300">
        <f>Monthly!H74</f>
        <v>50</v>
      </c>
      <c r="AT6" s="312">
        <f>Monthly!I74</f>
        <v>60</v>
      </c>
      <c r="AU6" s="340">
        <f ca="1">VLOOKUP(AO6, InputTable_m, 2)</f>
        <v>47</v>
      </c>
      <c r="AV6" s="339">
        <f ca="1">IF(Monthly!$BS$12=FALSE,IF( OR(AQ6=1,AQ6=2),VLOOKUP(AO6,Monthly!$K$5:$L$36,2)+skewcalc(AN6,AU6,AT6,OFFSET(Override!$BI$4,Monthly!BO12+(1-AN6)*12-1,0, 1,3)),_xll.BASVOL(OFFSET(Override!$BY$5,Monthly!BO12-1,0,Monthly!BP12-Monthly!BO12,1),OFFSET(Override!$BZ$5,Monthly!BO12-1,0,Monthly!BP12-Monthly!BO12,1),OFFSET(Override!$CB$5,Monthly!BO12-1,0,Monthly!BP12-Monthly!BO12,1),OFFSET(Override!$CC$5,Monthly!BO12-1,0,Monthly!BP12-Monthly!BO12,1),OFFSET(Override!$Y$4,0,0,Monthly!BP12-Monthly!BO12,Monthly!BP12-Monthly!BO12),Calc!AR6-datetoday))+skewcalc(AN6,AU6,AT6,OFFSET(Override!$BI$4,Monthly!BO12+(1-AN6)*Override!$BJ$2-1,0, 1,3)), Monthly!M74)</f>
        <v>0.81377332186509732</v>
      </c>
      <c r="AW6" s="336">
        <f ca="1">IF(driver_m=2, IF(AQ6=1,BD6,IF(AQ6=2,BE6,BF6)),Monthly!L74)</f>
        <v>1.168830243188177</v>
      </c>
      <c r="AX6" s="336">
        <f ca="1">IF(OR(AQ6=1, AQ6=3), _xll.EIMPVOL(AN6,ABS(AW6),AU6,AT6,AR6-datetoday,VLOOKUP(AO6,InputTable_m,4),VLOOKUP(AO6,InputTable_m,4),5,0.001,100), 0)</f>
        <v>0.81361075441479114</v>
      </c>
      <c r="AY6" s="336">
        <f ca="1">IF(AQ6=1,_xll.EURO_Forward(AU6,AT6,VLOOKUP(AO6, InputTable_m, 4),AV6,Calc!AO6-datetoday+1,Calc!AN6,1), IF(AQ6=2, 1, BG6))</f>
        <v>0.20683261637237468</v>
      </c>
      <c r="AZ6" s="336">
        <f ca="1">IF(AQ6=1, _xll.EURO_Forward(AU6,AT6,VLOOKUP(AO6, InputTable_m, 4),AV6,Calc!AO6-datetoday+1,Calc!AN6,2), IF(AQ6=2, 0,BH6))</f>
        <v>2.3408986496916848E-2</v>
      </c>
      <c r="BA6" s="336">
        <f ca="1">IF(AQ6=1, _xll.EURO_Forward(AU6,AT6,VLOOKUP(AO6, InputTable_m, 4),AV6,Calc!AO6-datetoday+1,Calc!AN6,3),IF(AQ6=2, 0,BI6))</f>
        <v>4.2627834856393028</v>
      </c>
      <c r="BB6" s="336">
        <f ca="1">IF(AQ6=1, _xll.EURO_Forward(AU6,AT6,VLOOKUP(AO6, InputTable_m, 4),AV6,Calc!AO6-datetoday+1,Calc!AN6,5),IF(AQ6=2, 0,BJ6))</f>
        <v>-17.050895283992372</v>
      </c>
      <c r="BD6" s="304">
        <f ca="1">_xll.EURO_Forward(AU6,AT6,VLOOKUP(AO6, InputTable_m, 4),AV6,AR6-datetoday,Calc!AN6,0)</f>
        <v>1.168830243188177</v>
      </c>
      <c r="BE6" s="304">
        <f ca="1">swap(Monthly!BP12-Monthly!BO12, AU6,OFFSET(Override!$BY$5,Monthly!BO12-1,0,MAX(2,Monthly!BP12-Monthly!BO12)),AT6,OFFSET(Override!$CA$5,Monthly!BO12-1,0,MAX(2,Monthly!BP12-Monthly!BO12)),OFFSET(IF(peak_base_m=1, $AB$5, $AE$5),Monthly!BO12-1,0,MAX(2,Monthly!BP12-Monthly!BO12)),datetoday, AO6)</f>
        <v>-13</v>
      </c>
      <c r="BF6" s="337" t="e">
        <f ca="1">_xll.SWAPTION(OFFSET(Override!$BY$5,Monthly!BO12-1,0,Monthly!BP12-Monthly!BO12,1),OFFSET(Override!$CC$5,Monthly!BO12-1,0,Monthly!BP12-Monthly!BO12,1),OFFSET(Override!$CD$5,Monthly!BO12-1,0,Monthly!BP12-Monthly!BO12,1),OFFSET(Override!$CA$5,Monthly!BO12-1,0,Monthly!BP12-Monthly!BO12,1),AV6,AT6,VLOOKUP(AO6,InputTable_m,4),(AR6-datetoday)/365.25,AN6,0,1)</f>
        <v>#VALUE!</v>
      </c>
      <c r="BG6" s="300">
        <f ca="1">SWAPTION_Greek(OFFSET(Override!$BY$5,Monthly!BO12-1,0,Monthly!BP12-Monthly!BO12,1),OFFSET(Override!$CC$5,Monthly!BO12-1,0,Monthly!BP12-Monthly!BO12,1),OFFSET(Override!$CD$5,Monthly!BO12-1,0,Monthly!BP12-Monthly!BO12,1),OFFSET(Override!$CA$5,Monthly!BO12-1,0,Monthly!BP12-Monthly!BO12,1),AT6,Monthly!BP12-Monthly!BO12, AV6,VLOOKUP(AO6,InputTable_m,4),datetoday, AO6,AR6,AN6,1)</f>
        <v>0.19841840879952141</v>
      </c>
      <c r="BH6" s="300">
        <f ca="1">SWAPTION_Greek(OFFSET(Override!$BY$5,Monthly!BO12-1,0,Monthly!BP12-Monthly!BO12,1),OFFSET(Override!$CC$5,Monthly!BO12-1,0,Monthly!BP12-Monthly!BO12,1),OFFSET(Override!$CD$5,Monthly!BO12-1,0,Monthly!BP12-Monthly!BO12,1),OFFSET(Override!$CA$5,Monthly!BO12-1,0,Monthly!BP12-Monthly!BO12,1),AT6,Monthly!BP12-Monthly!BO12, AV6,VLOOKUP(AO6,InputTable_m,4),datetoday, AO6,AR6,AN6,2)</f>
        <v>2.3482819144653774E-2</v>
      </c>
      <c r="BI6" s="300">
        <f ca="1">SWAPTION_Greek(OFFSET(Override!$BY$5,Monthly!BO12-1,0,Monthly!BP12-Monthly!BO12,1),OFFSET(Override!$CC$5,Monthly!BO12-1,0,Monthly!BP12-Monthly!BO12,1),OFFSET(Override!$CD$5,Monthly!BO12-1,0,Monthly!BP12-Monthly!BO12,1),OFFSET(Override!$CA$5,Monthly!BO12-1,0,Monthly!BP12-Monthly!BO12,1),AT6,Monthly!BP12-Monthly!BO12, AV6,VLOOKUP(AO6,InputTable_m,4),datetoday, AO6,AR6,AN6,3)</f>
        <v>4.0450809501454668</v>
      </c>
      <c r="BJ6" s="300">
        <f ca="1">SWAPTION_Greek(OFFSET(Override!$BY$5,Monthly!BO12-1,0,Monthly!BP12-Monthly!BO12,1),OFFSET(Override!$CC$5,Monthly!BO12-1,0,Monthly!BP12-Monthly!BO12,1),OFFSET(Override!$CD$5,Monthly!BO12-1,0,Monthly!BP12-Monthly!BO12,1),OFFSET(Override!$CA$5,Monthly!BO12-1,0,Monthly!BP12-Monthly!BO12,1),AT6,Monthly!BP12-Monthly!BO12, AV6,VLOOKUP(AO6,InputTable_m,4),datetoday, AO6,AR6,AN6,5)</f>
        <v>-17.110169480860502</v>
      </c>
    </row>
    <row r="7" spans="2:62" ht="11.25" customHeight="1" x14ac:dyDescent="0.2">
      <c r="C7" s="304">
        <f>Daily!B47</f>
        <v>0</v>
      </c>
      <c r="D7" s="304">
        <f>Daily!C47</f>
        <v>1</v>
      </c>
      <c r="E7" s="305">
        <f ca="1">OFFSET(Daily!$BJ$11,Daily!BO13,0)</f>
        <v>37073</v>
      </c>
      <c r="F7" s="305">
        <f ca="1">OFFSET(Daily!$BK$11,Daily!BP13,0)</f>
        <v>37103</v>
      </c>
      <c r="G7" s="306">
        <f ca="1">OFFSET(Daily!$BU$11,Daily!BR13,1)</f>
        <v>1</v>
      </c>
      <c r="H7" s="305">
        <f ca="1">OFFSET(Daily!$BK$11,Daily!BQ13,0)</f>
        <v>37072</v>
      </c>
      <c r="I7" s="307">
        <f>Daily!H47</f>
        <v>50</v>
      </c>
      <c r="J7" s="307">
        <f>Daily!I47</f>
        <v>65.89</v>
      </c>
      <c r="K7" s="304">
        <f ca="1">pricepickup(VLOOKUP(E7, InputTable, 2), datetoday, E7,F7,CindailyPrices, peak_base)</f>
        <v>115</v>
      </c>
      <c r="L7" s="303">
        <f ca="1">IF(Daily!BS13=FALSE, VLOOKUP(E7,Daily!$K$5:$L$28,2)+skewcalc(D7,K7,J7,OFFSET(Override!$AK$4,Daily!BO13+(1-D7)*Override!$AL$2-1,0, 1,3)), Daily!M47)</f>
        <v>0.85</v>
      </c>
      <c r="M7" s="304">
        <f ca="1">IF(driver=2, IF(G7=2, swap(Daily!BP13-Daily!BO13, K7,OFFSET(Override!$L$5,Daily!BO13-1,0,MAX(2,Daily!BP13-Daily!BO13)),J7,OFFSET(Override!$N$5,Daily!BO13-1,0,MAX(2,Daily!BP13-Daily!BO13)),OFFSET(IF(peak_base=1, $AB$5, $AE$5),Daily!BO13-1,0,MAX(2,Daily!BP13-Daily!BO13)),datetoday, E7),dailyvaluation(K7,J7,VLOOKUP(E7, InputTable, 4),L7,CindailyPrices,peak_base,datetoday, E7,F7,D7,0)), Daily!L47)</f>
        <v>55</v>
      </c>
      <c r="N7" s="304">
        <f ca="1">IF(G7=1, _xll.EIMPVOL(D7,ABS(M7),K7,J7,H7-datetoday+15,VLOOKUP(E7,InputTable,4),VLOOKUP(E7,InputTable,4),5,0.001,100), 0)</f>
        <v>1.2467007896646136</v>
      </c>
      <c r="O7" s="304">
        <f t="shared" ref="O7:O14" ca="1" si="7">IF(G7=2, 1, dailyvaluation(K7,J7,VLOOKUP(E7, InputTable, 4),L7,CindailyPrices,peak_base, datetoday, E7,F7,D7,1))</f>
        <v>0.90851402132677639</v>
      </c>
      <c r="P7" s="304">
        <f ca="1">IF(G7=2, 0,dailyvaluation(K7,J7,VLOOKUP(E7, InputTable, 4),L7,CindailyPrices,peak_base, datetoday, E7,F7,D7,2))</f>
        <v>2.6354937058597813E-3</v>
      </c>
      <c r="Q7" s="304">
        <f ca="1">IF(G7=2, 0,dailyvaluation(K7,J7,VLOOKUP(E7, InputTable, 4),L7,CindailyPrices,peak_base, datetoday, E7,F7,D7,3))</f>
        <v>8.887022636744895</v>
      </c>
      <c r="R7" s="304">
        <f ca="1">IF(G7=2, 0,dailyvaluation(K7,J7,VLOOKUP(E7, InputTable, 4),L7,CindailyPrices,peak_base, datetoday, E7,F7,D7,5))</f>
        <v>-9.801458394531954</v>
      </c>
      <c r="U7" s="214">
        <v>36617</v>
      </c>
      <c r="V7" s="212">
        <v>20</v>
      </c>
      <c r="W7" s="212">
        <v>5</v>
      </c>
      <c r="X7" s="212">
        <v>5</v>
      </c>
      <c r="Y7" s="213">
        <v>0</v>
      </c>
      <c r="AA7" s="293">
        <f t="shared" ca="1" si="4"/>
        <v>37012</v>
      </c>
      <c r="AB7" s="291">
        <f t="shared" ca="1" si="0"/>
        <v>22</v>
      </c>
      <c r="AC7" s="291">
        <f t="shared" ca="1" si="1"/>
        <v>4</v>
      </c>
      <c r="AD7" s="291">
        <f t="shared" ca="1" si="2"/>
        <v>5</v>
      </c>
      <c r="AE7" s="292">
        <f t="shared" ca="1" si="3"/>
        <v>31</v>
      </c>
      <c r="AF7" s="296">
        <f ca="1">IF(peak_base=1,VLOOKUP(AA7,PriceTable,3),(VLOOKUP(AA7,PriceTable,3)*16*AB7+VLOOKUP(AA7,PriceTable,7)*8*AB7 +VLOOKUP(AA7,PriceTable,12)*AC7*24+VLOOKUP(AA7,PriceTable,16)*AD7*24)/SUM(AB7:AD7)/24)+IF(BasisNumber=1,0,VLOOKUP(AA7,'Power Curves'!$BO$9:$BP$316,2))</f>
        <v>47</v>
      </c>
      <c r="AG7" s="254">
        <f t="shared" ca="1" si="5"/>
        <v>0.75</v>
      </c>
      <c r="AH7" s="287">
        <f ca="1">VLOOKUP(AA7,'Power Curves'!$A$4:$B$261,2)</f>
        <v>5.6349405031458001E-2</v>
      </c>
      <c r="AI7" s="297">
        <f ca="1">IF(peak_base_m=1,VLOOKUP(AA7,PriceTable,3),(VLOOKUP(AA7,PriceTable,3)*16*AB7+VLOOKUP(AA7,PriceTable,7)*8*AB7 +VLOOKUP(AA7,PriceTable,12)*AC7*24+VLOOKUP(AA7,PriceTable,16)*AD7*24)/SUM(AB7:AD7)/24)+IF(BasisNumber_m=1,0,VLOOKUP(AA7,'Power Curves'!$BO$9:$BP$316,2))</f>
        <v>47</v>
      </c>
      <c r="AJ7" s="298">
        <f t="shared" ca="1" si="6"/>
        <v>0.75</v>
      </c>
      <c r="AM7" s="304">
        <f>Monthly!B75</f>
        <v>0</v>
      </c>
      <c r="AN7" s="304">
        <f>Monthly!C75</f>
        <v>1</v>
      </c>
      <c r="AO7" s="305">
        <f ca="1">OFFSET(Monthly!$BJ$11,Monthly!BO13,0)</f>
        <v>37104</v>
      </c>
      <c r="AP7" s="305">
        <f ca="1">OFFSET(Monthly!$BK$11,Monthly!BP13,0)</f>
        <v>37164</v>
      </c>
      <c r="AQ7" s="306">
        <f ca="1">OFFSET(Monthly!$BU$11,Monthly!BR13,1)</f>
        <v>3</v>
      </c>
      <c r="AR7" s="305">
        <f ca="1">OFFSET(Monthly!$BK$11,Monthly!BQ13,0)</f>
        <v>37072</v>
      </c>
      <c r="AS7" s="304">
        <f>Monthly!H75</f>
        <v>50</v>
      </c>
      <c r="AT7" s="313">
        <f>Monthly!I75</f>
        <v>55</v>
      </c>
      <c r="AU7" s="341">
        <f t="shared" ref="AU7:AU17" ca="1" si="8">VLOOKUP(AO7, InputTable_m, 2)</f>
        <v>115</v>
      </c>
      <c r="AV7" s="366">
        <f ca="1">IF(Monthly!$BS$12=FALSE,IF( OR(AQ7=1,AQ7=2),VLOOKUP(AO7,Monthly!$K$5:$L$36,2)+skewcalc(AN7,AU7,AT7,OFFSET(Override!$BI$4,Monthly!BO13+(1-AN7)*12-1,0, 1,3)),_xll.BASVOL(OFFSET(Override!$BY$5,Monthly!BO13-1,0,Monthly!BP13-Monthly!BO13,1),OFFSET(Override!$BZ$5,Monthly!BO13-1,0,Monthly!BP13-Monthly!BO13,1),OFFSET(Override!$CB$5,Monthly!BO13-1,0,Monthly!BP13-Monthly!BO13,1),OFFSET(Override!$CC$5,Monthly!BO13-1,0,Monthly!BP13-Monthly!BO13,1),OFFSET(Override!$Y$4,0,0,Monthly!BP13-Monthly!BO13,Monthly!BP13-Monthly!BO13),Calc!AR7-datetoday))+skewcalc(AN7,AU7,AT7,OFFSET(Override!$BI$4,Monthly!BO13+(1-AN7)*Override!$BJ$2-1,0, 1,3)), Monthly!M75)</f>
        <v>0.69520958888089457</v>
      </c>
      <c r="AW7" s="337">
        <f ca="1">IF(driver_m=2, IF(AQ7=1,BD7,IF(AQ7=2,BE7,BF7)),Monthly!L75)</f>
        <v>25.618914422781586</v>
      </c>
      <c r="AX7" s="337">
        <f ca="1">IF(OR(AQ7=1, AQ7=3), _xll.EIMPVOL(AN7,ABS(AW7),AU7,AT7,AR7-datetoday,VLOOKUP(AO7,InputTable_m,4),VLOOKUP(AO7,InputTable_m,4),5,0.001,100), 0)</f>
        <v>-1</v>
      </c>
      <c r="AY7" s="337">
        <f ca="1">IF(AQ7=1,_xll.EURO_Forward(AU7,AT7,VLOOKUP(AO7, InputTable_m, 4),AV7,Calc!AO7-datetoday+1,Calc!AN7,1), IF(AQ7=2, 1, BG7))</f>
        <v>1.7348015951640199</v>
      </c>
      <c r="AZ7" s="337">
        <f ca="1">IF(AQ7=1, _xll.EURO_Forward(AU7,AT7,VLOOKUP(AO7, InputTable_m, 4),AV7,Calc!AO7-datetoday+1,Calc!AN7,2), IF(AQ7=2, 0,BH7))</f>
        <v>1.3352690541382117E-2</v>
      </c>
      <c r="BA7" s="337">
        <f ca="1">IF(AQ7=1, _xll.EURO_Forward(AU7,AT7,VLOOKUP(AO7, InputTable_m, 4),AV7,Calc!AO7-datetoday+1,Calc!AN7,3),IF(AQ7=2, 0,BI7))</f>
        <v>15.354067901345221</v>
      </c>
      <c r="BB7" s="337">
        <f ca="1">IF(AQ7=1, _xll.EURO_Forward(AU7,AT7,VLOOKUP(AO7, InputTable_m, 4),AV7,Calc!AO7-datetoday+1,Calc!AN7,5),IF(AQ7=2, 0,BJ7))</f>
        <v>-17.516466713753523</v>
      </c>
      <c r="BD7" s="304">
        <f ca="1">_xll.EURO_Forward(AU7,AT7,VLOOKUP(AO7, InputTable_m, 4),AV7,AR7-datetoday,Calc!AN7,0)</f>
        <v>59.338220938933922</v>
      </c>
      <c r="BE7" s="304">
        <f ca="1">swap(Monthly!BP13-Monthly!BO13, AU7,OFFSET(Override!$BY$5,Monthly!BO13-1,0,MAX(2,Monthly!BP13-Monthly!BO13)),AT7,OFFSET(Override!$CA$5,Monthly!BO13-1,0,MAX(2,Monthly!BP13-Monthly!BO13)),OFFSET(IF(peak_base_m=1, $AB$5, $AE$5),Monthly!BO13-1,0,MAX(2,Monthly!BP13-Monthly!BO13)),datetoday, AO7)</f>
        <v>27.730541463785759</v>
      </c>
      <c r="BF7" s="337">
        <f ca="1">_xll.SWAPTION(OFFSET(Override!$BY$5,Monthly!BO13-1,0,Monthly!BP13-Monthly!BO13,1),OFFSET(Override!$CC$5,Monthly!BO13-1,0,Monthly!BP13-Monthly!BO13,1),OFFSET(Override!$CD$5,Monthly!BO13-1,0,Monthly!BP13-Monthly!BO13,1),OFFSET(Override!$CA$5,Monthly!BO13-1,0,Monthly!BP13-Monthly!BO13,1),AV7,AT7,VLOOKUP(AO7,InputTable_m,4),(AR7-datetoday)/365.25,AN7,0,1)</f>
        <v>25.618914422781586</v>
      </c>
      <c r="BG7" s="304">
        <f ca="1">SWAPTION_Greek(OFFSET(Override!$BY$5,Monthly!BO13-1,0,Monthly!BP13-Monthly!BO13,1),OFFSET(Override!$CC$5,Monthly!BO13-1,0,Monthly!BP13-Monthly!BO13,1),OFFSET(Override!$CD$5,Monthly!BO13-1,0,Monthly!BP13-Monthly!BO13,1),OFFSET(Override!$CA$5,Monthly!BO13-1,0,Monthly!BP13-Monthly!BO13,1),AT7,Monthly!BP13-Monthly!BO13, AV7,VLOOKUP(AO7,InputTable_m,4),datetoday, AO7,AR7,AN7,1)</f>
        <v>1.7348015951640199</v>
      </c>
      <c r="BH7" s="304">
        <f ca="1">SWAPTION_Greek(OFFSET(Override!$BY$5,Monthly!BO13-1,0,Monthly!BP13-Monthly!BO13,1),OFFSET(Override!$CC$5,Monthly!BO13-1,0,Monthly!BP13-Monthly!BO13,1),OFFSET(Override!$CD$5,Monthly!BO13-1,0,Monthly!BP13-Monthly!BO13,1),OFFSET(Override!$CA$5,Monthly!BO13-1,0,Monthly!BP13-Monthly!BO13,1),AT7,Monthly!BP13-Monthly!BO13, AV7,VLOOKUP(AO7,InputTable_m,4),datetoday, AO7,AR7,AN7,2)</f>
        <v>1.3352690541382117E-2</v>
      </c>
      <c r="BI7" s="304">
        <f ca="1">SWAPTION_Greek(OFFSET(Override!$BY$5,Monthly!BO13-1,0,Monthly!BP13-Monthly!BO13,1),OFFSET(Override!$CC$5,Monthly!BO13-1,0,Monthly!BP13-Monthly!BO13,1),OFFSET(Override!$CD$5,Monthly!BO13-1,0,Monthly!BP13-Monthly!BO13,1),OFFSET(Override!$CA$5,Monthly!BO13-1,0,Monthly!BP13-Monthly!BO13,1),AT7,Monthly!BP13-Monthly!BO13, AV7,VLOOKUP(AO7,InputTable_m,4),datetoday, AO7,AR7,AN7,3)</f>
        <v>15.354067901345221</v>
      </c>
      <c r="BJ7" s="304">
        <f ca="1">SWAPTION_Greek(OFFSET(Override!$BY$5,Monthly!BO13-1,0,Monthly!BP13-Monthly!BO13,1),OFFSET(Override!$CC$5,Monthly!BO13-1,0,Monthly!BP13-Monthly!BO13,1),OFFSET(Override!$CD$5,Monthly!BO13-1,0,Monthly!BP13-Monthly!BO13,1),OFFSET(Override!$CA$5,Monthly!BO13-1,0,Monthly!BP13-Monthly!BO13,1),AT7,Monthly!BP13-Monthly!BO13, AV7,VLOOKUP(AO7,InputTable_m,4),datetoday, AO7,AR7,AN7,5)</f>
        <v>-17.516466713753523</v>
      </c>
    </row>
    <row r="8" spans="2:62" ht="11.25" customHeight="1" x14ac:dyDescent="0.2">
      <c r="C8" s="304">
        <f>Daily!B48</f>
        <v>0</v>
      </c>
      <c r="D8" s="304">
        <f>Daily!C48</f>
        <v>1</v>
      </c>
      <c r="E8" s="305">
        <f ca="1">OFFSET(Daily!$BJ$11,Daily!BO14,0)</f>
        <v>37073</v>
      </c>
      <c r="F8" s="305">
        <f ca="1">OFFSET(Daily!$BK$11,Daily!BP14,0)</f>
        <v>37103</v>
      </c>
      <c r="G8" s="306">
        <f ca="1">OFFSET(Daily!$BU$11,Daily!BR14,1)</f>
        <v>1</v>
      </c>
      <c r="H8" s="305">
        <f ca="1">OFFSET(Daily!$BK$11,Daily!BQ14,0)</f>
        <v>37072</v>
      </c>
      <c r="I8" s="307">
        <f>Daily!H48</f>
        <v>50</v>
      </c>
      <c r="J8" s="307">
        <f>Daily!I48</f>
        <v>90</v>
      </c>
      <c r="K8" s="304">
        <f t="shared" ref="K8:K14" ca="1" si="9">pricepickup(VLOOKUP(E8, InputTable, 2), datetoday, E8,F8,CindailyPrices, peak_base)</f>
        <v>115</v>
      </c>
      <c r="L8" s="303">
        <f ca="1">IF(Daily!BS14=FALSE, VLOOKUP(E8,Daily!$K$5:$L$28,2)+skewcalc(D8,K8,J8,OFFSET(Override!$AK$4,Daily!BO14+(1-D8)*Override!$AL$2-1,0, 1,3)), Daily!M48)</f>
        <v>0.85</v>
      </c>
      <c r="M8" s="304">
        <f ca="1">IF(driver=2, IF(G8=2, swap(Daily!BP14-Daily!BO14, K8,OFFSET(Override!$L$5,Daily!BO14-1,0,MAX(2,Daily!BP14-Daily!BO14)),J8,OFFSET(Override!$N$5,Daily!BO14-1,0,MAX(2,Daily!BP14-Daily!BO14)),OFFSET(IF(peak_base=1, $AB$5, $AE$5),Daily!BO14-1,0,MAX(2,Daily!BP14-Daily!BO14)),datetoday, E8),dailyvaluation(K8,J8,VLOOKUP(E8, InputTable, 4),L8,CindailyPrices,peak_base,datetoday, E8,F8,D8,0)), Daily!L48)</f>
        <v>0</v>
      </c>
      <c r="N8" s="304">
        <f ca="1">IF(G8=1, _xll.EIMPVOL(D8,ABS(M8),K8,J8,H8-datetoday+15,VLOOKUP(E8,InputTable,4),VLOOKUP(E8,InputTable,4),5,0.001,100), 0)</f>
        <v>-1</v>
      </c>
      <c r="O8" s="304">
        <f t="shared" ca="1" si="7"/>
        <v>0.76360668402453236</v>
      </c>
      <c r="P8" s="304">
        <f t="shared" ref="P8:P14" ca="1" si="10">IF(G8=2, 0,dailyvaluation(K8,J8,VLOOKUP(E8, InputTable, 4),L8,CindailyPrices,peak_base, datetoday, E8,F8,D8,2))</f>
        <v>5.4985759603025106E-3</v>
      </c>
      <c r="Q8" s="304">
        <f t="shared" ref="Q8:Q14" ca="1" si="11">IF(G8=2, 0,dailyvaluation(K8,J8,VLOOKUP(E8, InputTable, 4),L8,CindailyPrices,peak_base, datetoday, E8,F8,D8,3))</f>
        <v>18.505364001831357</v>
      </c>
      <c r="R8" s="304">
        <f t="shared" ref="R8:R14" ca="1" si="12">IF(G8=2, 0,dailyvaluation(K8,J8,VLOOKUP(E8, InputTable, 4),L8,CindailyPrices,peak_base, datetoday, E8,F8,D8,5))</f>
        <v>-24.4308885897895</v>
      </c>
      <c r="U8" s="214">
        <v>36647</v>
      </c>
      <c r="V8" s="212">
        <v>22</v>
      </c>
      <c r="W8" s="212">
        <v>4</v>
      </c>
      <c r="X8" s="212">
        <v>5</v>
      </c>
      <c r="Y8" s="213">
        <v>1</v>
      </c>
      <c r="AA8" s="293">
        <f t="shared" ca="1" si="4"/>
        <v>37043</v>
      </c>
      <c r="AB8" s="291">
        <f t="shared" ca="1" si="0"/>
        <v>21</v>
      </c>
      <c r="AC8" s="291">
        <f t="shared" ca="1" si="1"/>
        <v>5</v>
      </c>
      <c r="AD8" s="291">
        <f t="shared" ca="1" si="2"/>
        <v>4</v>
      </c>
      <c r="AE8" s="292">
        <f t="shared" ca="1" si="3"/>
        <v>30</v>
      </c>
      <c r="AF8" s="296">
        <f ca="1">IF(peak_base=1,VLOOKUP(AA8,PriceTable,3),(VLOOKUP(AA8,PriceTable,3)*16*AB8+VLOOKUP(AA8,PriceTable,7)*8*AB8 +VLOOKUP(AA8,PriceTable,12)*AC8*24+VLOOKUP(AA8,PriceTable,16)*AD8*24)/SUM(AB8:AD8)/24)+IF(BasisNumber=1,0,VLOOKUP(AA8,'Power Curves'!$BO$9:$BP$316,2))</f>
        <v>72.999992370605469</v>
      </c>
      <c r="AG8" s="254">
        <f t="shared" ca="1" si="5"/>
        <v>0.7</v>
      </c>
      <c r="AH8" s="287">
        <f ca="1">VLOOKUP(AA8,'Power Curves'!$A$4:$B$261,2)</f>
        <v>5.5788260418609015E-2</v>
      </c>
      <c r="AI8" s="297">
        <f ca="1">IF(peak_base_m=1,VLOOKUP(AA8,PriceTable,3),(VLOOKUP(AA8,PriceTable,3)*16*AB8+VLOOKUP(AA8,PriceTable,7)*8*AB8 +VLOOKUP(AA8,PriceTable,12)*AC8*24+VLOOKUP(AA8,PriceTable,16)*AD8*24)/SUM(AB8:AD8)/24)+IF(BasisNumber_m=1,0,VLOOKUP(AA8,'Power Curves'!$BO$9:$BP$316,2))</f>
        <v>72.999992370605469</v>
      </c>
      <c r="AJ8" s="298">
        <f t="shared" ca="1" si="6"/>
        <v>0.7</v>
      </c>
      <c r="AM8" s="304">
        <f>Monthly!B76</f>
        <v>0</v>
      </c>
      <c r="AN8" s="304">
        <f>Monthly!C76</f>
        <v>1</v>
      </c>
      <c r="AO8" s="305">
        <f ca="1">OFFSET(Monthly!$BJ$11,Monthly!BO14,0)</f>
        <v>37073</v>
      </c>
      <c r="AP8" s="305">
        <f ca="1">OFFSET(Monthly!$BK$11,Monthly!BP14,0)</f>
        <v>37103</v>
      </c>
      <c r="AQ8" s="306">
        <f ca="1">OFFSET(Monthly!$BU$11,Monthly!BR14,1)</f>
        <v>1</v>
      </c>
      <c r="AR8" s="305">
        <f ca="1">OFFSET(Monthly!$BK$11,Monthly!BQ14,0)</f>
        <v>37072</v>
      </c>
      <c r="AS8" s="304">
        <f>Monthly!H76</f>
        <v>50</v>
      </c>
      <c r="AT8" s="313">
        <f>Monthly!I76</f>
        <v>90</v>
      </c>
      <c r="AU8" s="341">
        <f t="shared" ca="1" si="8"/>
        <v>115</v>
      </c>
      <c r="AV8" s="366">
        <f ca="1">IF(Monthly!$BS$12=FALSE,IF( OR(AQ8=1,AQ8=2),VLOOKUP(AO8,Monthly!$K$5:$L$36,2)+skewcalc(AN8,AU8,AT8,OFFSET(Override!$BI$4,Monthly!BO14+(1-AN8)*12-1,0, 1,3)),_xll.BASVOL(OFFSET(Override!$BY$5,Monthly!BO14-1,0,Monthly!BP14-Monthly!BO14,1),OFFSET(Override!$BZ$5,Monthly!BO14-1,0,Monthly!BP14-Monthly!BO14,1),OFFSET(Override!$CB$5,Monthly!BO14-1,0,Monthly!BP14-Monthly!BO14,1),OFFSET(Override!$CC$5,Monthly!BO14-1,0,Monthly!BP14-Monthly!BO14,1),OFFSET(Override!$Y$4,0,0,Monthly!BP14-Monthly!BO14,Monthly!BP14-Monthly!BO14),Calc!AR8-datetoday))+skewcalc(AN8,AU8,AT8,OFFSET(Override!$BI$4,Monthly!BO14+(1-AN8)*Override!$BJ$2-1,0, 1,3)), Monthly!M76)</f>
        <v>0.85</v>
      </c>
      <c r="AW8" s="337">
        <f ca="1">IF(driver_m=2, IF(AQ8=1,BD8,IF(AQ8=2,BE8,BF8)),Monthly!L76)</f>
        <v>32.372099797397141</v>
      </c>
      <c r="AX8" s="337">
        <f ca="1">IF(OR(AQ8=1, AQ8=3), _xll.EIMPVOL(AN8,ABS(AW8),AU8,AT8,AR8-datetoday,VLOOKUP(AO8,InputTable_m,4),VLOOKUP(AO8,InputTable_m,4),5,0.001,100), 0)</f>
        <v>0.84999360418864889</v>
      </c>
      <c r="AY8" s="337">
        <f ca="1">IF(AQ8=1,_xll.EURO_Forward(AU8,AT8,VLOOKUP(AO8, InputTable_m, 4),AV8,Calc!AO8-datetoday+1,Calc!AN8,1), IF(AQ8=2, 1, BG8))</f>
        <v>0.76989134579296969</v>
      </c>
      <c r="AZ8" s="337">
        <f ca="1">IF(AQ8=1, _xll.EURO_Forward(AU8,AT8,VLOOKUP(AO8, InputTable_m, 4),AV8,Calc!AO8-datetoday+1,Calc!AN8,2), IF(AQ8=2, 0,BH8))</f>
        <v>5.7409524540451016E-3</v>
      </c>
      <c r="BA8" s="337">
        <f ca="1">IF(AQ8=1, _xll.EURO_Forward(AU8,AT8,VLOOKUP(AO8, InputTable_m, 4),AV8,Calc!AO8-datetoday+1,Calc!AN8,3),IF(AQ8=2, 0,BI8))</f>
        <v>17.315474918152997</v>
      </c>
      <c r="BB8" s="337">
        <f ca="1">IF(AQ8=1, _xll.EURO_Forward(AU8,AT8,VLOOKUP(AO8, InputTable_m, 4),AV8,Calc!AO8-datetoday+1,Calc!AN8,5),IF(AQ8=2, 0,BJ8))</f>
        <v>-25.632034650595525</v>
      </c>
      <c r="BD8" s="304">
        <f ca="1">_xll.EURO_Forward(AU8,AT8,VLOOKUP(AO8, InputTable_m, 4),AV8,AR8-datetoday,Calc!AN8,0)</f>
        <v>32.372099797397141</v>
      </c>
      <c r="BE8" s="304">
        <f ca="1">swap(Monthly!BP14-Monthly!BO14, AU8,OFFSET(Override!$BY$5,Monthly!BO14-1,0,MAX(2,Monthly!BP14-Monthly!BO14)),AT8,OFFSET(Override!$CA$5,Monthly!BO14-1,0,MAX(2,Monthly!BP14-Monthly!BO14)),OFFSET(IF(peak_base_m=1, $AB$5, $AE$5),Monthly!BO14-1,0,MAX(2,Monthly!BP14-Monthly!BO14)),datetoday, AO8)</f>
        <v>25</v>
      </c>
      <c r="BF8" s="337" t="e">
        <f ca="1">_xll.SWAPTION(OFFSET(Override!$BY$5,Monthly!BO14-1,0,Monthly!BP14-Monthly!BO14,1),OFFSET(Override!$CC$5,Monthly!BO14-1,0,Monthly!BP14-Monthly!BO14,1),OFFSET(Override!$CD$5,Monthly!BO14-1,0,Monthly!BP14-Monthly!BO14,1),OFFSET(Override!$CA$5,Monthly!BO14-1,0,Monthly!BP14-Monthly!BO14,1),AV8,AT8,VLOOKUP(AO8,InputTable_m,4),(AR8-datetoday)/365.25,AN8,0,1)</f>
        <v>#VALUE!</v>
      </c>
      <c r="BG8" s="304">
        <f ca="1">SWAPTION_Greek(OFFSET(Override!$BY$5,Monthly!BO14-1,0,Monthly!BP14-Monthly!BO14,1),OFFSET(Override!$CC$5,Monthly!BO14-1,0,Monthly!BP14-Monthly!BO14,1),OFFSET(Override!$CD$5,Monthly!BO14-1,0,Monthly!BP14-Monthly!BO14,1),OFFSET(Override!$CA$5,Monthly!BO14-1,0,Monthly!BP14-Monthly!BO14,1),AT8,Monthly!BP14-Monthly!BO14, AV8,VLOOKUP(AO8,InputTable_m,4),datetoday, AO8,AR8,AN8,1)</f>
        <v>0.77114382578504703</v>
      </c>
      <c r="BH8" s="304">
        <f ca="1">SWAPTION_Greek(OFFSET(Override!$BY$5,Monthly!BO14-1,0,Monthly!BP14-Monthly!BO14,1),OFFSET(Override!$CC$5,Monthly!BO14-1,0,Monthly!BP14-Monthly!BO14,1),OFFSET(Override!$CD$5,Monthly!BO14-1,0,Monthly!BP14-Monthly!BO14,1),OFFSET(Override!$CA$5,Monthly!BO14-1,0,Monthly!BP14-Monthly!BO14,1),AT8,Monthly!BP14-Monthly!BO14, AV8,VLOOKUP(AO8,InputTable_m,4),datetoday, AO8,AR8,AN8,2)</f>
        <v>5.7863577935545682E-3</v>
      </c>
      <c r="BI8" s="304">
        <f ca="1">SWAPTION_Greek(OFFSET(Override!$BY$5,Monthly!BO14-1,0,Monthly!BP14-Monthly!BO14,1),OFFSET(Override!$CC$5,Monthly!BO14-1,0,Monthly!BP14-Monthly!BO14,1),OFFSET(Override!$CD$5,Monthly!BO14-1,0,Monthly!BP14-Monthly!BO14,1),OFFSET(Override!$CA$5,Monthly!BO14-1,0,Monthly!BP14-Monthly!BO14,1),AT8,Monthly!BP14-Monthly!BO14, AV8,VLOOKUP(AO8,InputTable_m,4),datetoday, AO8,AR8,AN8,3)</f>
        <v>17.096251544126897</v>
      </c>
      <c r="BJ8" s="304">
        <f ca="1">SWAPTION_Greek(OFFSET(Override!$BY$5,Monthly!BO14-1,0,Monthly!BP14-Monthly!BO14,1),OFFSET(Override!$CC$5,Monthly!BO14-1,0,Monthly!BP14-Monthly!BO14,1),OFFSET(Override!$CD$5,Monthly!BO14-1,0,Monthly!BP14-Monthly!BO14,1),OFFSET(Override!$CA$5,Monthly!BO14-1,0,Monthly!BP14-Monthly!BO14,1),AT8,Monthly!BP14-Monthly!BO14, AV8,VLOOKUP(AO8,InputTable_m,4),datetoday, AO8,AR8,AN8,5)</f>
        <v>-25.85674502758873</v>
      </c>
    </row>
    <row r="9" spans="2:62" ht="11.25" customHeight="1" x14ac:dyDescent="0.2">
      <c r="C9" s="304">
        <f>Daily!B49</f>
        <v>0</v>
      </c>
      <c r="D9" s="304">
        <f>Daily!C49</f>
        <v>1</v>
      </c>
      <c r="E9" s="305">
        <f ca="1">OFFSET(Daily!$BJ$11,Daily!BO15,0)</f>
        <v>37104</v>
      </c>
      <c r="F9" s="305">
        <f ca="1">OFFSET(Daily!$BK$11,Daily!BP15,0)</f>
        <v>37134</v>
      </c>
      <c r="G9" s="306">
        <f ca="1">OFFSET(Daily!$BU$11,Daily!BR15,1)</f>
        <v>1</v>
      </c>
      <c r="H9" s="305">
        <f ca="1">OFFSET(Daily!$BK$11,Daily!BQ15,0)</f>
        <v>37103</v>
      </c>
      <c r="I9" s="307">
        <f>Daily!H49</f>
        <v>50</v>
      </c>
      <c r="J9" s="307">
        <f>Daily!I49</f>
        <v>90</v>
      </c>
      <c r="K9" s="304">
        <f t="shared" ca="1" si="9"/>
        <v>115</v>
      </c>
      <c r="L9" s="303">
        <f ca="1">IF(Daily!BS15=FALSE, VLOOKUP(E9,Daily!$K$5:$L$28,2)+skewcalc(D9,K9,J9,OFFSET(Override!$AK$4,Daily!BO15+(1-D9)*Override!$AL$2-1,0, 1,3)), Daily!M49)</f>
        <v>0.7</v>
      </c>
      <c r="M9" s="304">
        <f ca="1">IF(driver=2, IF(G9=2, swap(Daily!BP15-Daily!BO15, K9,OFFSET(Override!$L$5,Daily!BO15-1,0,MAX(2,Daily!BP15-Daily!BO15)),J9,OFFSET(Override!$N$5,Daily!BO15-1,0,MAX(2,Daily!BP15-Daily!BO15)),OFFSET(IF(peak_base=1, $AB$5, $AE$5),Daily!BO15-1,0,MAX(2,Daily!BP15-Daily!BO15)),datetoday, E9),dailyvaluation(K9,J9,VLOOKUP(E9, InputTable, 4),L9,CindailyPrices,peak_base,datetoday, E9,F9,D9,0)), Daily!L49)</f>
        <v>0</v>
      </c>
      <c r="N9" s="304">
        <f ca="1">IF(G9=1, _xll.EIMPVOL(D9,ABS(M9),K9,J9,H9-datetoday+15,VLOOKUP(E9,InputTable,4),VLOOKUP(E9,InputTable,4),5,0.001,100), 0)</f>
        <v>-1</v>
      </c>
      <c r="O9" s="304">
        <f t="shared" ca="1" si="7"/>
        <v>0.766388142660267</v>
      </c>
      <c r="P9" s="304">
        <f t="shared" ca="1" si="10"/>
        <v>5.758673130738203E-3</v>
      </c>
      <c r="Q9" s="304">
        <f t="shared" ca="1" si="11"/>
        <v>20.562403493979691</v>
      </c>
      <c r="R9" s="304">
        <f t="shared" ca="1" si="12"/>
        <v>-16.902614085692345</v>
      </c>
      <c r="U9" s="214">
        <v>36678</v>
      </c>
      <c r="V9" s="212">
        <v>22</v>
      </c>
      <c r="W9" s="212">
        <v>4</v>
      </c>
      <c r="X9" s="212">
        <v>4</v>
      </c>
      <c r="Y9" s="213">
        <v>0</v>
      </c>
      <c r="AA9" s="293">
        <f t="shared" ca="1" si="4"/>
        <v>37073</v>
      </c>
      <c r="AB9" s="291">
        <f t="shared" ca="1" si="0"/>
        <v>21</v>
      </c>
      <c r="AC9" s="291">
        <f t="shared" ca="1" si="1"/>
        <v>4</v>
      </c>
      <c r="AD9" s="291">
        <f t="shared" ca="1" si="2"/>
        <v>6</v>
      </c>
      <c r="AE9" s="292">
        <f t="shared" ca="1" si="3"/>
        <v>31</v>
      </c>
      <c r="AF9" s="296">
        <f ca="1">IF(peak_base=1,VLOOKUP(AA9,PriceTable,3),(VLOOKUP(AA9,PriceTable,3)*16*AB9+VLOOKUP(AA9,PriceTable,7)*8*AB9 +VLOOKUP(AA9,PriceTable,12)*AC9*24+VLOOKUP(AA9,PriceTable,16)*AD9*24)/SUM(AB9:AD9)/24)+IF(BasisNumber=1,0,VLOOKUP(AA9,'Power Curves'!$BO$9:$BP$316,2))</f>
        <v>115</v>
      </c>
      <c r="AG9" s="254">
        <f t="shared" ca="1" si="5"/>
        <v>0.85</v>
      </c>
      <c r="AH9" s="287">
        <f ca="1">VLOOKUP(AA9,'Power Curves'!$A$4:$B$261,2)</f>
        <v>5.5225338053079026E-2</v>
      </c>
      <c r="AI9" s="297">
        <f ca="1">IF(peak_base_m=1,VLOOKUP(AA9,PriceTable,3),(VLOOKUP(AA9,PriceTable,3)*16*AB9+VLOOKUP(AA9,PriceTable,7)*8*AB9 +VLOOKUP(AA9,PriceTable,12)*AC9*24+VLOOKUP(AA9,PriceTable,16)*AD9*24)/SUM(AB9:AD9)/24)+IF(BasisNumber_m=1,0,VLOOKUP(AA9,'Power Curves'!$BO$9:$BP$316,2))</f>
        <v>115</v>
      </c>
      <c r="AJ9" s="298">
        <f t="shared" ca="1" si="6"/>
        <v>0.85</v>
      </c>
      <c r="AM9" s="304">
        <f>Monthly!B77</f>
        <v>0</v>
      </c>
      <c r="AN9" s="304">
        <f>Monthly!C77</f>
        <v>1</v>
      </c>
      <c r="AO9" s="305">
        <f ca="1">OFFSET(Monthly!$BJ$11,Monthly!BO15,0)</f>
        <v>37104</v>
      </c>
      <c r="AP9" s="305">
        <f ca="1">OFFSET(Monthly!$BK$11,Monthly!BP15,0)</f>
        <v>37134</v>
      </c>
      <c r="AQ9" s="306">
        <f ca="1">OFFSET(Monthly!$BU$11,Monthly!BR15,1)</f>
        <v>1</v>
      </c>
      <c r="AR9" s="305">
        <f ca="1">OFFSET(Monthly!$BK$11,Monthly!BQ15,0)</f>
        <v>37103</v>
      </c>
      <c r="AS9" s="304">
        <f>Monthly!H77</f>
        <v>50</v>
      </c>
      <c r="AT9" s="313">
        <f>Monthly!I77</f>
        <v>90</v>
      </c>
      <c r="AU9" s="341">
        <f t="shared" ca="1" si="8"/>
        <v>115</v>
      </c>
      <c r="AV9" s="366">
        <f ca="1">IF(Monthly!$BS$12=FALSE,IF( OR(AQ9=1,AQ9=2),VLOOKUP(AO9,Monthly!$K$5:$L$36,2)+skewcalc(AN9,AU9,AT9,OFFSET(Override!$BI$4,Monthly!BO15+(1-AN9)*12-1,0, 1,3)),_xll.BASVOL(OFFSET(Override!$BY$5,Monthly!BO15-1,0,Monthly!BP15-Monthly!BO15,1),OFFSET(Override!$BZ$5,Monthly!BO15-1,0,Monthly!BP15-Monthly!BO15,1),OFFSET(Override!$CB$5,Monthly!BO15-1,0,Monthly!BP15-Monthly!BO15,1),OFFSET(Override!$CC$5,Monthly!BO15-1,0,Monthly!BP15-Monthly!BO15,1),OFFSET(Override!$Y$4,0,0,Monthly!BP15-Monthly!BO15,Monthly!BP15-Monthly!BO15),Calc!AR9-datetoday))+skewcalc(AN9,AU9,AT9,OFFSET(Override!$BI$4,Monthly!BO15+(1-AN9)*Override!$BJ$2-1,0, 1,3)), Monthly!M77)</f>
        <v>0.7</v>
      </c>
      <c r="AW9" s="337">
        <f ca="1">IF(driver_m=2, IF(AQ9=1,BD9,IF(AQ9=2,BE9,BF9)),Monthly!L77)</f>
        <v>31.469065941989548</v>
      </c>
      <c r="AX9" s="337">
        <f ca="1">IF(OR(AQ9=1, AQ9=3), _xll.EIMPVOL(AN9,ABS(AW9),AU9,AT9,AR9-datetoday,VLOOKUP(AO9,InputTable_m,4),VLOOKUP(AO9,InputTable_m,4),5,0.001,100), 0)</f>
        <v>0.69997500324393236</v>
      </c>
      <c r="AY9" s="337">
        <f ca="1">IF(AQ9=1,_xll.EURO_Forward(AU9,AT9,VLOOKUP(AO9, InputTable_m, 4),AV9,Calc!AO9-datetoday+1,Calc!AN9,1), IF(AQ9=2, 1, BG9))</f>
        <v>0.77228763662900091</v>
      </c>
      <c r="AZ9" s="337">
        <f ca="1">IF(AQ9=1, _xll.EURO_Forward(AU9,AT9,VLOOKUP(AO9, InputTable_m, 4),AV9,Calc!AO9-datetoday+1,Calc!AN9,2), IF(AQ9=2, 0,BH9))</f>
        <v>5.9527215451597535E-3</v>
      </c>
      <c r="BA9" s="337">
        <f ca="1">IF(AQ9=1, _xll.EURO_Forward(AU9,AT9,VLOOKUP(AO9, InputTable_m, 4),AV9,Calc!AO9-datetoday+1,Calc!AN9,3),IF(AQ9=2, 0,BI9))</f>
        <v>19.46295480316719</v>
      </c>
      <c r="BB9" s="337">
        <f ca="1">IF(AQ9=1, _xll.EURO_Forward(AU9,AT9,VLOOKUP(AO9, InputTable_m, 4),AV9,Calc!AO9-datetoday+1,Calc!AN9,5),IF(AQ9=2, 0,BJ9))</f>
        <v>-17.562112814652473</v>
      </c>
      <c r="BD9" s="304">
        <f ca="1">_xll.EURO_Forward(AU9,AT9,VLOOKUP(AO9, InputTable_m, 4),AV9,AR9-datetoday,Calc!AN9,0)</f>
        <v>31.469065941989548</v>
      </c>
      <c r="BE9" s="304">
        <f ca="1">swap(Monthly!BP15-Monthly!BO15, AU9,OFFSET(Override!$BY$5,Monthly!BO15-1,0,MAX(2,Monthly!BP15-Monthly!BO15)),AT9,OFFSET(Override!$CA$5,Monthly!BO15-1,0,MAX(2,Monthly!BP15-Monthly!BO15)),OFFSET(IF(peak_base_m=1, $AB$5, $AE$5),Monthly!BO15-1,0,MAX(2,Monthly!BP15-Monthly!BO15)),datetoday, AO9)</f>
        <v>25</v>
      </c>
      <c r="BF9" s="337" t="e">
        <f ca="1">_xll.SWAPTION(OFFSET(Override!$BY$5,Monthly!BO15-1,0,Monthly!BP15-Monthly!BO15,1),OFFSET(Override!$CC$5,Monthly!BO15-1,0,Monthly!BP15-Monthly!BO15,1),OFFSET(Override!$CD$5,Monthly!BO15-1,0,Monthly!BP15-Monthly!BO15,1),OFFSET(Override!$CA$5,Monthly!BO15-1,0,Monthly!BP15-Monthly!BO15,1),AV9,AT9,VLOOKUP(AO9,InputTable_m,4),(AR9-datetoday)/365.25,AN9,0,1)</f>
        <v>#VALUE!</v>
      </c>
      <c r="BG9" s="304">
        <f ca="1">SWAPTION_Greek(OFFSET(Override!$BY$5,Monthly!BO15-1,0,Monthly!BP15-Monthly!BO15,1),OFFSET(Override!$CC$5,Monthly!BO15-1,0,Monthly!BP15-Monthly!BO15,1),OFFSET(Override!$CD$5,Monthly!BO15-1,0,Monthly!BP15-Monthly!BO15,1),OFFSET(Override!$CA$5,Monthly!BO15-1,0,Monthly!BP15-Monthly!BO15,1),AT9,Monthly!BP15-Monthly!BO15, AV9,VLOOKUP(AO9,InputTable_m,4),datetoday, AO9,AR9,AN9,1)</f>
        <v>0.77337319158639917</v>
      </c>
      <c r="BH9" s="304">
        <f ca="1">SWAPTION_Greek(OFFSET(Override!$BY$5,Monthly!BO15-1,0,Monthly!BP15-Monthly!BO15,1),OFFSET(Override!$CC$5,Monthly!BO15-1,0,Monthly!BP15-Monthly!BO15,1),OFFSET(Override!$CD$5,Monthly!BO15-1,0,Monthly!BP15-Monthly!BO15,1),OFFSET(Override!$CA$5,Monthly!BO15-1,0,Monthly!BP15-Monthly!BO15,1),AT9,Monthly!BP15-Monthly!BO15, AV9,VLOOKUP(AO9,InputTable_m,4),datetoday, AO9,AR9,AN9,2)</f>
        <v>5.9868301224880512E-3</v>
      </c>
      <c r="BI9" s="304">
        <f ca="1">SWAPTION_Greek(OFFSET(Override!$BY$5,Monthly!BO15-1,0,Monthly!BP15-Monthly!BO15,1),OFFSET(Override!$CC$5,Monthly!BO15-1,0,Monthly!BP15-Monthly!BO15,1),OFFSET(Override!$CD$5,Monthly!BO15-1,0,Monthly!BP15-Monthly!BO15,1),OFFSET(Override!$CA$5,Monthly!BO15-1,0,Monthly!BP15-Monthly!BO15,1),AT9,Monthly!BP15-Monthly!BO15, AV9,VLOOKUP(AO9,InputTable_m,4),datetoday, AO9,AR9,AN9,3)</f>
        <v>19.270995597767307</v>
      </c>
      <c r="BJ9" s="304">
        <f ca="1">SWAPTION_Greek(OFFSET(Override!$BY$5,Monthly!BO15-1,0,Monthly!BP15-Monthly!BO15,1),OFFSET(Override!$CC$5,Monthly!BO15-1,0,Monthly!BP15-Monthly!BO15,1),OFFSET(Override!$CD$5,Monthly!BO15-1,0,Monthly!BP15-Monthly!BO15,1),OFFSET(Override!$CA$5,Monthly!BO15-1,0,Monthly!BP15-Monthly!BO15,1),AT9,Monthly!BP15-Monthly!BO15, AV9,VLOOKUP(AO9,InputTable_m,4),datetoday, AO9,AR9,AN9,5)</f>
        <v>-17.677902783485614</v>
      </c>
    </row>
    <row r="10" spans="2:62" ht="11.25" customHeight="1" x14ac:dyDescent="0.2">
      <c r="C10" s="304">
        <f>Daily!B50</f>
        <v>0</v>
      </c>
      <c r="D10" s="304">
        <f>Daily!C50</f>
        <v>1</v>
      </c>
      <c r="E10" s="305">
        <f ca="1">OFFSET(Daily!$BJ$11,Daily!BO16,0)</f>
        <v>37165</v>
      </c>
      <c r="F10" s="305">
        <f ca="1">OFFSET(Daily!$BK$11,Daily!BP16,0)</f>
        <v>37195</v>
      </c>
      <c r="G10" s="306">
        <f ca="1">OFFSET(Daily!$BU$11,Daily!BR16,1)</f>
        <v>2</v>
      </c>
      <c r="H10" s="305">
        <f ca="1">OFFSET(Daily!$BK$11,Daily!BQ16,0)</f>
        <v>37164</v>
      </c>
      <c r="I10" s="307">
        <f>Daily!H50</f>
        <v>50</v>
      </c>
      <c r="J10" s="307">
        <f>Daily!I50</f>
        <v>75</v>
      </c>
      <c r="K10" s="304">
        <f t="shared" ca="1" si="9"/>
        <v>41.400001525878906</v>
      </c>
      <c r="L10" s="303">
        <f ca="1">IF(Daily!BS16=FALSE, VLOOKUP(E10,Daily!$K$5:$L$28,2)+skewcalc(D10,K10,J10,OFFSET(Override!$AK$4,Daily!BO16+(1-D10)*Override!$AL$2-1,0, 1,3)), Daily!M50)</f>
        <v>0.65893311177089542</v>
      </c>
      <c r="M10" s="304">
        <f ca="1">IF(driver=2, IF(G10=2, swap(Daily!BP16-Daily!BO16, K10,OFFSET(Override!$L$5,Daily!BO16-1,0,MAX(2,Daily!BP16-Daily!BO16)),J10,OFFSET(Override!$N$5,Daily!BO16-1,0,MAX(2,Daily!BP16-Daily!BO16)),OFFSET(IF(peak_base=1, $AB$5, $AE$5),Daily!BO16-1,0,MAX(2,Daily!BP16-Daily!BO16)),datetoday, E10),dailyvaluation(K10,J10,VLOOKUP(E10, InputTable, 4),L10,CindailyPrices,peak_base,datetoday, E10,F10,D10,0)), Daily!L50)</f>
        <v>0</v>
      </c>
      <c r="N10" s="304">
        <f ca="1">IF(G10=1, _xll.EIMPVOL(D10,ABS(M10),K10,J10,H10-datetoday+15,VLOOKUP(E10,InputTable,4),VLOOKUP(E10,InputTable,4),5,0.001,100), 0)</f>
        <v>0</v>
      </c>
      <c r="O10" s="304">
        <f t="shared" ca="1" si="7"/>
        <v>1</v>
      </c>
      <c r="P10" s="304">
        <f t="shared" ca="1" si="10"/>
        <v>0</v>
      </c>
      <c r="Q10" s="304">
        <f t="shared" ca="1" si="11"/>
        <v>0</v>
      </c>
      <c r="R10" s="304">
        <f t="shared" ca="1" si="12"/>
        <v>0</v>
      </c>
      <c r="U10" s="214">
        <v>36708</v>
      </c>
      <c r="V10" s="212">
        <v>20</v>
      </c>
      <c r="W10" s="212">
        <v>5</v>
      </c>
      <c r="X10" s="212">
        <v>6</v>
      </c>
      <c r="Y10" s="213">
        <v>1</v>
      </c>
      <c r="AA10" s="293">
        <f t="shared" ca="1" si="4"/>
        <v>37104</v>
      </c>
      <c r="AB10" s="291">
        <f t="shared" ca="1" si="0"/>
        <v>23</v>
      </c>
      <c r="AC10" s="291">
        <f t="shared" ca="1" si="1"/>
        <v>4</v>
      </c>
      <c r="AD10" s="291">
        <f t="shared" ca="1" si="2"/>
        <v>4</v>
      </c>
      <c r="AE10" s="292">
        <f t="shared" ca="1" si="3"/>
        <v>31</v>
      </c>
      <c r="AF10" s="296">
        <f ca="1">IF(peak_base=1,VLOOKUP(AA10,PriceTable,3),(VLOOKUP(AA10,PriceTable,3)*16*AB10+VLOOKUP(AA10,PriceTable,7)*8*AB10 +VLOOKUP(AA10,PriceTable,12)*AC10*24+VLOOKUP(AA10,PriceTable,16)*AD10*24)/SUM(AB10:AD10)/24)+IF(BasisNumber=1,0,VLOOKUP(AA10,'Power Curves'!$BO$9:$BP$316,2))</f>
        <v>115</v>
      </c>
      <c r="AG10" s="254">
        <f t="shared" ca="1" si="5"/>
        <v>0.7</v>
      </c>
      <c r="AH10" s="287">
        <f ca="1">VLOOKUP(AA10,'Power Curves'!$A$4:$B$261,2)</f>
        <v>5.4662415793083008E-2</v>
      </c>
      <c r="AI10" s="297">
        <f ca="1">IF(peak_base_m=1,VLOOKUP(AA10,PriceTable,3),(VLOOKUP(AA10,PriceTable,3)*16*AB10+VLOOKUP(AA10,PriceTable,7)*8*AB10 +VLOOKUP(AA10,PriceTable,12)*AC10*24+VLOOKUP(AA10,PriceTable,16)*AD10*24)/SUM(AB10:AD10)/24)+IF(BasisNumber_m=1,0,VLOOKUP(AA10,'Power Curves'!$BO$9:$BP$316,2))</f>
        <v>115</v>
      </c>
      <c r="AJ10" s="298">
        <f t="shared" ca="1" si="6"/>
        <v>0.7</v>
      </c>
      <c r="AM10" s="304">
        <f>Monthly!B78</f>
        <v>0</v>
      </c>
      <c r="AN10" s="304">
        <f>Monthly!C78</f>
        <v>1</v>
      </c>
      <c r="AO10" s="305">
        <f ca="1">OFFSET(Monthly!$BJ$11,Monthly!BO16,0)</f>
        <v>37165</v>
      </c>
      <c r="AP10" s="305">
        <f ca="1">OFFSET(Monthly!$BK$11,Monthly!BP16,0)</f>
        <v>37195</v>
      </c>
      <c r="AQ10" s="306">
        <f ca="1">OFFSET(Monthly!$BU$11,Monthly!BR16,1)</f>
        <v>2</v>
      </c>
      <c r="AR10" s="305">
        <f ca="1">OFFSET(Monthly!$BK$11,Monthly!BQ16,0)</f>
        <v>37164</v>
      </c>
      <c r="AS10" s="304">
        <f>Monthly!H78</f>
        <v>50</v>
      </c>
      <c r="AT10" s="313">
        <f>Monthly!I78</f>
        <v>75</v>
      </c>
      <c r="AU10" s="341">
        <f t="shared" ca="1" si="8"/>
        <v>41.400001525878906</v>
      </c>
      <c r="AV10" s="366">
        <f ca="1">IF(Monthly!$BS$12=FALSE,IF( OR(AQ10=1,AQ10=2),VLOOKUP(AO10,Monthly!$K$5:$L$36,2)+skewcalc(AN10,AU10,AT10,OFFSET(Override!$BI$4,Monthly!BO16+(1-AN10)*12-1,0, 1,3)),_xll.BASVOL(OFFSET(Override!$BY$5,Monthly!BO16-1,0,Monthly!BP16-Monthly!BO16,1),OFFSET(Override!$BZ$5,Monthly!BO16-1,0,Monthly!BP16-Monthly!BO16,1),OFFSET(Override!$CB$5,Monthly!BO16-1,0,Monthly!BP16-Monthly!BO16,1),OFFSET(Override!$CC$5,Monthly!BO16-1,0,Monthly!BP16-Monthly!BO16,1),OFFSET(Override!$Y$4,0,0,Monthly!BP16-Monthly!BO16,Monthly!BP16-Monthly!BO16),Calc!AR10-datetoday))+skewcalc(AN10,AU10,AT10,OFFSET(Override!$BI$4,Monthly!BO16+(1-AN10)*Override!$BJ$2-1,0, 1,3)), Monthly!M78)</f>
        <v>0.81786622354179084</v>
      </c>
      <c r="AW10" s="337">
        <f ca="1">IF(driver_m=2, IF(AQ10=1,BD10,IF(AQ10=2,BE10,BF10)),Monthly!L78)</f>
        <v>-33.599998474121094</v>
      </c>
      <c r="AX10" s="337">
        <f ca="1">IF(OR(AQ10=1, AQ10=3), _xll.EIMPVOL(AN10,ABS(AW10),AU10,AT10,AR10-datetoday,VLOOKUP(AO10,InputTable_m,4),VLOOKUP(AO10,InputTable_m,4),5,0.001,100), 0)</f>
        <v>0</v>
      </c>
      <c r="AY10" s="337">
        <f ca="1">IF(AQ10=1,_xll.EURO_Forward(AU10,AT10,VLOOKUP(AO10, InputTable_m, 4),AV10,Calc!AO10-datetoday+1,Calc!AN10,1), IF(AQ10=2, 1, BG10))</f>
        <v>1</v>
      </c>
      <c r="AZ10" s="337">
        <f ca="1">IF(AQ10=1, _xll.EURO_Forward(AU10,AT10,VLOOKUP(AO10, InputTable_m, 4),AV10,Calc!AO10-datetoday+1,Calc!AN10,2), IF(AQ10=2, 0,BH10))</f>
        <v>0</v>
      </c>
      <c r="BA10" s="337">
        <f ca="1">IF(AQ10=1, _xll.EURO_Forward(AU10,AT10,VLOOKUP(AO10, InputTable_m, 4),AV10,Calc!AO10-datetoday+1,Calc!AN10,3),IF(AQ10=2, 0,BI10))</f>
        <v>0</v>
      </c>
      <c r="BB10" s="337">
        <f ca="1">IF(AQ10=1, _xll.EURO_Forward(AU10,AT10,VLOOKUP(AO10, InputTable_m, 4),AV10,Calc!AO10-datetoday+1,Calc!AN10,5),IF(AQ10=2, 0,BJ10))</f>
        <v>0</v>
      </c>
      <c r="BD10" s="304">
        <f ca="1">_xll.EURO_Forward(AU10,AT10,VLOOKUP(AO10, InputTable_m, 4),AV10,AR10-datetoday,Calc!AN10,0)</f>
        <v>2.5163102937239383</v>
      </c>
      <c r="BE10" s="304">
        <f ca="1">swap(Monthly!BP16-Monthly!BO16, AU10,OFFSET(Override!$BY$5,Monthly!BO16-1,0,MAX(2,Monthly!BP16-Monthly!BO16)),AT10,OFFSET(Override!$CA$5,Monthly!BO16-1,0,MAX(2,Monthly!BP16-Monthly!BO16)),OFFSET(IF(peak_base_m=1, $AB$5, $AE$5),Monthly!BO16-1,0,MAX(2,Monthly!BP16-Monthly!BO16)),datetoday, AO10)</f>
        <v>-33.599998474121094</v>
      </c>
      <c r="BF10" s="337" t="e">
        <f ca="1">_xll.SWAPTION(OFFSET(Override!$BY$5,Monthly!BO16-1,0,Monthly!BP16-Monthly!BO16,1),OFFSET(Override!$CC$5,Monthly!BO16-1,0,Monthly!BP16-Monthly!BO16,1),OFFSET(Override!$CD$5,Monthly!BO16-1,0,Monthly!BP16-Monthly!BO16,1),OFFSET(Override!$CA$5,Monthly!BO16-1,0,Monthly!BP16-Monthly!BO16,1),AV10,AT10,VLOOKUP(AO10,InputTable_m,4),(AR10-datetoday)/365.25,AN10,0,1)</f>
        <v>#VALUE!</v>
      </c>
      <c r="BG10" s="304">
        <f ca="1">SWAPTION_Greek(OFFSET(Override!$BY$5,Monthly!BO16-1,0,Monthly!BP16-Monthly!BO16,1),OFFSET(Override!$CC$5,Monthly!BO16-1,0,Monthly!BP16-Monthly!BO16,1),OFFSET(Override!$CD$5,Monthly!BO16-1,0,Monthly!BP16-Monthly!BO16,1),OFFSET(Override!$CA$5,Monthly!BO16-1,0,Monthly!BP16-Monthly!BO16,1),AT10,Monthly!BP16-Monthly!BO16, AV10,VLOOKUP(AO10,InputTable_m,4),datetoday, AO10,AR10,AN10,1)</f>
        <v>0.22952029203587085</v>
      </c>
      <c r="BH10" s="304">
        <f ca="1">SWAPTION_Greek(OFFSET(Override!$BY$5,Monthly!BO16-1,0,Monthly!BP16-Monthly!BO16,1),OFFSET(Override!$CC$5,Monthly!BO16-1,0,Monthly!BP16-Monthly!BO16,1),OFFSET(Override!$CD$5,Monthly!BO16-1,0,Monthly!BP16-Monthly!BO16,1),OFFSET(Override!$CA$5,Monthly!BO16-1,0,Monthly!BP16-Monthly!BO16,1),AT10,Monthly!BP16-Monthly!BO16, AV10,VLOOKUP(AO10,InputTable_m,4),datetoday, AO10,AR10,AN10,2)</f>
        <v>1.2332232054676401E-2</v>
      </c>
      <c r="BI10" s="304">
        <f ca="1">SWAPTION_Greek(OFFSET(Override!$BY$5,Monthly!BO16-1,0,Monthly!BP16-Monthly!BO16,1),OFFSET(Override!$CC$5,Monthly!BO16-1,0,Monthly!BP16-Monthly!BO16,1),OFFSET(Override!$CD$5,Monthly!BO16-1,0,Monthly!BP16-Monthly!BO16,1),OFFSET(Override!$CA$5,Monthly!BO16-1,0,Monthly!BP16-Monthly!BO16,1),AT10,Monthly!BP16-Monthly!BO16, AV10,VLOOKUP(AO10,InputTable_m,4),datetoday, AO10,AR10,AN10,3)</f>
        <v>8.897997923907516</v>
      </c>
      <c r="BJ10" s="304">
        <f ca="1">SWAPTION_Greek(OFFSET(Override!$BY$5,Monthly!BO16-1,0,Monthly!BP16-Monthly!BO16,1),OFFSET(Override!$CC$5,Monthly!BO16-1,0,Monthly!BP16-Monthly!BO16,1),OFFSET(Override!$CD$5,Monthly!BO16-1,0,Monthly!BP16-Monthly!BO16,1),OFFSET(Override!$CA$5,Monthly!BO16-1,0,Monthly!BP16-Monthly!BO16,1),AT10,Monthly!BP16-Monthly!BO16, AV10,VLOOKUP(AO10,InputTable_m,4),datetoday, AO10,AR10,AN10,5)</f>
        <v>-6.9336307322860993</v>
      </c>
    </row>
    <row r="11" spans="2:62" ht="11.25" customHeight="1" x14ac:dyDescent="0.2">
      <c r="C11" s="304">
        <f>Daily!B51</f>
        <v>0</v>
      </c>
      <c r="D11" s="304">
        <f>Daily!C51</f>
        <v>1</v>
      </c>
      <c r="E11" s="305">
        <f ca="1">OFFSET(Daily!$BJ$11,Daily!BO17,0)</f>
        <v>37196</v>
      </c>
      <c r="F11" s="305">
        <f ca="1">OFFSET(Daily!$BK$11,Daily!BP17,0)</f>
        <v>37225</v>
      </c>
      <c r="G11" s="306">
        <f ca="1">OFFSET(Daily!$BU$11,Daily!BR17,1)</f>
        <v>2</v>
      </c>
      <c r="H11" s="305">
        <f ca="1">OFFSET(Daily!$BK$11,Daily!BQ17,0)</f>
        <v>37195</v>
      </c>
      <c r="I11" s="307">
        <f>Daily!H51</f>
        <v>50</v>
      </c>
      <c r="J11" s="307">
        <f>Daily!I51</f>
        <v>65.89</v>
      </c>
      <c r="K11" s="304">
        <f t="shared" ca="1" si="9"/>
        <v>41.5</v>
      </c>
      <c r="L11" s="303">
        <f ca="1">IF(Daily!BS17=FALSE, VLOOKUP(E11,Daily!$K$5:$L$28,2)+skewcalc(D11,K11,J11,OFFSET(Override!$AK$4,Daily!BO17+(1-D11)*Override!$AL$2-1,0, 1,3)), Daily!M51)</f>
        <v>0.6066824766508927</v>
      </c>
      <c r="M11" s="304">
        <f ca="1">IF(driver=2, IF(G11=2, swap(Daily!BP17-Daily!BO17, K11,OFFSET(Override!$L$5,Daily!BO17-1,0,MAX(2,Daily!BP17-Daily!BO17)),J11,OFFSET(Override!$N$5,Daily!BO17-1,0,MAX(2,Daily!BP17-Daily!BO17)),OFFSET(IF(peak_base=1, $AB$5, $AE$5),Daily!BO17-1,0,MAX(2,Daily!BP17-Daily!BO17)),datetoday, E11),dailyvaluation(K11,J11,VLOOKUP(E11, InputTable, 4),L11,CindailyPrices,peak_base,datetoday, E11,F11,D11,0)), Daily!L51)</f>
        <v>0</v>
      </c>
      <c r="N11" s="304">
        <f ca="1">IF(G11=1, _xll.EIMPVOL(D11,ABS(M11),K11,J11,H11-datetoday+15,VLOOKUP(E11,InputTable,4),VLOOKUP(E11,InputTable,4),5,0.001,100), 0)</f>
        <v>0</v>
      </c>
      <c r="O11" s="304">
        <f t="shared" ca="1" si="7"/>
        <v>1</v>
      </c>
      <c r="P11" s="304">
        <f t="shared" ca="1" si="10"/>
        <v>0</v>
      </c>
      <c r="Q11" s="304">
        <f t="shared" ca="1" si="11"/>
        <v>0</v>
      </c>
      <c r="R11" s="304">
        <f t="shared" ca="1" si="12"/>
        <v>0</v>
      </c>
      <c r="U11" s="214">
        <v>36739</v>
      </c>
      <c r="V11" s="212">
        <v>23</v>
      </c>
      <c r="W11" s="212">
        <v>4</v>
      </c>
      <c r="X11" s="212">
        <v>4</v>
      </c>
      <c r="Y11" s="213">
        <v>0</v>
      </c>
      <c r="AA11" s="293">
        <f t="shared" ca="1" si="4"/>
        <v>37135</v>
      </c>
      <c r="AB11" s="291">
        <f t="shared" ca="1" si="0"/>
        <v>19</v>
      </c>
      <c r="AC11" s="291">
        <f t="shared" ca="1" si="1"/>
        <v>5</v>
      </c>
      <c r="AD11" s="291">
        <f t="shared" ca="1" si="2"/>
        <v>6</v>
      </c>
      <c r="AE11" s="292">
        <f t="shared" ca="1" si="3"/>
        <v>30</v>
      </c>
      <c r="AF11" s="296">
        <f ca="1">IF(peak_base=1,VLOOKUP(AA11,PriceTable,3),(VLOOKUP(AA11,PriceTable,3)*16*AB11+VLOOKUP(AA11,PriceTable,7)*8*AB11 +VLOOKUP(AA11,PriceTable,12)*AC11*24+VLOOKUP(AA11,PriceTable,16)*AD11*24)/SUM(AB11:AD11)/24)+IF(BasisNumber=1,0,VLOOKUP(AA11,'Power Curves'!$BO$9:$BP$316,2))</f>
        <v>43.500003814697266</v>
      </c>
      <c r="AG11" s="254">
        <f t="shared" ca="1" si="5"/>
        <v>0.6</v>
      </c>
      <c r="AH11" s="287">
        <f ca="1">VLOOKUP(AA11,'Power Curves'!$A$4:$B$261,2)</f>
        <v>5.4217519160728998E-2</v>
      </c>
      <c r="AI11" s="297">
        <f ca="1">IF(peak_base_m=1,VLOOKUP(AA11,PriceTable,3),(VLOOKUP(AA11,PriceTable,3)*16*AB11+VLOOKUP(AA11,PriceTable,7)*8*AB11 +VLOOKUP(AA11,PriceTable,12)*AC11*24+VLOOKUP(AA11,PriceTable,16)*AD11*24)/SUM(AB11:AD11)/24)+IF(BasisNumber_m=1,0,VLOOKUP(AA11,'Power Curves'!$BO$9:$BP$316,2))</f>
        <v>43.500003814697266</v>
      </c>
      <c r="AJ11" s="298">
        <f t="shared" ca="1" si="6"/>
        <v>0.6</v>
      </c>
      <c r="AM11" s="304">
        <f>Monthly!B79</f>
        <v>0</v>
      </c>
      <c r="AN11" s="304">
        <f>Monthly!C79</f>
        <v>1</v>
      </c>
      <c r="AO11" s="305">
        <f ca="1">OFFSET(Monthly!$BJ$11,Monthly!BO17,0)</f>
        <v>37196</v>
      </c>
      <c r="AP11" s="305">
        <f ca="1">OFFSET(Monthly!$BK$11,Monthly!BP17,0)</f>
        <v>37225</v>
      </c>
      <c r="AQ11" s="306">
        <f ca="1">OFFSET(Monthly!$BU$11,Monthly!BR17,1)</f>
        <v>2</v>
      </c>
      <c r="AR11" s="305">
        <f ca="1">OFFSET(Monthly!$BK$11,Monthly!BQ17,0)</f>
        <v>37195</v>
      </c>
      <c r="AS11" s="304">
        <f>Monthly!H79</f>
        <v>50</v>
      </c>
      <c r="AT11" s="313">
        <f>Monthly!I79</f>
        <v>65.89</v>
      </c>
      <c r="AU11" s="341">
        <f t="shared" ca="1" si="8"/>
        <v>41.5</v>
      </c>
      <c r="AV11" s="366">
        <f ca="1">IF(Monthly!$BS$12=FALSE,IF( OR(AQ11=1,AQ11=2),VLOOKUP(AO11,Monthly!$K$5:$L$36,2)+skewcalc(AN11,AU11,AT11,OFFSET(Override!$BI$4,Monthly!BO17+(1-AN11)*12-1,0, 1,3)),_xll.BASVOL(OFFSET(Override!$BY$5,Monthly!BO17-1,0,Monthly!BP17-Monthly!BO17,1),OFFSET(Override!$BZ$5,Monthly!BO17-1,0,Monthly!BP17-Monthly!BO17,1),OFFSET(Override!$CB$5,Monthly!BO17-1,0,Monthly!BP17-Monthly!BO17,1),OFFSET(Override!$CC$5,Monthly!BO17-1,0,Monthly!BP17-Monthly!BO17,1),OFFSET(Override!$Y$4,0,0,Monthly!BP17-Monthly!BO17,Monthly!BP17-Monthly!BO17),Calc!AR11-datetoday))+skewcalc(AN11,AU11,AT11,OFFSET(Override!$BI$4,Monthly!BO17+(1-AN11)*Override!$BJ$2-1,0, 1,3)), Monthly!M79)</f>
        <v>0.73836495330178553</v>
      </c>
      <c r="AW11" s="337">
        <f ca="1">IF(driver_m=2, IF(AQ11=1,BD11,IF(AQ11=2,BE11,BF11)),Monthly!L79)</f>
        <v>-24.39</v>
      </c>
      <c r="AX11" s="337">
        <f ca="1">IF(OR(AQ11=1, AQ11=3), _xll.EIMPVOL(AN11,ABS(AW11),AU11,AT11,AR11-datetoday,VLOOKUP(AO11,InputTable_m,4),VLOOKUP(AO11,InputTable_m,4),5,0.001,100), 0)</f>
        <v>0</v>
      </c>
      <c r="AY11" s="337">
        <f ca="1">IF(AQ11=1,_xll.EURO_Forward(AU11,AT11,VLOOKUP(AO11, InputTable_m, 4),AV11,Calc!AO11-datetoday+1,Calc!AN11,1), IF(AQ11=2, 1, BG11))</f>
        <v>1</v>
      </c>
      <c r="AZ11" s="337">
        <f ca="1">IF(AQ11=1, _xll.EURO_Forward(AU11,AT11,VLOOKUP(AO11, InputTable_m, 4),AV11,Calc!AO11-datetoday+1,Calc!AN11,2), IF(AQ11=2, 0,BH11))</f>
        <v>0</v>
      </c>
      <c r="BA11" s="337">
        <f ca="1">IF(AQ11=1, _xll.EURO_Forward(AU11,AT11,VLOOKUP(AO11, InputTable_m, 4),AV11,Calc!AO11-datetoday+1,Calc!AN11,3),IF(AQ11=2, 0,BI11))</f>
        <v>0</v>
      </c>
      <c r="BB11" s="337">
        <f ca="1">IF(AQ11=1, _xll.EURO_Forward(AU11,AT11,VLOOKUP(AO11, InputTable_m, 4),AV11,Calc!AO11-datetoday+1,Calc!AN11,5),IF(AQ11=2, 0,BJ11))</f>
        <v>0</v>
      </c>
      <c r="BD11" s="304">
        <f ca="1">_xll.EURO_Forward(AU11,AT11,VLOOKUP(AO11, InputTable_m, 4),AV11,AR11-datetoday,Calc!AN11,0)</f>
        <v>3.3460957520718768</v>
      </c>
      <c r="BE11" s="304">
        <f ca="1">swap(Monthly!BP17-Monthly!BO17, AU11,OFFSET(Override!$BY$5,Monthly!BO17-1,0,MAX(2,Monthly!BP17-Monthly!BO17)),AT11,OFFSET(Override!$CA$5,Monthly!BO17-1,0,MAX(2,Monthly!BP17-Monthly!BO17)),OFFSET(IF(peak_base_m=1, $AB$5, $AE$5),Monthly!BO17-1,0,MAX(2,Monthly!BP17-Monthly!BO17)),datetoday, AO11)</f>
        <v>-24.39</v>
      </c>
      <c r="BF11" s="337" t="e">
        <f ca="1">_xll.SWAPTION(OFFSET(Override!$BY$5,Monthly!BO17-1,0,Monthly!BP17-Monthly!BO17,1),OFFSET(Override!$CC$5,Monthly!BO17-1,0,Monthly!BP17-Monthly!BO17,1),OFFSET(Override!$CD$5,Monthly!BO17-1,0,Monthly!BP17-Monthly!BO17,1),OFFSET(Override!$CA$5,Monthly!BO17-1,0,Monthly!BP17-Monthly!BO17,1),AV11,AT11,VLOOKUP(AO11,InputTable_m,4),(AR11-datetoday)/365.25,AN11,0,1)</f>
        <v>#VALUE!</v>
      </c>
      <c r="BG11" s="304">
        <f ca="1">SWAPTION_Greek(OFFSET(Override!$BY$5,Monthly!BO17-1,0,Monthly!BP17-Monthly!BO17,1),OFFSET(Override!$CC$5,Monthly!BO17-1,0,Monthly!BP17-Monthly!BO17,1),OFFSET(Override!$CD$5,Monthly!BO17-1,0,Monthly!BP17-Monthly!BO17,1),OFFSET(Override!$CA$5,Monthly!BO17-1,0,Monthly!BP17-Monthly!BO17,1),AT11,Monthly!BP17-Monthly!BO17, AV11,VLOOKUP(AO11,InputTable_m,4),datetoday, AO11,AR11,AN11,1)</f>
        <v>0.29107794260632869</v>
      </c>
      <c r="BH11" s="304">
        <f ca="1">SWAPTION_Greek(OFFSET(Override!$BY$5,Monthly!BO17-1,0,Monthly!BP17-Monthly!BO17,1),OFFSET(Override!$CC$5,Monthly!BO17-1,0,Monthly!BP17-Monthly!BO17,1),OFFSET(Override!$CD$5,Monthly!BO17-1,0,Monthly!BP17-Monthly!BO17,1),OFFSET(Override!$CA$5,Monthly!BO17-1,0,Monthly!BP17-Monthly!BO17,1),AT11,Monthly!BP17-Monthly!BO17, AV11,VLOOKUP(AO11,InputTable_m,4),datetoday, AO11,AR11,AN11,2)</f>
        <v>1.4202659922761278E-2</v>
      </c>
      <c r="BI11" s="304">
        <f ca="1">SWAPTION_Greek(OFFSET(Override!$BY$5,Monthly!BO17-1,0,Monthly!BP17-Monthly!BO17,1),OFFSET(Override!$CC$5,Monthly!BO17-1,0,Monthly!BP17-Monthly!BO17,1),OFFSET(Override!$CD$5,Monthly!BO17-1,0,Monthly!BP17-Monthly!BO17,1),OFFSET(Override!$CA$5,Monthly!BO17-1,0,Monthly!BP17-Monthly!BO17,1),AT11,Monthly!BP17-Monthly!BO17, AV11,VLOOKUP(AO11,InputTable_m,4),datetoday, AO11,AR11,AN11,3)</f>
        <v>10.829062154897791</v>
      </c>
      <c r="BJ11" s="304">
        <f ca="1">SWAPTION_Greek(OFFSET(Override!$BY$5,Monthly!BO17-1,0,Monthly!BP17-Monthly!BO17,1),OFFSET(Override!$CC$5,Monthly!BO17-1,0,Monthly!BP17-Monthly!BO17,1),OFFSET(Override!$CD$5,Monthly!BO17-1,0,Monthly!BP17-Monthly!BO17,1),OFFSET(Override!$CA$5,Monthly!BO17-1,0,Monthly!BP17-Monthly!BO17,1),AT11,Monthly!BP17-Monthly!BO17, AV11,VLOOKUP(AO11,InputTable_m,4),datetoday, AO11,AR11,AN11,5)</f>
        <v>-6.4882760118803056</v>
      </c>
    </row>
    <row r="12" spans="2:62" ht="11.25" customHeight="1" x14ac:dyDescent="0.2">
      <c r="C12" s="304">
        <f>Daily!B52</f>
        <v>0</v>
      </c>
      <c r="D12" s="304">
        <f>Daily!C52</f>
        <v>1</v>
      </c>
      <c r="E12" s="305">
        <f ca="1">OFFSET(Daily!$BJ$11,Daily!BO18,0)</f>
        <v>37530</v>
      </c>
      <c r="F12" s="305">
        <f ca="1">OFFSET(Daily!$BK$11,Daily!BP18,0)</f>
        <v>37560</v>
      </c>
      <c r="G12" s="306">
        <f ca="1">OFFSET(Daily!$BU$11,Daily!BR18,1)</f>
        <v>2</v>
      </c>
      <c r="H12" s="305">
        <f ca="1">OFFSET(Daily!$BK$11,Daily!BQ18,0)</f>
        <v>37529</v>
      </c>
      <c r="I12" s="307">
        <f>Daily!H52</f>
        <v>50</v>
      </c>
      <c r="J12" s="307">
        <f>Daily!I52</f>
        <v>65.89</v>
      </c>
      <c r="K12" s="304">
        <f t="shared" ca="1" si="9"/>
        <v>35.904998779296875</v>
      </c>
      <c r="L12" s="303">
        <f ca="1">IF(Daily!BS18=FALSE, VLOOKUP(E12,Daily!$K$5:$L$28,2)+skewcalc(D12,K12,J12,OFFSET(Override!$AK$4,Daily!BO18+(1-D12)*Override!$AL$2-1,0, 1,3)), Daily!M52)</f>
        <v>0.4914923988723886</v>
      </c>
      <c r="M12" s="304">
        <f ca="1">IF(driver=2, IF(G12=2, swap(Daily!BP18-Daily!BO18, K12,OFFSET(Override!$L$5,Daily!BO18-1,0,MAX(2,Daily!BP18-Daily!BO18)),J12,OFFSET(Override!$N$5,Daily!BO18-1,0,MAX(2,Daily!BP18-Daily!BO18)),OFFSET(IF(peak_base=1, $AB$5, $AE$5),Daily!BO18-1,0,MAX(2,Daily!BP18-Daily!BO18)),datetoday, E12),dailyvaluation(K12,J12,VLOOKUP(E12, InputTable, 4),L12,CindailyPrices,peak_base,datetoday, E12,F12,D12,0)), Daily!L52)</f>
        <v>0</v>
      </c>
      <c r="N12" s="304">
        <f ca="1">IF(G12=1, _xll.EIMPVOL(D12,ABS(M12),K12,J12,H12-datetoday+15,VLOOKUP(E12,InputTable,4),VLOOKUP(E12,InputTable,4),5,0.001,100), 0)</f>
        <v>0</v>
      </c>
      <c r="O12" s="304">
        <f t="shared" ca="1" si="7"/>
        <v>1</v>
      </c>
      <c r="P12" s="304">
        <f t="shared" ca="1" si="10"/>
        <v>0</v>
      </c>
      <c r="Q12" s="304">
        <f t="shared" ca="1" si="11"/>
        <v>0</v>
      </c>
      <c r="R12" s="304">
        <f t="shared" ca="1" si="12"/>
        <v>0</v>
      </c>
      <c r="U12" s="214">
        <v>36770</v>
      </c>
      <c r="V12" s="212">
        <v>20</v>
      </c>
      <c r="W12" s="212">
        <v>5</v>
      </c>
      <c r="X12" s="212">
        <v>5</v>
      </c>
      <c r="Y12" s="213">
        <v>1</v>
      </c>
      <c r="AA12" s="293">
        <f t="shared" ca="1" si="4"/>
        <v>37165</v>
      </c>
      <c r="AB12" s="291">
        <f t="shared" ca="1" si="0"/>
        <v>23</v>
      </c>
      <c r="AC12" s="291">
        <f t="shared" ca="1" si="1"/>
        <v>4</v>
      </c>
      <c r="AD12" s="291">
        <f t="shared" ca="1" si="2"/>
        <v>4</v>
      </c>
      <c r="AE12" s="292">
        <f t="shared" ca="1" si="3"/>
        <v>31</v>
      </c>
      <c r="AF12" s="296">
        <f ca="1">IF(peak_base=1,VLOOKUP(AA12,PriceTable,3),(VLOOKUP(AA12,PriceTable,3)*16*AB12+VLOOKUP(AA12,PriceTable,7)*8*AB12 +VLOOKUP(AA12,PriceTable,12)*AC12*24+VLOOKUP(AA12,PriceTable,16)*AD12*24)/SUM(AB12:AD12)/24)+IF(BasisNumber=1,0,VLOOKUP(AA12,'Power Curves'!$BO$9:$BP$316,2))</f>
        <v>41.400001525878906</v>
      </c>
      <c r="AG12" s="254">
        <f t="shared" ca="1" si="5"/>
        <v>0.5</v>
      </c>
      <c r="AH12" s="287">
        <f ca="1">VLOOKUP(AA12,'Power Curves'!$A$4:$B$261,2)</f>
        <v>5.3919449479775006E-2</v>
      </c>
      <c r="AI12" s="297">
        <f ca="1">IF(peak_base_m=1,VLOOKUP(AA12,PriceTable,3),(VLOOKUP(AA12,PriceTable,3)*16*AB12+VLOOKUP(AA12,PriceTable,7)*8*AB12 +VLOOKUP(AA12,PriceTable,12)*AC12*24+VLOOKUP(AA12,PriceTable,16)*AD12*24)/SUM(AB12:AD12)/24)+IF(BasisNumber_m=1,0,VLOOKUP(AA12,'Power Curves'!$BO$9:$BP$316,2))</f>
        <v>41.400001525878906</v>
      </c>
      <c r="AJ12" s="298">
        <f t="shared" ca="1" si="6"/>
        <v>0.5</v>
      </c>
      <c r="AM12" s="304">
        <f>Monthly!B80</f>
        <v>0</v>
      </c>
      <c r="AN12" s="304">
        <f>Monthly!C80</f>
        <v>1</v>
      </c>
      <c r="AO12" s="305">
        <f ca="1">OFFSET(Monthly!$BJ$11,Monthly!BO18,0)</f>
        <v>37530</v>
      </c>
      <c r="AP12" s="305">
        <f ca="1">OFFSET(Monthly!$BK$11,Monthly!BP18,0)</f>
        <v>37560</v>
      </c>
      <c r="AQ12" s="306">
        <f ca="1">OFFSET(Monthly!$BU$11,Monthly!BR18,1)</f>
        <v>2</v>
      </c>
      <c r="AR12" s="305">
        <f ca="1">OFFSET(Monthly!$BK$11,Monthly!BQ18,0)</f>
        <v>37529</v>
      </c>
      <c r="AS12" s="304">
        <f>Monthly!H80</f>
        <v>50</v>
      </c>
      <c r="AT12" s="313">
        <f>Monthly!I80</f>
        <v>65.89</v>
      </c>
      <c r="AU12" s="341">
        <f t="shared" ca="1" si="8"/>
        <v>35.904998779296875</v>
      </c>
      <c r="AV12" s="366">
        <f ca="1">IF(Monthly!$BS$12=FALSE,IF( OR(AQ12=1,AQ12=2),VLOOKUP(AO12,Monthly!$K$5:$L$36,2)+skewcalc(AN12,AU12,AT12,OFFSET(Override!$BI$4,Monthly!BO18+(1-AN12)*12-1,0, 1,3)),_xll.BASVOL(OFFSET(Override!$BY$5,Monthly!BO18-1,0,Monthly!BP18-Monthly!BO18,1),OFFSET(Override!$BZ$5,Monthly!BO18-1,0,Monthly!BP18-Monthly!BO18,1),OFFSET(Override!$CB$5,Monthly!BO18-1,0,Monthly!BP18-Monthly!BO18,1),OFFSET(Override!$CC$5,Monthly!BO18-1,0,Monthly!BP18-Monthly!BO18,1),OFFSET(Override!$Y$4,0,0,Monthly!BP18-Monthly!BO18,Monthly!BP18-Monthly!BO18),Calc!AR12-datetoday))+skewcalc(AN12,AU12,AT12,OFFSET(Override!$BI$4,Monthly!BO18+(1-AN12)*Override!$BJ$2-1,0, 1,3)), Monthly!M80)</f>
        <v>0.65248479774477719</v>
      </c>
      <c r="AW12" s="337">
        <f ca="1">IF(driver_m=2, IF(AQ12=1,BD12,IF(AQ12=2,BE12,BF12)),Monthly!L80)</f>
        <v>-29.985001220703126</v>
      </c>
      <c r="AX12" s="337">
        <f ca="1">IF(OR(AQ12=1, AQ12=3), _xll.EIMPVOL(AN12,ABS(AW12),AU12,AT12,AR12-datetoday,VLOOKUP(AO12,InputTable_m,4),VLOOKUP(AO12,InputTable_m,4),5,0.001,100), 0)</f>
        <v>0</v>
      </c>
      <c r="AY12" s="337">
        <f ca="1">IF(AQ12=1,_xll.EURO_Forward(AU12,AT12,VLOOKUP(AO12, InputTable_m, 4),AV12,Calc!AO12-datetoday+1,Calc!AN12,1), IF(AQ12=2, 1, BG12))</f>
        <v>1</v>
      </c>
      <c r="AZ12" s="337">
        <f ca="1">IF(AQ12=1, _xll.EURO_Forward(AU12,AT12,VLOOKUP(AO12, InputTable_m, 4),AV12,Calc!AO12-datetoday+1,Calc!AN12,2), IF(AQ12=2, 0,BH12))</f>
        <v>0</v>
      </c>
      <c r="BA12" s="337">
        <f ca="1">IF(AQ12=1, _xll.EURO_Forward(AU12,AT12,VLOOKUP(AO12, InputTable_m, 4),AV12,Calc!AO12-datetoday+1,Calc!AN12,3),IF(AQ12=2, 0,BI12))</f>
        <v>0</v>
      </c>
      <c r="BB12" s="337">
        <f ca="1">IF(AQ12=1, _xll.EURO_Forward(AU12,AT12,VLOOKUP(AO12, InputTable_m, 4),AV12,Calc!AO12-datetoday+1,Calc!AN12,5),IF(AQ12=2, 0,BJ12))</f>
        <v>0</v>
      </c>
      <c r="BD12" s="304">
        <f ca="1">_xll.EURO_Forward(AU12,AT12,VLOOKUP(AO12, InputTable_m, 4),AV12,AR12-datetoday,Calc!AN12,0)</f>
        <v>4.4566326574700899</v>
      </c>
      <c r="BE12" s="304">
        <f ca="1">swap(Monthly!BP18-Monthly!BO18, AU12,OFFSET(Override!$BY$5,Monthly!BO18-1,0,MAX(2,Monthly!BP18-Monthly!BO18)),AT12,OFFSET(Override!$CA$5,Monthly!BO18-1,0,MAX(2,Monthly!BP18-Monthly!BO18)),OFFSET(IF(peak_base_m=1, $AB$5, $AE$5),Monthly!BO18-1,0,MAX(2,Monthly!BP18-Monthly!BO18)),datetoday, AO12)</f>
        <v>-29.985001220703126</v>
      </c>
      <c r="BF12" s="337" t="e">
        <f ca="1">_xll.SWAPTION(OFFSET(Override!$BY$5,Monthly!BO18-1,0,Monthly!BP18-Monthly!BO18,1),OFFSET(Override!$CC$5,Monthly!BO18-1,0,Monthly!BP18-Monthly!BO18,1),OFFSET(Override!$CD$5,Monthly!BO18-1,0,Monthly!BP18-Monthly!BO18,1),OFFSET(Override!$CA$5,Monthly!BO18-1,0,Monthly!BP18-Monthly!BO18,1),AV12,AT12,VLOOKUP(AO12,InputTable_m,4),(AR12-datetoday)/365.25,AN12,0,1)</f>
        <v>#VALUE!</v>
      </c>
      <c r="BG12" s="304">
        <f ca="1">SWAPTION_Greek(OFFSET(Override!$BY$5,Monthly!BO18-1,0,Monthly!BP18-Monthly!BO18,1),OFFSET(Override!$CC$5,Monthly!BO18-1,0,Monthly!BP18-Monthly!BO18,1),OFFSET(Override!$CD$5,Monthly!BO18-1,0,Monthly!BP18-Monthly!BO18,1),OFFSET(Override!$CA$5,Monthly!BO18-1,0,Monthly!BP18-Monthly!BO18,1),AT12,Monthly!BP18-Monthly!BO18, AV12,VLOOKUP(AO12,InputTable_m,4),datetoday, AO12,AR12,AN12,1)</f>
        <v>0.3329376939238356</v>
      </c>
      <c r="BH12" s="304">
        <f ca="1">SWAPTION_Greek(OFFSET(Override!$BY$5,Monthly!BO18-1,0,Monthly!BP18-Monthly!BO18,1),OFFSET(Override!$CC$5,Monthly!BO18-1,0,Monthly!BP18-Monthly!BO18,1),OFFSET(Override!$CD$5,Monthly!BO18-1,0,Monthly!BP18-Monthly!BO18,1),OFFSET(Override!$CA$5,Monthly!BO18-1,0,Monthly!BP18-Monthly!BO18,1),AT12,Monthly!BP18-Monthly!BO18, AV12,VLOOKUP(AO12,InputTable_m,4),datetoday, AO12,AR12,AN12,2)</f>
        <v>1.1972402827242807E-2</v>
      </c>
      <c r="BI12" s="304">
        <f ca="1">SWAPTION_Greek(OFFSET(Override!$BY$5,Monthly!BO18-1,0,Monthly!BP18-Monthly!BO18,1),OFFSET(Override!$CC$5,Monthly!BO18-1,0,Monthly!BP18-Monthly!BO18,1),OFFSET(Override!$CD$5,Monthly!BO18-1,0,Monthly!BP18-Monthly!BO18,1),OFFSET(Override!$CA$5,Monthly!BO18-1,0,Monthly!BP18-Monthly!BO18,1),AT12,Monthly!BP18-Monthly!BO18, AV12,VLOOKUP(AO12,InputTable_m,4),datetoday, AO12,AR12,AN12,3)</f>
        <v>15.247423308150598</v>
      </c>
      <c r="BJ12" s="304">
        <f ca="1">SWAPTION_Greek(OFFSET(Override!$BY$5,Monthly!BO18-1,0,Monthly!BP18-Monthly!BO18,1),OFFSET(Override!$CC$5,Monthly!BO18-1,0,Monthly!BP18-Monthly!BO18,1),OFFSET(Override!$CD$5,Monthly!BO18-1,0,Monthly!BP18-Monthly!BO18,1),OFFSET(Override!$CA$5,Monthly!BO18-1,0,Monthly!BP18-Monthly!BO18,1),AT12,Monthly!BP18-Monthly!BO18, AV12,VLOOKUP(AO12,InputTable_m,4),datetoday, AO12,AR12,AN12,5)</f>
        <v>-3.0441668080552198</v>
      </c>
    </row>
    <row r="13" spans="2:62" ht="11.25" customHeight="1" x14ac:dyDescent="0.2">
      <c r="C13" s="304">
        <f>Daily!B53</f>
        <v>0</v>
      </c>
      <c r="D13" s="304">
        <f>Daily!C53</f>
        <v>1</v>
      </c>
      <c r="E13" s="305">
        <f ca="1">OFFSET(Daily!$BJ$11,Daily!BO19,0)</f>
        <v>37043</v>
      </c>
      <c r="F13" s="305">
        <f ca="1">OFFSET(Daily!$BK$11,Daily!BP19,0)</f>
        <v>37072</v>
      </c>
      <c r="G13" s="306">
        <f ca="1">OFFSET(Daily!$BU$11,Daily!BR19,1)</f>
        <v>2</v>
      </c>
      <c r="H13" s="305">
        <f ca="1">OFFSET(Daily!$BK$11,Daily!BQ19,0)</f>
        <v>37042</v>
      </c>
      <c r="I13" s="307">
        <f>Daily!H53</f>
        <v>50</v>
      </c>
      <c r="J13" s="307">
        <f>Daily!I53</f>
        <v>65.89</v>
      </c>
      <c r="K13" s="304">
        <f t="shared" ca="1" si="9"/>
        <v>72.999992370605469</v>
      </c>
      <c r="L13" s="303">
        <f ca="1">IF(Daily!BS19=FALSE, VLOOKUP(E13,Daily!$K$5:$L$28,2)+skewcalc(D13,K13,J13,OFFSET(Override!$AK$4,Daily!BO19+(1-D13)*Override!$AL$2-1,0, 1,3)), Daily!M53)</f>
        <v>0.7</v>
      </c>
      <c r="M13" s="304">
        <f ca="1">IF(driver=2, IF(G13=2, swap(Daily!BP19-Daily!BO19, K13,OFFSET(Override!$L$5,Daily!BO19-1,0,MAX(2,Daily!BP19-Daily!BO19)),J13,OFFSET(Override!$N$5,Daily!BO19-1,0,MAX(2,Daily!BP19-Daily!BO19)),OFFSET(IF(peak_base=1, $AB$5, $AE$5),Daily!BO19-1,0,MAX(2,Daily!BP19-Daily!BO19)),datetoday, E13),dailyvaluation(K13,J13,VLOOKUP(E13, InputTable, 4),L13,CindailyPrices,peak_base,datetoday, E13,F13,D13,0)), Daily!L53)</f>
        <v>0</v>
      </c>
      <c r="N13" s="304">
        <f ca="1">IF(G13=1, _xll.EIMPVOL(D13,ABS(M13),K13,J13,H13-datetoday+15,VLOOKUP(E13,InputTable,4),VLOOKUP(E13,InputTable,4),5,0.001,100), 0)</f>
        <v>0</v>
      </c>
      <c r="O13" s="304">
        <f t="shared" ca="1" si="7"/>
        <v>1</v>
      </c>
      <c r="P13" s="304">
        <f t="shared" ca="1" si="10"/>
        <v>0</v>
      </c>
      <c r="Q13" s="304">
        <f t="shared" ca="1" si="11"/>
        <v>0</v>
      </c>
      <c r="R13" s="304">
        <f t="shared" ca="1" si="12"/>
        <v>0</v>
      </c>
      <c r="U13" s="214">
        <v>36800</v>
      </c>
      <c r="V13" s="212">
        <v>22</v>
      </c>
      <c r="W13" s="212">
        <v>4</v>
      </c>
      <c r="X13" s="212">
        <v>5</v>
      </c>
      <c r="Y13" s="213">
        <v>0</v>
      </c>
      <c r="AA13" s="293">
        <f t="shared" ca="1" si="4"/>
        <v>37196</v>
      </c>
      <c r="AB13" s="291">
        <f t="shared" ca="1" si="0"/>
        <v>21</v>
      </c>
      <c r="AC13" s="291">
        <f t="shared" ca="1" si="1"/>
        <v>4</v>
      </c>
      <c r="AD13" s="291">
        <f t="shared" ca="1" si="2"/>
        <v>5</v>
      </c>
      <c r="AE13" s="292">
        <f t="shared" ca="1" si="3"/>
        <v>30</v>
      </c>
      <c r="AF13" s="296">
        <f ca="1">IF(peak_base=1,VLOOKUP(AA13,PriceTable,3),(VLOOKUP(AA13,PriceTable,3)*16*AB13+VLOOKUP(AA13,PriceTable,7)*8*AB13 +VLOOKUP(AA13,PriceTable,12)*AC13*24+VLOOKUP(AA13,PriceTable,16)*AD13*24)/SUM(AB13:AD13)/24)+IF(BasisNumber=1,0,VLOOKUP(AA13,'Power Curves'!$BO$9:$BP$316,2))</f>
        <v>41.5</v>
      </c>
      <c r="AG13" s="254">
        <f t="shared" ca="1" si="5"/>
        <v>0.47499999999999998</v>
      </c>
      <c r="AH13" s="287">
        <f ca="1">VLOOKUP(AA13,'Power Curves'!$A$4:$B$261,2)</f>
        <v>5.3630994978010008E-2</v>
      </c>
      <c r="AI13" s="297">
        <f ca="1">IF(peak_base_m=1,VLOOKUP(AA13,PriceTable,3),(VLOOKUP(AA13,PriceTable,3)*16*AB13+VLOOKUP(AA13,PriceTable,7)*8*AB13 +VLOOKUP(AA13,PriceTable,12)*AC13*24+VLOOKUP(AA13,PriceTable,16)*AD13*24)/SUM(AB13:AD13)/24)+IF(BasisNumber_m=1,0,VLOOKUP(AA13,'Power Curves'!$BO$9:$BP$316,2))</f>
        <v>41.5</v>
      </c>
      <c r="AJ13" s="298">
        <f t="shared" ca="1" si="6"/>
        <v>0.47499999999999998</v>
      </c>
      <c r="AM13" s="304">
        <f>Monthly!B81</f>
        <v>0</v>
      </c>
      <c r="AN13" s="304">
        <f>Monthly!C81</f>
        <v>1</v>
      </c>
      <c r="AO13" s="305">
        <f ca="1">OFFSET(Monthly!$BJ$11,Monthly!BO19,0)</f>
        <v>37043</v>
      </c>
      <c r="AP13" s="305">
        <f ca="1">OFFSET(Monthly!$BK$11,Monthly!BP19,0)</f>
        <v>37072</v>
      </c>
      <c r="AQ13" s="306">
        <f ca="1">OFFSET(Monthly!$BU$11,Monthly!BR19,1)</f>
        <v>2</v>
      </c>
      <c r="AR13" s="305">
        <f ca="1">OFFSET(Monthly!$BK$11,Monthly!BQ19,0)</f>
        <v>37042</v>
      </c>
      <c r="AS13" s="304">
        <f>Monthly!H81</f>
        <v>50</v>
      </c>
      <c r="AT13" s="313">
        <f>Monthly!I81</f>
        <v>65.89</v>
      </c>
      <c r="AU13" s="341">
        <f t="shared" ca="1" si="8"/>
        <v>72.999992370605469</v>
      </c>
      <c r="AV13" s="366">
        <f ca="1">IF(Monthly!$BS$12=FALSE,IF( OR(AQ13=1,AQ13=2),VLOOKUP(AO13,Monthly!$K$5:$L$36,2)+skewcalc(AN13,AU13,AT13,OFFSET(Override!$BI$4,Monthly!BO19+(1-AN13)*12-1,0, 1,3)),_xll.BASVOL(OFFSET(Override!$BY$5,Monthly!BO19-1,0,Monthly!BP19-Monthly!BO19,1),OFFSET(Override!$BZ$5,Monthly!BO19-1,0,Monthly!BP19-Monthly!BO19,1),OFFSET(Override!$CB$5,Monthly!BO19-1,0,Monthly!BP19-Monthly!BO19,1),OFFSET(Override!$CC$5,Monthly!BO19-1,0,Monthly!BP19-Monthly!BO19,1),OFFSET(Override!$Y$4,0,0,Monthly!BP19-Monthly!BO19,Monthly!BP19-Monthly!BO19),Calc!AR13-datetoday))+skewcalc(AN13,AU13,AT13,OFFSET(Override!$BI$4,Monthly!BO19+(1-AN13)*Override!$BJ$2-1,0, 1,3)), Monthly!M81)</f>
        <v>0.7</v>
      </c>
      <c r="AW13" s="337">
        <f ca="1">IF(driver_m=2, IF(AQ13=1,BD13,IF(AQ13=2,BE13,BF13)),Monthly!L81)</f>
        <v>7.1099923706054682</v>
      </c>
      <c r="AX13" s="337">
        <f ca="1">IF(OR(AQ13=1, AQ13=3), _xll.EIMPVOL(AN13,ABS(AW13),AU13,AT13,AR13-datetoday,VLOOKUP(AO13,InputTable_m,4),VLOOKUP(AO13,InputTable_m,4),5,0.001,100), 0)</f>
        <v>0</v>
      </c>
      <c r="AY13" s="337">
        <f ca="1">IF(AQ13=1,_xll.EURO_Forward(AU13,AT13,VLOOKUP(AO13, InputTable_m, 4),AV13,Calc!AO13-datetoday+1,Calc!AN13,1), IF(AQ13=2, 1, BG13))</f>
        <v>1</v>
      </c>
      <c r="AZ13" s="337">
        <f ca="1">IF(AQ13=1, _xll.EURO_Forward(AU13,AT13,VLOOKUP(AO13, InputTable_m, 4),AV13,Calc!AO13-datetoday+1,Calc!AN13,2), IF(AQ13=2, 0,BH13))</f>
        <v>0</v>
      </c>
      <c r="BA13" s="337">
        <f ca="1">IF(AQ13=1, _xll.EURO_Forward(AU13,AT13,VLOOKUP(AO13, InputTable_m, 4),AV13,Calc!AO13-datetoday+1,Calc!AN13,3),IF(AQ13=2, 0,BI13))</f>
        <v>0</v>
      </c>
      <c r="BB13" s="337">
        <f ca="1">IF(AQ13=1, _xll.EURO_Forward(AU13,AT13,VLOOKUP(AO13, InputTable_m, 4),AV13,Calc!AO13-datetoday+1,Calc!AN13,5),IF(AQ13=2, 0,BJ13))</f>
        <v>0</v>
      </c>
      <c r="BD13" s="304">
        <f ca="1">_xll.EURO_Forward(AU13,AT13,VLOOKUP(AO13, InputTable_m, 4),AV13,AR13-datetoday,Calc!AN13,0)</f>
        <v>12.123829471544113</v>
      </c>
      <c r="BE13" s="304">
        <f ca="1">swap(Monthly!BP19-Monthly!BO19, AU13,OFFSET(Override!$BY$5,Monthly!BO19-1,0,MAX(2,Monthly!BP19-Monthly!BO19)),AT13,OFFSET(Override!$CA$5,Monthly!BO19-1,0,MAX(2,Monthly!BP19-Monthly!BO19)),OFFSET(IF(peak_base_m=1, $AB$5, $AE$5),Monthly!BO19-1,0,MAX(2,Monthly!BP19-Monthly!BO19)),datetoday, AO13)</f>
        <v>7.1099923706054682</v>
      </c>
      <c r="BF13" s="337" t="e">
        <f ca="1">_xll.SWAPTION(OFFSET(Override!$BY$5,Monthly!BO19-1,0,Monthly!BP19-Monthly!BO19,1),OFFSET(Override!$CC$5,Monthly!BO19-1,0,Monthly!BP19-Monthly!BO19,1),OFFSET(Override!$CD$5,Monthly!BO19-1,0,Monthly!BP19-Monthly!BO19,1),OFFSET(Override!$CA$5,Monthly!BO19-1,0,Monthly!BP19-Monthly!BO19,1),AV13,AT13,VLOOKUP(AO13,InputTable_m,4),(AR13-datetoday)/365.25,AN13,0,1)</f>
        <v>#VALUE!</v>
      </c>
      <c r="BG13" s="304">
        <f ca="1">SWAPTION_Greek(OFFSET(Override!$BY$5,Monthly!BO19-1,0,Monthly!BP19-Monthly!BO19,1),OFFSET(Override!$CC$5,Monthly!BO19-1,0,Monthly!BP19-Monthly!BO19,1),OFFSET(Override!$CD$5,Monthly!BO19-1,0,Monthly!BP19-Monthly!BO19,1),OFFSET(Override!$CA$5,Monthly!BO19-1,0,Monthly!BP19-Monthly!BO19,1),AT13,Monthly!BP19-Monthly!BO19, AV13,VLOOKUP(AO13,InputTable_m,4),datetoday, AO13,AR13,AN13,1)</f>
        <v>0.68213762433702618</v>
      </c>
      <c r="BH13" s="304">
        <f ca="1">SWAPTION_Greek(OFFSET(Override!$BY$5,Monthly!BO19-1,0,Monthly!BP19-Monthly!BO19,1),OFFSET(Override!$CC$5,Monthly!BO19-1,0,Monthly!BP19-Monthly!BO19,1),OFFSET(Override!$CD$5,Monthly!BO19-1,0,Monthly!BP19-Monthly!BO19,1),OFFSET(Override!$CA$5,Monthly!BO19-1,0,Monthly!BP19-Monthly!BO19,1),AT13,Monthly!BP19-Monthly!BO19, AV13,VLOOKUP(AO13,InputTable_m,4),datetoday, AO13,AR13,AN13,2)</f>
        <v>1.6099908912028057E-2</v>
      </c>
      <c r="BI13" s="304">
        <f ca="1">SWAPTION_Greek(OFFSET(Override!$BY$5,Monthly!BO19-1,0,Monthly!BP19-Monthly!BO19,1),OFFSET(Override!$CC$5,Monthly!BO19-1,0,Monthly!BP19-Monthly!BO19,1),OFFSET(Override!$CD$5,Monthly!BO19-1,0,Monthly!BP19-Monthly!BO19,1),OFFSET(Override!$CA$5,Monthly!BO19-1,0,Monthly!BP19-Monthly!BO19,1),AT13,Monthly!BP19-Monthly!BO19, AV13,VLOOKUP(AO13,InputTable_m,4),datetoday, AO13,AR13,AN13,3)</f>
        <v>10.852275224173592</v>
      </c>
      <c r="BJ13" s="304">
        <f ca="1">SWAPTION_Greek(OFFSET(Override!$BY$5,Monthly!BO19-1,0,Monthly!BP19-Monthly!BO19,1),OFFSET(Override!$CC$5,Monthly!BO19-1,0,Monthly!BP19-Monthly!BO19,1),OFFSET(Override!$CD$5,Monthly!BO19-1,0,Monthly!BP19-Monthly!BO19,1),OFFSET(Override!$CA$5,Monthly!BO19-1,0,Monthly!BP19-Monthly!BO19,1),AT13,Monthly!BP19-Monthly!BO19, AV13,VLOOKUP(AO13,InputTable_m,4),datetoday, AO13,AR13,AN13,5)</f>
        <v>-20.343749825538744</v>
      </c>
    </row>
    <row r="14" spans="2:62" ht="11.25" customHeight="1" x14ac:dyDescent="0.2">
      <c r="C14" s="304">
        <f>Daily!B54</f>
        <v>0</v>
      </c>
      <c r="D14" s="304">
        <f>Daily!C54</f>
        <v>1</v>
      </c>
      <c r="E14" s="305">
        <f ca="1">OFFSET(Daily!$BJ$11,Daily!BO20,0)</f>
        <v>37104</v>
      </c>
      <c r="F14" s="305">
        <f ca="1">OFFSET(Daily!$BK$11,Daily!BP20,0)</f>
        <v>37134</v>
      </c>
      <c r="G14" s="306">
        <f ca="1">OFFSET(Daily!$BU$11,Daily!BR20,1)</f>
        <v>2</v>
      </c>
      <c r="H14" s="305">
        <f ca="1">OFFSET(Daily!$BK$11,Daily!BQ20,0)</f>
        <v>37103</v>
      </c>
      <c r="I14" s="307">
        <f>Daily!H54</f>
        <v>50</v>
      </c>
      <c r="J14" s="307">
        <f>Daily!I54</f>
        <v>65.89</v>
      </c>
      <c r="K14" s="304">
        <f t="shared" ca="1" si="9"/>
        <v>115</v>
      </c>
      <c r="L14" s="303">
        <f ca="1">IF(Daily!BS20=FALSE, VLOOKUP(E14,Daily!$K$5:$L$28,2)+skewcalc(D14,K14,J14,OFFSET(Override!$AK$4,Daily!BO20+(1-D14)*Override!$AL$2-1,0, 1,3)), Daily!M54)</f>
        <v>0.7</v>
      </c>
      <c r="M14" s="304">
        <f ca="1">IF(driver=2, IF(G14=2, swap(Daily!BP20-Daily!BO20, K14,OFFSET(Override!$L$5,Daily!BO20-1,0,MAX(2,Daily!BP20-Daily!BO20)),J14,OFFSET(Override!$N$5,Daily!BO20-1,0,MAX(2,Daily!BP20-Daily!BO20)),OFFSET(IF(peak_base=1, $AB$5, $AE$5),Daily!BO20-1,0,MAX(2,Daily!BP20-Daily!BO20)),datetoday, E14),dailyvaluation(K14,J14,VLOOKUP(E14, InputTable, 4),L14,CindailyPrices,peak_base,datetoday, E14,F14,D14,0)), Daily!L54)</f>
        <v>0</v>
      </c>
      <c r="N14" s="304">
        <f ca="1">IF(G14=1, _xll.EIMPVOL(D14,ABS(M14),K14,J14,H14-datetoday+15,VLOOKUP(E14,InputTable,4),VLOOKUP(E14,InputTable,4),5,0.001,100), 0)</f>
        <v>0</v>
      </c>
      <c r="O14" s="304">
        <f t="shared" ca="1" si="7"/>
        <v>1</v>
      </c>
      <c r="P14" s="304">
        <f t="shared" ca="1" si="10"/>
        <v>0</v>
      </c>
      <c r="Q14" s="304">
        <f t="shared" ca="1" si="11"/>
        <v>0</v>
      </c>
      <c r="R14" s="304">
        <f t="shared" ca="1" si="12"/>
        <v>0</v>
      </c>
      <c r="U14" s="214">
        <v>36831</v>
      </c>
      <c r="V14" s="212">
        <v>21</v>
      </c>
      <c r="W14" s="212">
        <v>4</v>
      </c>
      <c r="X14" s="212">
        <v>5</v>
      </c>
      <c r="Y14" s="213">
        <v>1</v>
      </c>
      <c r="AA14" s="293">
        <f t="shared" ca="1" si="4"/>
        <v>37226</v>
      </c>
      <c r="AB14" s="291">
        <f t="shared" ca="1" si="0"/>
        <v>20</v>
      </c>
      <c r="AC14" s="291">
        <f t="shared" ca="1" si="1"/>
        <v>5</v>
      </c>
      <c r="AD14" s="291">
        <f t="shared" ca="1" si="2"/>
        <v>6</v>
      </c>
      <c r="AE14" s="292">
        <f t="shared" ca="1" si="3"/>
        <v>31</v>
      </c>
      <c r="AF14" s="296">
        <f ca="1">IF(peak_base=1,VLOOKUP(AA14,PriceTable,3),(VLOOKUP(AA14,PriceTable,3)*16*AB14+VLOOKUP(AA14,PriceTable,7)*8*AB14 +VLOOKUP(AA14,PriceTable,12)*AC14*24+VLOOKUP(AA14,PriceTable,16)*AD14*24)/SUM(AB14:AD14)/24)+IF(BasisNumber=1,0,VLOOKUP(AA14,'Power Curves'!$BO$9:$BP$316,2))</f>
        <v>41.599998474121094</v>
      </c>
      <c r="AG14" s="254">
        <f t="shared" ca="1" si="5"/>
        <v>0.52500000000000002</v>
      </c>
      <c r="AH14" s="287">
        <f ca="1">VLOOKUP(AA14,'Power Curves'!$A$4:$B$261,2)</f>
        <v>5.3452603808603005E-2</v>
      </c>
      <c r="AI14" s="297">
        <f ca="1">IF(peak_base_m=1,VLOOKUP(AA14,PriceTable,3),(VLOOKUP(AA14,PriceTable,3)*16*AB14+VLOOKUP(AA14,PriceTable,7)*8*AB14 +VLOOKUP(AA14,PriceTable,12)*AC14*24+VLOOKUP(AA14,PriceTable,16)*AD14*24)/SUM(AB14:AD14)/24)+IF(BasisNumber_m=1,0,VLOOKUP(AA14,'Power Curves'!$BO$9:$BP$316,2))</f>
        <v>41.599998474121094</v>
      </c>
      <c r="AJ14" s="298">
        <f t="shared" ca="1" si="6"/>
        <v>0.52500000000000002</v>
      </c>
      <c r="AM14" s="304">
        <f>Monthly!B82</f>
        <v>0</v>
      </c>
      <c r="AN14" s="304">
        <f>Monthly!C82</f>
        <v>1</v>
      </c>
      <c r="AO14" s="305">
        <f ca="1">OFFSET(Monthly!$BJ$11,Monthly!BO20,0)</f>
        <v>37104</v>
      </c>
      <c r="AP14" s="305">
        <f ca="1">OFFSET(Monthly!$BK$11,Monthly!BP20,0)</f>
        <v>37134</v>
      </c>
      <c r="AQ14" s="306">
        <f ca="1">OFFSET(Monthly!$BU$11,Monthly!BR20,1)</f>
        <v>2</v>
      </c>
      <c r="AR14" s="305">
        <f ca="1">OFFSET(Monthly!$BK$11,Monthly!BQ20,0)</f>
        <v>37103</v>
      </c>
      <c r="AS14" s="304">
        <f>Monthly!H82</f>
        <v>50</v>
      </c>
      <c r="AT14" s="313">
        <f>Monthly!I82</f>
        <v>65.89</v>
      </c>
      <c r="AU14" s="341">
        <f t="shared" ca="1" si="8"/>
        <v>115</v>
      </c>
      <c r="AV14" s="366">
        <f ca="1">IF(Monthly!$BS$12=FALSE,IF( OR(AQ14=1,AQ14=2),VLOOKUP(AO14,Monthly!$K$5:$L$36,2)+skewcalc(AN14,AU14,AT14,OFFSET(Override!$BI$4,Monthly!BO20+(1-AN14)*12-1,0, 1,3)),_xll.BASVOL(OFFSET(Override!$BY$5,Monthly!BO20-1,0,Monthly!BP20-Monthly!BO20,1),OFFSET(Override!$BZ$5,Monthly!BO20-1,0,Monthly!BP20-Monthly!BO20,1),OFFSET(Override!$CB$5,Monthly!BO20-1,0,Monthly!BP20-Monthly!BO20,1),OFFSET(Override!$CC$5,Monthly!BO20-1,0,Monthly!BP20-Monthly!BO20,1),OFFSET(Override!$Y$4,0,0,Monthly!BP20-Monthly!BO20,Monthly!BP20-Monthly!BO20),Calc!AR14-datetoday))+skewcalc(AN14,AU14,AT14,OFFSET(Override!$BI$4,Monthly!BO20+(1-AN14)*Override!$BJ$2-1,0, 1,3)), Monthly!M82)</f>
        <v>0.7</v>
      </c>
      <c r="AW14" s="337">
        <f ca="1">IF(driver_m=2, IF(AQ14=1,BD14,IF(AQ14=2,BE14,BF14)),Monthly!L82)</f>
        <v>49.11</v>
      </c>
      <c r="AX14" s="337">
        <f ca="1">IF(OR(AQ14=1, AQ14=3), _xll.EIMPVOL(AN14,ABS(AW14),AU14,AT14,AR14-datetoday,VLOOKUP(AO14,InputTable_m,4),VLOOKUP(AO14,InputTable_m,4),5,0.001,100), 0)</f>
        <v>0</v>
      </c>
      <c r="AY14" s="337">
        <f ca="1">IF(AQ14=1,_xll.EURO_Forward(AU14,AT14,VLOOKUP(AO14, InputTable_m, 4),AV14,Calc!AO14-datetoday+1,Calc!AN14,1), IF(AQ14=2, 1, BG14))</f>
        <v>1</v>
      </c>
      <c r="AZ14" s="337">
        <f ca="1">IF(AQ14=1, _xll.EURO_Forward(AU14,AT14,VLOOKUP(AO14, InputTable_m, 4),AV14,Calc!AO14-datetoday+1,Calc!AN14,2), IF(AQ14=2, 0,BH14))</f>
        <v>0</v>
      </c>
      <c r="BA14" s="337">
        <f ca="1">IF(AQ14=1, _xll.EURO_Forward(AU14,AT14,VLOOKUP(AO14, InputTable_m, 4),AV14,Calc!AO14-datetoday+1,Calc!AN14,3),IF(AQ14=2, 0,BI14))</f>
        <v>0</v>
      </c>
      <c r="BB14" s="337">
        <f ca="1">IF(AQ14=1, _xll.EURO_Forward(AU14,AT14,VLOOKUP(AO14, InputTable_m, 4),AV14,Calc!AO14-datetoday+1,Calc!AN14,5),IF(AQ14=2, 0,BJ14))</f>
        <v>0</v>
      </c>
      <c r="BD14" s="304">
        <f ca="1">_xll.EURO_Forward(AU14,AT14,VLOOKUP(AO14, InputTable_m, 4),AV14,AR14-datetoday,Calc!AN14,0)</f>
        <v>49.608061052802917</v>
      </c>
      <c r="BE14" s="304">
        <f ca="1">swap(Monthly!BP20-Monthly!BO20, AU14,OFFSET(Override!$BY$5,Monthly!BO20-1,0,MAX(2,Monthly!BP20-Monthly!BO20)),AT14,OFFSET(Override!$CA$5,Monthly!BO20-1,0,MAX(2,Monthly!BP20-Monthly!BO20)),OFFSET(IF(peak_base_m=1, $AB$5, $AE$5),Monthly!BO20-1,0,MAX(2,Monthly!BP20-Monthly!BO20)),datetoday, AO14)</f>
        <v>49.11</v>
      </c>
      <c r="BF14" s="337" t="e">
        <f ca="1">_xll.SWAPTION(OFFSET(Override!$BY$5,Monthly!BO20-1,0,Monthly!BP20-Monthly!BO20,1),OFFSET(Override!$CC$5,Monthly!BO20-1,0,Monthly!BP20-Monthly!BO20,1),OFFSET(Override!$CD$5,Monthly!BO20-1,0,Monthly!BP20-Monthly!BO20,1),OFFSET(Override!$CA$5,Monthly!BO20-1,0,Monthly!BP20-Monthly!BO20,1),AV14,AT14,VLOOKUP(AO14,InputTable_m,4),(AR14-datetoday)/365.25,AN14,0,1)</f>
        <v>#VALUE!</v>
      </c>
      <c r="BG14" s="304">
        <f ca="1">SWAPTION_Greek(OFFSET(Override!$BY$5,Monthly!BO20-1,0,Monthly!BP20-Monthly!BO20,1),OFFSET(Override!$CC$5,Monthly!BO20-1,0,Monthly!BP20-Monthly!BO20,1),OFFSET(Override!$CD$5,Monthly!BO20-1,0,Monthly!BP20-Monthly!BO20,1),OFFSET(Override!$CA$5,Monthly!BO20-1,0,Monthly!BP20-Monthly!BO20,1),AT14,Monthly!BP20-Monthly!BO20, AV14,VLOOKUP(AO14,InputTable_m,4),datetoday, AO14,AR14,AN14,1)</f>
        <v>0.92240861566183785</v>
      </c>
      <c r="BH14" s="304">
        <f ca="1">SWAPTION_Greek(OFFSET(Override!$BY$5,Monthly!BO20-1,0,Monthly!BP20-Monthly!BO20,1),OFFSET(Override!$CC$5,Monthly!BO20-1,0,Monthly!BP20-Monthly!BO20,1),OFFSET(Override!$CD$5,Monthly!BO20-1,0,Monthly!BP20-Monthly!BO20,1),OFFSET(Override!$CA$5,Monthly!BO20-1,0,Monthly!BP20-Monthly!BO20,1),AT14,Monthly!BP20-Monthly!BO20, AV14,VLOOKUP(AO14,InputTable_m,4),datetoday, AO14,AR14,AN14,2)</f>
        <v>2.458811864967124E-3</v>
      </c>
      <c r="BI14" s="304">
        <f ca="1">SWAPTION_Greek(OFFSET(Override!$BY$5,Monthly!BO20-1,0,Monthly!BP20-Monthly!BO20,1),OFFSET(Override!$CC$5,Monthly!BO20-1,0,Monthly!BP20-Monthly!BO20,1),OFFSET(Override!$CD$5,Monthly!BO20-1,0,Monthly!BP20-Monthly!BO20,1),OFFSET(Override!$CA$5,Monthly!BO20-1,0,Monthly!BP20-Monthly!BO20,1),AT14,Monthly!BP20-Monthly!BO20, AV14,VLOOKUP(AO14,InputTable_m,4),datetoday, AO14,AR14,AN14,3)</f>
        <v>7.9146646315441753</v>
      </c>
      <c r="BJ14" s="304">
        <f ca="1">SWAPTION_Greek(OFFSET(Override!$BY$5,Monthly!BO20-1,0,Monthly!BP20-Monthly!BO20,1),OFFSET(Override!$CC$5,Monthly!BO20-1,0,Monthly!BP20-Monthly!BO20,1),OFFSET(Override!$CD$5,Monthly!BO20-1,0,Monthly!BP20-Monthly!BO20,1),OFFSET(Override!$CA$5,Monthly!BO20-1,0,Monthly!BP20-Monthly!BO20,1),AT14,Monthly!BP20-Monthly!BO20, AV14,VLOOKUP(AO14,InputTable_m,4),datetoday, AO14,AR14,AN14,5)</f>
        <v>-5.2551613340196406</v>
      </c>
    </row>
    <row r="15" spans="2:62" ht="11.25" customHeight="1" x14ac:dyDescent="0.2">
      <c r="C15" s="304">
        <f>Daily!B55</f>
        <v>0</v>
      </c>
      <c r="D15" s="304">
        <f>Daily!C55</f>
        <v>1</v>
      </c>
      <c r="E15" s="305">
        <f ca="1">OFFSET(Daily!$BJ$11,Daily!BO21,0)</f>
        <v>37135</v>
      </c>
      <c r="F15" s="305">
        <f ca="1">OFFSET(Daily!$BK$11,Daily!BP21,0)</f>
        <v>37195</v>
      </c>
      <c r="G15" s="306">
        <f ca="1">OFFSET(Daily!$BU$11,Daily!BR21,1)</f>
        <v>2</v>
      </c>
      <c r="H15" s="305">
        <f ca="1">OFFSET(Daily!$BK$11,Daily!BQ21,0)</f>
        <v>37134</v>
      </c>
      <c r="I15" s="307">
        <f>Daily!H55</f>
        <v>50</v>
      </c>
      <c r="J15" s="307">
        <f>Daily!I55</f>
        <v>65.89</v>
      </c>
      <c r="K15" s="304">
        <f ca="1">pricepickup(VLOOKUP(E15, InputTable, 2), datetoday, E15,F15,CindailyPrices, peak_base)</f>
        <v>43.500003814697266</v>
      </c>
      <c r="L15" s="303">
        <f ca="1">IF(Daily!BS21=FALSE, VLOOKUP(E15,Daily!$K$5:$L$28,2)+skewcalc(D15,K15,J15,OFFSET(Override!$AK$4,Daily!BO21+(1-D15)*Override!$AL$2-1,0, 1,3)), Daily!M55)</f>
        <v>0.71980264473066891</v>
      </c>
      <c r="M15" s="304">
        <f ca="1">IF(driver=2, IF(G15=2, swap(Daily!BP21-Daily!BO21, K15,OFFSET(Override!$L$5,Daily!BO21-1,0,MAX(2,Daily!BP21-Daily!BO21)),J15,OFFSET(Override!$N$5,Daily!BO21-1,0,MAX(2,Daily!BP21-Daily!BO21)),OFFSET(IF(peak_base=1, $AB$5, $AE$5),Daily!BO21-1,0,MAX(2,Daily!BP21-Daily!BO21)),datetoday, E15),dailyvaluation(K15,J15,VLOOKUP(E15, InputTable, 4),L15,CindailyPrices,peak_base,datetoday, E15,F15,D15,0)), Daily!L55)</f>
        <v>0</v>
      </c>
      <c r="N15" s="304">
        <f ca="1">IF(G15=1, _xll.EIMPVOL(D15,ABS(M15),K15,J15,H15-datetoday+15,VLOOKUP(E15,InputTable,4),VLOOKUP(E15,InputTable,4),5,0.001,100), 0)</f>
        <v>0</v>
      </c>
      <c r="O15" s="304">
        <f ca="1">IF(G15=2, 1, dailyvaluation(K15,J15,VLOOKUP(E15, InputTable, 4),L15,CindailyPrices,peak_base, datetoday, E15,F15,D15,1))</f>
        <v>1</v>
      </c>
      <c r="P15" s="304">
        <f ca="1">IF(G15=2, 0,dailyvaluation(K15,J15,VLOOKUP(E15, InputTable, 4),L15,CindailyPrices,peak_base, datetoday, E15,F15,D15,2))</f>
        <v>0</v>
      </c>
      <c r="Q15" s="304">
        <f ca="1">IF(G15=2, 0,dailyvaluation(K15,J15,VLOOKUP(E15, InputTable, 4),L15,CindailyPrices,peak_base, datetoday, E15,F15,D15,3))</f>
        <v>0</v>
      </c>
      <c r="R15" s="304">
        <f ca="1">IF(G15=2, 0,dailyvaluation(K15,J15,VLOOKUP(E15, InputTable, 4),L15,CindailyPrices,peak_base, datetoday, E15,F15,D15,5))</f>
        <v>0</v>
      </c>
      <c r="U15" s="214">
        <v>36861</v>
      </c>
      <c r="V15" s="212">
        <v>20</v>
      </c>
      <c r="W15" s="212">
        <v>5</v>
      </c>
      <c r="X15" s="212">
        <v>6</v>
      </c>
      <c r="Y15" s="213">
        <v>1</v>
      </c>
      <c r="AA15" s="293">
        <f t="shared" ca="1" si="4"/>
        <v>37257</v>
      </c>
      <c r="AB15" s="291">
        <f t="shared" ca="1" si="0"/>
        <v>22</v>
      </c>
      <c r="AC15" s="291">
        <f t="shared" ca="1" si="1"/>
        <v>4</v>
      </c>
      <c r="AD15" s="291">
        <f t="shared" ca="1" si="2"/>
        <v>5</v>
      </c>
      <c r="AE15" s="292">
        <f t="shared" ca="1" si="3"/>
        <v>31</v>
      </c>
      <c r="AF15" s="296">
        <f ca="1">IF(peak_base=1,VLOOKUP(AA15,PriceTable,3),(VLOOKUP(AA15,PriceTable,3)*16*AB15+VLOOKUP(AA15,PriceTable,7)*8*AB15 +VLOOKUP(AA15,PriceTable,12)*AC15*24+VLOOKUP(AA15,PriceTable,16)*AD15*24)/SUM(AB15:AD15)/24)+IF(BasisNumber=1,0,VLOOKUP(AA15,'Power Curves'!$BO$9:$BP$316,2))</f>
        <v>47.037143707275391</v>
      </c>
      <c r="AG15" s="254">
        <f t="shared" ca="1" si="5"/>
        <v>0.47499999999999998</v>
      </c>
      <c r="AH15" s="287">
        <f ca="1">VLOOKUP(AA15,'Power Curves'!$A$4:$B$261,2)</f>
        <v>5.3439921275452003E-2</v>
      </c>
      <c r="AI15" s="297">
        <f ca="1">IF(peak_base_m=1,VLOOKUP(AA15,PriceTable,3),(VLOOKUP(AA15,PriceTable,3)*16*AB15+VLOOKUP(AA15,PriceTable,7)*8*AB15 +VLOOKUP(AA15,PriceTable,12)*AC15*24+VLOOKUP(AA15,PriceTable,16)*AD15*24)/SUM(AB15:AD15)/24)+IF(BasisNumber_m=1,0,VLOOKUP(AA15,'Power Curves'!$BO$9:$BP$316,2))</f>
        <v>47.037143707275391</v>
      </c>
      <c r="AJ15" s="298">
        <f t="shared" ca="1" si="6"/>
        <v>0.47499999999999998</v>
      </c>
      <c r="AM15" s="304">
        <f>Monthly!B83</f>
        <v>0</v>
      </c>
      <c r="AN15" s="304">
        <f>Monthly!C83</f>
        <v>1</v>
      </c>
      <c r="AO15" s="305">
        <f ca="1">OFFSET(Monthly!$BJ$11,Monthly!BO21,0)</f>
        <v>37135</v>
      </c>
      <c r="AP15" s="305">
        <f ca="1">OFFSET(Monthly!$BK$11,Monthly!BP21,0)</f>
        <v>37195</v>
      </c>
      <c r="AQ15" s="306">
        <f ca="1">OFFSET(Monthly!$BU$11,Monthly!BR21,1)</f>
        <v>2</v>
      </c>
      <c r="AR15" s="305">
        <f ca="1">OFFSET(Monthly!$BK$11,Monthly!BQ21,0)</f>
        <v>37134</v>
      </c>
      <c r="AS15" s="304">
        <f>Monthly!H83</f>
        <v>50</v>
      </c>
      <c r="AT15" s="313">
        <f>Monthly!I83</f>
        <v>65.89</v>
      </c>
      <c r="AU15" s="341">
        <f t="shared" ca="1" si="8"/>
        <v>43.500003814697266</v>
      </c>
      <c r="AV15" s="366">
        <f ca="1">IF(Monthly!$BS$12=FALSE,IF( OR(AQ15=1,AQ15=2),VLOOKUP(AO15,Monthly!$K$5:$L$36,2)+skewcalc(AN15,AU15,AT15,OFFSET(Override!$BI$4,Monthly!BO21+(1-AN15)*12-1,0, 1,3)),_xll.BASVOL(OFFSET(Override!$BY$5,Monthly!BO21-1,0,Monthly!BP21-Monthly!BO21,1),OFFSET(Override!$BZ$5,Monthly!BO21-1,0,Monthly!BP21-Monthly!BO21,1),OFFSET(Override!$CB$5,Monthly!BO21-1,0,Monthly!BP21-Monthly!BO21,1),OFFSET(Override!$CC$5,Monthly!BO21-1,0,Monthly!BP21-Monthly!BO21,1),OFFSET(Override!$Y$4,0,0,Monthly!BP21-Monthly!BO21,Monthly!BP21-Monthly!BO21),Calc!AR15-datetoday))+skewcalc(AN15,AU15,AT15,OFFSET(Override!$BI$4,Monthly!BO21+(1-AN15)*Override!$BJ$2-1,0, 1,3)), Monthly!M83)</f>
        <v>0.83960528946133783</v>
      </c>
      <c r="AW15" s="337">
        <f ca="1">IF(driver_m=2, IF(AQ15=1,BD15,IF(AQ15=2,BE15,BF15)),Monthly!L83)</f>
        <v>-23.537766876611357</v>
      </c>
      <c r="AX15" s="337">
        <f ca="1">IF(OR(AQ15=1, AQ15=3), _xll.EIMPVOL(AN15,ABS(AW15),AU15,AT15,AR15-datetoday,VLOOKUP(AO15,InputTable_m,4),VLOOKUP(AO15,InputTable_m,4),5,0.001,100), 0)</f>
        <v>0</v>
      </c>
      <c r="AY15" s="337">
        <f ca="1">IF(AQ15=1,_xll.EURO_Forward(AU15,AT15,VLOOKUP(AO15, InputTable_m, 4),AV15,Calc!AO15-datetoday+1,Calc!AN15,1), IF(AQ15=2, 1, BG15))</f>
        <v>1</v>
      </c>
      <c r="AZ15" s="337">
        <f ca="1">IF(AQ15=1, _xll.EURO_Forward(AU15,AT15,VLOOKUP(AO15, InputTable_m, 4),AV15,Calc!AO15-datetoday+1,Calc!AN15,2), IF(AQ15=2, 0,BH15))</f>
        <v>0</v>
      </c>
      <c r="BA15" s="337">
        <f ca="1">IF(AQ15=1, _xll.EURO_Forward(AU15,AT15,VLOOKUP(AO15, InputTable_m, 4),AV15,Calc!AO15-datetoday+1,Calc!AN15,3),IF(AQ15=2, 0,BI15))</f>
        <v>0</v>
      </c>
      <c r="BB15" s="337">
        <f ca="1">IF(AQ15=1, _xll.EURO_Forward(AU15,AT15,VLOOKUP(AO15, InputTable_m, 4),AV15,Calc!AO15-datetoday+1,Calc!AN15,5),IF(AQ15=2, 0,BJ15))</f>
        <v>0</v>
      </c>
      <c r="BD15" s="304">
        <f ca="1">_xll.EURO_Forward(AU15,AT15,VLOOKUP(AO15, InputTable_m, 4),AV15,AR15-datetoday,Calc!AN15,0)</f>
        <v>3.6931888557154871</v>
      </c>
      <c r="BE15" s="304">
        <f ca="1">swap(Monthly!BP21-Monthly!BO21, AU15,OFFSET(Override!$BY$5,Monthly!BO21-1,0,MAX(2,Monthly!BP21-Monthly!BO21)),AT15,OFFSET(Override!$CA$5,Monthly!BO21-1,0,MAX(2,Monthly!BP21-Monthly!BO21)),OFFSET(IF(peak_base_m=1, $AB$5, $AE$5),Monthly!BO21-1,0,MAX(2,Monthly!BP21-Monthly!BO21)),datetoday, AO15)</f>
        <v>-23.537766876611357</v>
      </c>
      <c r="BF15" s="337">
        <f ca="1">_xll.SWAPTION(OFFSET(Override!$BY$5,Monthly!BO21-1,0,Monthly!BP21-Monthly!BO21,1),OFFSET(Override!$CC$5,Monthly!BO21-1,0,Monthly!BP21-Monthly!BO21,1),OFFSET(Override!$CD$5,Monthly!BO21-1,0,Monthly!BP21-Monthly!BO21,1),OFFSET(Override!$CA$5,Monthly!BO21-1,0,Monthly!BP21-Monthly!BO21,1),AV15,AT15,VLOOKUP(AO15,InputTable_m,4),(AR15-datetoday)/365.25,AN15,0,1)</f>
        <v>3.3689545403905301</v>
      </c>
      <c r="BG15" s="304">
        <f ca="1">SWAPTION_Greek(OFFSET(Override!$BY$5,Monthly!BO21-1,0,Monthly!BP21-Monthly!BO21,1),OFFSET(Override!$CC$5,Monthly!BO21-1,0,Monthly!BP21-Monthly!BO21,1),OFFSET(Override!$CD$5,Monthly!BO21-1,0,Monthly!BP21-Monthly!BO21,1),OFFSET(Override!$CA$5,Monthly!BO21-1,0,Monthly!BP21-Monthly!BO21,1),AT15,Monthly!BP21-Monthly!BO21, AV15,VLOOKUP(AO15,InputTable_m,4),datetoday, AO15,AR15,AN15,1)</f>
        <v>0.58777026478772965</v>
      </c>
      <c r="BH15" s="304">
        <f ca="1">SWAPTION_Greek(OFFSET(Override!$BY$5,Monthly!BO21-1,0,Monthly!BP21-Monthly!BO21,1),OFFSET(Override!$CC$5,Monthly!BO21-1,0,Monthly!BP21-Monthly!BO21,1),OFFSET(Override!$CD$5,Monthly!BO21-1,0,Monthly!BP21-Monthly!BO21,1),OFFSET(Override!$CA$5,Monthly!BO21-1,0,Monthly!BP21-Monthly!BO21,1),AT15,Monthly!BP21-Monthly!BO21, AV15,VLOOKUP(AO15,InputTable_m,4),datetoday, AO15,AR15,AN15,2)</f>
        <v>2.8976836111660461E-2</v>
      </c>
      <c r="BI15" s="304">
        <f ca="1">SWAPTION_Greek(OFFSET(Override!$BY$5,Monthly!BO21-1,0,Monthly!BP21-Monthly!BO21,1),OFFSET(Override!$CC$5,Monthly!BO21-1,0,Monthly!BP21-Monthly!BO21,1),OFFSET(Override!$CD$5,Monthly!BO21-1,0,Monthly!BP21-Monthly!BO21,1),OFFSET(Override!$CA$5,Monthly!BO21-1,0,Monthly!BP21-Monthly!BO21,1),AT15,Monthly!BP21-Monthly!BO21, AV15,VLOOKUP(AO15,InputTable_m,4),datetoday, AO15,AR15,AN15,3)</f>
        <v>18.966798156806529</v>
      </c>
      <c r="BJ15" s="304">
        <f ca="1">SWAPTION_Greek(OFFSET(Override!$BY$5,Monthly!BO21-1,0,Monthly!BP21-Monthly!BO21,1),OFFSET(Override!$CC$5,Monthly!BO21-1,0,Monthly!BP21-Monthly!BO21,1),OFFSET(Override!$CD$5,Monthly!BO21-1,0,Monthly!BP21-Monthly!BO21,1),OFFSET(Override!$CA$5,Monthly!BO21-1,0,Monthly!BP21-Monthly!BO21,1),AT15,Monthly!BP21-Monthly!BO21, AV15,VLOOKUP(AO15,InputTable_m,4),datetoday, AO15,AR15,AN15,5)</f>
        <v>-18.042210229082315</v>
      </c>
    </row>
    <row r="16" spans="2:62" ht="11.25" customHeight="1" x14ac:dyDescent="0.2">
      <c r="C16" s="304">
        <f>Daily!B56</f>
        <v>0</v>
      </c>
      <c r="D16" s="304">
        <f>Daily!C56</f>
        <v>1</v>
      </c>
      <c r="E16" s="305">
        <f ca="1">OFFSET(Daily!$BJ$11,Daily!BO22,0)</f>
        <v>37165</v>
      </c>
      <c r="F16" s="305">
        <f ca="1">OFFSET(Daily!$BK$11,Daily!BP22,0)</f>
        <v>37195</v>
      </c>
      <c r="G16" s="306">
        <f ca="1">OFFSET(Daily!$BU$11,Daily!BR22,1)</f>
        <v>2</v>
      </c>
      <c r="H16" s="305">
        <f ca="1">OFFSET(Daily!$BK$11,Daily!BQ22,0)</f>
        <v>37164</v>
      </c>
      <c r="I16" s="307">
        <f>Daily!H56</f>
        <v>50</v>
      </c>
      <c r="J16" s="307">
        <f>Daily!I56</f>
        <v>65.89</v>
      </c>
      <c r="K16" s="304">
        <f ca="1">pricepickup(VLOOKUP(E16, InputTable, 2), datetoday, E16,F16,CindailyPrices, peak_base)</f>
        <v>41.400001525878906</v>
      </c>
      <c r="L16" s="303">
        <f ca="1">IF(Daily!BS22=FALSE, VLOOKUP(E16,Daily!$K$5:$L$28,2)+skewcalc(D16,K16,J16,OFFSET(Override!$AK$4,Daily!BO22+(1-D16)*Override!$AL$2-1,0, 1,3)), Daily!M56)</f>
        <v>0.63226587212343155</v>
      </c>
      <c r="M16" s="304">
        <f ca="1">IF(driver=2, IF(G16=2, swap(Daily!BP22-Daily!BO22, K16,OFFSET(Override!$L$5,Daily!BO22-1,0,MAX(2,Daily!BP22-Daily!BO22)),J16,OFFSET(Override!$N$5,Daily!BO22-1,0,MAX(2,Daily!BP22-Daily!BO22)),OFFSET(IF(peak_base=1, $AB$5, $AE$5),Daily!BO22-1,0,MAX(2,Daily!BP22-Daily!BO22)),datetoday, E16),dailyvaluation(K16,J16,VLOOKUP(E16, InputTable, 4),L16,CindailyPrices,peak_base,datetoday, E16,F16,D16,0)), Daily!L56)</f>
        <v>0</v>
      </c>
      <c r="N16" s="304">
        <f ca="1">IF(G16=1, _xll.EIMPVOL(D16,ABS(M16),K16,J16,H16-datetoday+15,VLOOKUP(E16,InputTable,4),VLOOKUP(E16,InputTable,4),5,0.001,100), 0)</f>
        <v>0</v>
      </c>
      <c r="O16" s="304">
        <f ca="1">IF(G16=2, 1, dailyvaluation(K16,J16,VLOOKUP(E16, InputTable, 4),L16,CindailyPrices,peak_base, datetoday, E16,F16,D16,1))</f>
        <v>1</v>
      </c>
      <c r="P16" s="304">
        <f ca="1">IF(G16=2, 0,dailyvaluation(K16,J16,VLOOKUP(E16, InputTable, 4),L16,CindailyPrices,peak_base, datetoday, E16,F16,D16,2))</f>
        <v>0</v>
      </c>
      <c r="Q16" s="304">
        <f ca="1">IF(G16=2, 0,dailyvaluation(K16,J16,VLOOKUP(E16, InputTable, 4),L16,CindailyPrices,peak_base, datetoday, E16,F16,D16,3))</f>
        <v>0</v>
      </c>
      <c r="R16" s="304">
        <f ca="1">IF(G16=2, 0,dailyvaluation(K16,J16,VLOOKUP(E16, InputTable, 4),L16,CindailyPrices,peak_base, datetoday, E16,F16,D16,5))</f>
        <v>0</v>
      </c>
      <c r="U16" s="214">
        <v>36892</v>
      </c>
      <c r="V16" s="212">
        <v>22</v>
      </c>
      <c r="W16" s="212">
        <v>4</v>
      </c>
      <c r="X16" s="212">
        <v>5</v>
      </c>
      <c r="Y16" s="213">
        <v>1</v>
      </c>
      <c r="AA16" s="293">
        <f t="shared" ca="1" si="4"/>
        <v>37288</v>
      </c>
      <c r="AB16" s="291">
        <f t="shared" ca="1" si="0"/>
        <v>20</v>
      </c>
      <c r="AC16" s="291">
        <f t="shared" ca="1" si="1"/>
        <v>4</v>
      </c>
      <c r="AD16" s="291">
        <f t="shared" ca="1" si="2"/>
        <v>4</v>
      </c>
      <c r="AE16" s="292">
        <f t="shared" ca="1" si="3"/>
        <v>28</v>
      </c>
      <c r="AF16" s="296">
        <f ca="1">IF(peak_base=1,VLOOKUP(AA16,PriceTable,3),(VLOOKUP(AA16,PriceTable,3)*16*AB16+VLOOKUP(AA16,PriceTable,7)*8*AB16 +VLOOKUP(AA16,PriceTable,12)*AC16*24+VLOOKUP(AA16,PriceTable,16)*AD16*24)/SUM(AB16:AD16)/24)+IF(BasisNumber=1,0,VLOOKUP(AA16,'Power Curves'!$BO$9:$BP$316,2))</f>
        <v>46.437141418457031</v>
      </c>
      <c r="AG16" s="254">
        <f t="shared" ca="1" si="5"/>
        <v>0.42499999999999999</v>
      </c>
      <c r="AH16" s="287">
        <f ca="1">VLOOKUP(AA16,'Power Curves'!$A$4:$B$261,2)</f>
        <v>5.3428466084266005E-2</v>
      </c>
      <c r="AI16" s="297">
        <f ca="1">IF(peak_base_m=1,VLOOKUP(AA16,PriceTable,3),(VLOOKUP(AA16,PriceTable,3)*16*AB16+VLOOKUP(AA16,PriceTable,7)*8*AB16 +VLOOKUP(AA16,PriceTable,12)*AC16*24+VLOOKUP(AA16,PriceTable,16)*AD16*24)/SUM(AB16:AD16)/24)+IF(BasisNumber_m=1,0,VLOOKUP(AA16,'Power Curves'!$BO$9:$BP$316,2))</f>
        <v>46.437141418457031</v>
      </c>
      <c r="AJ16" s="298">
        <f t="shared" ca="1" si="6"/>
        <v>0.42499999999999999</v>
      </c>
      <c r="AM16" s="304">
        <f>Monthly!B84</f>
        <v>0</v>
      </c>
      <c r="AN16" s="304">
        <f>Monthly!C84</f>
        <v>1</v>
      </c>
      <c r="AO16" s="305">
        <f ca="1">OFFSET(Monthly!$BJ$11,Monthly!BO22,0)</f>
        <v>37165</v>
      </c>
      <c r="AP16" s="305">
        <f ca="1">OFFSET(Monthly!$BK$11,Monthly!BP22,0)</f>
        <v>37195</v>
      </c>
      <c r="AQ16" s="306">
        <f ca="1">OFFSET(Monthly!$BU$11,Monthly!BR22,1)</f>
        <v>2</v>
      </c>
      <c r="AR16" s="305">
        <f ca="1">OFFSET(Monthly!$BK$11,Monthly!BQ22,0)</f>
        <v>37164</v>
      </c>
      <c r="AS16" s="304">
        <f>Monthly!H84</f>
        <v>50</v>
      </c>
      <c r="AT16" s="313">
        <f>Monthly!I84</f>
        <v>65.89</v>
      </c>
      <c r="AU16" s="341">
        <f t="shared" ca="1" si="8"/>
        <v>41.400001525878906</v>
      </c>
      <c r="AV16" s="366">
        <f ca="1">IF(Monthly!$BS$12=FALSE,IF( OR(AQ16=1,AQ16=2),VLOOKUP(AO16,Monthly!$K$5:$L$36,2)+skewcalc(AN16,AU16,AT16,OFFSET(Override!$BI$4,Monthly!BO22+(1-AN16)*12-1,0, 1,3)),_xll.BASVOL(OFFSET(Override!$BY$5,Monthly!BO22-1,0,Monthly!BP22-Monthly!BO22,1),OFFSET(Override!$BZ$5,Monthly!BO22-1,0,Monthly!BP22-Monthly!BO22,1),OFFSET(Override!$CB$5,Monthly!BO22-1,0,Monthly!BP22-Monthly!BO22,1),OFFSET(Override!$CC$5,Monthly!BO22-1,0,Monthly!BP22-Monthly!BO22,1),OFFSET(Override!$Y$4,0,0,Monthly!BP22-Monthly!BO22,Monthly!BP22-Monthly!BO22),Calc!AR16-datetoday))+skewcalc(AN16,AU16,AT16,OFFSET(Override!$BI$4,Monthly!BO22+(1-AN16)*Override!$BJ$2-1,0, 1,3)), Monthly!M84)</f>
        <v>0.7645317442468631</v>
      </c>
      <c r="AW16" s="337">
        <f ca="1">IF(driver_m=2, IF(AQ16=1,BD16,IF(AQ16=2,BE16,BF16)),Monthly!L84)</f>
        <v>-24.489998474121094</v>
      </c>
      <c r="AX16" s="337">
        <f ca="1">IF(OR(AQ16=1, AQ16=3), _xll.EIMPVOL(AN16,ABS(AW16),AU16,AT16,AR16-datetoday,VLOOKUP(AO16,InputTable_m,4),VLOOKUP(AO16,InputTable_m,4),5,0.001,100), 0)</f>
        <v>0</v>
      </c>
      <c r="AY16" s="337">
        <f ca="1">IF(AQ16=1,_xll.EURO_Forward(AU16,AT16,VLOOKUP(AO16, InputTable_m, 4),AV16,Calc!AO16-datetoday+1,Calc!AN16,1), IF(AQ16=2, 1, BG16))</f>
        <v>1</v>
      </c>
      <c r="AZ16" s="337">
        <f ca="1">IF(AQ16=1, _xll.EURO_Forward(AU16,AT16,VLOOKUP(AO16, InputTable_m, 4),AV16,Calc!AO16-datetoday+1,Calc!AN16,2), IF(AQ16=2, 0,BH16))</f>
        <v>0</v>
      </c>
      <c r="BA16" s="337">
        <f ca="1">IF(AQ16=1, _xll.EURO_Forward(AU16,AT16,VLOOKUP(AO16, InputTable_m, 4),AV16,Calc!AO16-datetoday+1,Calc!AN16,3),IF(AQ16=2, 0,BI16))</f>
        <v>0</v>
      </c>
      <c r="BB16" s="337">
        <f ca="1">IF(AQ16=1, _xll.EURO_Forward(AU16,AT16,VLOOKUP(AO16, InputTable_m, 4),AV16,Calc!AO16-datetoday+1,Calc!AN16,5),IF(AQ16=2, 0,BJ16))</f>
        <v>0</v>
      </c>
      <c r="BD16" s="304">
        <f ca="1">_xll.EURO_Forward(AU16,AT16,VLOOKUP(AO16, InputTable_m, 4),AV16,AR16-datetoday,Calc!AN16,0)</f>
        <v>3.0107952220972152</v>
      </c>
      <c r="BE16" s="304">
        <f ca="1">swap(Monthly!BP22-Monthly!BO22, AU16,OFFSET(Override!$BY$5,Monthly!BO22-1,0,MAX(2,Monthly!BP22-Monthly!BO22)),AT16,OFFSET(Override!$CA$5,Monthly!BO22-1,0,MAX(2,Monthly!BP22-Monthly!BO22)),OFFSET(IF(peak_base_m=1, $AB$5, $AE$5),Monthly!BO22-1,0,MAX(2,Monthly!BP22-Monthly!BO22)),datetoday, AO16)</f>
        <v>-24.489998474121094</v>
      </c>
      <c r="BF16" s="337" t="e">
        <f ca="1">_xll.SWAPTION(OFFSET(Override!$BY$5,Monthly!BO22-1,0,Monthly!BP22-Monthly!BO22,1),OFFSET(Override!$CC$5,Monthly!BO22-1,0,Monthly!BP22-Monthly!BO22,1),OFFSET(Override!$CD$5,Monthly!BO22-1,0,Monthly!BP22-Monthly!BO22,1),OFFSET(Override!$CA$5,Monthly!BO22-1,0,Monthly!BP22-Monthly!BO22,1),AV16,AT16,VLOOKUP(AO16,InputTable_m,4),(AR16-datetoday)/365.25,AN16,0,1)</f>
        <v>#VALUE!</v>
      </c>
      <c r="BG16" s="304">
        <f ca="1">SWAPTION_Greek(OFFSET(Override!$BY$5,Monthly!BO22-1,0,Monthly!BP22-Monthly!BO22,1),OFFSET(Override!$CC$5,Monthly!BO22-1,0,Monthly!BP22-Monthly!BO22,1),OFFSET(Override!$CD$5,Monthly!BO22-1,0,Monthly!BP22-Monthly!BO22,1),OFFSET(Override!$CA$5,Monthly!BO22-1,0,Monthly!BP22-Monthly!BO22,1),AT16,Monthly!BP22-Monthly!BO22, AV16,VLOOKUP(AO16,InputTable_m,4),datetoday, AO16,AR16,AN16,1)</f>
        <v>0.27557613084883292</v>
      </c>
      <c r="BH16" s="304">
        <f ca="1">SWAPTION_Greek(OFFSET(Override!$BY$5,Monthly!BO22-1,0,Monthly!BP22-Monthly!BO22,1),OFFSET(Override!$CC$5,Monthly!BO22-1,0,Monthly!BP22-Monthly!BO22,1),OFFSET(Override!$CD$5,Monthly!BO22-1,0,Monthly!BP22-Monthly!BO22,1),OFFSET(Override!$CA$5,Monthly!BO22-1,0,Monthly!BP22-Monthly!BO22,1),AT16,Monthly!BP22-Monthly!BO22, AV16,VLOOKUP(AO16,InputTable_m,4),datetoday, AO16,AR16,AN16,2)</f>
        <v>1.4500675649516822E-2</v>
      </c>
      <c r="BI16" s="304">
        <f ca="1">SWAPTION_Greek(OFFSET(Override!$BY$5,Monthly!BO22-1,0,Monthly!BP22-Monthly!BO22,1),OFFSET(Override!$CC$5,Monthly!BO22-1,0,Monthly!BP22-Monthly!BO22,1),OFFSET(Override!$CD$5,Monthly!BO22-1,0,Monthly!BP22-Monthly!BO22,1),OFFSET(Override!$CA$5,Monthly!BO22-1,0,Monthly!BP22-Monthly!BO22,1),AT16,Monthly!BP22-Monthly!BO22, AV16,VLOOKUP(AO16,InputTable_m,4),datetoday, AO16,AR16,AN16,3)</f>
        <v>9.7802982732056236</v>
      </c>
      <c r="BJ16" s="304">
        <f ca="1">SWAPTION_Greek(OFFSET(Override!$BY$5,Monthly!BO22-1,0,Monthly!BP22-Monthly!BO22,1),OFFSET(Override!$CC$5,Monthly!BO22-1,0,Monthly!BP22-Monthly!BO22,1),OFFSET(Override!$CD$5,Monthly!BO22-1,0,Monthly!BP22-Monthly!BO22,1),OFFSET(Override!$CA$5,Monthly!BO22-1,0,Monthly!BP22-Monthly!BO22,1),AT16,Monthly!BP22-Monthly!BO22, AV16,VLOOKUP(AO16,InputTable_m,4),datetoday, AO16,AR16,AN16,5)</f>
        <v>-7.1012275017864557</v>
      </c>
    </row>
    <row r="17" spans="3:62" ht="11.25" customHeight="1" x14ac:dyDescent="0.2">
      <c r="C17" s="308">
        <f>Daily!B57</f>
        <v>0</v>
      </c>
      <c r="D17" s="308">
        <f>Daily!C57</f>
        <v>1</v>
      </c>
      <c r="E17" s="309">
        <f ca="1">OFFSET(Daily!$BJ$11,Daily!BO23,0)</f>
        <v>37196</v>
      </c>
      <c r="F17" s="309">
        <f ca="1">OFFSET(Daily!$BK$11,Daily!BP23,0)</f>
        <v>37225</v>
      </c>
      <c r="G17" s="310">
        <f ca="1">OFFSET(Daily!$BU$11,Daily!BR23,1)</f>
        <v>2</v>
      </c>
      <c r="H17" s="309">
        <f ca="1">OFFSET(Daily!$BK$11,Daily!BQ23,0)</f>
        <v>37195</v>
      </c>
      <c r="I17" s="311">
        <f>Daily!H57</f>
        <v>50</v>
      </c>
      <c r="J17" s="311">
        <f>Daily!I57</f>
        <v>65.89</v>
      </c>
      <c r="K17" s="308">
        <f ca="1">pricepickup(VLOOKUP(E17, InputTable, 2), datetoday, E17,F17,CindailyPrices, peak_base)</f>
        <v>41.5</v>
      </c>
      <c r="L17" s="303">
        <f ca="1">IF(Daily!BS23=FALSE, VLOOKUP(E17,Daily!$K$5:$L$28,2)+skewcalc(D17,K17,J17,OFFSET(Override!$AK$4,Daily!BO23+(1-D17)*Override!$AL$2-1,0, 1,3)), Daily!M57)</f>
        <v>0.6066824766508927</v>
      </c>
      <c r="M17" s="308">
        <f ca="1">IF(driver=2, IF(G17=2, swap(Daily!BP23-Daily!BO23, K17,OFFSET(Override!$L$5,Daily!BO23-1,0,MAX(2,Daily!BP23-Daily!BO23)),J17,OFFSET(Override!$N$5,Daily!BO23-1,0,MAX(2,Daily!BP23-Daily!BO23)),OFFSET(IF(peak_base=1, $AB$5, $AE$5),Daily!BO23-1,0,MAX(2,Daily!BP23-Daily!BO23)),datetoday, E17),dailyvaluation(K17,J17,VLOOKUP(E17, InputTable, 4),L17,CindailyPrices,peak_base,datetoday, E17,F17,D17,0)), Daily!L57)</f>
        <v>0</v>
      </c>
      <c r="N17" s="308">
        <f ca="1">IF(G17=1, _xll.EIMPVOL(D17,ABS(M17),K17,J17,H17-datetoday+15,VLOOKUP(E17,InputTable,4),VLOOKUP(E17,InputTable,4),5,0.001,100), 0)</f>
        <v>0</v>
      </c>
      <c r="O17" s="308">
        <f ca="1">IF(G17=2, 1, dailyvaluation(K17,J17,VLOOKUP(E17, InputTable, 4),L17,CindailyPrices,peak_base, datetoday, E17,F17,D17,1))</f>
        <v>1</v>
      </c>
      <c r="P17" s="308">
        <f ca="1">IF(G17=2, 0,dailyvaluation(K17,J17,VLOOKUP(E17, InputTable, 4),L17,CindailyPrices,peak_base, datetoday, E17,F17,D17,2))</f>
        <v>0</v>
      </c>
      <c r="Q17" s="308">
        <f ca="1">IF(G17=2, 0,dailyvaluation(K17,J17,VLOOKUP(E17, InputTable, 4),L17,CindailyPrices,peak_base, datetoday, E17,F17,D17,3))</f>
        <v>0</v>
      </c>
      <c r="R17" s="308">
        <f ca="1">IF(G17=2, 0,dailyvaluation(K17,J17,VLOOKUP(E17, InputTable, 4),L17,CindailyPrices,peak_base, datetoday, E17,F17,D17,5))</f>
        <v>0</v>
      </c>
      <c r="U17" s="214">
        <v>36923</v>
      </c>
      <c r="V17" s="212">
        <v>20</v>
      </c>
      <c r="W17" s="212">
        <v>4</v>
      </c>
      <c r="X17" s="212">
        <v>4</v>
      </c>
      <c r="Y17" s="213">
        <v>0</v>
      </c>
      <c r="AA17" s="293">
        <f t="shared" ca="1" si="4"/>
        <v>37316</v>
      </c>
      <c r="AB17" s="291">
        <f t="shared" ca="1" si="0"/>
        <v>21</v>
      </c>
      <c r="AC17" s="291">
        <f t="shared" ca="1" si="1"/>
        <v>5</v>
      </c>
      <c r="AD17" s="291">
        <f t="shared" ca="1" si="2"/>
        <v>5</v>
      </c>
      <c r="AE17" s="292">
        <f t="shared" ca="1" si="3"/>
        <v>31</v>
      </c>
      <c r="AF17" s="296">
        <f ca="1">IF(peak_base=1,VLOOKUP(AA17,PriceTable,3),(VLOOKUP(AA17,PriceTable,3)*16*AB17+VLOOKUP(AA17,PriceTable,7)*8*AB17 +VLOOKUP(AA17,PriceTable,12)*AC17*24+VLOOKUP(AA17,PriceTable,16)*AD17*24)/SUM(AB17:AD17)/24)+IF(BasisNumber=1,0,VLOOKUP(AA17,'Power Curves'!$BO$9:$BP$316,2))</f>
        <v>36.651039123535156</v>
      </c>
      <c r="AG17" s="254">
        <f t="shared" ca="1" si="5"/>
        <v>0.38600000000000001</v>
      </c>
      <c r="AH17" s="287">
        <f ca="1">VLOOKUP(AA17,'Power Curves'!$A$4:$B$261,2)</f>
        <v>5.3442106428677007E-2</v>
      </c>
      <c r="AI17" s="297">
        <f ca="1">IF(peak_base_m=1,VLOOKUP(AA17,PriceTable,3),(VLOOKUP(AA17,PriceTable,3)*16*AB17+VLOOKUP(AA17,PriceTable,7)*8*AB17 +VLOOKUP(AA17,PriceTable,12)*AC17*24+VLOOKUP(AA17,PriceTable,16)*AD17*24)/SUM(AB17:AD17)/24)+IF(BasisNumber_m=1,0,VLOOKUP(AA17,'Power Curves'!$BO$9:$BP$316,2))</f>
        <v>36.651039123535156</v>
      </c>
      <c r="AJ17" s="298">
        <f t="shared" ca="1" si="6"/>
        <v>0.38600000000000001</v>
      </c>
      <c r="AM17" s="308">
        <f>Monthly!B85</f>
        <v>0</v>
      </c>
      <c r="AN17" s="308">
        <f>Monthly!C85</f>
        <v>1</v>
      </c>
      <c r="AO17" s="309">
        <f ca="1">OFFSET(Monthly!$BJ$11,Monthly!BO23,0)</f>
        <v>37196</v>
      </c>
      <c r="AP17" s="309">
        <f ca="1">OFFSET(Monthly!$BK$11,Monthly!BP23,0)</f>
        <v>37225</v>
      </c>
      <c r="AQ17" s="310">
        <f ca="1">OFFSET(Monthly!$BU$11,Monthly!BR23,1)</f>
        <v>2</v>
      </c>
      <c r="AR17" s="309">
        <f ca="1">OFFSET(Monthly!$BK$11,Monthly!BQ23,0)</f>
        <v>37195</v>
      </c>
      <c r="AS17" s="308">
        <f>Monthly!H85</f>
        <v>50</v>
      </c>
      <c r="AT17" s="314">
        <f>Monthly!I85</f>
        <v>65.89</v>
      </c>
      <c r="AU17" s="342">
        <f t="shared" ca="1" si="8"/>
        <v>41.5</v>
      </c>
      <c r="AV17" s="367">
        <f ca="1">IF(Monthly!$BS$12=FALSE,IF( OR(AQ17=1,AQ17=2),VLOOKUP(AO17,Monthly!$K$5:$L$36,2)+skewcalc(AN17,AU17,AT17,OFFSET(Override!$BI$4,Monthly!BO23+(1-AN17)*12-1,0, 1,3)),_xll.BASVOL(OFFSET(Override!$BY$5,Monthly!BO23-1,0,Monthly!BP23-Monthly!BO23,1),OFFSET(Override!$BZ$5,Monthly!BO23-1,0,Monthly!BP23-Monthly!BO23,1),OFFSET(Override!$CB$5,Monthly!BO23-1,0,Monthly!BP23-Monthly!BO23,1),OFFSET(Override!$CC$5,Monthly!BO23-1,0,Monthly!BP23-Monthly!BO23,1),OFFSET(Override!$Y$4,0,0,Monthly!BP23-Monthly!BO23,Monthly!BP23-Monthly!BO23),Calc!AR17-datetoday))+skewcalc(AN17,AU17,AT17,OFFSET(Override!$BI$4,Monthly!BO23+(1-AN17)*Override!$BJ$2-1,0, 1,3)), Monthly!M85)</f>
        <v>0.73836495330178553</v>
      </c>
      <c r="AW17" s="338">
        <f ca="1">IF(driver_m=2, IF(AQ17=1,BD17,IF(AQ17=2,BE17,BF17)),Monthly!L85)</f>
        <v>-24.39</v>
      </c>
      <c r="AX17" s="338">
        <f ca="1">IF(OR(AQ17=1, AQ17=3), _xll.EIMPVOL(AN17,ABS(AW17),AU17,AT17,AR17-datetoday,VLOOKUP(AO17,InputTable_m,4),VLOOKUP(AO17,InputTable_m,4),5,0.001,100), 0)</f>
        <v>0</v>
      </c>
      <c r="AY17" s="338">
        <f ca="1">IF(AQ17=1,_xll.EURO_Forward(AU17,AT17,VLOOKUP(AO17, InputTable_m, 4),AV17,Calc!AO17-datetoday+1,Calc!AN17,1), IF(AQ17=2, 1, BG17))</f>
        <v>1</v>
      </c>
      <c r="AZ17" s="338">
        <f ca="1">IF(AQ17=1, _xll.EURO_Forward(AU17,AT17,VLOOKUP(AO17, InputTable_m, 4),AV17,Calc!AO17-datetoday+1,Calc!AN17,2), IF(AQ17=2, 0,BH17))</f>
        <v>0</v>
      </c>
      <c r="BA17" s="338">
        <f ca="1">IF(AQ17=1, _xll.EURO_Forward(AU17,AT17,VLOOKUP(AO17, InputTable_m, 4),AV17,Calc!AO17-datetoday+1,Calc!AN17,3),IF(AQ17=2, 0,BI17))</f>
        <v>0</v>
      </c>
      <c r="BB17" s="338">
        <f ca="1">IF(AQ17=1, _xll.EURO_Forward(AU17,AT17,VLOOKUP(AO17, InputTable_m, 4),AV17,Calc!AO17-datetoday+1,Calc!AN17,5),IF(AQ17=2, 0,BJ17))</f>
        <v>0</v>
      </c>
      <c r="BD17" s="308">
        <f ca="1">_xll.EURO_Forward(AU17,AT17,VLOOKUP(AO17, InputTable_m, 4),AV17,AR17-datetoday,Calc!AN17,0)</f>
        <v>3.3460957520718768</v>
      </c>
      <c r="BE17" s="308">
        <f ca="1">swap(Monthly!BP23-Monthly!BO23, AU17,OFFSET(Override!$BY$5,Monthly!BO23-1,0,MAX(2,Monthly!BP23-Monthly!BO23)),AT17,OFFSET(Override!$CA$5,Monthly!BO23-1,0,MAX(2,Monthly!BP23-Monthly!BO23)),OFFSET(IF(peak_base_m=1, $AB$5, $AE$5),Monthly!BO23-1,0,MAX(2,Monthly!BP23-Monthly!BO23)),datetoday, AO17)</f>
        <v>-24.39</v>
      </c>
      <c r="BF17" s="338" t="e">
        <f ca="1">_xll.SWAPTION(OFFSET(Override!$BY$5,Monthly!BO23-1,0,Monthly!BP23-Monthly!BO23,1),OFFSET(Override!$CC$5,Monthly!BO23-1,0,Monthly!BP23-Monthly!BO23,1),OFFSET(Override!$CD$5,Monthly!BO23-1,0,Monthly!BP23-Monthly!BO23,1),OFFSET(Override!$CA$5,Monthly!BO23-1,0,Monthly!BP23-Monthly!BO23,1),AV17,AT17,VLOOKUP(AO17,InputTable_m,4),(AR17-datetoday)/365.25,AN17,0,1)</f>
        <v>#VALUE!</v>
      </c>
      <c r="BG17" s="308">
        <f ca="1">SWAPTION_Greek(OFFSET(Override!$BY$5,Monthly!BO23-1,0,Monthly!BP23-Monthly!BO23,1),OFFSET(Override!$CC$5,Monthly!BO23-1,0,Monthly!BP23-Monthly!BO23,1),OFFSET(Override!$CD$5,Monthly!BO23-1,0,Monthly!BP23-Monthly!BO23,1),OFFSET(Override!$CA$5,Monthly!BO23-1,0,Monthly!BP23-Monthly!BO23,1),AT17,Monthly!BP23-Monthly!BO23, AV17,VLOOKUP(AO17,InputTable_m,4),datetoday, AO17,AR17,AN17,1)</f>
        <v>0.29107794260632869</v>
      </c>
      <c r="BH17" s="308">
        <f ca="1">SWAPTION_Greek(OFFSET(Override!$BY$5,Monthly!BO23-1,0,Monthly!BP23-Monthly!BO23,1),OFFSET(Override!$CC$5,Monthly!BO23-1,0,Monthly!BP23-Monthly!BO23,1),OFFSET(Override!$CD$5,Monthly!BO23-1,0,Monthly!BP23-Monthly!BO23,1),OFFSET(Override!$CA$5,Monthly!BO23-1,0,Monthly!BP23-Monthly!BO23,1),AT17,Monthly!BP23-Monthly!BO23, AV17,VLOOKUP(AO17,InputTable_m,4),datetoday, AO17,AR17,AN17,2)</f>
        <v>1.4202659922761278E-2</v>
      </c>
      <c r="BI17" s="308">
        <f ca="1">SWAPTION_Greek(OFFSET(Override!$BY$5,Monthly!BO23-1,0,Monthly!BP23-Monthly!BO23,1),OFFSET(Override!$CC$5,Monthly!BO23-1,0,Monthly!BP23-Monthly!BO23,1),OFFSET(Override!$CD$5,Monthly!BO23-1,0,Monthly!BP23-Monthly!BO23,1),OFFSET(Override!$CA$5,Monthly!BO23-1,0,Monthly!BP23-Monthly!BO23,1),AT17,Monthly!BP23-Monthly!BO23, AV17,VLOOKUP(AO17,InputTable_m,4),datetoday, AO17,AR17,AN17,3)</f>
        <v>10.829062154897791</v>
      </c>
      <c r="BJ17" s="308">
        <f ca="1">SWAPTION_Greek(OFFSET(Override!$BY$5,Monthly!BO23-1,0,Monthly!BP23-Monthly!BO23,1),OFFSET(Override!$CC$5,Monthly!BO23-1,0,Monthly!BP23-Monthly!BO23,1),OFFSET(Override!$CD$5,Monthly!BO23-1,0,Monthly!BP23-Monthly!BO23,1),OFFSET(Override!$CA$5,Monthly!BO23-1,0,Monthly!BP23-Monthly!BO23,1),AT17,Monthly!BP23-Monthly!BO23, AV17,VLOOKUP(AO17,InputTable_m,4),datetoday, AO17,AR17,AN17,5)</f>
        <v>-6.4882760118803056</v>
      </c>
    </row>
    <row r="18" spans="3:62" ht="11.25" customHeight="1" x14ac:dyDescent="0.2">
      <c r="U18" s="214">
        <v>36951</v>
      </c>
      <c r="V18" s="212">
        <v>22</v>
      </c>
      <c r="W18" s="212">
        <v>5</v>
      </c>
      <c r="X18" s="212">
        <v>4</v>
      </c>
      <c r="Y18" s="213">
        <v>0</v>
      </c>
      <c r="AA18" s="293">
        <f t="shared" ca="1" si="4"/>
        <v>37347</v>
      </c>
      <c r="AB18" s="291">
        <f t="shared" ca="1" si="0"/>
        <v>22</v>
      </c>
      <c r="AC18" s="291">
        <f t="shared" ca="1" si="1"/>
        <v>4</v>
      </c>
      <c r="AD18" s="291">
        <f t="shared" ca="1" si="2"/>
        <v>4</v>
      </c>
      <c r="AE18" s="292">
        <f t="shared" ca="1" si="3"/>
        <v>30</v>
      </c>
      <c r="AF18" s="296">
        <f ca="1">IF(peak_base=1,VLOOKUP(AA18,PriceTable,3),(VLOOKUP(AA18,PriceTable,3)*16*AB18+VLOOKUP(AA18,PriceTable,7)*8*AB18 +VLOOKUP(AA18,PriceTable,12)*AC18*24+VLOOKUP(AA18,PriceTable,16)*AD18*24)/SUM(AB18:AD18)/24)+IF(BasisNumber=1,0,VLOOKUP(AA18,'Power Curves'!$BO$9:$BP$316,2))</f>
        <v>36.851043701171875</v>
      </c>
      <c r="AG18" s="254">
        <f t="shared" ca="1" si="5"/>
        <v>0.38600000000000001</v>
      </c>
      <c r="AH18" s="287">
        <f ca="1">VLOOKUP(AA18,'Power Curves'!$A$4:$B$261,2)</f>
        <v>5.3487811448450009E-2</v>
      </c>
      <c r="AI18" s="297">
        <f ca="1">IF(peak_base_m=1,VLOOKUP(AA18,PriceTable,3),(VLOOKUP(AA18,PriceTable,3)*16*AB18+VLOOKUP(AA18,PriceTable,7)*8*AB18 +VLOOKUP(AA18,PriceTable,12)*AC18*24+VLOOKUP(AA18,PriceTable,16)*AD18*24)/SUM(AB18:AD18)/24)+IF(BasisNumber_m=1,0,VLOOKUP(AA18,'Power Curves'!$BO$9:$BP$316,2))</f>
        <v>36.851043701171875</v>
      </c>
      <c r="AJ18" s="298">
        <f t="shared" ca="1" si="6"/>
        <v>0.38600000000000001</v>
      </c>
    </row>
    <row r="19" spans="3:62" ht="11.25" customHeight="1" x14ac:dyDescent="0.2">
      <c r="C19" s="21" t="s">
        <v>165</v>
      </c>
      <c r="U19" s="214">
        <v>36982</v>
      </c>
      <c r="V19" s="212">
        <v>21</v>
      </c>
      <c r="W19" s="212">
        <v>4</v>
      </c>
      <c r="X19" s="212">
        <v>5</v>
      </c>
      <c r="Y19" s="213">
        <v>0</v>
      </c>
      <c r="AA19" s="293">
        <f t="shared" ca="1" si="4"/>
        <v>37377</v>
      </c>
      <c r="AB19" s="291">
        <f t="shared" ca="1" si="0"/>
        <v>22</v>
      </c>
      <c r="AC19" s="291">
        <f t="shared" ca="1" si="1"/>
        <v>4</v>
      </c>
      <c r="AD19" s="291">
        <f t="shared" ca="1" si="2"/>
        <v>5</v>
      </c>
      <c r="AE19" s="292">
        <f t="shared" ca="1" si="3"/>
        <v>31</v>
      </c>
      <c r="AF19" s="296">
        <f ca="1">IF(peak_base=1,VLOOKUP(AA19,PriceTable,3),(VLOOKUP(AA19,PriceTable,3)*16*AB19+VLOOKUP(AA19,PriceTable,7)*8*AB19 +VLOOKUP(AA19,PriceTable,12)*AC19*24+VLOOKUP(AA19,PriceTable,16)*AD19*24)/SUM(AB19:AD19)/24)+IF(BasisNumber=1,0,VLOOKUP(AA19,'Power Curves'!$BO$9:$BP$316,2))</f>
        <v>40.999996185302734</v>
      </c>
      <c r="AG19" s="254">
        <f t="shared" ca="1" si="5"/>
        <v>0.41600000000000004</v>
      </c>
      <c r="AH19" s="287">
        <f ca="1">VLOOKUP(AA19,'Power Curves'!$A$4:$B$261,2)</f>
        <v>5.3535039969613001E-2</v>
      </c>
      <c r="AI19" s="297">
        <f ca="1">IF(peak_base_m=1,VLOOKUP(AA19,PriceTable,3),(VLOOKUP(AA19,PriceTable,3)*16*AB19+VLOOKUP(AA19,PriceTable,7)*8*AB19 +VLOOKUP(AA19,PriceTable,12)*AC19*24+VLOOKUP(AA19,PriceTable,16)*AD19*24)/SUM(AB19:AD19)/24)+IF(BasisNumber_m=1,0,VLOOKUP(AA19,'Power Curves'!$BO$9:$BP$316,2))</f>
        <v>40.999996185302734</v>
      </c>
      <c r="AJ19" s="298">
        <f t="shared" ca="1" si="6"/>
        <v>0.41600000000000004</v>
      </c>
    </row>
    <row r="20" spans="3:62" ht="11.25" customHeight="1" x14ac:dyDescent="0.2">
      <c r="U20" s="214">
        <v>37012</v>
      </c>
      <c r="V20" s="212">
        <v>22</v>
      </c>
      <c r="W20" s="212">
        <v>4</v>
      </c>
      <c r="X20" s="212">
        <v>5</v>
      </c>
      <c r="Y20" s="213">
        <v>1</v>
      </c>
      <c r="AA20" s="293">
        <f t="shared" ca="1" si="4"/>
        <v>37408</v>
      </c>
      <c r="AB20" s="291">
        <f t="shared" ca="1" si="0"/>
        <v>20</v>
      </c>
      <c r="AC20" s="291">
        <f t="shared" ca="1" si="1"/>
        <v>5</v>
      </c>
      <c r="AD20" s="291">
        <f t="shared" ca="1" si="2"/>
        <v>5</v>
      </c>
      <c r="AE20" s="292">
        <f t="shared" ca="1" si="3"/>
        <v>30</v>
      </c>
      <c r="AF20" s="296">
        <f ca="1">IF(peak_base=1,VLOOKUP(AA20,PriceTable,3),(VLOOKUP(AA20,PriceTable,3)*16*AB20+VLOOKUP(AA20,PriceTable,7)*8*AB20 +VLOOKUP(AA20,PriceTable,12)*AC20*24+VLOOKUP(AA20,PriceTable,16)*AD20*24)/SUM(AB20:AD20)/24)+IF(BasisNumber=1,0,VLOOKUP(AA20,'Power Curves'!$BO$9:$BP$316,2))</f>
        <v>59.5</v>
      </c>
      <c r="AG20" s="254">
        <f t="shared" ca="1" si="5"/>
        <v>0.45050000000000001</v>
      </c>
      <c r="AH20" s="287">
        <f ca="1">VLOOKUP(AA20,'Power Curves'!$A$4:$B$261,2)</f>
        <v>5.3610157746085012E-2</v>
      </c>
      <c r="AI20" s="297">
        <f ca="1">IF(peak_base_m=1,VLOOKUP(AA20,PriceTable,3),(VLOOKUP(AA20,PriceTable,3)*16*AB20+VLOOKUP(AA20,PriceTable,7)*8*AB20 +VLOOKUP(AA20,PriceTable,12)*AC20*24+VLOOKUP(AA20,PriceTable,16)*AD20*24)/SUM(AB20:AD20)/24)+IF(BasisNumber_m=1,0,VLOOKUP(AA20,'Power Curves'!$BO$9:$BP$316,2))</f>
        <v>59.5</v>
      </c>
      <c r="AJ20" s="298">
        <f t="shared" ca="1" si="6"/>
        <v>0.45050000000000001</v>
      </c>
    </row>
    <row r="21" spans="3:62" ht="11.25" customHeight="1" x14ac:dyDescent="0.2">
      <c r="C21" s="21" t="s">
        <v>166</v>
      </c>
      <c r="D21" s="21" t="s">
        <v>167</v>
      </c>
      <c r="E21" s="21" t="s">
        <v>168</v>
      </c>
      <c r="F21" s="21" t="s">
        <v>7</v>
      </c>
      <c r="G21" s="21" t="s">
        <v>115</v>
      </c>
      <c r="H21" s="21" t="s">
        <v>116</v>
      </c>
      <c r="I21" s="21" t="s">
        <v>117</v>
      </c>
      <c r="J21" s="21" t="s">
        <v>118</v>
      </c>
      <c r="U21" s="214">
        <v>37043</v>
      </c>
      <c r="V21" s="212">
        <v>21</v>
      </c>
      <c r="W21" s="212">
        <v>5</v>
      </c>
      <c r="X21" s="212">
        <v>4</v>
      </c>
      <c r="Y21" s="213">
        <v>0</v>
      </c>
      <c r="AA21" s="293">
        <f t="shared" ca="1" si="4"/>
        <v>37438</v>
      </c>
      <c r="AB21" s="291">
        <f t="shared" ca="1" si="0"/>
        <v>22</v>
      </c>
      <c r="AC21" s="291">
        <f t="shared" ca="1" si="1"/>
        <v>4</v>
      </c>
      <c r="AD21" s="291">
        <f t="shared" ca="1" si="2"/>
        <v>5</v>
      </c>
      <c r="AE21" s="292">
        <f t="shared" ca="1" si="3"/>
        <v>31</v>
      </c>
      <c r="AF21" s="296">
        <f ca="1">IF(peak_base=1,VLOOKUP(AA21,PriceTable,3),(VLOOKUP(AA21,PriceTable,3)*16*AB21+VLOOKUP(AA21,PriceTable,7)*8*AB21 +VLOOKUP(AA21,PriceTable,12)*AC21*24+VLOOKUP(AA21,PriceTable,16)*AD21*24)/SUM(AB21:AD21)/24)+IF(BasisNumber=1,0,VLOOKUP(AA21,'Power Curves'!$BO$9:$BP$316,2))</f>
        <v>85.5</v>
      </c>
      <c r="AG21" s="254">
        <f t="shared" ca="1" si="5"/>
        <v>0.51550000000000007</v>
      </c>
      <c r="AH21" s="287">
        <f ca="1">VLOOKUP(AA21,'Power Curves'!$A$4:$B$261,2)</f>
        <v>5.373605290087103E-2</v>
      </c>
      <c r="AI21" s="297">
        <f ca="1">IF(peak_base_m=1,VLOOKUP(AA21,PriceTable,3),(VLOOKUP(AA21,PriceTable,3)*16*AB21+VLOOKUP(AA21,PriceTable,7)*8*AB21 +VLOOKUP(AA21,PriceTable,12)*AC21*24+VLOOKUP(AA21,PriceTable,16)*AD21*24)/SUM(AB21:AD21)/24)+IF(BasisNumber_m=1,0,VLOOKUP(AA21,'Power Curves'!$BO$9:$BP$316,2))</f>
        <v>85.5</v>
      </c>
      <c r="AJ21" s="298">
        <f t="shared" ca="1" si="6"/>
        <v>0.51550000000000007</v>
      </c>
    </row>
    <row r="22" spans="3:62" ht="11.25" customHeight="1" x14ac:dyDescent="0.2">
      <c r="U22" s="214">
        <v>37073</v>
      </c>
      <c r="V22" s="212">
        <v>21</v>
      </c>
      <c r="W22" s="212">
        <v>4</v>
      </c>
      <c r="X22" s="212">
        <v>6</v>
      </c>
      <c r="Y22" s="213">
        <v>1</v>
      </c>
      <c r="AA22" s="293">
        <f t="shared" ca="1" si="4"/>
        <v>37469</v>
      </c>
      <c r="AB22" s="291">
        <f t="shared" ca="1" si="0"/>
        <v>22</v>
      </c>
      <c r="AC22" s="291">
        <f t="shared" ca="1" si="1"/>
        <v>5</v>
      </c>
      <c r="AD22" s="291">
        <f t="shared" ca="1" si="2"/>
        <v>4</v>
      </c>
      <c r="AE22" s="292">
        <f t="shared" ca="1" si="3"/>
        <v>31</v>
      </c>
      <c r="AF22" s="296">
        <f ca="1">IF(peak_base=1,VLOOKUP(AA22,PriceTable,3),(VLOOKUP(AA22,PriceTable,3)*16*AB22+VLOOKUP(AA22,PriceTable,7)*8*AB22 +VLOOKUP(AA22,PriceTable,12)*AC22*24+VLOOKUP(AA22,PriceTable,16)*AD22*24)/SUM(AB22:AD22)/24)+IF(BasisNumber=1,0,VLOOKUP(AA22,'Power Curves'!$BO$9:$BP$316,2))</f>
        <v>85.5</v>
      </c>
      <c r="AG22" s="254">
        <f t="shared" ca="1" si="5"/>
        <v>0.51550000000000007</v>
      </c>
      <c r="AH22" s="287">
        <f ca="1">VLOOKUP(AA22,'Power Curves'!$A$4:$B$261,2)</f>
        <v>5.3861948060937997E-2</v>
      </c>
      <c r="AI22" s="297">
        <f ca="1">IF(peak_base_m=1,VLOOKUP(AA22,PriceTable,3),(VLOOKUP(AA22,PriceTable,3)*16*AB22+VLOOKUP(AA22,PriceTable,7)*8*AB22 +VLOOKUP(AA22,PriceTable,12)*AC22*24+VLOOKUP(AA22,PriceTable,16)*AD22*24)/SUM(AB22:AD22)/24)+IF(BasisNumber_m=1,0,VLOOKUP(AA22,'Power Curves'!$BO$9:$BP$316,2))</f>
        <v>85.5</v>
      </c>
      <c r="AJ22" s="298">
        <f t="shared" ca="1" si="6"/>
        <v>0.51550000000000007</v>
      </c>
    </row>
    <row r="23" spans="3:62" ht="11.25" customHeight="1" x14ac:dyDescent="0.2">
      <c r="U23" s="214">
        <v>37104</v>
      </c>
      <c r="V23" s="212">
        <v>23</v>
      </c>
      <c r="W23" s="212">
        <v>4</v>
      </c>
      <c r="X23" s="212">
        <v>4</v>
      </c>
      <c r="Y23" s="213">
        <v>0</v>
      </c>
      <c r="AA23" s="293">
        <f t="shared" ca="1" si="4"/>
        <v>37500</v>
      </c>
      <c r="AB23" s="291">
        <f t="shared" ca="1" si="0"/>
        <v>20</v>
      </c>
      <c r="AC23" s="291">
        <f t="shared" ca="1" si="1"/>
        <v>4</v>
      </c>
      <c r="AD23" s="291">
        <f t="shared" ca="1" si="2"/>
        <v>6</v>
      </c>
      <c r="AE23" s="292">
        <f t="shared" ca="1" si="3"/>
        <v>30</v>
      </c>
      <c r="AF23" s="296">
        <f ca="1">IF(peak_base=1,VLOOKUP(AA23,PriceTable,3),(VLOOKUP(AA23,PriceTable,3)*16*AB23+VLOOKUP(AA23,PriceTable,7)*8*AB23 +VLOOKUP(AA23,PriceTable,12)*AC23*24+VLOOKUP(AA23,PriceTable,16)*AD23*24)/SUM(AB23:AD23)/24)+IF(BasisNumber=1,0,VLOOKUP(AA23,'Power Curves'!$BO$9:$BP$316,2))</f>
        <v>37.500003814697266</v>
      </c>
      <c r="AG23" s="254">
        <f t="shared" ca="1" si="5"/>
        <v>0.37050000000000005</v>
      </c>
      <c r="AH23" s="287">
        <f ca="1">VLOOKUP(AA23,'Power Curves'!$A$4:$B$261,2)</f>
        <v>5.3996077213610008E-2</v>
      </c>
      <c r="AI23" s="297">
        <f ca="1">IF(peak_base_m=1,VLOOKUP(AA23,PriceTable,3),(VLOOKUP(AA23,PriceTable,3)*16*AB23+VLOOKUP(AA23,PriceTable,7)*8*AB23 +VLOOKUP(AA23,PriceTable,12)*AC23*24+VLOOKUP(AA23,PriceTable,16)*AD23*24)/SUM(AB23:AD23)/24)+IF(BasisNumber_m=1,0,VLOOKUP(AA23,'Power Curves'!$BO$9:$BP$316,2))</f>
        <v>37.500003814697266</v>
      </c>
      <c r="AJ23" s="298">
        <f t="shared" ca="1" si="6"/>
        <v>0.37050000000000005</v>
      </c>
    </row>
    <row r="24" spans="3:62" ht="11.25" customHeight="1" x14ac:dyDescent="0.2">
      <c r="J24" s="21">
        <f ca="1">VLOOKUP(E6,Daily!$K$5:$L$28,2)</f>
        <v>0.75</v>
      </c>
      <c r="U24" s="214">
        <v>37135</v>
      </c>
      <c r="V24" s="212">
        <v>19</v>
      </c>
      <c r="W24" s="212">
        <v>5</v>
      </c>
      <c r="X24" s="212">
        <v>6</v>
      </c>
      <c r="Y24" s="213">
        <v>1</v>
      </c>
      <c r="AA24" s="293">
        <f t="shared" ca="1" si="4"/>
        <v>37530</v>
      </c>
      <c r="AB24" s="291">
        <f t="shared" ca="1" si="0"/>
        <v>23</v>
      </c>
      <c r="AC24" s="291">
        <f t="shared" ca="1" si="1"/>
        <v>4</v>
      </c>
      <c r="AD24" s="291">
        <f t="shared" ca="1" si="2"/>
        <v>4</v>
      </c>
      <c r="AE24" s="292">
        <f t="shared" ca="1" si="3"/>
        <v>31</v>
      </c>
      <c r="AF24" s="296">
        <f ca="1">IF(peak_base=1,VLOOKUP(AA24,PriceTable,3),(VLOOKUP(AA24,PriceTable,3)*16*AB24+VLOOKUP(AA24,PriceTable,7)*8*AB24 +VLOOKUP(AA24,PriceTable,12)*AC24*24+VLOOKUP(AA24,PriceTable,16)*AD24*24)/SUM(AB24:AD24)/24)+IF(BasisNumber=1,0,VLOOKUP(AA24,'Power Curves'!$BO$9:$BP$316,2))</f>
        <v>35.904998779296875</v>
      </c>
      <c r="AG24" s="254">
        <f t="shared" ca="1" si="5"/>
        <v>0.33050000000000002</v>
      </c>
      <c r="AH24" s="287">
        <f ca="1">VLOOKUP(AA24,'Power Curves'!$A$4:$B$261,2)</f>
        <v>5.4152282890442993E-2</v>
      </c>
      <c r="AI24" s="297">
        <f ca="1">IF(peak_base_m=1,VLOOKUP(AA24,PriceTable,3),(VLOOKUP(AA24,PriceTable,3)*16*AB24+VLOOKUP(AA24,PriceTable,7)*8*AB24 +VLOOKUP(AA24,PriceTable,12)*AC24*24+VLOOKUP(AA24,PriceTable,16)*AD24*24)/SUM(AB24:AD24)/24)+IF(BasisNumber_m=1,0,VLOOKUP(AA24,'Power Curves'!$BO$9:$BP$316,2))</f>
        <v>35.904998779296875</v>
      </c>
      <c r="AJ24" s="298">
        <f t="shared" ca="1" si="6"/>
        <v>0.33050000000000002</v>
      </c>
    </row>
    <row r="25" spans="3:62" ht="11.25" customHeight="1" x14ac:dyDescent="0.2">
      <c r="U25" s="214">
        <v>37165</v>
      </c>
      <c r="V25" s="212">
        <v>23</v>
      </c>
      <c r="W25" s="212">
        <v>4</v>
      </c>
      <c r="X25" s="212">
        <v>4</v>
      </c>
      <c r="Y25" s="213">
        <v>0</v>
      </c>
      <c r="AA25" s="293">
        <f t="shared" ca="1" si="4"/>
        <v>37561</v>
      </c>
      <c r="AB25" s="291">
        <f t="shared" ca="1" si="0"/>
        <v>20</v>
      </c>
      <c r="AC25" s="291">
        <f t="shared" ca="1" si="1"/>
        <v>5</v>
      </c>
      <c r="AD25" s="291">
        <f t="shared" ca="1" si="2"/>
        <v>5</v>
      </c>
      <c r="AE25" s="292">
        <f t="shared" ca="1" si="3"/>
        <v>30</v>
      </c>
      <c r="AF25" s="296">
        <f ca="1">IF(peak_base=1,VLOOKUP(AA25,PriceTable,3),(VLOOKUP(AA25,PriceTable,3)*16*AB25+VLOOKUP(AA25,PriceTable,7)*8*AB25 +VLOOKUP(AA25,PriceTable,12)*AC25*24+VLOOKUP(AA25,PriceTable,16)*AD25*24)/SUM(AB25:AD25)/24)+IF(BasisNumber=1,0,VLOOKUP(AA25,'Power Curves'!$BO$9:$BP$316,2))</f>
        <v>36.004997253417969</v>
      </c>
      <c r="AG25" s="254">
        <f t="shared" ca="1" si="5"/>
        <v>0.33050000000000002</v>
      </c>
      <c r="AH25" s="287">
        <f ca="1">VLOOKUP(AA25,'Power Curves'!$A$4:$B$261,2)</f>
        <v>5.430344968221601E-2</v>
      </c>
      <c r="AI25" s="297">
        <f ca="1">IF(peak_base_m=1,VLOOKUP(AA25,PriceTable,3),(VLOOKUP(AA25,PriceTable,3)*16*AB25+VLOOKUP(AA25,PriceTable,7)*8*AB25 +VLOOKUP(AA25,PriceTable,12)*AC25*24+VLOOKUP(AA25,PriceTable,16)*AD25*24)/SUM(AB25:AD25)/24)+IF(BasisNumber_m=1,0,VLOOKUP(AA25,'Power Curves'!$BO$9:$BP$316,2))</f>
        <v>36.004997253417969</v>
      </c>
      <c r="AJ25" s="298">
        <f t="shared" ca="1" si="6"/>
        <v>0.33050000000000002</v>
      </c>
    </row>
    <row r="26" spans="3:62" ht="11.25" customHeight="1" x14ac:dyDescent="0.2">
      <c r="I26" s="21">
        <f ca="1">skewcalc(D6,K6,J6,OFFSET(Override!AK4,Daily!BO12+(1-D6)*12-1,0, 1,3))</f>
        <v>0</v>
      </c>
      <c r="U26" s="214">
        <v>37196</v>
      </c>
      <c r="V26" s="212">
        <v>21</v>
      </c>
      <c r="W26" s="212">
        <v>4</v>
      </c>
      <c r="X26" s="212">
        <v>5</v>
      </c>
      <c r="Y26" s="213">
        <v>1</v>
      </c>
      <c r="AA26" s="293">
        <f t="shared" ca="1" si="4"/>
        <v>37591</v>
      </c>
      <c r="AB26" s="291">
        <f t="shared" ca="1" si="0"/>
        <v>21</v>
      </c>
      <c r="AC26" s="291">
        <f t="shared" ca="1" si="1"/>
        <v>4</v>
      </c>
      <c r="AD26" s="291">
        <f t="shared" ca="1" si="2"/>
        <v>6</v>
      </c>
      <c r="AE26" s="292">
        <f t="shared" ca="1" si="3"/>
        <v>31</v>
      </c>
      <c r="AF26" s="296">
        <f ca="1">IF(peak_base=1,VLOOKUP(AA26,PriceTable,3),(VLOOKUP(AA26,PriceTable,3)*16*AB26+VLOOKUP(AA26,PriceTable,7)*8*AB26 +VLOOKUP(AA26,PriceTable,12)*AC26*24+VLOOKUP(AA26,PriceTable,16)*AD26*24)/SUM(AB26:AD26)/24)+IF(BasisNumber=1,0,VLOOKUP(AA26,'Power Curves'!$BO$9:$BP$316,2))</f>
        <v>36.104995727539063</v>
      </c>
      <c r="AG26" s="254">
        <f t="shared" ca="1" si="5"/>
        <v>0.33050000000000002</v>
      </c>
      <c r="AH26" s="287">
        <f ca="1">VLOOKUP(AA26,'Power Curves'!$A$4:$B$261,2)</f>
        <v>5.4474976899793019E-2</v>
      </c>
      <c r="AI26" s="297">
        <f ca="1">IF(peak_base_m=1,VLOOKUP(AA26,PriceTable,3),(VLOOKUP(AA26,PriceTable,3)*16*AB26+VLOOKUP(AA26,PriceTable,7)*8*AB26 +VLOOKUP(AA26,PriceTable,12)*AC26*24+VLOOKUP(AA26,PriceTable,16)*AD26*24)/SUM(AB26:AD26)/24)+IF(BasisNumber_m=1,0,VLOOKUP(AA26,'Power Curves'!$BO$9:$BP$316,2))</f>
        <v>36.104995727539063</v>
      </c>
      <c r="AJ26" s="298">
        <f t="shared" ca="1" si="6"/>
        <v>0.33050000000000002</v>
      </c>
    </row>
    <row r="27" spans="3:62" ht="11.25" customHeight="1" x14ac:dyDescent="0.2">
      <c r="U27" s="214">
        <v>37226</v>
      </c>
      <c r="V27" s="212">
        <v>20</v>
      </c>
      <c r="W27" s="212">
        <v>5</v>
      </c>
      <c r="X27" s="212">
        <v>6</v>
      </c>
      <c r="Y27" s="213">
        <v>1</v>
      </c>
      <c r="AA27" s="293">
        <f t="shared" ca="1" si="4"/>
        <v>37622</v>
      </c>
      <c r="AB27" s="291">
        <f t="shared" ca="1" si="0"/>
        <v>22</v>
      </c>
      <c r="AC27" s="291">
        <f t="shared" ca="1" si="1"/>
        <v>4</v>
      </c>
      <c r="AD27" s="291">
        <f t="shared" ca="1" si="2"/>
        <v>5</v>
      </c>
      <c r="AE27" s="292">
        <f t="shared" ca="1" si="3"/>
        <v>31</v>
      </c>
      <c r="AF27" s="296">
        <f ca="1">IF(peak_base=1,VLOOKUP(AA27,PriceTable,3),(VLOOKUP(AA27,PriceTable,3)*16*AB27+VLOOKUP(AA27,PriceTable,7)*8*AB27 +VLOOKUP(AA27,PriceTable,12)*AC27*24+VLOOKUP(AA27,PriceTable,16)*AD27*24)/SUM(AB27:AD27)/24)+IF(BasisNumber=1,0,VLOOKUP(AA27,'Power Curves'!$BO$9:$BP$316,2))</f>
        <v>40.287864685058594</v>
      </c>
      <c r="AG27" s="254">
        <f t="shared" ca="1" si="5"/>
        <v>0.42600000000000005</v>
      </c>
      <c r="AH27" s="287">
        <f ca="1">VLOOKUP(AA27,'Power Curves'!$A$4:$B$261,2)</f>
        <v>5.4665108836960012E-2</v>
      </c>
      <c r="AI27" s="297">
        <f ca="1">IF(peak_base_m=1,VLOOKUP(AA27,PriceTable,3),(VLOOKUP(AA27,PriceTable,3)*16*AB27+VLOOKUP(AA27,PriceTable,7)*8*AB27 +VLOOKUP(AA27,PriceTable,12)*AC27*24+VLOOKUP(AA27,PriceTable,16)*AD27*24)/SUM(AB27:AD27)/24)+IF(BasisNumber_m=1,0,VLOOKUP(AA27,'Power Curves'!$BO$9:$BP$316,2))</f>
        <v>40.287864685058594</v>
      </c>
      <c r="AJ27" s="298">
        <f t="shared" ca="1" si="6"/>
        <v>0.42600000000000005</v>
      </c>
    </row>
    <row r="28" spans="3:62" ht="11.25" customHeight="1" x14ac:dyDescent="0.2">
      <c r="U28" s="214">
        <v>37257</v>
      </c>
      <c r="V28" s="212">
        <v>22</v>
      </c>
      <c r="W28" s="212">
        <v>4</v>
      </c>
      <c r="X28" s="212">
        <v>5</v>
      </c>
      <c r="Y28" s="213">
        <v>1</v>
      </c>
      <c r="AA28" s="293">
        <f t="shared" ca="1" si="4"/>
        <v>37653</v>
      </c>
      <c r="AB28" s="291">
        <f t="shared" ca="1" si="0"/>
        <v>20</v>
      </c>
      <c r="AC28" s="291">
        <f t="shared" ca="1" si="1"/>
        <v>4</v>
      </c>
      <c r="AD28" s="291">
        <f t="shared" ca="1" si="2"/>
        <v>4</v>
      </c>
      <c r="AE28" s="292">
        <f t="shared" ca="1" si="3"/>
        <v>28</v>
      </c>
      <c r="AF28" s="296">
        <f ca="1">IF(peak_base=1,VLOOKUP(AA28,PriceTable,3),(VLOOKUP(AA28,PriceTable,3)*16*AB28+VLOOKUP(AA28,PriceTable,7)*8*AB28 +VLOOKUP(AA28,PriceTable,12)*AC28*24+VLOOKUP(AA28,PriceTable,16)*AD28*24)/SUM(AB28:AD28)/24)+IF(BasisNumber=1,0,VLOOKUP(AA28,'Power Curves'!$BO$9:$BP$316,2))</f>
        <v>39.687862396240234</v>
      </c>
      <c r="AG28" s="254">
        <f t="shared" ca="1" si="5"/>
        <v>0.42600000000000005</v>
      </c>
      <c r="AH28" s="287">
        <f ca="1">VLOOKUP(AA28,'Power Curves'!$A$4:$B$261,2)</f>
        <v>5.4836840919591019E-2</v>
      </c>
      <c r="AI28" s="297">
        <f ca="1">IF(peak_base_m=1,VLOOKUP(AA28,PriceTable,3),(VLOOKUP(AA28,PriceTable,3)*16*AB28+VLOOKUP(AA28,PriceTable,7)*8*AB28 +VLOOKUP(AA28,PriceTable,12)*AC28*24+VLOOKUP(AA28,PriceTable,16)*AD28*24)/SUM(AB28:AD28)/24)+IF(BasisNumber_m=1,0,VLOOKUP(AA28,'Power Curves'!$BO$9:$BP$316,2))</f>
        <v>39.687862396240234</v>
      </c>
      <c r="AJ28" s="298">
        <f t="shared" ca="1" si="6"/>
        <v>0.42600000000000005</v>
      </c>
    </row>
    <row r="29" spans="3:62" ht="11.25" customHeight="1" x14ac:dyDescent="0.2">
      <c r="U29" s="214">
        <v>37288</v>
      </c>
      <c r="V29" s="212">
        <v>20</v>
      </c>
      <c r="W29" s="212">
        <v>4</v>
      </c>
      <c r="X29" s="212">
        <v>4</v>
      </c>
      <c r="Y29" s="213">
        <v>0</v>
      </c>
      <c r="AA29" s="293">
        <f t="shared" ca="1" si="4"/>
        <v>37681</v>
      </c>
      <c r="AB29" s="291">
        <f t="shared" ca="1" si="0"/>
        <v>21</v>
      </c>
      <c r="AC29" s="291">
        <f t="shared" ca="1" si="1"/>
        <v>5</v>
      </c>
      <c r="AD29" s="291">
        <f t="shared" ca="1" si="2"/>
        <v>5</v>
      </c>
      <c r="AE29" s="292">
        <f t="shared" ca="1" si="3"/>
        <v>31</v>
      </c>
      <c r="AF29" s="296">
        <f ca="1">IF(peak_base=1,VLOOKUP(AA29,PriceTable,3),(VLOOKUP(AA29,PriceTable,3)*16*AB29+VLOOKUP(AA29,PriceTable,7)*8*AB29 +VLOOKUP(AA29,PriceTable,12)*AC29*24+VLOOKUP(AA29,PriceTable,16)*AD29*24)/SUM(AB29:AD29)/24)+IF(BasisNumber=1,0,VLOOKUP(AA29,'Power Curves'!$BO$9:$BP$316,2))</f>
        <v>33.898544311523438</v>
      </c>
      <c r="AG29" s="254">
        <f t="shared" ca="1" si="5"/>
        <v>0.25</v>
      </c>
      <c r="AH29" s="287">
        <f ca="1">VLOOKUP(AA29,'Power Curves'!$A$4:$B$261,2)</f>
        <v>5.5013777784327013E-2</v>
      </c>
      <c r="AI29" s="297">
        <f ca="1">IF(peak_base_m=1,VLOOKUP(AA29,PriceTable,3),(VLOOKUP(AA29,PriceTable,3)*16*AB29+VLOOKUP(AA29,PriceTable,7)*8*AB29 +VLOOKUP(AA29,PriceTable,12)*AC29*24+VLOOKUP(AA29,PriceTable,16)*AD29*24)/SUM(AB29:AD29)/24)+IF(BasisNumber_m=1,0,VLOOKUP(AA29,'Power Curves'!$BO$9:$BP$316,2))</f>
        <v>33.898544311523438</v>
      </c>
      <c r="AJ29" s="298">
        <f t="shared" ca="1" si="6"/>
        <v>0.25</v>
      </c>
    </row>
    <row r="30" spans="3:62" ht="11.25" customHeight="1" x14ac:dyDescent="0.2">
      <c r="U30" s="214">
        <v>37316</v>
      </c>
      <c r="V30" s="212">
        <v>21</v>
      </c>
      <c r="W30" s="212">
        <v>5</v>
      </c>
      <c r="X30" s="212">
        <v>5</v>
      </c>
      <c r="Y30" s="213">
        <v>0</v>
      </c>
      <c r="AA30" s="293">
        <f t="shared" ca="1" si="4"/>
        <v>37712</v>
      </c>
      <c r="AB30" s="291">
        <f t="shared" ca="1" si="0"/>
        <v>22</v>
      </c>
      <c r="AC30" s="291">
        <f t="shared" ca="1" si="1"/>
        <v>4</v>
      </c>
      <c r="AD30" s="291">
        <f t="shared" ca="1" si="2"/>
        <v>4</v>
      </c>
      <c r="AE30" s="292">
        <f t="shared" ca="1" si="3"/>
        <v>30</v>
      </c>
      <c r="AF30" s="296">
        <f ca="1">IF(peak_base=1,VLOOKUP(AA30,PriceTable,3),(VLOOKUP(AA30,PriceTable,3)*16*AB30+VLOOKUP(AA30,PriceTable,7)*8*AB30 +VLOOKUP(AA30,PriceTable,12)*AC30*24+VLOOKUP(AA30,PriceTable,16)*AD30*24)/SUM(AB30:AD30)/24)+IF(BasisNumber=1,0,VLOOKUP(AA30,'Power Curves'!$BO$9:$BP$316,2))</f>
        <v>34.098545074462891</v>
      </c>
      <c r="AG30" s="254">
        <f t="shared" ca="1" si="5"/>
        <v>0.25</v>
      </c>
      <c r="AH30" s="287">
        <f ca="1">VLOOKUP(AA30,'Power Curves'!$A$4:$B$261,2)</f>
        <v>5.5167025939401995E-2</v>
      </c>
      <c r="AI30" s="297">
        <f ca="1">IF(peak_base_m=1,VLOOKUP(AA30,PriceTable,3),(VLOOKUP(AA30,PriceTable,3)*16*AB30+VLOOKUP(AA30,PriceTable,7)*8*AB30 +VLOOKUP(AA30,PriceTable,12)*AC30*24+VLOOKUP(AA30,PriceTable,16)*AD30*24)/SUM(AB30:AD30)/24)+IF(BasisNumber_m=1,0,VLOOKUP(AA30,'Power Curves'!$BO$9:$BP$316,2))</f>
        <v>34.098545074462891</v>
      </c>
      <c r="AJ30" s="298">
        <f t="shared" ca="1" si="6"/>
        <v>0.25</v>
      </c>
    </row>
    <row r="31" spans="3:62" ht="11.25" customHeight="1" x14ac:dyDescent="0.2">
      <c r="U31" s="214">
        <v>37347</v>
      </c>
      <c r="V31" s="212">
        <v>22</v>
      </c>
      <c r="W31" s="212">
        <v>4</v>
      </c>
      <c r="X31" s="212">
        <v>4</v>
      </c>
      <c r="Y31" s="213">
        <v>0</v>
      </c>
      <c r="AA31" s="293">
        <f t="shared" ca="1" si="4"/>
        <v>37742</v>
      </c>
      <c r="AB31" s="291">
        <f t="shared" ca="1" si="0"/>
        <v>21</v>
      </c>
      <c r="AC31" s="291">
        <f t="shared" ca="1" si="1"/>
        <v>5</v>
      </c>
      <c r="AD31" s="291">
        <f t="shared" ca="1" si="2"/>
        <v>5</v>
      </c>
      <c r="AE31" s="292">
        <f t="shared" ca="1" si="3"/>
        <v>31</v>
      </c>
      <c r="AF31" s="296">
        <f ca="1">IF(peak_base=1,VLOOKUP(AA31,PriceTable,3),(VLOOKUP(AA31,PriceTable,3)*16*AB31+VLOOKUP(AA31,PriceTable,7)*8*AB31 +VLOOKUP(AA31,PriceTable,12)*AC31*24+VLOOKUP(AA31,PriceTable,16)*AD31*24)/SUM(AB31:AD31)/24)+IF(BasisNumber=1,0,VLOOKUP(AA31,'Power Curves'!$BO$9:$BP$316,2))</f>
        <v>35.003566741943359</v>
      </c>
      <c r="AG31" s="254">
        <f t="shared" ca="1" si="5"/>
        <v>0.42600000000000005</v>
      </c>
      <c r="AH31" s="287">
        <f ca="1">VLOOKUP(AA31,'Power Curves'!$A$4:$B$261,2)</f>
        <v>5.5325382374528005E-2</v>
      </c>
      <c r="AI31" s="297">
        <f ca="1">IF(peak_base_m=1,VLOOKUP(AA31,PriceTable,3),(VLOOKUP(AA31,PriceTable,3)*16*AB31+VLOOKUP(AA31,PriceTable,7)*8*AB31 +VLOOKUP(AA31,PriceTable,12)*AC31*24+VLOOKUP(AA31,PriceTable,16)*AD31*24)/SUM(AB31:AD31)/24)+IF(BasisNumber_m=1,0,VLOOKUP(AA31,'Power Curves'!$BO$9:$BP$316,2))</f>
        <v>35.003566741943359</v>
      </c>
      <c r="AJ31" s="298">
        <f t="shared" ca="1" si="6"/>
        <v>0.42600000000000005</v>
      </c>
    </row>
    <row r="32" spans="3:62" ht="11.25" customHeight="1" x14ac:dyDescent="0.2">
      <c r="U32" s="214">
        <v>37377</v>
      </c>
      <c r="V32" s="212">
        <v>22</v>
      </c>
      <c r="W32" s="212">
        <v>4</v>
      </c>
      <c r="X32" s="212">
        <v>5</v>
      </c>
      <c r="Y32" s="213">
        <v>1</v>
      </c>
      <c r="AA32" s="293">
        <f t="shared" ca="1" si="4"/>
        <v>37773</v>
      </c>
      <c r="AB32" s="291">
        <f t="shared" ca="1" si="0"/>
        <v>21</v>
      </c>
      <c r="AC32" s="291">
        <f t="shared" ca="1" si="1"/>
        <v>4</v>
      </c>
      <c r="AD32" s="291">
        <f t="shared" ca="1" si="2"/>
        <v>5</v>
      </c>
      <c r="AE32" s="292">
        <f t="shared" ca="1" si="3"/>
        <v>30</v>
      </c>
      <c r="AF32" s="296">
        <f ca="1">IF(peak_base=1,VLOOKUP(AA32,PriceTable,3),(VLOOKUP(AA32,PriceTable,3)*16*AB32+VLOOKUP(AA32,PriceTable,7)*8*AB32 +VLOOKUP(AA32,PriceTable,12)*AC32*24+VLOOKUP(AA32,PriceTable,16)*AD32*24)/SUM(AB32:AD32)/24)+IF(BasisNumber=1,0,VLOOKUP(AA32,'Power Curves'!$BO$9:$BP$316,2))</f>
        <v>51.747856140136719</v>
      </c>
      <c r="AG32" s="254">
        <f t="shared" ca="1" si="5"/>
        <v>0.46550000000000002</v>
      </c>
      <c r="AH32" s="287">
        <f ca="1">VLOOKUP(AA32,'Power Curves'!$A$4:$B$261,2)</f>
        <v>5.5474153248809006E-2</v>
      </c>
      <c r="AI32" s="297">
        <f ca="1">IF(peak_base_m=1,VLOOKUP(AA32,PriceTable,3),(VLOOKUP(AA32,PriceTable,3)*16*AB32+VLOOKUP(AA32,PriceTable,7)*8*AB32 +VLOOKUP(AA32,PriceTable,12)*AC32*24+VLOOKUP(AA32,PriceTable,16)*AD32*24)/SUM(AB32:AD32)/24)+IF(BasisNumber_m=1,0,VLOOKUP(AA32,'Power Curves'!$BO$9:$BP$316,2))</f>
        <v>51.747856140136719</v>
      </c>
      <c r="AJ32" s="298">
        <f t="shared" ca="1" si="6"/>
        <v>0.46550000000000002</v>
      </c>
    </row>
    <row r="33" spans="21:36" ht="11.25" customHeight="1" x14ac:dyDescent="0.2">
      <c r="U33" s="214">
        <v>37408</v>
      </c>
      <c r="V33" s="212">
        <v>20</v>
      </c>
      <c r="W33" s="212">
        <v>5</v>
      </c>
      <c r="X33" s="212">
        <v>5</v>
      </c>
      <c r="Y33" s="213">
        <v>0</v>
      </c>
      <c r="AA33" s="293">
        <f t="shared" ca="1" si="4"/>
        <v>37803</v>
      </c>
      <c r="AB33" s="291">
        <f t="shared" ca="1" si="0"/>
        <v>22</v>
      </c>
      <c r="AC33" s="291">
        <f t="shared" ca="1" si="1"/>
        <v>4</v>
      </c>
      <c r="AD33" s="291">
        <f t="shared" ca="1" si="2"/>
        <v>5</v>
      </c>
      <c r="AE33" s="292">
        <f t="shared" ca="1" si="3"/>
        <v>31</v>
      </c>
      <c r="AF33" s="296">
        <f ca="1">IF(peak_base=1,VLOOKUP(AA33,PriceTable,3),(VLOOKUP(AA33,PriceTable,3)*16*AB33+VLOOKUP(AA33,PriceTable,7)*8*AB33 +VLOOKUP(AA33,PriceTable,12)*AC33*24+VLOOKUP(AA33,PriceTable,16)*AD33*24)/SUM(AB33:AD33)/24)+IF(BasisNumber=1,0,VLOOKUP(AA33,'Power Curves'!$BO$9:$BP$316,2))</f>
        <v>76.997146606445313</v>
      </c>
      <c r="AG33" s="254">
        <f t="shared" ca="1" si="5"/>
        <v>0.4955</v>
      </c>
      <c r="AH33" s="287">
        <f ca="1">VLOOKUP(AA33,'Power Curves'!$A$4:$B$261,2)</f>
        <v>5.562145439014702E-2</v>
      </c>
      <c r="AI33" s="297">
        <f ca="1">IF(peak_base_m=1,VLOOKUP(AA33,PriceTable,3),(VLOOKUP(AA33,PriceTable,3)*16*AB33+VLOOKUP(AA33,PriceTable,7)*8*AB33 +VLOOKUP(AA33,PriceTable,12)*AC33*24+VLOOKUP(AA33,PriceTable,16)*AD33*24)/SUM(AB33:AD33)/24)+IF(BasisNumber_m=1,0,VLOOKUP(AA33,'Power Curves'!$BO$9:$BP$316,2))</f>
        <v>76.997146606445313</v>
      </c>
      <c r="AJ33" s="298">
        <f t="shared" ca="1" si="6"/>
        <v>0.4955</v>
      </c>
    </row>
    <row r="34" spans="21:36" ht="11.25" customHeight="1" x14ac:dyDescent="0.2">
      <c r="U34" s="214">
        <v>37438</v>
      </c>
      <c r="V34" s="212">
        <v>22</v>
      </c>
      <c r="W34" s="212">
        <v>4</v>
      </c>
      <c r="X34" s="212">
        <v>5</v>
      </c>
      <c r="Y34" s="213">
        <v>1</v>
      </c>
      <c r="AA34" s="293">
        <f t="shared" ca="1" si="4"/>
        <v>37834</v>
      </c>
      <c r="AB34" s="291">
        <f t="shared" ca="1" si="0"/>
        <v>21</v>
      </c>
      <c r="AC34" s="291">
        <f t="shared" ca="1" si="1"/>
        <v>5</v>
      </c>
      <c r="AD34" s="291">
        <f t="shared" ca="1" si="2"/>
        <v>5</v>
      </c>
      <c r="AE34" s="292">
        <f t="shared" ca="1" si="3"/>
        <v>31</v>
      </c>
      <c r="AF34" s="296">
        <f ca="1">IF(peak_base=1,VLOOKUP(AA34,PriceTable,3),(VLOOKUP(AA34,PriceTable,3)*16*AB34+VLOOKUP(AA34,PriceTable,7)*8*AB34 +VLOOKUP(AA34,PriceTable,12)*AC34*24+VLOOKUP(AA34,PriceTable,16)*AD34*24)/SUM(AB34:AD34)/24)+IF(BasisNumber=1,0,VLOOKUP(AA34,'Power Curves'!$BO$9:$BP$316,2))</f>
        <v>76.997146606445313</v>
      </c>
      <c r="AG34" s="254">
        <f t="shared" ca="1" si="5"/>
        <v>0.4955</v>
      </c>
      <c r="AH34" s="287">
        <f ca="1">VLOOKUP(AA34,'Power Curves'!$A$4:$B$261,2)</f>
        <v>5.5768755538709004E-2</v>
      </c>
      <c r="AI34" s="297">
        <f ca="1">IF(peak_base_m=1,VLOOKUP(AA34,PriceTable,3),(VLOOKUP(AA34,PriceTable,3)*16*AB34+VLOOKUP(AA34,PriceTable,7)*8*AB34 +VLOOKUP(AA34,PriceTable,12)*AC34*24+VLOOKUP(AA34,PriceTable,16)*AD34*24)/SUM(AB34:AD34)/24)+IF(BasisNumber_m=1,0,VLOOKUP(AA34,'Power Curves'!$BO$9:$BP$316,2))</f>
        <v>76.997146606445313</v>
      </c>
      <c r="AJ34" s="298">
        <f t="shared" ca="1" si="6"/>
        <v>0.4955</v>
      </c>
    </row>
    <row r="35" spans="21:36" ht="11.25" customHeight="1" x14ac:dyDescent="0.2">
      <c r="U35" s="214">
        <v>37469</v>
      </c>
      <c r="V35" s="212">
        <v>22</v>
      </c>
      <c r="W35" s="212">
        <v>5</v>
      </c>
      <c r="X35" s="212">
        <v>4</v>
      </c>
      <c r="Y35" s="213">
        <v>0</v>
      </c>
      <c r="AA35" s="293">
        <f t="shared" ca="1" si="4"/>
        <v>37865</v>
      </c>
      <c r="AB35" s="291">
        <f t="shared" ca="1" si="0"/>
        <v>21</v>
      </c>
      <c r="AC35" s="291">
        <f t="shared" ca="1" si="1"/>
        <v>4</v>
      </c>
      <c r="AD35" s="291">
        <f t="shared" ca="1" si="2"/>
        <v>5</v>
      </c>
      <c r="AE35" s="292">
        <f t="shared" ca="1" si="3"/>
        <v>30</v>
      </c>
      <c r="AF35" s="296">
        <f ca="1">IF(peak_base=1,VLOOKUP(AA35,PriceTable,3),(VLOOKUP(AA35,PriceTable,3)*16*AB35+VLOOKUP(AA35,PriceTable,7)*8*AB35 +VLOOKUP(AA35,PriceTable,12)*AC35*24+VLOOKUP(AA35,PriceTable,16)*AD35*24)/SUM(AB35:AD35)/24)+IF(BasisNumber=1,0,VLOOKUP(AA35,'Power Curves'!$BO$9:$BP$316,2))</f>
        <v>34.502143859863281</v>
      </c>
      <c r="AG35" s="254">
        <f t="shared" ca="1" si="5"/>
        <v>0.42600000000000005</v>
      </c>
      <c r="AH35" s="287">
        <f ca="1">VLOOKUP(AA35,'Power Curves'!$A$4:$B$261,2)</f>
        <v>5.5907717235592014E-2</v>
      </c>
      <c r="AI35" s="297">
        <f ca="1">IF(peak_base_m=1,VLOOKUP(AA35,PriceTable,3),(VLOOKUP(AA35,PriceTable,3)*16*AB35+VLOOKUP(AA35,PriceTable,7)*8*AB35 +VLOOKUP(AA35,PriceTable,12)*AC35*24+VLOOKUP(AA35,PriceTable,16)*AD35*24)/SUM(AB35:AD35)/24)+IF(BasisNumber_m=1,0,VLOOKUP(AA35,'Power Curves'!$BO$9:$BP$316,2))</f>
        <v>34.502143859863281</v>
      </c>
      <c r="AJ35" s="298">
        <f t="shared" ca="1" si="6"/>
        <v>0.42600000000000005</v>
      </c>
    </row>
    <row r="36" spans="21:36" ht="11.25" customHeight="1" x14ac:dyDescent="0.2">
      <c r="U36" s="214">
        <v>37500</v>
      </c>
      <c r="V36" s="212">
        <v>20</v>
      </c>
      <c r="W36" s="212">
        <v>4</v>
      </c>
      <c r="X36" s="212">
        <v>6</v>
      </c>
      <c r="Y36" s="213">
        <v>1</v>
      </c>
      <c r="AA36" s="293">
        <f t="shared" ca="1" si="4"/>
        <v>37895</v>
      </c>
      <c r="AB36" s="291">
        <f t="shared" ca="1" si="0"/>
        <v>23</v>
      </c>
      <c r="AC36" s="291">
        <f t="shared" ca="1" si="1"/>
        <v>4</v>
      </c>
      <c r="AD36" s="291">
        <f t="shared" ca="1" si="2"/>
        <v>4</v>
      </c>
      <c r="AE36" s="292">
        <f t="shared" ca="1" si="3"/>
        <v>31</v>
      </c>
      <c r="AF36" s="296">
        <f ca="1">IF(peak_base=1,VLOOKUP(AA36,PriceTable,3),(VLOOKUP(AA36,PriceTable,3)*16*AB36+VLOOKUP(AA36,PriceTable,7)*8*AB36 +VLOOKUP(AA36,PriceTable,12)*AC36*24+VLOOKUP(AA36,PriceTable,16)*AD36*24)/SUM(AB36:AD36)/24)+IF(BasisNumber=1,0,VLOOKUP(AA36,'Power Curves'!$BO$9:$BP$316,2))</f>
        <v>32.648933410644531</v>
      </c>
      <c r="AG36" s="254">
        <f t="shared" ca="1" si="5"/>
        <v>0.19500000000000001</v>
      </c>
      <c r="AH36" s="287">
        <f ca="1">VLOOKUP(AA36,'Power Curves'!$A$4:$B$261,2)</f>
        <v>5.6046808209464005E-2</v>
      </c>
      <c r="AI36" s="297">
        <f ca="1">IF(peak_base_m=1,VLOOKUP(AA36,PriceTable,3),(VLOOKUP(AA36,PriceTable,3)*16*AB36+VLOOKUP(AA36,PriceTable,7)*8*AB36 +VLOOKUP(AA36,PriceTable,12)*AC36*24+VLOOKUP(AA36,PriceTable,16)*AD36*24)/SUM(AB36:AD36)/24)+IF(BasisNumber_m=1,0,VLOOKUP(AA36,'Power Curves'!$BO$9:$BP$316,2))</f>
        <v>32.648933410644531</v>
      </c>
      <c r="AJ36" s="298">
        <f t="shared" ca="1" si="6"/>
        <v>0.19500000000000001</v>
      </c>
    </row>
    <row r="37" spans="21:36" ht="11.25" customHeight="1" x14ac:dyDescent="0.2">
      <c r="U37" s="214">
        <v>37530</v>
      </c>
      <c r="V37" s="212">
        <v>23</v>
      </c>
      <c r="W37" s="212">
        <v>4</v>
      </c>
      <c r="X37" s="212">
        <v>4</v>
      </c>
      <c r="Y37" s="213">
        <v>0</v>
      </c>
      <c r="AA37" s="293">
        <f t="shared" ca="1" si="4"/>
        <v>37926</v>
      </c>
      <c r="AB37" s="291">
        <f t="shared" ref="AB37:AB68" ca="1" si="13">VLOOKUP(AA37, daytable, 2)</f>
        <v>19</v>
      </c>
      <c r="AC37" s="291">
        <f t="shared" ref="AC37:AC72" ca="1" si="14">VLOOKUP(AA37, daytable, 3)</f>
        <v>5</v>
      </c>
      <c r="AD37" s="291">
        <f t="shared" ref="AD37:AD72" ca="1" si="15">VLOOKUP(AA37, daytable, 4)</f>
        <v>6</v>
      </c>
      <c r="AE37" s="292">
        <f t="shared" ref="AE37:AE68" ca="1" si="16">SUM(AB37:AD37)</f>
        <v>30</v>
      </c>
      <c r="AF37" s="296">
        <f ca="1">IF(peak_base=1,VLOOKUP(AA37,PriceTable,3),(VLOOKUP(AA37,PriceTable,3)*16*AB37+VLOOKUP(AA37,PriceTable,7)*8*AB37 +VLOOKUP(AA37,PriceTable,12)*AC37*24+VLOOKUP(AA37,PriceTable,16)*AD37*24)/SUM(AB37:AD37)/24)+IF(BasisNumber=1,0,VLOOKUP(AA37,'Power Curves'!$BO$9:$BP$316,2))</f>
        <v>32.748931884765625</v>
      </c>
      <c r="AG37" s="254">
        <f t="shared" ref="AG37:AG72" ca="1" si="17">IF(peak_base=1,VLOOKUP(AA37,VolTable,15),SQRT((VLOOKUP(AA37,VolTable,15)^2*AB37*16+VLOOKUP(AA37,VolTable,19)^2*((AC37+AD37)*24+8*AB37))/(AB37+AC37+AD37)/24))</f>
        <v>0.19500000000000001</v>
      </c>
      <c r="AH37" s="287">
        <f ca="1">VLOOKUP(AA37,'Power Curves'!$A$4:$B$261,2)</f>
        <v>5.6181412383859021E-2</v>
      </c>
      <c r="AI37" s="297">
        <f ca="1">IF(peak_base_m=1,VLOOKUP(AA37,PriceTable,3),(VLOOKUP(AA37,PriceTable,3)*16*AB37+VLOOKUP(AA37,PriceTable,7)*8*AB37 +VLOOKUP(AA37,PriceTable,12)*AC37*24+VLOOKUP(AA37,PriceTable,16)*AD37*24)/SUM(AB37:AD37)/24)+IF(BasisNumber_m=1,0,VLOOKUP(AA37,'Power Curves'!$BO$9:$BP$316,2))</f>
        <v>32.748931884765625</v>
      </c>
      <c r="AJ37" s="298">
        <f t="shared" ca="1" si="6"/>
        <v>0.19500000000000001</v>
      </c>
    </row>
    <row r="38" spans="21:36" ht="11.25" customHeight="1" x14ac:dyDescent="0.2">
      <c r="U38" s="214">
        <v>37561</v>
      </c>
      <c r="V38" s="212">
        <v>20</v>
      </c>
      <c r="W38" s="212">
        <v>5</v>
      </c>
      <c r="X38" s="212">
        <v>5</v>
      </c>
      <c r="Y38" s="213">
        <v>1</v>
      </c>
      <c r="AA38" s="293">
        <f t="shared" ref="AA38:AA72" ca="1" si="18">EOMONTH(AA37,0)+1</f>
        <v>37956</v>
      </c>
      <c r="AB38" s="291">
        <f t="shared" ca="1" si="13"/>
        <v>22</v>
      </c>
      <c r="AC38" s="291">
        <f t="shared" ca="1" si="14"/>
        <v>4</v>
      </c>
      <c r="AD38" s="291">
        <f t="shared" ca="1" si="15"/>
        <v>5</v>
      </c>
      <c r="AE38" s="292">
        <f t="shared" ca="1" si="16"/>
        <v>31</v>
      </c>
      <c r="AF38" s="296">
        <f ca="1">IF(peak_base=1,VLOOKUP(AA38,PriceTable,3),(VLOOKUP(AA38,PriceTable,3)*16*AB38+VLOOKUP(AA38,PriceTable,7)*8*AB38 +VLOOKUP(AA38,PriceTable,12)*AC38*24+VLOOKUP(AA38,PriceTable,16)*AD38*24)/SUM(AB38:AD38)/24)+IF(BasisNumber=1,0,VLOOKUP(AA38,'Power Curves'!$BO$9:$BP$316,2))</f>
        <v>32.848930358886719</v>
      </c>
      <c r="AG38" s="254">
        <f t="shared" ca="1" si="17"/>
        <v>0.19750000000000001</v>
      </c>
      <c r="AH38" s="287">
        <f ca="1">VLOOKUP(AA38,'Power Curves'!$A$4:$B$261,2)</f>
        <v>5.6324763125970012E-2</v>
      </c>
      <c r="AI38" s="297">
        <f ca="1">IF(peak_base_m=1,VLOOKUP(AA38,PriceTable,3),(VLOOKUP(AA38,PriceTable,3)*16*AB38+VLOOKUP(AA38,PriceTable,7)*8*AB38 +VLOOKUP(AA38,PriceTable,12)*AC38*24+VLOOKUP(AA38,PriceTable,16)*AD38*24)/SUM(AB38:AD38)/24)+IF(BasisNumber_m=1,0,VLOOKUP(AA38,'Power Curves'!$BO$9:$BP$316,2))</f>
        <v>32.848930358886719</v>
      </c>
      <c r="AJ38" s="298">
        <f t="shared" ca="1" si="6"/>
        <v>0.19750000000000001</v>
      </c>
    </row>
    <row r="39" spans="21:36" x14ac:dyDescent="0.2">
      <c r="U39" s="214">
        <v>37591</v>
      </c>
      <c r="V39" s="212">
        <v>21</v>
      </c>
      <c r="W39" s="212">
        <v>4</v>
      </c>
      <c r="X39" s="212">
        <v>6</v>
      </c>
      <c r="Y39" s="213">
        <v>1</v>
      </c>
      <c r="AA39" s="293">
        <f t="shared" ca="1" si="18"/>
        <v>37987</v>
      </c>
      <c r="AB39" s="291">
        <f t="shared" ca="1" si="13"/>
        <v>21</v>
      </c>
      <c r="AC39" s="291">
        <f t="shared" ca="1" si="14"/>
        <v>5</v>
      </c>
      <c r="AD39" s="291">
        <f t="shared" ca="1" si="15"/>
        <v>5</v>
      </c>
      <c r="AE39" s="292">
        <f t="shared" ca="1" si="16"/>
        <v>31</v>
      </c>
      <c r="AF39" s="296">
        <f ca="1">IF(peak_base=1,VLOOKUP(AA39,PriceTable,3),(VLOOKUP(AA39,PriceTable,3)*16*AB39+VLOOKUP(AA39,PriceTable,7)*8*AB39 +VLOOKUP(AA39,PriceTable,12)*AC39*24+VLOOKUP(AA39,PriceTable,16)*AD39*24)/SUM(AB39:AD39)/24)+IF(BasisNumber=1,0,VLOOKUP(AA39,'Power Curves'!$BO$9:$BP$316,2))</f>
        <v>42.287864685058594</v>
      </c>
      <c r="AG39" s="254">
        <f t="shared" ca="1" si="17"/>
        <v>0.29049999999999998</v>
      </c>
      <c r="AH39" s="287">
        <f ca="1">VLOOKUP(AA39,'Power Curves'!$A$4:$B$261,2)</f>
        <v>5.6472657614416007E-2</v>
      </c>
      <c r="AI39" s="297">
        <f ca="1">IF(peak_base_m=1,VLOOKUP(AA39,PriceTable,3),(VLOOKUP(AA39,PriceTable,3)*16*AB39+VLOOKUP(AA39,PriceTable,7)*8*AB39 +VLOOKUP(AA39,PriceTable,12)*AC39*24+VLOOKUP(AA39,PriceTable,16)*AD39*24)/SUM(AB39:AD39)/24)+IF(BasisNumber_m=1,0,VLOOKUP(AA39,'Power Curves'!$BO$9:$BP$316,2))</f>
        <v>42.287864685058594</v>
      </c>
      <c r="AJ39" s="298">
        <f t="shared" ca="1" si="6"/>
        <v>0.29049999999999998</v>
      </c>
    </row>
    <row r="40" spans="21:36" x14ac:dyDescent="0.2">
      <c r="U40" s="214">
        <v>37622</v>
      </c>
      <c r="V40" s="212">
        <v>22</v>
      </c>
      <c r="W40" s="212">
        <v>4</v>
      </c>
      <c r="X40" s="212">
        <v>5</v>
      </c>
      <c r="Y40" s="213">
        <v>1</v>
      </c>
      <c r="AA40" s="293">
        <f t="shared" ca="1" si="18"/>
        <v>38018</v>
      </c>
      <c r="AB40" s="291">
        <f t="shared" ca="1" si="13"/>
        <v>20</v>
      </c>
      <c r="AC40" s="291">
        <f t="shared" ca="1" si="14"/>
        <v>4</v>
      </c>
      <c r="AD40" s="291">
        <f t="shared" ca="1" si="15"/>
        <v>5</v>
      </c>
      <c r="AE40" s="292">
        <f t="shared" ca="1" si="16"/>
        <v>29</v>
      </c>
      <c r="AF40" s="296">
        <f ca="1">IF(peak_base=1,VLOOKUP(AA40,PriceTable,3),(VLOOKUP(AA40,PriceTable,3)*16*AB40+VLOOKUP(AA40,PriceTable,7)*8*AB40 +VLOOKUP(AA40,PriceTable,12)*AC40*24+VLOOKUP(AA40,PriceTable,16)*AD40*24)/SUM(AB40:AD40)/24)+IF(BasisNumber=1,0,VLOOKUP(AA40,'Power Curves'!$BO$9:$BP$316,2))</f>
        <v>41.437862396240234</v>
      </c>
      <c r="AG40" s="254">
        <f t="shared" ca="1" si="17"/>
        <v>0.29049999999999998</v>
      </c>
      <c r="AH40" s="287">
        <f ca="1">VLOOKUP(AA40,'Power Curves'!$A$4:$B$261,2)</f>
        <v>5.6611010529553009E-2</v>
      </c>
      <c r="AI40" s="297">
        <f ca="1">IF(peak_base_m=1,VLOOKUP(AA40,PriceTable,3),(VLOOKUP(AA40,PriceTable,3)*16*AB40+VLOOKUP(AA40,PriceTable,7)*8*AB40 +VLOOKUP(AA40,PriceTable,12)*AC40*24+VLOOKUP(AA40,PriceTable,16)*AD40*24)/SUM(AB40:AD40)/24)+IF(BasisNumber_m=1,0,VLOOKUP(AA40,'Power Curves'!$BO$9:$BP$316,2))</f>
        <v>41.437862396240234</v>
      </c>
      <c r="AJ40" s="298">
        <f t="shared" ca="1" si="6"/>
        <v>0.29049999999999998</v>
      </c>
    </row>
    <row r="41" spans="21:36" x14ac:dyDescent="0.2">
      <c r="U41" s="214">
        <v>37653</v>
      </c>
      <c r="V41" s="212">
        <v>20</v>
      </c>
      <c r="W41" s="212">
        <v>4</v>
      </c>
      <c r="X41" s="212">
        <v>4</v>
      </c>
      <c r="Y41" s="213">
        <v>0</v>
      </c>
      <c r="AA41" s="293">
        <f t="shared" ca="1" si="18"/>
        <v>38047</v>
      </c>
      <c r="AB41" s="291">
        <f t="shared" ca="1" si="13"/>
        <v>23</v>
      </c>
      <c r="AC41" s="291">
        <f t="shared" ca="1" si="14"/>
        <v>4</v>
      </c>
      <c r="AD41" s="291">
        <f t="shared" ca="1" si="15"/>
        <v>4</v>
      </c>
      <c r="AE41" s="292">
        <f t="shared" ca="1" si="16"/>
        <v>31</v>
      </c>
      <c r="AF41" s="296">
        <f ca="1">IF(peak_base=1,VLOOKUP(AA41,PriceTable,3),(VLOOKUP(AA41,PriceTable,3)*16*AB41+VLOOKUP(AA41,PriceTable,7)*8*AB41 +VLOOKUP(AA41,PriceTable,12)*AC41*24+VLOOKUP(AA41,PriceTable,16)*AD41*24)/SUM(AB41:AD41)/24)+IF(BasisNumber=1,0,VLOOKUP(AA41,'Power Curves'!$BO$9:$BP$316,2))</f>
        <v>32.648544311523438</v>
      </c>
      <c r="AG41" s="254">
        <f t="shared" ca="1" si="17"/>
        <v>0.18</v>
      </c>
      <c r="AH41" s="287">
        <f ca="1">VLOOKUP(AA41,'Power Curves'!$A$4:$B$261,2)</f>
        <v>5.6745831066000008E-2</v>
      </c>
      <c r="AI41" s="297">
        <f ca="1">IF(peak_base_m=1,VLOOKUP(AA41,PriceTable,3),(VLOOKUP(AA41,PriceTable,3)*16*AB41+VLOOKUP(AA41,PriceTable,7)*8*AB41 +VLOOKUP(AA41,PriceTable,12)*AC41*24+VLOOKUP(AA41,PriceTable,16)*AD41*24)/SUM(AB41:AD41)/24)+IF(BasisNumber_m=1,0,VLOOKUP(AA41,'Power Curves'!$BO$9:$BP$316,2))</f>
        <v>32.648544311523438</v>
      </c>
      <c r="AJ41" s="298">
        <f t="shared" ca="1" si="6"/>
        <v>0.18</v>
      </c>
    </row>
    <row r="42" spans="21:36" x14ac:dyDescent="0.2">
      <c r="U42" s="214">
        <v>37681</v>
      </c>
      <c r="V42" s="212">
        <v>21</v>
      </c>
      <c r="W42" s="212">
        <v>5</v>
      </c>
      <c r="X42" s="212">
        <v>5</v>
      </c>
      <c r="Y42" s="213">
        <v>0</v>
      </c>
      <c r="AA42" s="293">
        <f t="shared" ca="1" si="18"/>
        <v>38078</v>
      </c>
      <c r="AB42" s="291">
        <f t="shared" ca="1" si="13"/>
        <v>22</v>
      </c>
      <c r="AC42" s="291">
        <f t="shared" ca="1" si="14"/>
        <v>4</v>
      </c>
      <c r="AD42" s="291">
        <f t="shared" ca="1" si="15"/>
        <v>4</v>
      </c>
      <c r="AE42" s="292">
        <f t="shared" ca="1" si="16"/>
        <v>30</v>
      </c>
      <c r="AF42" s="296">
        <f ca="1">IF(peak_base=1,VLOOKUP(AA42,PriceTable,3),(VLOOKUP(AA42,PriceTable,3)*16*AB42+VLOOKUP(AA42,PriceTable,7)*8*AB42 +VLOOKUP(AA42,PriceTable,12)*AC42*24+VLOOKUP(AA42,PriceTable,16)*AD42*24)/SUM(AB42:AD42)/24)+IF(BasisNumber=1,0,VLOOKUP(AA42,'Power Curves'!$BO$9:$BP$316,2))</f>
        <v>33.098545074462891</v>
      </c>
      <c r="AG42" s="254">
        <f t="shared" ca="1" si="17"/>
        <v>0.18</v>
      </c>
      <c r="AH42" s="287">
        <f ca="1">VLOOKUP(AA42,'Power Curves'!$A$4:$B$261,2)</f>
        <v>5.6862806851182023E-2</v>
      </c>
      <c r="AI42" s="297">
        <f ca="1">IF(peak_base_m=1,VLOOKUP(AA42,PriceTable,3),(VLOOKUP(AA42,PriceTable,3)*16*AB42+VLOOKUP(AA42,PriceTable,7)*8*AB42 +VLOOKUP(AA42,PriceTable,12)*AC42*24+VLOOKUP(AA42,PriceTable,16)*AD42*24)/SUM(AB42:AD42)/24)+IF(BasisNumber_m=1,0,VLOOKUP(AA42,'Power Curves'!$BO$9:$BP$316,2))</f>
        <v>33.098545074462891</v>
      </c>
      <c r="AJ42" s="298">
        <f t="shared" ca="1" si="6"/>
        <v>0.18</v>
      </c>
    </row>
    <row r="43" spans="21:36" x14ac:dyDescent="0.2">
      <c r="U43" s="214">
        <v>37712</v>
      </c>
      <c r="V43" s="212">
        <v>22</v>
      </c>
      <c r="W43" s="212">
        <v>4</v>
      </c>
      <c r="X43" s="212">
        <v>4</v>
      </c>
      <c r="Y43" s="213">
        <v>0</v>
      </c>
      <c r="AA43" s="293">
        <f t="shared" ca="1" si="18"/>
        <v>38108</v>
      </c>
      <c r="AB43" s="291">
        <f t="shared" ca="1" si="13"/>
        <v>20</v>
      </c>
      <c r="AC43" s="291">
        <f t="shared" ca="1" si="14"/>
        <v>5</v>
      </c>
      <c r="AD43" s="291">
        <f t="shared" ca="1" si="15"/>
        <v>6</v>
      </c>
      <c r="AE43" s="292">
        <f t="shared" ca="1" si="16"/>
        <v>31</v>
      </c>
      <c r="AF43" s="296">
        <f ca="1">IF(peak_base=1,VLOOKUP(AA43,PriceTable,3),(VLOOKUP(AA43,PriceTable,3)*16*AB43+VLOOKUP(AA43,PriceTable,7)*8*AB43 +VLOOKUP(AA43,PriceTable,12)*AC43*24+VLOOKUP(AA43,PriceTable,16)*AD43*24)/SUM(AB43:AD43)/24)+IF(BasisNumber=1,0,VLOOKUP(AA43,'Power Curves'!$BO$9:$BP$316,2))</f>
        <v>34.753566741943359</v>
      </c>
      <c r="AG43" s="254">
        <f t="shared" ca="1" si="17"/>
        <v>0.28575</v>
      </c>
      <c r="AH43" s="287">
        <f ca="1">VLOOKUP(AA43,'Power Curves'!$A$4:$B$261,2)</f>
        <v>5.6983681833989025E-2</v>
      </c>
      <c r="AI43" s="297">
        <f ca="1">IF(peak_base_m=1,VLOOKUP(AA43,PriceTable,3),(VLOOKUP(AA43,PriceTable,3)*16*AB43+VLOOKUP(AA43,PriceTable,7)*8*AB43 +VLOOKUP(AA43,PriceTable,12)*AC43*24+VLOOKUP(AA43,PriceTable,16)*AD43*24)/SUM(AB43:AD43)/24)+IF(BasisNumber_m=1,0,VLOOKUP(AA43,'Power Curves'!$BO$9:$BP$316,2))</f>
        <v>34.753566741943359</v>
      </c>
      <c r="AJ43" s="298">
        <f t="shared" ca="1" si="6"/>
        <v>0.28575</v>
      </c>
    </row>
    <row r="44" spans="21:36" x14ac:dyDescent="0.2">
      <c r="U44" s="214">
        <v>37742</v>
      </c>
      <c r="V44" s="212">
        <v>21</v>
      </c>
      <c r="W44" s="212">
        <v>5</v>
      </c>
      <c r="X44" s="212">
        <v>5</v>
      </c>
      <c r="Y44" s="213">
        <v>1</v>
      </c>
      <c r="AA44" s="293">
        <f t="shared" ca="1" si="18"/>
        <v>38139</v>
      </c>
      <c r="AB44" s="291">
        <f t="shared" ca="1" si="13"/>
        <v>22</v>
      </c>
      <c r="AC44" s="291">
        <f t="shared" ca="1" si="14"/>
        <v>4</v>
      </c>
      <c r="AD44" s="291">
        <f t="shared" ca="1" si="15"/>
        <v>4</v>
      </c>
      <c r="AE44" s="292">
        <f t="shared" ca="1" si="16"/>
        <v>30</v>
      </c>
      <c r="AF44" s="296">
        <f ca="1">IF(peak_base=1,VLOOKUP(AA44,PriceTable,3),(VLOOKUP(AA44,PriceTable,3)*16*AB44+VLOOKUP(AA44,PriceTable,7)*8*AB44 +VLOOKUP(AA44,PriceTable,12)*AC44*24+VLOOKUP(AA44,PriceTable,16)*AD44*24)/SUM(AB44:AD44)/24)+IF(BasisNumber=1,0,VLOOKUP(AA44,'Power Curves'!$BO$9:$BP$316,2))</f>
        <v>47.747856140136719</v>
      </c>
      <c r="AG44" s="254">
        <f t="shared" ca="1" si="17"/>
        <v>0.41100000000000003</v>
      </c>
      <c r="AH44" s="287">
        <f ca="1">VLOOKUP(AA44,'Power Curves'!$A$4:$B$261,2)</f>
        <v>5.7098405443181018E-2</v>
      </c>
      <c r="AI44" s="297">
        <f ca="1">IF(peak_base_m=1,VLOOKUP(AA44,PriceTable,3),(VLOOKUP(AA44,PriceTable,3)*16*AB44+VLOOKUP(AA44,PriceTable,7)*8*AB44 +VLOOKUP(AA44,PriceTable,12)*AC44*24+VLOOKUP(AA44,PriceTable,16)*AD44*24)/SUM(AB44:AD44)/24)+IF(BasisNumber_m=1,0,VLOOKUP(AA44,'Power Curves'!$BO$9:$BP$316,2))</f>
        <v>47.747856140136719</v>
      </c>
      <c r="AJ44" s="298">
        <f t="shared" ca="1" si="6"/>
        <v>0.41100000000000003</v>
      </c>
    </row>
    <row r="45" spans="21:36" x14ac:dyDescent="0.2">
      <c r="U45" s="214">
        <v>37773</v>
      </c>
      <c r="V45" s="212">
        <v>21</v>
      </c>
      <c r="W45" s="212">
        <v>4</v>
      </c>
      <c r="X45" s="212">
        <v>5</v>
      </c>
      <c r="Y45" s="213">
        <v>0</v>
      </c>
      <c r="AA45" s="293">
        <f t="shared" ca="1" si="18"/>
        <v>38169</v>
      </c>
      <c r="AB45" s="291">
        <f t="shared" ca="1" si="13"/>
        <v>21</v>
      </c>
      <c r="AC45" s="291">
        <f t="shared" ca="1" si="14"/>
        <v>5</v>
      </c>
      <c r="AD45" s="291">
        <f t="shared" ca="1" si="15"/>
        <v>5</v>
      </c>
      <c r="AE45" s="292">
        <f t="shared" ca="1" si="16"/>
        <v>31</v>
      </c>
      <c r="AF45" s="296">
        <f ca="1">IF(peak_base=1,VLOOKUP(AA45,PriceTable,3),(VLOOKUP(AA45,PriceTable,3)*16*AB45+VLOOKUP(AA45,PriceTable,7)*8*AB45 +VLOOKUP(AA45,PriceTable,12)*AC45*24+VLOOKUP(AA45,PriceTable,16)*AD45*24)/SUM(AB45:AD45)/24)+IF(BasisNumber=1,0,VLOOKUP(AA45,'Power Curves'!$BO$9:$BP$316,2))</f>
        <v>72.747146606445312</v>
      </c>
      <c r="AG45" s="254">
        <f t="shared" ca="1" si="17"/>
        <v>0.41600000000000004</v>
      </c>
      <c r="AH45" s="287">
        <f ca="1">VLOOKUP(AA45,'Power Curves'!$A$4:$B$261,2)</f>
        <v>5.7214478651606011E-2</v>
      </c>
      <c r="AI45" s="297">
        <f ca="1">IF(peak_base_m=1,VLOOKUP(AA45,PriceTable,3),(VLOOKUP(AA45,PriceTable,3)*16*AB45+VLOOKUP(AA45,PriceTable,7)*8*AB45 +VLOOKUP(AA45,PriceTable,12)*AC45*24+VLOOKUP(AA45,PriceTable,16)*AD45*24)/SUM(AB45:AD45)/24)+IF(BasisNumber_m=1,0,VLOOKUP(AA45,'Power Curves'!$BO$9:$BP$316,2))</f>
        <v>72.747146606445312</v>
      </c>
      <c r="AJ45" s="298">
        <f t="shared" ca="1" si="6"/>
        <v>0.41600000000000004</v>
      </c>
    </row>
    <row r="46" spans="21:36" x14ac:dyDescent="0.2">
      <c r="U46" s="214">
        <v>37803</v>
      </c>
      <c r="V46" s="212">
        <v>22</v>
      </c>
      <c r="W46" s="212">
        <v>4</v>
      </c>
      <c r="X46" s="212">
        <v>5</v>
      </c>
      <c r="Y46" s="213">
        <v>1</v>
      </c>
      <c r="AA46" s="293">
        <f t="shared" ca="1" si="18"/>
        <v>38200</v>
      </c>
      <c r="AB46" s="291">
        <f t="shared" ca="1" si="13"/>
        <v>22</v>
      </c>
      <c r="AC46" s="291">
        <f t="shared" ca="1" si="14"/>
        <v>4</v>
      </c>
      <c r="AD46" s="291">
        <f t="shared" ca="1" si="15"/>
        <v>5</v>
      </c>
      <c r="AE46" s="292">
        <f t="shared" ca="1" si="16"/>
        <v>31</v>
      </c>
      <c r="AF46" s="296">
        <f ca="1">IF(peak_base=1,VLOOKUP(AA46,PriceTable,3),(VLOOKUP(AA46,PriceTable,3)*16*AB46+VLOOKUP(AA46,PriceTable,7)*8*AB46 +VLOOKUP(AA46,PriceTable,12)*AC46*24+VLOOKUP(AA46,PriceTable,16)*AD46*24)/SUM(AB46:AD46)/24)+IF(BasisNumber=1,0,VLOOKUP(AA46,'Power Curves'!$BO$9:$BP$316,2))</f>
        <v>72.747146606445312</v>
      </c>
      <c r="AG46" s="254">
        <f t="shared" ca="1" si="17"/>
        <v>0.41600000000000004</v>
      </c>
      <c r="AH46" s="287">
        <f ca="1">VLOOKUP(AA46,'Power Curves'!$A$4:$B$261,2)</f>
        <v>5.7330551864514016E-2</v>
      </c>
      <c r="AI46" s="297">
        <f ca="1">IF(peak_base_m=1,VLOOKUP(AA46,PriceTable,3),(VLOOKUP(AA46,PriceTable,3)*16*AB46+VLOOKUP(AA46,PriceTable,7)*8*AB46 +VLOOKUP(AA46,PriceTable,12)*AC46*24+VLOOKUP(AA46,PriceTable,16)*AD46*24)/SUM(AB46:AD46)/24)+IF(BasisNumber_m=1,0,VLOOKUP(AA46,'Power Curves'!$BO$9:$BP$316,2))</f>
        <v>72.747146606445312</v>
      </c>
      <c r="AJ46" s="298">
        <f t="shared" ca="1" si="6"/>
        <v>0.41600000000000004</v>
      </c>
    </row>
    <row r="47" spans="21:36" x14ac:dyDescent="0.2">
      <c r="U47" s="214">
        <v>37834</v>
      </c>
      <c r="V47" s="212">
        <v>21</v>
      </c>
      <c r="W47" s="212">
        <v>5</v>
      </c>
      <c r="X47" s="212">
        <v>5</v>
      </c>
      <c r="Y47" s="213">
        <v>0</v>
      </c>
      <c r="AA47" s="293">
        <f t="shared" ca="1" si="18"/>
        <v>38231</v>
      </c>
      <c r="AB47" s="291">
        <f t="shared" ca="1" si="13"/>
        <v>21</v>
      </c>
      <c r="AC47" s="291">
        <f t="shared" ca="1" si="14"/>
        <v>4</v>
      </c>
      <c r="AD47" s="291">
        <f t="shared" ca="1" si="15"/>
        <v>5</v>
      </c>
      <c r="AE47" s="292">
        <f t="shared" ca="1" si="16"/>
        <v>30</v>
      </c>
      <c r="AF47" s="296">
        <f ca="1">IF(peak_base=1,VLOOKUP(AA47,PriceTable,3),(VLOOKUP(AA47,PriceTable,3)*16*AB47+VLOOKUP(AA47,PriceTable,7)*8*AB47 +VLOOKUP(AA47,PriceTable,12)*AC47*24+VLOOKUP(AA47,PriceTable,16)*AD47*24)/SUM(AB47:AD47)/24)+IF(BasisNumber=1,0,VLOOKUP(AA47,'Power Curves'!$BO$9:$BP$316,2))</f>
        <v>35.002143859863281</v>
      </c>
      <c r="AG47" s="254">
        <f t="shared" ca="1" si="17"/>
        <v>0.28575</v>
      </c>
      <c r="AH47" s="287">
        <f ca="1">VLOOKUP(AA47,'Power Curves'!$A$4:$B$261,2)</f>
        <v>5.7440582120900009E-2</v>
      </c>
      <c r="AI47" s="297">
        <f ca="1">IF(peak_base_m=1,VLOOKUP(AA47,PriceTable,3),(VLOOKUP(AA47,PriceTable,3)*16*AB47+VLOOKUP(AA47,PriceTable,7)*8*AB47 +VLOOKUP(AA47,PriceTable,12)*AC47*24+VLOOKUP(AA47,PriceTable,16)*AD47*24)/SUM(AB47:AD47)/24)+IF(BasisNumber_m=1,0,VLOOKUP(AA47,'Power Curves'!$BO$9:$BP$316,2))</f>
        <v>35.002143859863281</v>
      </c>
      <c r="AJ47" s="298">
        <f t="shared" ca="1" si="6"/>
        <v>0.28575</v>
      </c>
    </row>
    <row r="48" spans="21:36" x14ac:dyDescent="0.2">
      <c r="U48" s="214">
        <v>37865</v>
      </c>
      <c r="V48" s="212">
        <v>21</v>
      </c>
      <c r="W48" s="212">
        <v>4</v>
      </c>
      <c r="X48" s="212">
        <v>5</v>
      </c>
      <c r="Y48" s="213">
        <v>1</v>
      </c>
      <c r="AA48" s="293">
        <f t="shared" ca="1" si="18"/>
        <v>38261</v>
      </c>
      <c r="AB48" s="291">
        <f t="shared" ca="1" si="13"/>
        <v>21</v>
      </c>
      <c r="AC48" s="291">
        <f t="shared" ca="1" si="14"/>
        <v>5</v>
      </c>
      <c r="AD48" s="291">
        <f t="shared" ca="1" si="15"/>
        <v>5</v>
      </c>
      <c r="AE48" s="292">
        <f t="shared" ca="1" si="16"/>
        <v>31</v>
      </c>
      <c r="AF48" s="296">
        <f ca="1">IF(peak_base=1,VLOOKUP(AA48,PriceTable,3),(VLOOKUP(AA48,PriceTable,3)*16*AB48+VLOOKUP(AA48,PriceTable,7)*8*AB48 +VLOOKUP(AA48,PriceTable,12)*AC48*24+VLOOKUP(AA48,PriceTable,16)*AD48*24)/SUM(AB48:AD48)/24)+IF(BasisNumber=1,0,VLOOKUP(AA48,'Power Curves'!$BO$9:$BP$316,2))</f>
        <v>32.898933410644531</v>
      </c>
      <c r="AG48" s="254">
        <f t="shared" ca="1" si="17"/>
        <v>0.17</v>
      </c>
      <c r="AH48" s="287">
        <f ca="1">VLOOKUP(AA48,'Power Curves'!$A$4:$B$261,2)</f>
        <v>5.7552068089411011E-2</v>
      </c>
      <c r="AI48" s="297">
        <f ca="1">IF(peak_base_m=1,VLOOKUP(AA48,PriceTable,3),(VLOOKUP(AA48,PriceTable,3)*16*AB48+VLOOKUP(AA48,PriceTable,7)*8*AB48 +VLOOKUP(AA48,PriceTable,12)*AC48*24+VLOOKUP(AA48,PriceTable,16)*AD48*24)/SUM(AB48:AD48)/24)+IF(BasisNumber_m=1,0,VLOOKUP(AA48,'Power Curves'!$BO$9:$BP$316,2))</f>
        <v>32.898933410644531</v>
      </c>
      <c r="AJ48" s="298">
        <f t="shared" ca="1" si="6"/>
        <v>0.17</v>
      </c>
    </row>
    <row r="49" spans="21:36" x14ac:dyDescent="0.2">
      <c r="U49" s="214">
        <v>37895</v>
      </c>
      <c r="V49" s="212">
        <v>23</v>
      </c>
      <c r="W49" s="212">
        <v>4</v>
      </c>
      <c r="X49" s="212">
        <v>4</v>
      </c>
      <c r="Y49" s="213">
        <v>0</v>
      </c>
      <c r="AA49" s="293">
        <f t="shared" ca="1" si="18"/>
        <v>38292</v>
      </c>
      <c r="AB49" s="291">
        <f t="shared" ca="1" si="13"/>
        <v>21</v>
      </c>
      <c r="AC49" s="291">
        <f t="shared" ca="1" si="14"/>
        <v>4</v>
      </c>
      <c r="AD49" s="291">
        <f t="shared" ca="1" si="15"/>
        <v>5</v>
      </c>
      <c r="AE49" s="292">
        <f t="shared" ca="1" si="16"/>
        <v>30</v>
      </c>
      <c r="AF49" s="296">
        <f ca="1">IF(peak_base=1,VLOOKUP(AA49,PriceTable,3),(VLOOKUP(AA49,PriceTable,3)*16*AB49+VLOOKUP(AA49,PriceTable,7)*8*AB49 +VLOOKUP(AA49,PriceTable,12)*AC49*24+VLOOKUP(AA49,PriceTable,16)*AD49*24)/SUM(AB49:AD49)/24)+IF(BasisNumber=1,0,VLOOKUP(AA49,'Power Curves'!$BO$9:$BP$316,2))</f>
        <v>32.998931884765625</v>
      </c>
      <c r="AG49" s="254">
        <f t="shared" ca="1" si="17"/>
        <v>0.17</v>
      </c>
      <c r="AH49" s="287">
        <f ca="1">VLOOKUP(AA49,'Power Curves'!$A$4:$B$261,2)</f>
        <v>5.7659957740293012E-2</v>
      </c>
      <c r="AI49" s="297">
        <f ca="1">IF(peak_base_m=1,VLOOKUP(AA49,PriceTable,3),(VLOOKUP(AA49,PriceTable,3)*16*AB49+VLOOKUP(AA49,PriceTable,7)*8*AB49 +VLOOKUP(AA49,PriceTable,12)*AC49*24+VLOOKUP(AA49,PriceTable,16)*AD49*24)/SUM(AB49:AD49)/24)+IF(BasisNumber_m=1,0,VLOOKUP(AA49,'Power Curves'!$BO$9:$BP$316,2))</f>
        <v>32.998931884765625</v>
      </c>
      <c r="AJ49" s="298">
        <f t="shared" ca="1" si="6"/>
        <v>0.17</v>
      </c>
    </row>
    <row r="50" spans="21:36" x14ac:dyDescent="0.2">
      <c r="U50" s="214">
        <v>37926</v>
      </c>
      <c r="V50" s="212">
        <v>19</v>
      </c>
      <c r="W50" s="212">
        <v>5</v>
      </c>
      <c r="X50" s="212">
        <v>6</v>
      </c>
      <c r="Y50" s="213">
        <v>1</v>
      </c>
      <c r="AA50" s="293">
        <f t="shared" ca="1" si="18"/>
        <v>38322</v>
      </c>
      <c r="AB50" s="291">
        <f t="shared" ca="1" si="13"/>
        <v>23</v>
      </c>
      <c r="AC50" s="291">
        <f t="shared" ca="1" si="14"/>
        <v>3</v>
      </c>
      <c r="AD50" s="291">
        <f t="shared" ca="1" si="15"/>
        <v>5</v>
      </c>
      <c r="AE50" s="292">
        <f t="shared" ca="1" si="16"/>
        <v>31</v>
      </c>
      <c r="AF50" s="296">
        <f ca="1">IF(peak_base=1,VLOOKUP(AA50,PriceTable,3),(VLOOKUP(AA50,PriceTable,3)*16*AB50+VLOOKUP(AA50,PriceTable,7)*8*AB50 +VLOOKUP(AA50,PriceTable,12)*AC50*24+VLOOKUP(AA50,PriceTable,16)*AD50*24)/SUM(AB50:AD50)/24)+IF(BasisNumber=1,0,VLOOKUP(AA50,'Power Curves'!$BO$9:$BP$316,2))</f>
        <v>33.098930358886719</v>
      </c>
      <c r="AG50" s="254">
        <f t="shared" ca="1" si="17"/>
        <v>0.17249999999999999</v>
      </c>
      <c r="AH50" s="287">
        <f ca="1">VLOOKUP(AA50,'Power Curves'!$A$4:$B$261,2)</f>
        <v>5.7776111018460002E-2</v>
      </c>
      <c r="AI50" s="297">
        <f ca="1">IF(peak_base_m=1,VLOOKUP(AA50,PriceTable,3),(VLOOKUP(AA50,PriceTable,3)*16*AB50+VLOOKUP(AA50,PriceTable,7)*8*AB50 +VLOOKUP(AA50,PriceTable,12)*AC50*24+VLOOKUP(AA50,PriceTable,16)*AD50*24)/SUM(AB50:AD50)/24)+IF(BasisNumber_m=1,0,VLOOKUP(AA50,'Power Curves'!$BO$9:$BP$316,2))</f>
        <v>33.098930358886719</v>
      </c>
      <c r="AJ50" s="298">
        <f t="shared" ca="1" si="6"/>
        <v>0.17249999999999999</v>
      </c>
    </row>
    <row r="51" spans="21:36" x14ac:dyDescent="0.2">
      <c r="U51" s="214">
        <v>37956</v>
      </c>
      <c r="V51" s="212">
        <v>22</v>
      </c>
      <c r="W51" s="212">
        <v>4</v>
      </c>
      <c r="X51" s="212">
        <v>5</v>
      </c>
      <c r="Y51" s="213">
        <v>1</v>
      </c>
      <c r="AA51" s="293">
        <f t="shared" ca="1" si="18"/>
        <v>38353</v>
      </c>
      <c r="AB51" s="291">
        <f t="shared" ca="1" si="13"/>
        <v>21</v>
      </c>
      <c r="AC51" s="291">
        <f t="shared" ca="1" si="14"/>
        <v>4</v>
      </c>
      <c r="AD51" s="291">
        <f t="shared" ca="1" si="15"/>
        <v>6</v>
      </c>
      <c r="AE51" s="292">
        <f t="shared" ca="1" si="16"/>
        <v>31</v>
      </c>
      <c r="AF51" s="296">
        <f ca="1">IF(peak_base=1,VLOOKUP(AA51,PriceTable,3),(VLOOKUP(AA51,PriceTable,3)*16*AB51+VLOOKUP(AA51,PriceTable,7)*8*AB51 +VLOOKUP(AA51,PriceTable,12)*AC51*24+VLOOKUP(AA51,PriceTable,16)*AD51*24)/SUM(AB51:AD51)/24)+IF(BasisNumber=1,0,VLOOKUP(AA51,'Power Curves'!$BO$9:$BP$316,2))</f>
        <v>42.037864685058594</v>
      </c>
      <c r="AG51" s="254">
        <f t="shared" ca="1" si="17"/>
        <v>0.25700000000000001</v>
      </c>
      <c r="AH51" s="287">
        <f ca="1">VLOOKUP(AA51,'Power Curves'!$A$4:$B$261,2)</f>
        <v>5.7896107961344E-2</v>
      </c>
      <c r="AI51" s="297">
        <f ca="1">IF(peak_base_m=1,VLOOKUP(AA51,PriceTable,3),(VLOOKUP(AA51,PriceTable,3)*16*AB51+VLOOKUP(AA51,PriceTable,7)*8*AB51 +VLOOKUP(AA51,PriceTable,12)*AC51*24+VLOOKUP(AA51,PriceTable,16)*AD51*24)/SUM(AB51:AD51)/24)+IF(BasisNumber_m=1,0,VLOOKUP(AA51,'Power Curves'!$BO$9:$BP$316,2))</f>
        <v>42.037864685058594</v>
      </c>
      <c r="AJ51" s="298">
        <f t="shared" ca="1" si="6"/>
        <v>0.25700000000000001</v>
      </c>
    </row>
    <row r="52" spans="21:36" x14ac:dyDescent="0.2">
      <c r="U52" s="214">
        <v>37987</v>
      </c>
      <c r="V52" s="212">
        <v>21</v>
      </c>
      <c r="W52" s="212">
        <v>5</v>
      </c>
      <c r="X52" s="212">
        <v>5</v>
      </c>
      <c r="Y52" s="213">
        <v>1</v>
      </c>
      <c r="AA52" s="293">
        <f t="shared" ca="1" si="18"/>
        <v>38384</v>
      </c>
      <c r="AB52" s="291">
        <f t="shared" ca="1" si="13"/>
        <v>20</v>
      </c>
      <c r="AC52" s="291">
        <f t="shared" ca="1" si="14"/>
        <v>4</v>
      </c>
      <c r="AD52" s="291">
        <f t="shared" ca="1" si="15"/>
        <v>4</v>
      </c>
      <c r="AE52" s="292">
        <f t="shared" ca="1" si="16"/>
        <v>28</v>
      </c>
      <c r="AF52" s="296">
        <f ca="1">IF(peak_base=1,VLOOKUP(AA52,PriceTable,3),(VLOOKUP(AA52,PriceTable,3)*16*AB52+VLOOKUP(AA52,PriceTable,7)*8*AB52 +VLOOKUP(AA52,PriceTable,12)*AC52*24+VLOOKUP(AA52,PriceTable,16)*AD52*24)/SUM(AB52:AD52)/24)+IF(BasisNumber=1,0,VLOOKUP(AA52,'Power Curves'!$BO$9:$BP$316,2))</f>
        <v>41.687862396240234</v>
      </c>
      <c r="AG52" s="254">
        <f t="shared" ca="1" si="17"/>
        <v>0.25700000000000001</v>
      </c>
      <c r="AH52" s="287">
        <f ca="1">VLOOKUP(AA52,'Power Curves'!$A$4:$B$261,2)</f>
        <v>5.8004492300969011E-2</v>
      </c>
      <c r="AI52" s="297">
        <f ca="1">IF(peak_base_m=1,VLOOKUP(AA52,PriceTable,3),(VLOOKUP(AA52,PriceTable,3)*16*AB52+VLOOKUP(AA52,PriceTable,7)*8*AB52 +VLOOKUP(AA52,PriceTable,12)*AC52*24+VLOOKUP(AA52,PriceTable,16)*AD52*24)/SUM(AB52:AD52)/24)+IF(BasisNumber_m=1,0,VLOOKUP(AA52,'Power Curves'!$BO$9:$BP$316,2))</f>
        <v>41.687862396240234</v>
      </c>
      <c r="AJ52" s="298">
        <f t="shared" ca="1" si="6"/>
        <v>0.25700000000000001</v>
      </c>
    </row>
    <row r="53" spans="21:36" x14ac:dyDescent="0.2">
      <c r="U53" s="214">
        <v>38018</v>
      </c>
      <c r="V53" s="212">
        <v>20</v>
      </c>
      <c r="W53" s="212">
        <v>4</v>
      </c>
      <c r="X53" s="212">
        <v>5</v>
      </c>
      <c r="Y53" s="213">
        <v>0</v>
      </c>
      <c r="AA53" s="293">
        <f t="shared" ca="1" si="18"/>
        <v>38412</v>
      </c>
      <c r="AB53" s="291">
        <f t="shared" ca="1" si="13"/>
        <v>23</v>
      </c>
      <c r="AC53" s="291">
        <f t="shared" ca="1" si="14"/>
        <v>4</v>
      </c>
      <c r="AD53" s="291">
        <f t="shared" ca="1" si="15"/>
        <v>4</v>
      </c>
      <c r="AE53" s="292">
        <f t="shared" ca="1" si="16"/>
        <v>31</v>
      </c>
      <c r="AF53" s="296">
        <f ca="1">IF(peak_base=1,VLOOKUP(AA53,PriceTable,3),(VLOOKUP(AA53,PriceTable,3)*16*AB53+VLOOKUP(AA53,PriceTable,7)*8*AB53 +VLOOKUP(AA53,PriceTable,12)*AC53*24+VLOOKUP(AA53,PriceTable,16)*AD53*24)/SUM(AB53:AD53)/24)+IF(BasisNumber=1,0,VLOOKUP(AA53,'Power Curves'!$BO$9:$BP$316,2))</f>
        <v>32.898544311523438</v>
      </c>
      <c r="AG53" s="254">
        <f t="shared" ca="1" si="17"/>
        <v>0.247</v>
      </c>
      <c r="AH53" s="287">
        <f ca="1">VLOOKUP(AA53,'Power Curves'!$A$4:$B$261,2)</f>
        <v>5.8106718451507014E-2</v>
      </c>
      <c r="AI53" s="297">
        <f ca="1">IF(peak_base_m=1,VLOOKUP(AA53,PriceTable,3),(VLOOKUP(AA53,PriceTable,3)*16*AB53+VLOOKUP(AA53,PriceTable,7)*8*AB53 +VLOOKUP(AA53,PriceTable,12)*AC53*24+VLOOKUP(AA53,PriceTable,16)*AD53*24)/SUM(AB53:AD53)/24)+IF(BasisNumber_m=1,0,VLOOKUP(AA53,'Power Curves'!$BO$9:$BP$316,2))</f>
        <v>32.898544311523438</v>
      </c>
      <c r="AJ53" s="298">
        <f t="shared" ca="1" si="6"/>
        <v>0.247</v>
      </c>
    </row>
    <row r="54" spans="21:36" x14ac:dyDescent="0.2">
      <c r="U54" s="214">
        <v>38047</v>
      </c>
      <c r="V54" s="212">
        <v>23</v>
      </c>
      <c r="W54" s="212">
        <v>4</v>
      </c>
      <c r="X54" s="212">
        <v>4</v>
      </c>
      <c r="Y54" s="213">
        <v>0</v>
      </c>
      <c r="AA54" s="293">
        <f t="shared" ca="1" si="18"/>
        <v>38443</v>
      </c>
      <c r="AB54" s="291">
        <f t="shared" ca="1" si="13"/>
        <v>21</v>
      </c>
      <c r="AC54" s="291">
        <f t="shared" ca="1" si="14"/>
        <v>5</v>
      </c>
      <c r="AD54" s="291">
        <f t="shared" ca="1" si="15"/>
        <v>4</v>
      </c>
      <c r="AE54" s="292">
        <f t="shared" ca="1" si="16"/>
        <v>30</v>
      </c>
      <c r="AF54" s="296">
        <f ca="1">IF(peak_base=1,VLOOKUP(AA54,PriceTable,3),(VLOOKUP(AA54,PriceTable,3)*16*AB54+VLOOKUP(AA54,PriceTable,7)*8*AB54 +VLOOKUP(AA54,PriceTable,12)*AC54*24+VLOOKUP(AA54,PriceTable,16)*AD54*24)/SUM(AB54:AD54)/24)+IF(BasisNumber=1,0,VLOOKUP(AA54,'Power Curves'!$BO$9:$BP$316,2))</f>
        <v>33.348545074462891</v>
      </c>
      <c r="AG54" s="254">
        <f t="shared" ca="1" si="17"/>
        <v>0.247</v>
      </c>
      <c r="AH54" s="287">
        <f ca="1">VLOOKUP(AA54,'Power Curves'!$A$4:$B$261,2)</f>
        <v>5.8191484299130014E-2</v>
      </c>
      <c r="AI54" s="297">
        <f ca="1">IF(peak_base_m=1,VLOOKUP(AA54,PriceTable,3),(VLOOKUP(AA54,PriceTable,3)*16*AB54+VLOOKUP(AA54,PriceTable,7)*8*AB54 +VLOOKUP(AA54,PriceTable,12)*AC54*24+VLOOKUP(AA54,PriceTable,16)*AD54*24)/SUM(AB54:AD54)/24)+IF(BasisNumber_m=1,0,VLOOKUP(AA54,'Power Curves'!$BO$9:$BP$316,2))</f>
        <v>33.348545074462891</v>
      </c>
      <c r="AJ54" s="298">
        <f t="shared" ca="1" si="6"/>
        <v>0.247</v>
      </c>
    </row>
    <row r="55" spans="21:36" x14ac:dyDescent="0.2">
      <c r="U55" s="214">
        <v>38078</v>
      </c>
      <c r="V55" s="212">
        <v>22</v>
      </c>
      <c r="W55" s="212">
        <v>4</v>
      </c>
      <c r="X55" s="212">
        <v>4</v>
      </c>
      <c r="Y55" s="213">
        <v>0</v>
      </c>
      <c r="AA55" s="293">
        <f t="shared" ca="1" si="18"/>
        <v>38473</v>
      </c>
      <c r="AB55" s="291">
        <f t="shared" ca="1" si="13"/>
        <v>21</v>
      </c>
      <c r="AC55" s="291">
        <f t="shared" ca="1" si="14"/>
        <v>4</v>
      </c>
      <c r="AD55" s="291">
        <f t="shared" ca="1" si="15"/>
        <v>6</v>
      </c>
      <c r="AE55" s="292">
        <f t="shared" ca="1" si="16"/>
        <v>31</v>
      </c>
      <c r="AF55" s="296">
        <f ca="1">IF(peak_base=1,VLOOKUP(AA55,PriceTable,3),(VLOOKUP(AA55,PriceTable,3)*16*AB55+VLOOKUP(AA55,PriceTable,7)*8*AB55 +VLOOKUP(AA55,PriceTable,12)*AC55*24+VLOOKUP(AA55,PriceTable,16)*AD55*24)/SUM(AB55:AD55)/24)+IF(BasisNumber=1,0,VLOOKUP(AA55,'Power Curves'!$BO$9:$BP$316,2))</f>
        <v>35.003566741943359</v>
      </c>
      <c r="AG55" s="254">
        <f t="shared" ca="1" si="17"/>
        <v>0.25700000000000001</v>
      </c>
      <c r="AH55" s="287">
        <f ca="1">VLOOKUP(AA55,'Power Curves'!$A$4:$B$261,2)</f>
        <v>5.827907567751902E-2</v>
      </c>
      <c r="AI55" s="297">
        <f ca="1">IF(peak_base_m=1,VLOOKUP(AA55,PriceTable,3),(VLOOKUP(AA55,PriceTable,3)*16*AB55+VLOOKUP(AA55,PriceTable,7)*8*AB55 +VLOOKUP(AA55,PriceTable,12)*AC55*24+VLOOKUP(AA55,PriceTable,16)*AD55*24)/SUM(AB55:AD55)/24)+IF(BasisNumber_m=1,0,VLOOKUP(AA55,'Power Curves'!$BO$9:$BP$316,2))</f>
        <v>35.003566741943359</v>
      </c>
      <c r="AJ55" s="298">
        <f t="shared" ca="1" si="6"/>
        <v>0.25700000000000001</v>
      </c>
    </row>
    <row r="56" spans="21:36" x14ac:dyDescent="0.2">
      <c r="U56" s="214">
        <v>38108</v>
      </c>
      <c r="V56" s="212">
        <v>20</v>
      </c>
      <c r="W56" s="212">
        <v>5</v>
      </c>
      <c r="X56" s="212">
        <v>6</v>
      </c>
      <c r="Y56" s="213">
        <v>1</v>
      </c>
      <c r="AA56" s="293">
        <f t="shared" ca="1" si="18"/>
        <v>38504</v>
      </c>
      <c r="AB56" s="291">
        <f t="shared" ca="1" si="13"/>
        <v>22</v>
      </c>
      <c r="AC56" s="291">
        <f t="shared" ca="1" si="14"/>
        <v>4</v>
      </c>
      <c r="AD56" s="291">
        <f t="shared" ca="1" si="15"/>
        <v>4</v>
      </c>
      <c r="AE56" s="292">
        <f t="shared" ca="1" si="16"/>
        <v>30</v>
      </c>
      <c r="AF56" s="296">
        <f ca="1">IF(peak_base=1,VLOOKUP(AA56,PriceTable,3),(VLOOKUP(AA56,PriceTable,3)*16*AB56+VLOOKUP(AA56,PriceTable,7)*8*AB56 +VLOOKUP(AA56,PriceTable,12)*AC56*24+VLOOKUP(AA56,PriceTable,16)*AD56*24)/SUM(AB56:AD56)/24)+IF(BasisNumber=1,0,VLOOKUP(AA56,'Power Curves'!$BO$9:$BP$316,2))</f>
        <v>44.497856140136719</v>
      </c>
      <c r="AG56" s="254">
        <f t="shared" ca="1" si="17"/>
        <v>0.26050000000000001</v>
      </c>
      <c r="AH56" s="287">
        <f ca="1">VLOOKUP(AA56,'Power Curves'!$A$4:$B$261,2)</f>
        <v>5.8363841530002014E-2</v>
      </c>
      <c r="AI56" s="297">
        <f ca="1">IF(peak_base_m=1,VLOOKUP(AA56,PriceTable,3),(VLOOKUP(AA56,PriceTable,3)*16*AB56+VLOOKUP(AA56,PriceTable,7)*8*AB56 +VLOOKUP(AA56,PriceTable,12)*AC56*24+VLOOKUP(AA56,PriceTable,16)*AD56*24)/SUM(AB56:AD56)/24)+IF(BasisNumber_m=1,0,VLOOKUP(AA56,'Power Curves'!$BO$9:$BP$316,2))</f>
        <v>44.497856140136719</v>
      </c>
      <c r="AJ56" s="298">
        <f t="shared" ca="1" si="6"/>
        <v>0.26050000000000001</v>
      </c>
    </row>
    <row r="57" spans="21:36" x14ac:dyDescent="0.2">
      <c r="U57" s="214">
        <v>38139</v>
      </c>
      <c r="V57" s="212">
        <v>22</v>
      </c>
      <c r="W57" s="212">
        <v>4</v>
      </c>
      <c r="X57" s="212">
        <v>4</v>
      </c>
      <c r="Y57" s="213">
        <v>0</v>
      </c>
      <c r="AA57" s="293">
        <f t="shared" ca="1" si="18"/>
        <v>38534</v>
      </c>
      <c r="AB57" s="291">
        <f t="shared" ca="1" si="13"/>
        <v>20</v>
      </c>
      <c r="AC57" s="291">
        <f t="shared" ca="1" si="14"/>
        <v>5</v>
      </c>
      <c r="AD57" s="291">
        <f t="shared" ca="1" si="15"/>
        <v>6</v>
      </c>
      <c r="AE57" s="292">
        <f t="shared" ca="1" si="16"/>
        <v>31</v>
      </c>
      <c r="AF57" s="296">
        <f ca="1">IF(peak_base=1,VLOOKUP(AA57,PriceTable,3),(VLOOKUP(AA57,PriceTable,3)*16*AB57+VLOOKUP(AA57,PriceTable,7)*8*AB57 +VLOOKUP(AA57,PriceTable,12)*AC57*24+VLOOKUP(AA57,PriceTable,16)*AD57*24)/SUM(AB57:AD57)/24)+IF(BasisNumber=1,0,VLOOKUP(AA57,'Power Curves'!$BO$9:$BP$316,2))</f>
        <v>67.997146606445313</v>
      </c>
      <c r="AG57" s="254">
        <f t="shared" ca="1" si="17"/>
        <v>0.26050000000000001</v>
      </c>
      <c r="AH57" s="287">
        <f ca="1">VLOOKUP(AA57,'Power Curves'!$A$4:$B$261,2)</f>
        <v>5.8451432913410012E-2</v>
      </c>
      <c r="AI57" s="297">
        <f ca="1">IF(peak_base_m=1,VLOOKUP(AA57,PriceTable,3),(VLOOKUP(AA57,PriceTable,3)*16*AB57+VLOOKUP(AA57,PriceTable,7)*8*AB57 +VLOOKUP(AA57,PriceTable,12)*AC57*24+VLOOKUP(AA57,PriceTable,16)*AD57*24)/SUM(AB57:AD57)/24)+IF(BasisNumber_m=1,0,VLOOKUP(AA57,'Power Curves'!$BO$9:$BP$316,2))</f>
        <v>67.997146606445313</v>
      </c>
      <c r="AJ57" s="298">
        <f t="shared" ca="1" si="6"/>
        <v>0.26050000000000001</v>
      </c>
    </row>
    <row r="58" spans="21:36" x14ac:dyDescent="0.2">
      <c r="U58" s="214">
        <v>38169</v>
      </c>
      <c r="V58" s="212">
        <v>21</v>
      </c>
      <c r="W58" s="212">
        <v>5</v>
      </c>
      <c r="X58" s="212">
        <v>5</v>
      </c>
      <c r="Y58" s="213">
        <v>1</v>
      </c>
      <c r="AA58" s="293">
        <f t="shared" ca="1" si="18"/>
        <v>38565</v>
      </c>
      <c r="AB58" s="291">
        <f t="shared" ca="1" si="13"/>
        <v>23</v>
      </c>
      <c r="AC58" s="291">
        <f t="shared" ca="1" si="14"/>
        <v>4</v>
      </c>
      <c r="AD58" s="291">
        <f t="shared" ca="1" si="15"/>
        <v>4</v>
      </c>
      <c r="AE58" s="292">
        <f t="shared" ca="1" si="16"/>
        <v>31</v>
      </c>
      <c r="AF58" s="296">
        <f ca="1">IF(peak_base=1,VLOOKUP(AA58,PriceTable,3),(VLOOKUP(AA58,PriceTable,3)*16*AB58+VLOOKUP(AA58,PriceTable,7)*8*AB58 +VLOOKUP(AA58,PriceTable,12)*AC58*24+VLOOKUP(AA58,PriceTable,16)*AD58*24)/SUM(AB58:AD58)/24)+IF(BasisNumber=1,0,VLOOKUP(AA58,'Power Curves'!$BO$9:$BP$316,2))</f>
        <v>67.997146606445313</v>
      </c>
      <c r="AG58" s="254">
        <f t="shared" ca="1" si="17"/>
        <v>0.26050000000000001</v>
      </c>
      <c r="AH58" s="287">
        <f ca="1">VLOOKUP(AA58,'Power Curves'!$A$4:$B$261,2)</f>
        <v>5.8539024299370017E-2</v>
      </c>
      <c r="AI58" s="297">
        <f ca="1">IF(peak_base_m=1,VLOOKUP(AA58,PriceTable,3),(VLOOKUP(AA58,PriceTable,3)*16*AB58+VLOOKUP(AA58,PriceTable,7)*8*AB58 +VLOOKUP(AA58,PriceTable,12)*AC58*24+VLOOKUP(AA58,PriceTable,16)*AD58*24)/SUM(AB58:AD58)/24)+IF(BasisNumber_m=1,0,VLOOKUP(AA58,'Power Curves'!$BO$9:$BP$316,2))</f>
        <v>67.997146606445313</v>
      </c>
      <c r="AJ58" s="298">
        <f t="shared" ca="1" si="6"/>
        <v>0.26050000000000001</v>
      </c>
    </row>
    <row r="59" spans="21:36" x14ac:dyDescent="0.2">
      <c r="U59" s="214">
        <v>38200</v>
      </c>
      <c r="V59" s="212">
        <v>22</v>
      </c>
      <c r="W59" s="212">
        <v>4</v>
      </c>
      <c r="X59" s="212">
        <v>5</v>
      </c>
      <c r="Y59" s="213">
        <v>0</v>
      </c>
      <c r="AA59" s="293">
        <f t="shared" ca="1" si="18"/>
        <v>38596</v>
      </c>
      <c r="AB59" s="291">
        <f t="shared" ca="1" si="13"/>
        <v>21</v>
      </c>
      <c r="AC59" s="291">
        <f t="shared" ca="1" si="14"/>
        <v>4</v>
      </c>
      <c r="AD59" s="291">
        <f t="shared" ca="1" si="15"/>
        <v>5</v>
      </c>
      <c r="AE59" s="292">
        <f t="shared" ca="1" si="16"/>
        <v>30</v>
      </c>
      <c r="AF59" s="296">
        <f ca="1">IF(peak_base=1,VLOOKUP(AA59,PriceTable,3),(VLOOKUP(AA59,PriceTable,3)*16*AB59+VLOOKUP(AA59,PriceTable,7)*8*AB59 +VLOOKUP(AA59,PriceTable,12)*AC59*24+VLOOKUP(AA59,PriceTable,16)*AD59*24)/SUM(AB59:AD59)/24)+IF(BasisNumber=1,0,VLOOKUP(AA59,'Power Curves'!$BO$9:$BP$316,2))</f>
        <v>35.252143859863281</v>
      </c>
      <c r="AG59" s="254">
        <f t="shared" ca="1" si="17"/>
        <v>0.25700000000000001</v>
      </c>
      <c r="AH59" s="287">
        <f ca="1">VLOOKUP(AA59,'Power Curves'!$A$4:$B$261,2)</f>
        <v>5.8623790159179026E-2</v>
      </c>
      <c r="AI59" s="297">
        <f ca="1">IF(peak_base_m=1,VLOOKUP(AA59,PriceTable,3),(VLOOKUP(AA59,PriceTable,3)*16*AB59+VLOOKUP(AA59,PriceTable,7)*8*AB59 +VLOOKUP(AA59,PriceTable,12)*AC59*24+VLOOKUP(AA59,PriceTable,16)*AD59*24)/SUM(AB59:AD59)/24)+IF(BasisNumber_m=1,0,VLOOKUP(AA59,'Power Curves'!$BO$9:$BP$316,2))</f>
        <v>35.252143859863281</v>
      </c>
      <c r="AJ59" s="298">
        <f t="shared" ca="1" si="6"/>
        <v>0.25700000000000001</v>
      </c>
    </row>
    <row r="60" spans="21:36" x14ac:dyDescent="0.2">
      <c r="U60" s="214">
        <v>38231</v>
      </c>
      <c r="V60" s="212">
        <v>21</v>
      </c>
      <c r="W60" s="212">
        <v>4</v>
      </c>
      <c r="X60" s="212">
        <v>5</v>
      </c>
      <c r="Y60" s="213">
        <v>1</v>
      </c>
      <c r="AA60" s="293">
        <f t="shared" ca="1" si="18"/>
        <v>38626</v>
      </c>
      <c r="AB60" s="291">
        <f t="shared" ca="1" si="13"/>
        <v>21</v>
      </c>
      <c r="AC60" s="291">
        <f t="shared" ca="1" si="14"/>
        <v>5</v>
      </c>
      <c r="AD60" s="291">
        <f t="shared" ca="1" si="15"/>
        <v>5</v>
      </c>
      <c r="AE60" s="292">
        <f t="shared" ca="1" si="16"/>
        <v>31</v>
      </c>
      <c r="AF60" s="296">
        <f ca="1">IF(peak_base=1,VLOOKUP(AA60,PriceTable,3),(VLOOKUP(AA60,PriceTable,3)*16*AB60+VLOOKUP(AA60,PriceTable,7)*8*AB60 +VLOOKUP(AA60,PriceTable,12)*AC60*24+VLOOKUP(AA60,PriceTable,16)*AD60*24)/SUM(AB60:AD60)/24)+IF(BasisNumber=1,0,VLOOKUP(AA60,'Power Curves'!$BO$9:$BP$316,2))</f>
        <v>33.148933410644531</v>
      </c>
      <c r="AG60" s="254">
        <f t="shared" ca="1" si="17"/>
        <v>0.247</v>
      </c>
      <c r="AH60" s="287">
        <f ca="1">VLOOKUP(AA60,'Power Curves'!$A$4:$B$261,2)</f>
        <v>5.8711381550158002E-2</v>
      </c>
      <c r="AI60" s="297">
        <f ca="1">IF(peak_base_m=1,VLOOKUP(AA60,PriceTable,3),(VLOOKUP(AA60,PriceTable,3)*16*AB60+VLOOKUP(AA60,PriceTable,7)*8*AB60 +VLOOKUP(AA60,PriceTable,12)*AC60*24+VLOOKUP(AA60,PriceTable,16)*AD60*24)/SUM(AB60:AD60)/24)+IF(BasisNumber_m=1,0,VLOOKUP(AA60,'Power Curves'!$BO$9:$BP$316,2))</f>
        <v>33.148933410644531</v>
      </c>
      <c r="AJ60" s="298">
        <f t="shared" ca="1" si="6"/>
        <v>0.247</v>
      </c>
    </row>
    <row r="61" spans="21:36" x14ac:dyDescent="0.2">
      <c r="U61" s="214">
        <v>38261</v>
      </c>
      <c r="V61" s="212">
        <v>21</v>
      </c>
      <c r="W61" s="212">
        <v>5</v>
      </c>
      <c r="X61" s="212">
        <v>5</v>
      </c>
      <c r="Y61" s="213">
        <v>0</v>
      </c>
      <c r="AA61" s="293">
        <f t="shared" ca="1" si="18"/>
        <v>38657</v>
      </c>
      <c r="AB61" s="291">
        <f t="shared" ca="1" si="13"/>
        <v>21</v>
      </c>
      <c r="AC61" s="291">
        <f t="shared" ca="1" si="14"/>
        <v>4</v>
      </c>
      <c r="AD61" s="291">
        <f t="shared" ca="1" si="15"/>
        <v>5</v>
      </c>
      <c r="AE61" s="292">
        <f t="shared" ca="1" si="16"/>
        <v>30</v>
      </c>
      <c r="AF61" s="296">
        <f ca="1">IF(peak_base=1,VLOOKUP(AA61,PriceTable,3),(VLOOKUP(AA61,PriceTable,3)*16*AB61+VLOOKUP(AA61,PriceTable,7)*8*AB61 +VLOOKUP(AA61,PriceTable,12)*AC61*24+VLOOKUP(AA61,PriceTable,16)*AD61*24)/SUM(AB61:AD61)/24)+IF(BasisNumber=1,0,VLOOKUP(AA61,'Power Curves'!$BO$9:$BP$316,2))</f>
        <v>33.248931884765625</v>
      </c>
      <c r="AG61" s="254">
        <f t="shared" ca="1" si="17"/>
        <v>0.247</v>
      </c>
      <c r="AH61" s="287">
        <f ca="1">VLOOKUP(AA61,'Power Curves'!$A$4:$B$261,2)</f>
        <v>5.8796147414825015E-2</v>
      </c>
      <c r="AI61" s="297">
        <f ca="1">IF(peak_base_m=1,VLOOKUP(AA61,PriceTable,3),(VLOOKUP(AA61,PriceTable,3)*16*AB61+VLOOKUP(AA61,PriceTable,7)*8*AB61 +VLOOKUP(AA61,PriceTable,12)*AC61*24+VLOOKUP(AA61,PriceTable,16)*AD61*24)/SUM(AB61:AD61)/24)+IF(BasisNumber_m=1,0,VLOOKUP(AA61,'Power Curves'!$BO$9:$BP$316,2))</f>
        <v>33.248931884765625</v>
      </c>
      <c r="AJ61" s="298">
        <f t="shared" ca="1" si="6"/>
        <v>0.247</v>
      </c>
    </row>
    <row r="62" spans="21:36" x14ac:dyDescent="0.2">
      <c r="U62" s="214">
        <v>38292</v>
      </c>
      <c r="V62" s="212">
        <v>21</v>
      </c>
      <c r="W62" s="212">
        <v>4</v>
      </c>
      <c r="X62" s="212">
        <v>5</v>
      </c>
      <c r="Y62" s="213">
        <v>1</v>
      </c>
      <c r="AA62" s="293">
        <f t="shared" ca="1" si="18"/>
        <v>38687</v>
      </c>
      <c r="AB62" s="291">
        <f t="shared" ca="1" si="13"/>
        <v>21</v>
      </c>
      <c r="AC62" s="291">
        <f t="shared" ca="1" si="14"/>
        <v>5</v>
      </c>
      <c r="AD62" s="291">
        <f t="shared" ca="1" si="15"/>
        <v>5</v>
      </c>
      <c r="AE62" s="292">
        <f t="shared" ca="1" si="16"/>
        <v>31</v>
      </c>
      <c r="AF62" s="296">
        <f ca="1">IF(peak_base=1,VLOOKUP(AA62,PriceTable,3),(VLOOKUP(AA62,PriceTable,3)*16*AB62+VLOOKUP(AA62,PriceTable,7)*8*AB62 +VLOOKUP(AA62,PriceTable,12)*AC62*24+VLOOKUP(AA62,PriceTable,16)*AD62*24)/SUM(AB62:AD62)/24)+IF(BasisNumber=1,0,VLOOKUP(AA62,'Power Curves'!$BO$9:$BP$316,2))</f>
        <v>33.348930358886719</v>
      </c>
      <c r="AG62" s="254">
        <f t="shared" ca="1" si="17"/>
        <v>0.247</v>
      </c>
      <c r="AH62" s="287">
        <f ca="1">VLOOKUP(AA62,'Power Curves'!$A$4:$B$261,2)</f>
        <v>5.8883738810824003E-2</v>
      </c>
      <c r="AI62" s="297">
        <f ca="1">IF(peak_base_m=1,VLOOKUP(AA62,PriceTable,3),(VLOOKUP(AA62,PriceTable,3)*16*AB62+VLOOKUP(AA62,PriceTable,7)*8*AB62 +VLOOKUP(AA62,PriceTable,12)*AC62*24+VLOOKUP(AA62,PriceTable,16)*AD62*24)/SUM(AB62:AD62)/24)+IF(BasisNumber_m=1,0,VLOOKUP(AA62,'Power Curves'!$BO$9:$BP$316,2))</f>
        <v>33.348930358886719</v>
      </c>
      <c r="AJ62" s="298">
        <f t="shared" ca="1" si="6"/>
        <v>0.247</v>
      </c>
    </row>
    <row r="63" spans="21:36" x14ac:dyDescent="0.2">
      <c r="U63" s="214">
        <v>38322</v>
      </c>
      <c r="V63" s="212">
        <v>23</v>
      </c>
      <c r="W63" s="212">
        <v>3</v>
      </c>
      <c r="X63" s="212">
        <v>5</v>
      </c>
      <c r="Y63" s="213">
        <v>1</v>
      </c>
      <c r="AA63" s="293">
        <f t="shared" ca="1" si="18"/>
        <v>38718</v>
      </c>
      <c r="AB63" s="291">
        <f t="shared" ca="1" si="13"/>
        <v>21</v>
      </c>
      <c r="AC63" s="291">
        <f t="shared" ca="1" si="14"/>
        <v>4</v>
      </c>
      <c r="AD63" s="291">
        <f t="shared" ca="1" si="15"/>
        <v>6</v>
      </c>
      <c r="AE63" s="292">
        <f t="shared" ca="1" si="16"/>
        <v>31</v>
      </c>
      <c r="AF63" s="296">
        <f ca="1">IF(peak_base=1,VLOOKUP(AA63,PriceTable,3),(VLOOKUP(AA63,PriceTable,3)*16*AB63+VLOOKUP(AA63,PriceTable,7)*8*AB63 +VLOOKUP(AA63,PriceTable,12)*AC63*24+VLOOKUP(AA63,PriceTable,16)*AD63*24)/SUM(AB63:AD63)/24)+IF(BasisNumber=1,0,VLOOKUP(AA63,'Power Curves'!$BO$9:$BP$316,2))</f>
        <v>42.537864685058594</v>
      </c>
      <c r="AG63" s="254">
        <f t="shared" ca="1" si="17"/>
        <v>0.2515</v>
      </c>
      <c r="AH63" s="287">
        <f ca="1">VLOOKUP(AA63,'Power Curves'!$A$4:$B$261,2)</f>
        <v>5.8968087742612009E-2</v>
      </c>
      <c r="AI63" s="297">
        <f ca="1">IF(peak_base_m=1,VLOOKUP(AA63,PriceTable,3),(VLOOKUP(AA63,PriceTable,3)*16*AB63+VLOOKUP(AA63,PriceTable,7)*8*AB63 +VLOOKUP(AA63,PriceTable,12)*AC63*24+VLOOKUP(AA63,PriceTable,16)*AD63*24)/SUM(AB63:AD63)/24)+IF(BasisNumber_m=1,0,VLOOKUP(AA63,'Power Curves'!$BO$9:$BP$316,2))</f>
        <v>42.537864685058594</v>
      </c>
      <c r="AJ63" s="298">
        <f t="shared" ca="1" si="6"/>
        <v>0.2515</v>
      </c>
    </row>
    <row r="64" spans="21:36" x14ac:dyDescent="0.2">
      <c r="U64" s="214">
        <v>38353</v>
      </c>
      <c r="V64" s="212">
        <v>21</v>
      </c>
      <c r="W64" s="212">
        <v>4</v>
      </c>
      <c r="X64" s="212">
        <v>6</v>
      </c>
      <c r="Y64" s="213">
        <v>1</v>
      </c>
      <c r="AA64" s="293">
        <f t="shared" ca="1" si="18"/>
        <v>38749</v>
      </c>
      <c r="AB64" s="291">
        <f t="shared" ca="1" si="13"/>
        <v>20</v>
      </c>
      <c r="AC64" s="291">
        <f t="shared" ca="1" si="14"/>
        <v>4</v>
      </c>
      <c r="AD64" s="291">
        <f t="shared" ca="1" si="15"/>
        <v>4</v>
      </c>
      <c r="AE64" s="292">
        <f t="shared" ca="1" si="16"/>
        <v>28</v>
      </c>
      <c r="AF64" s="296">
        <f ca="1">IF(peak_base=1,VLOOKUP(AA64,PriceTable,3),(VLOOKUP(AA64,PriceTable,3)*16*AB64+VLOOKUP(AA64,PriceTable,7)*8*AB64 +VLOOKUP(AA64,PriceTable,12)*AC64*24+VLOOKUP(AA64,PriceTable,16)*AD64*24)/SUM(AB64:AD64)/24)+IF(BasisNumber=1,0,VLOOKUP(AA64,'Power Curves'!$BO$9:$BP$316,2))</f>
        <v>42.187862396240234</v>
      </c>
      <c r="AG64" s="254">
        <f t="shared" ca="1" si="17"/>
        <v>0.2515</v>
      </c>
      <c r="AH64" s="287">
        <f ca="1">VLOOKUP(AA64,'Power Curves'!$A$4:$B$261,2)</f>
        <v>5.9034232688957008E-2</v>
      </c>
      <c r="AI64" s="297">
        <f ca="1">IF(peak_base_m=1,VLOOKUP(AA64,PriceTable,3),(VLOOKUP(AA64,PriceTable,3)*16*AB64+VLOOKUP(AA64,PriceTable,7)*8*AB64 +VLOOKUP(AA64,PriceTable,12)*AC64*24+VLOOKUP(AA64,PriceTable,16)*AD64*24)/SUM(AB64:AD64)/24)+IF(BasisNumber_m=1,0,VLOOKUP(AA64,'Power Curves'!$BO$9:$BP$316,2))</f>
        <v>42.187862396240234</v>
      </c>
      <c r="AJ64" s="298">
        <f t="shared" ca="1" si="6"/>
        <v>0.2515</v>
      </c>
    </row>
    <row r="65" spans="21:36" x14ac:dyDescent="0.2">
      <c r="U65" s="214">
        <v>38384</v>
      </c>
      <c r="V65" s="212">
        <v>20</v>
      </c>
      <c r="W65" s="212">
        <v>4</v>
      </c>
      <c r="X65" s="212">
        <v>4</v>
      </c>
      <c r="Y65" s="213">
        <v>0</v>
      </c>
      <c r="AA65" s="293">
        <f t="shared" ca="1" si="18"/>
        <v>38777</v>
      </c>
      <c r="AB65" s="291">
        <f t="shared" ca="1" si="13"/>
        <v>23</v>
      </c>
      <c r="AC65" s="291">
        <f t="shared" ca="1" si="14"/>
        <v>4</v>
      </c>
      <c r="AD65" s="291">
        <f t="shared" ca="1" si="15"/>
        <v>4</v>
      </c>
      <c r="AE65" s="292">
        <f t="shared" ca="1" si="16"/>
        <v>31</v>
      </c>
      <c r="AF65" s="296">
        <f ca="1">IF(peak_base=1,VLOOKUP(AA65,PriceTable,3),(VLOOKUP(AA65,PriceTable,3)*16*AB65+VLOOKUP(AA65,PriceTable,7)*8*AB65 +VLOOKUP(AA65,PriceTable,12)*AC65*24+VLOOKUP(AA65,PriceTable,16)*AD65*24)/SUM(AB65:AD65)/24)+IF(BasisNumber=1,0,VLOOKUP(AA65,'Power Curves'!$BO$9:$BP$316,2))</f>
        <v>33.398544311523438</v>
      </c>
      <c r="AG65" s="254">
        <f t="shared" ca="1" si="17"/>
        <v>0.24150000000000002</v>
      </c>
      <c r="AH65" s="287">
        <f ca="1">VLOOKUP(AA65,'Power Curves'!$A$4:$B$261,2)</f>
        <v>5.9107464595537014E-2</v>
      </c>
      <c r="AI65" s="297">
        <f ca="1">IF(peak_base_m=1,VLOOKUP(AA65,PriceTable,3),(VLOOKUP(AA65,PriceTable,3)*16*AB65+VLOOKUP(AA65,PriceTable,7)*8*AB65 +VLOOKUP(AA65,PriceTable,12)*AC65*24+VLOOKUP(AA65,PriceTable,16)*AD65*24)/SUM(AB65:AD65)/24)+IF(BasisNumber_m=1,0,VLOOKUP(AA65,'Power Curves'!$BO$9:$BP$316,2))</f>
        <v>33.398544311523438</v>
      </c>
      <c r="AJ65" s="298">
        <f t="shared" ca="1" si="6"/>
        <v>0.24150000000000002</v>
      </c>
    </row>
    <row r="66" spans="21:36" x14ac:dyDescent="0.2">
      <c r="U66" s="214">
        <v>38412</v>
      </c>
      <c r="V66" s="212">
        <v>23</v>
      </c>
      <c r="W66" s="212">
        <v>4</v>
      </c>
      <c r="X66" s="212">
        <v>4</v>
      </c>
      <c r="Y66" s="213">
        <v>0</v>
      </c>
      <c r="AA66" s="293">
        <f t="shared" ca="1" si="18"/>
        <v>38808</v>
      </c>
      <c r="AB66" s="291">
        <f t="shared" ca="1" si="13"/>
        <v>20</v>
      </c>
      <c r="AC66" s="291">
        <f t="shared" ca="1" si="14"/>
        <v>5</v>
      </c>
      <c r="AD66" s="291">
        <f t="shared" ca="1" si="15"/>
        <v>5</v>
      </c>
      <c r="AE66" s="292">
        <f t="shared" ca="1" si="16"/>
        <v>30</v>
      </c>
      <c r="AF66" s="296">
        <f ca="1">IF(peak_base=1,VLOOKUP(AA66,PriceTable,3),(VLOOKUP(AA66,PriceTable,3)*16*AB66+VLOOKUP(AA66,PriceTable,7)*8*AB66 +VLOOKUP(AA66,PriceTable,12)*AC66*24+VLOOKUP(AA66,PriceTable,16)*AD66*24)/SUM(AB66:AD66)/24)+IF(BasisNumber=1,0,VLOOKUP(AA66,'Power Curves'!$BO$9:$BP$316,2))</f>
        <v>33.848545074462891</v>
      </c>
      <c r="AG66" s="254">
        <f t="shared" ca="1" si="17"/>
        <v>0.24150000000000002</v>
      </c>
      <c r="AH66" s="287">
        <f ca="1">VLOOKUP(AA66,'Power Curves'!$A$4:$B$261,2)</f>
        <v>5.9178334184247006E-2</v>
      </c>
      <c r="AI66" s="297">
        <f ca="1">IF(peak_base_m=1,VLOOKUP(AA66,PriceTable,3),(VLOOKUP(AA66,PriceTable,3)*16*AB66+VLOOKUP(AA66,PriceTable,7)*8*AB66 +VLOOKUP(AA66,PriceTable,12)*AC66*24+VLOOKUP(AA66,PriceTable,16)*AD66*24)/SUM(AB66:AD66)/24)+IF(BasisNumber_m=1,0,VLOOKUP(AA66,'Power Curves'!$BO$9:$BP$316,2))</f>
        <v>33.848545074462891</v>
      </c>
      <c r="AJ66" s="298">
        <f t="shared" ca="1" si="6"/>
        <v>0.24150000000000002</v>
      </c>
    </row>
    <row r="67" spans="21:36" x14ac:dyDescent="0.2">
      <c r="U67" s="214">
        <v>38443</v>
      </c>
      <c r="V67" s="212">
        <v>21</v>
      </c>
      <c r="W67" s="212">
        <v>5</v>
      </c>
      <c r="X67" s="212">
        <v>4</v>
      </c>
      <c r="Y67" s="213">
        <v>0</v>
      </c>
      <c r="AA67" s="293">
        <f t="shared" ca="1" si="18"/>
        <v>38838</v>
      </c>
      <c r="AB67" s="291">
        <f t="shared" ca="1" si="13"/>
        <v>22</v>
      </c>
      <c r="AC67" s="291">
        <f t="shared" ca="1" si="14"/>
        <v>4</v>
      </c>
      <c r="AD67" s="291">
        <f t="shared" ca="1" si="15"/>
        <v>5</v>
      </c>
      <c r="AE67" s="292">
        <f t="shared" ca="1" si="16"/>
        <v>31</v>
      </c>
      <c r="AF67" s="296">
        <f ca="1">IF(peak_base=1,VLOOKUP(AA67,PriceTable,3),(VLOOKUP(AA67,PriceTable,3)*16*AB67+VLOOKUP(AA67,PriceTable,7)*8*AB67 +VLOOKUP(AA67,PriceTable,12)*AC67*24+VLOOKUP(AA67,PriceTable,16)*AD67*24)/SUM(AB67:AD67)/24)+IF(BasisNumber=1,0,VLOOKUP(AA67,'Power Curves'!$BO$9:$BP$316,2))</f>
        <v>35.503566741943359</v>
      </c>
      <c r="AG67" s="254">
        <f t="shared" ca="1" si="17"/>
        <v>0.2515</v>
      </c>
      <c r="AH67" s="287">
        <f ca="1">VLOOKUP(AA67,'Power Curves'!$A$4:$B$261,2)</f>
        <v>5.9251566094334011E-2</v>
      </c>
      <c r="AI67" s="297">
        <f ca="1">IF(peak_base_m=1,VLOOKUP(AA67,PriceTable,3),(VLOOKUP(AA67,PriceTable,3)*16*AB67+VLOOKUP(AA67,PriceTable,7)*8*AB67 +VLOOKUP(AA67,PriceTable,12)*AC67*24+VLOOKUP(AA67,PriceTable,16)*AD67*24)/SUM(AB67:AD67)/24)+IF(BasisNumber_m=1,0,VLOOKUP(AA67,'Power Curves'!$BO$9:$BP$316,2))</f>
        <v>35.503566741943359</v>
      </c>
      <c r="AJ67" s="298">
        <f t="shared" ca="1" si="6"/>
        <v>0.2515</v>
      </c>
    </row>
    <row r="68" spans="21:36" x14ac:dyDescent="0.2">
      <c r="U68" s="214">
        <v>38473</v>
      </c>
      <c r="V68" s="212">
        <v>21</v>
      </c>
      <c r="W68" s="212">
        <v>4</v>
      </c>
      <c r="X68" s="212">
        <v>6</v>
      </c>
      <c r="Y68" s="213">
        <v>1</v>
      </c>
      <c r="AA68" s="293">
        <f t="shared" ca="1" si="18"/>
        <v>38869</v>
      </c>
      <c r="AB68" s="291">
        <f t="shared" ca="1" si="13"/>
        <v>22</v>
      </c>
      <c r="AC68" s="291">
        <f t="shared" ca="1" si="14"/>
        <v>4</v>
      </c>
      <c r="AD68" s="291">
        <f t="shared" ca="1" si="15"/>
        <v>4</v>
      </c>
      <c r="AE68" s="292">
        <f t="shared" ca="1" si="16"/>
        <v>30</v>
      </c>
      <c r="AF68" s="296">
        <f ca="1">IF(peak_base=1,VLOOKUP(AA68,PriceTable,3),(VLOOKUP(AA68,PriceTable,3)*16*AB68+VLOOKUP(AA68,PriceTable,7)*8*AB68 +VLOOKUP(AA68,PriceTable,12)*AC68*24+VLOOKUP(AA68,PriceTable,16)*AD68*24)/SUM(AB68:AD68)/24)+IF(BasisNumber=1,0,VLOOKUP(AA68,'Power Curves'!$BO$9:$BP$316,2))</f>
        <v>42.747856140136719</v>
      </c>
      <c r="AG68" s="254">
        <f t="shared" ca="1" si="17"/>
        <v>0.2525</v>
      </c>
      <c r="AH68" s="287">
        <f ca="1">VLOOKUP(AA68,'Power Curves'!$A$4:$B$261,2)</f>
        <v>5.932243568643801E-2</v>
      </c>
      <c r="AI68" s="297">
        <f ca="1">IF(peak_base_m=1,VLOOKUP(AA68,PriceTable,3),(VLOOKUP(AA68,PriceTable,3)*16*AB68+VLOOKUP(AA68,PriceTable,7)*8*AB68 +VLOOKUP(AA68,PriceTable,12)*AC68*24+VLOOKUP(AA68,PriceTable,16)*AD68*24)/SUM(AB68:AD68)/24)+IF(BasisNumber_m=1,0,VLOOKUP(AA68,'Power Curves'!$BO$9:$BP$316,2))</f>
        <v>42.747856140136719</v>
      </c>
      <c r="AJ68" s="298">
        <f t="shared" ca="1" si="6"/>
        <v>0.2525</v>
      </c>
    </row>
    <row r="69" spans="21:36" x14ac:dyDescent="0.2">
      <c r="U69" s="214">
        <v>38504</v>
      </c>
      <c r="V69" s="212">
        <v>22</v>
      </c>
      <c r="W69" s="212">
        <v>4</v>
      </c>
      <c r="X69" s="212">
        <v>4</v>
      </c>
      <c r="Y69" s="213">
        <v>0</v>
      </c>
      <c r="AA69" s="293">
        <f t="shared" ca="1" si="18"/>
        <v>38899</v>
      </c>
      <c r="AB69" s="291">
        <f ca="1">VLOOKUP(AA69, daytable, 2)</f>
        <v>20</v>
      </c>
      <c r="AC69" s="291">
        <f t="shared" ca="1" si="14"/>
        <v>5</v>
      </c>
      <c r="AD69" s="291">
        <f t="shared" ca="1" si="15"/>
        <v>6</v>
      </c>
      <c r="AE69" s="292">
        <f ca="1">SUM(AB69:AD69)</f>
        <v>31</v>
      </c>
      <c r="AF69" s="296">
        <f ca="1">IF(peak_base=1,VLOOKUP(AA69,PriceTable,3),(VLOOKUP(AA69,PriceTable,3)*16*AB69+VLOOKUP(AA69,PriceTable,7)*8*AB69 +VLOOKUP(AA69,PriceTable,12)*AC69*24+VLOOKUP(AA69,PriceTable,16)*AD69*24)/SUM(AB69:AD69)/24)+IF(BasisNumber=1,0,VLOOKUP(AA69,'Power Curves'!$BO$9:$BP$316,2))</f>
        <v>66.747146606445313</v>
      </c>
      <c r="AG69" s="254">
        <f t="shared" ca="1" si="17"/>
        <v>0.2535</v>
      </c>
      <c r="AH69" s="287">
        <f ca="1">VLOOKUP(AA69,'Power Curves'!$A$4:$B$261,2)</f>
        <v>5.9395667600034008E-2</v>
      </c>
      <c r="AI69" s="297">
        <f ca="1">IF(peak_base_m=1,VLOOKUP(AA69,PriceTable,3),(VLOOKUP(AA69,PriceTable,3)*16*AB69+VLOOKUP(AA69,PriceTable,7)*8*AB69 +VLOOKUP(AA69,PriceTable,12)*AC69*24+VLOOKUP(AA69,PriceTable,16)*AD69*24)/SUM(AB69:AD69)/24)+IF(BasisNumber_m=1,0,VLOOKUP(AA69,'Power Curves'!$BO$9:$BP$316,2))</f>
        <v>66.747146606445313</v>
      </c>
      <c r="AJ69" s="298">
        <f t="shared" ca="1" si="6"/>
        <v>0.2535</v>
      </c>
    </row>
    <row r="70" spans="21:36" x14ac:dyDescent="0.2">
      <c r="U70" s="214">
        <v>38534</v>
      </c>
      <c r="V70" s="212">
        <v>20</v>
      </c>
      <c r="W70" s="212">
        <v>5</v>
      </c>
      <c r="X70" s="212">
        <v>6</v>
      </c>
      <c r="Y70" s="213">
        <v>1</v>
      </c>
      <c r="AA70" s="293">
        <f t="shared" ca="1" si="18"/>
        <v>38930</v>
      </c>
      <c r="AB70" s="291">
        <f ca="1">VLOOKUP(AA70, daytable, 2)</f>
        <v>23</v>
      </c>
      <c r="AC70" s="291">
        <f t="shared" ca="1" si="14"/>
        <v>4</v>
      </c>
      <c r="AD70" s="291">
        <f t="shared" ca="1" si="15"/>
        <v>4</v>
      </c>
      <c r="AE70" s="292">
        <f ca="1">SUM(AB70:AD70)</f>
        <v>31</v>
      </c>
      <c r="AF70" s="296">
        <f ca="1">IF(peak_base=1,VLOOKUP(AA70,PriceTable,3),(VLOOKUP(AA70,PriceTable,3)*16*AB70+VLOOKUP(AA70,PriceTable,7)*8*AB70 +VLOOKUP(AA70,PriceTable,12)*AC70*24+VLOOKUP(AA70,PriceTable,16)*AD70*24)/SUM(AB70:AD70)/24)+IF(BasisNumber=1,0,VLOOKUP(AA70,'Power Curves'!$BO$9:$BP$316,2))</f>
        <v>66.747146606445313</v>
      </c>
      <c r="AG70" s="254">
        <f t="shared" ca="1" si="17"/>
        <v>0.2535</v>
      </c>
      <c r="AH70" s="287">
        <f ca="1">VLOOKUP(AA70,'Power Curves'!$A$4:$B$261,2)</f>
        <v>5.9468899515411018E-2</v>
      </c>
      <c r="AI70" s="297">
        <f ca="1">IF(peak_base_m=1,VLOOKUP(AA70,PriceTable,3),(VLOOKUP(AA70,PriceTable,3)*16*AB70+VLOOKUP(AA70,PriceTable,7)*8*AB70 +VLOOKUP(AA70,PriceTable,12)*AC70*24+VLOOKUP(AA70,PriceTable,16)*AD70*24)/SUM(AB70:AD70)/24)+IF(BasisNumber_m=1,0,VLOOKUP(AA70,'Power Curves'!$BO$9:$BP$316,2))</f>
        <v>66.747146606445313</v>
      </c>
      <c r="AJ70" s="298">
        <f ca="1">IF(peak_base_m=1,VLOOKUP(AA70,VolTable,15),SQRT((VLOOKUP(AA70,VolTable,15)^2*AB70*16+VLOOKUP(AA70,VolTable,19)^2*((AC70+AD70)*24+8*AB70))/(AB70+AC70+AD70)/24))</f>
        <v>0.2535</v>
      </c>
    </row>
    <row r="71" spans="21:36" x14ac:dyDescent="0.2">
      <c r="U71" s="214">
        <v>38565</v>
      </c>
      <c r="V71" s="212">
        <v>23</v>
      </c>
      <c r="W71" s="212">
        <v>4</v>
      </c>
      <c r="X71" s="212">
        <v>4</v>
      </c>
      <c r="Y71" s="213">
        <v>0</v>
      </c>
      <c r="AA71" s="293">
        <f t="shared" ca="1" si="18"/>
        <v>38961</v>
      </c>
      <c r="AB71" s="291">
        <f ca="1">VLOOKUP(AA71, daytable, 2)</f>
        <v>20</v>
      </c>
      <c r="AC71" s="291">
        <f t="shared" ca="1" si="14"/>
        <v>5</v>
      </c>
      <c r="AD71" s="291">
        <f t="shared" ca="1" si="15"/>
        <v>5</v>
      </c>
      <c r="AE71" s="292">
        <f ca="1">SUM(AB71:AD71)</f>
        <v>30</v>
      </c>
      <c r="AF71" s="296">
        <f ca="1">IF(peak_base=1,VLOOKUP(AA71,PriceTable,3),(VLOOKUP(AA71,PriceTable,3)*16*AB71+VLOOKUP(AA71,PriceTable,7)*8*AB71 +VLOOKUP(AA71,PriceTable,12)*AC71*24+VLOOKUP(AA71,PriceTable,16)*AD71*24)/SUM(AB71:AD71)/24)+IF(BasisNumber=1,0,VLOOKUP(AA71,'Power Curves'!$BO$9:$BP$316,2))</f>
        <v>35.752143859863281</v>
      </c>
      <c r="AG71" s="254">
        <f t="shared" ca="1" si="17"/>
        <v>0.2515</v>
      </c>
      <c r="AH71" s="287">
        <f ca="1">VLOOKUP(AA71,'Power Curves'!$A$4:$B$261,2)</f>
        <v>5.9539769112634006E-2</v>
      </c>
      <c r="AI71" s="297">
        <f ca="1">IF(peak_base_m=1,VLOOKUP(AA71,PriceTable,3),(VLOOKUP(AA71,PriceTable,3)*16*AB71+VLOOKUP(AA71,PriceTable,7)*8*AB71 +VLOOKUP(AA71,PriceTable,12)*AC71*24+VLOOKUP(AA71,PriceTable,16)*AD71*24)/SUM(AB71:AD71)/24)+IF(BasisNumber_m=1,0,VLOOKUP(AA71,'Power Curves'!$BO$9:$BP$316,2))</f>
        <v>35.752143859863281</v>
      </c>
      <c r="AJ71" s="298">
        <f ca="1">IF(peak_base_m=1,VLOOKUP(AA71,VolTable,15),SQRT((VLOOKUP(AA71,VolTable,15)^2*AB71*16+VLOOKUP(AA71,VolTable,19)^2*((AC71+AD71)*24+8*AB71))/(AB71+AC71+AD71)/24))</f>
        <v>0.2515</v>
      </c>
    </row>
    <row r="72" spans="21:36" x14ac:dyDescent="0.2">
      <c r="U72" s="214">
        <v>38596</v>
      </c>
      <c r="V72" s="212">
        <v>21</v>
      </c>
      <c r="W72" s="212">
        <v>4</v>
      </c>
      <c r="X72" s="212">
        <v>5</v>
      </c>
      <c r="Y72" s="213">
        <v>1</v>
      </c>
      <c r="AA72" s="293">
        <f t="shared" ca="1" si="18"/>
        <v>38991</v>
      </c>
      <c r="AB72" s="291">
        <f ca="1">VLOOKUP(AA72, daytable, 2)</f>
        <v>22</v>
      </c>
      <c r="AC72" s="291">
        <f t="shared" ca="1" si="14"/>
        <v>4</v>
      </c>
      <c r="AD72" s="291">
        <f t="shared" ca="1" si="15"/>
        <v>5</v>
      </c>
      <c r="AE72" s="292">
        <f ca="1">SUM(AB72:AD72)</f>
        <v>31</v>
      </c>
      <c r="AF72" s="296">
        <f ca="1">IF(peak_base=1,VLOOKUP(AA72,PriceTable,3),(VLOOKUP(AA72,PriceTable,3)*16*AB72+VLOOKUP(AA72,PriceTable,7)*8*AB72 +VLOOKUP(AA72,PriceTable,12)*AC72*24+VLOOKUP(AA72,PriceTable,16)*AD72*24)/SUM(AB72:AD72)/24)+IF(BasisNumber=1,0,VLOOKUP(AA72,'Power Curves'!$BO$9:$BP$316,2))</f>
        <v>33.648933410644531</v>
      </c>
      <c r="AG72" s="254">
        <f t="shared" ca="1" si="17"/>
        <v>0.24150000000000002</v>
      </c>
      <c r="AH72" s="287">
        <f ca="1">VLOOKUP(AA72,'Power Curves'!$A$4:$B$261,2)</f>
        <v>5.9613001031519015E-2</v>
      </c>
      <c r="AI72" s="297">
        <f ca="1">IF(peak_base_m=1,VLOOKUP(AA72,PriceTable,3),(VLOOKUP(AA72,PriceTable,3)*16*AB72+VLOOKUP(AA72,PriceTable,7)*8*AB72 +VLOOKUP(AA72,PriceTable,12)*AC72*24+VLOOKUP(AA72,PriceTable,16)*AD72*24)/SUM(AB72:AD72)/24)+IF(BasisNumber_m=1,0,VLOOKUP(AA72,'Power Curves'!$BO$9:$BP$316,2))</f>
        <v>33.648933410644531</v>
      </c>
      <c r="AJ72" s="298">
        <f ca="1">IF(peak_base_m=1,VLOOKUP(AA72,VolTable,15),SQRT((VLOOKUP(AA72,VolTable,15)^2*AB72*16+VLOOKUP(AA72,VolTable,19)^2*((AC72+AD72)*24+8*AB72))/(AB72+AC72+AD72)/24))</f>
        <v>0.24150000000000002</v>
      </c>
    </row>
    <row r="73" spans="21:36" x14ac:dyDescent="0.2">
      <c r="U73" s="214">
        <v>38626</v>
      </c>
      <c r="V73" s="212">
        <v>21</v>
      </c>
      <c r="W73" s="212">
        <v>5</v>
      </c>
      <c r="X73" s="212">
        <v>5</v>
      </c>
      <c r="Y73" s="213">
        <v>0</v>
      </c>
    </row>
    <row r="74" spans="21:36" x14ac:dyDescent="0.2">
      <c r="U74" s="214">
        <v>38657</v>
      </c>
      <c r="V74" s="212">
        <v>21</v>
      </c>
      <c r="W74" s="212">
        <v>4</v>
      </c>
      <c r="X74" s="212">
        <v>5</v>
      </c>
      <c r="Y74" s="213">
        <v>1</v>
      </c>
    </row>
    <row r="75" spans="21:36" x14ac:dyDescent="0.2">
      <c r="U75" s="214">
        <v>38687</v>
      </c>
      <c r="V75" s="212">
        <v>21</v>
      </c>
      <c r="W75" s="212">
        <v>5</v>
      </c>
      <c r="X75" s="212">
        <v>5</v>
      </c>
      <c r="Y75" s="213">
        <v>1</v>
      </c>
    </row>
    <row r="76" spans="21:36" x14ac:dyDescent="0.2">
      <c r="U76" s="214">
        <v>38718</v>
      </c>
      <c r="V76" s="212">
        <v>21</v>
      </c>
      <c r="W76" s="212">
        <v>4</v>
      </c>
      <c r="X76" s="212">
        <v>6</v>
      </c>
      <c r="Y76" s="213">
        <v>1</v>
      </c>
    </row>
    <row r="77" spans="21:36" x14ac:dyDescent="0.2">
      <c r="U77" s="214">
        <v>38749</v>
      </c>
      <c r="V77" s="212">
        <v>20</v>
      </c>
      <c r="W77" s="212">
        <v>4</v>
      </c>
      <c r="X77" s="212">
        <v>4</v>
      </c>
      <c r="Y77" s="213">
        <v>0</v>
      </c>
    </row>
    <row r="78" spans="21:36" x14ac:dyDescent="0.2">
      <c r="U78" s="214">
        <v>38777</v>
      </c>
      <c r="V78" s="212">
        <v>23</v>
      </c>
      <c r="W78" s="212">
        <v>4</v>
      </c>
      <c r="X78" s="212">
        <v>4</v>
      </c>
      <c r="Y78" s="213">
        <v>0</v>
      </c>
    </row>
    <row r="79" spans="21:36" x14ac:dyDescent="0.2">
      <c r="U79" s="214">
        <v>38808</v>
      </c>
      <c r="V79" s="212">
        <v>20</v>
      </c>
      <c r="W79" s="212">
        <v>5</v>
      </c>
      <c r="X79" s="212">
        <v>5</v>
      </c>
      <c r="Y79" s="213">
        <v>0</v>
      </c>
    </row>
    <row r="80" spans="21:36" x14ac:dyDescent="0.2">
      <c r="U80" s="214">
        <v>38838</v>
      </c>
      <c r="V80" s="212">
        <v>22</v>
      </c>
      <c r="W80" s="212">
        <v>4</v>
      </c>
      <c r="X80" s="212">
        <v>5</v>
      </c>
      <c r="Y80" s="213">
        <v>1</v>
      </c>
    </row>
    <row r="81" spans="21:25" x14ac:dyDescent="0.2">
      <c r="U81" s="214">
        <v>38869</v>
      </c>
      <c r="V81" s="212">
        <v>22</v>
      </c>
      <c r="W81" s="212">
        <v>4</v>
      </c>
      <c r="X81" s="212">
        <v>4</v>
      </c>
      <c r="Y81" s="213">
        <v>0</v>
      </c>
    </row>
    <row r="82" spans="21:25" x14ac:dyDescent="0.2">
      <c r="U82" s="214">
        <v>38899</v>
      </c>
      <c r="V82" s="212">
        <v>20</v>
      </c>
      <c r="W82" s="212">
        <v>5</v>
      </c>
      <c r="X82" s="212">
        <v>6</v>
      </c>
      <c r="Y82" s="213">
        <v>1</v>
      </c>
    </row>
    <row r="83" spans="21:25" x14ac:dyDescent="0.2">
      <c r="U83" s="214">
        <v>38930</v>
      </c>
      <c r="V83" s="212">
        <v>23</v>
      </c>
      <c r="W83" s="212">
        <v>4</v>
      </c>
      <c r="X83" s="212">
        <v>4</v>
      </c>
      <c r="Y83" s="213">
        <v>0</v>
      </c>
    </row>
    <row r="84" spans="21:25" x14ac:dyDescent="0.2">
      <c r="U84" s="214">
        <v>38961</v>
      </c>
      <c r="V84" s="212">
        <v>20</v>
      </c>
      <c r="W84" s="212">
        <v>5</v>
      </c>
      <c r="X84" s="212">
        <v>5</v>
      </c>
      <c r="Y84" s="213">
        <v>1</v>
      </c>
    </row>
    <row r="85" spans="21:25" x14ac:dyDescent="0.2">
      <c r="U85" s="214">
        <v>38991</v>
      </c>
      <c r="V85" s="212">
        <v>22</v>
      </c>
      <c r="W85" s="212">
        <v>4</v>
      </c>
      <c r="X85" s="212">
        <v>5</v>
      </c>
      <c r="Y85" s="213">
        <v>0</v>
      </c>
    </row>
    <row r="86" spans="21:25" x14ac:dyDescent="0.2">
      <c r="U86" s="214">
        <v>39022</v>
      </c>
      <c r="V86" s="212">
        <v>21</v>
      </c>
      <c r="W86" s="212">
        <v>4</v>
      </c>
      <c r="X86" s="212">
        <v>5</v>
      </c>
      <c r="Y86" s="213">
        <v>1</v>
      </c>
    </row>
    <row r="87" spans="21:25" x14ac:dyDescent="0.2">
      <c r="U87" s="214">
        <v>39052</v>
      </c>
      <c r="V87" s="212">
        <v>20</v>
      </c>
      <c r="W87" s="212">
        <v>5</v>
      </c>
      <c r="X87" s="212">
        <v>6</v>
      </c>
      <c r="Y87" s="213">
        <v>1</v>
      </c>
    </row>
    <row r="88" spans="21:25" x14ac:dyDescent="0.2">
      <c r="U88" s="214">
        <v>39083</v>
      </c>
      <c r="V88" s="212">
        <v>22</v>
      </c>
      <c r="W88" s="212">
        <v>4</v>
      </c>
      <c r="X88" s="212">
        <v>5</v>
      </c>
      <c r="Y88" s="213">
        <v>1</v>
      </c>
    </row>
    <row r="89" spans="21:25" x14ac:dyDescent="0.2">
      <c r="U89" s="214">
        <v>39114</v>
      </c>
      <c r="V89" s="212">
        <v>20</v>
      </c>
      <c r="W89" s="212">
        <v>4</v>
      </c>
      <c r="X89" s="212">
        <v>4</v>
      </c>
      <c r="Y89" s="213">
        <v>0</v>
      </c>
    </row>
    <row r="90" spans="21:25" x14ac:dyDescent="0.2">
      <c r="U90" s="214">
        <v>39142</v>
      </c>
      <c r="V90" s="212">
        <v>22</v>
      </c>
      <c r="W90" s="212">
        <v>5</v>
      </c>
      <c r="X90" s="212">
        <v>4</v>
      </c>
      <c r="Y90" s="213">
        <v>0</v>
      </c>
    </row>
    <row r="91" spans="21:25" x14ac:dyDescent="0.2">
      <c r="U91" s="214">
        <v>39173</v>
      </c>
      <c r="V91" s="212">
        <v>21</v>
      </c>
      <c r="W91" s="212">
        <v>4</v>
      </c>
      <c r="X91" s="212">
        <v>5</v>
      </c>
      <c r="Y91" s="213">
        <v>0</v>
      </c>
    </row>
    <row r="92" spans="21:25" x14ac:dyDescent="0.2">
      <c r="U92" s="214">
        <v>39203</v>
      </c>
      <c r="V92" s="212">
        <v>22</v>
      </c>
      <c r="W92" s="212">
        <v>4</v>
      </c>
      <c r="X92" s="212">
        <v>5</v>
      </c>
      <c r="Y92" s="213">
        <v>1</v>
      </c>
    </row>
    <row r="93" spans="21:25" x14ac:dyDescent="0.2">
      <c r="U93" s="214">
        <v>39234</v>
      </c>
      <c r="V93" s="212">
        <v>21</v>
      </c>
      <c r="W93" s="212">
        <v>5</v>
      </c>
      <c r="X93" s="212">
        <v>4</v>
      </c>
      <c r="Y93" s="213">
        <v>0</v>
      </c>
    </row>
    <row r="94" spans="21:25" x14ac:dyDescent="0.2">
      <c r="U94" s="214">
        <v>39264</v>
      </c>
      <c r="V94" s="212">
        <v>21</v>
      </c>
      <c r="W94" s="212">
        <v>4</v>
      </c>
      <c r="X94" s="212">
        <v>6</v>
      </c>
      <c r="Y94" s="213">
        <v>1</v>
      </c>
    </row>
    <row r="95" spans="21:25" x14ac:dyDescent="0.2">
      <c r="U95" s="214">
        <v>39295</v>
      </c>
      <c r="V95" s="212">
        <v>23</v>
      </c>
      <c r="W95" s="212">
        <v>4</v>
      </c>
      <c r="X95" s="212">
        <v>4</v>
      </c>
      <c r="Y95" s="213">
        <v>0</v>
      </c>
    </row>
    <row r="96" spans="21:25" x14ac:dyDescent="0.2">
      <c r="U96" s="214">
        <v>39326</v>
      </c>
      <c r="V96" s="212">
        <v>19</v>
      </c>
      <c r="W96" s="212">
        <v>5</v>
      </c>
      <c r="X96" s="212">
        <v>6</v>
      </c>
      <c r="Y96" s="213">
        <v>1</v>
      </c>
    </row>
    <row r="97" spans="21:25" x14ac:dyDescent="0.2">
      <c r="U97" s="214">
        <v>39356</v>
      </c>
      <c r="V97" s="212">
        <v>23</v>
      </c>
      <c r="W97" s="212">
        <v>4</v>
      </c>
      <c r="X97" s="212">
        <v>4</v>
      </c>
      <c r="Y97" s="213">
        <v>0</v>
      </c>
    </row>
    <row r="98" spans="21:25" x14ac:dyDescent="0.2">
      <c r="U98" s="214">
        <v>39387</v>
      </c>
      <c r="V98" s="212">
        <v>21</v>
      </c>
      <c r="W98" s="212">
        <v>4</v>
      </c>
      <c r="X98" s="212">
        <v>5</v>
      </c>
      <c r="Y98" s="213">
        <v>1</v>
      </c>
    </row>
    <row r="99" spans="21:25" x14ac:dyDescent="0.2">
      <c r="U99" s="214">
        <v>39417</v>
      </c>
      <c r="V99" s="212">
        <v>20</v>
      </c>
      <c r="W99" s="212">
        <v>5</v>
      </c>
      <c r="X99" s="212">
        <v>6</v>
      </c>
      <c r="Y99" s="213">
        <v>1</v>
      </c>
    </row>
    <row r="100" spans="21:25" x14ac:dyDescent="0.2">
      <c r="U100" s="214">
        <v>39448</v>
      </c>
      <c r="V100" s="212">
        <v>22</v>
      </c>
      <c r="W100" s="212">
        <v>4</v>
      </c>
      <c r="X100" s="212">
        <v>5</v>
      </c>
      <c r="Y100" s="213">
        <v>1</v>
      </c>
    </row>
    <row r="101" spans="21:25" x14ac:dyDescent="0.2">
      <c r="U101" s="214">
        <v>39479</v>
      </c>
      <c r="V101" s="212">
        <v>21</v>
      </c>
      <c r="W101" s="212">
        <v>4</v>
      </c>
      <c r="X101" s="212">
        <v>4</v>
      </c>
      <c r="Y101" s="213">
        <v>0</v>
      </c>
    </row>
    <row r="102" spans="21:25" x14ac:dyDescent="0.2">
      <c r="U102" s="214">
        <v>39508</v>
      </c>
      <c r="V102" s="212">
        <v>21</v>
      </c>
      <c r="W102" s="212">
        <v>5</v>
      </c>
      <c r="X102" s="212">
        <v>5</v>
      </c>
      <c r="Y102" s="213">
        <v>0</v>
      </c>
    </row>
    <row r="103" spans="21:25" x14ac:dyDescent="0.2">
      <c r="U103" s="214">
        <v>39539</v>
      </c>
      <c r="V103" s="212">
        <v>22</v>
      </c>
      <c r="W103" s="212">
        <v>4</v>
      </c>
      <c r="X103" s="212">
        <v>4</v>
      </c>
      <c r="Y103" s="213">
        <v>0</v>
      </c>
    </row>
    <row r="104" spans="21:25" x14ac:dyDescent="0.2">
      <c r="U104" s="214">
        <v>39569</v>
      </c>
      <c r="V104" s="212">
        <v>21</v>
      </c>
      <c r="W104" s="212">
        <v>5</v>
      </c>
      <c r="X104" s="212">
        <v>5</v>
      </c>
      <c r="Y104" s="213">
        <v>1</v>
      </c>
    </row>
    <row r="105" spans="21:25" x14ac:dyDescent="0.2">
      <c r="U105" s="214">
        <v>39600</v>
      </c>
      <c r="V105" s="212">
        <v>21</v>
      </c>
      <c r="W105" s="212">
        <v>4</v>
      </c>
      <c r="X105" s="212">
        <v>5</v>
      </c>
      <c r="Y105" s="213">
        <v>0</v>
      </c>
    </row>
    <row r="106" spans="21:25" x14ac:dyDescent="0.2">
      <c r="U106" s="214">
        <v>39630</v>
      </c>
      <c r="V106" s="212">
        <v>22</v>
      </c>
      <c r="W106" s="212">
        <v>4</v>
      </c>
      <c r="X106" s="212">
        <v>5</v>
      </c>
      <c r="Y106" s="213">
        <v>1</v>
      </c>
    </row>
    <row r="107" spans="21:25" x14ac:dyDescent="0.2">
      <c r="U107" s="214">
        <v>39661</v>
      </c>
      <c r="V107" s="212">
        <v>21</v>
      </c>
      <c r="W107" s="212">
        <v>5</v>
      </c>
      <c r="X107" s="212">
        <v>5</v>
      </c>
      <c r="Y107" s="213">
        <v>0</v>
      </c>
    </row>
    <row r="108" spans="21:25" x14ac:dyDescent="0.2">
      <c r="U108" s="214">
        <v>39692</v>
      </c>
      <c r="V108" s="212">
        <v>21</v>
      </c>
      <c r="W108" s="212">
        <v>4</v>
      </c>
      <c r="X108" s="212">
        <v>5</v>
      </c>
      <c r="Y108" s="213">
        <v>1</v>
      </c>
    </row>
    <row r="109" spans="21:25" x14ac:dyDescent="0.2">
      <c r="U109" s="214">
        <v>39722</v>
      </c>
      <c r="V109" s="212">
        <v>23</v>
      </c>
      <c r="W109" s="212">
        <v>4</v>
      </c>
      <c r="X109" s="212">
        <v>4</v>
      </c>
      <c r="Y109" s="213">
        <v>0</v>
      </c>
    </row>
    <row r="110" spans="21:25" x14ac:dyDescent="0.2">
      <c r="U110" s="214">
        <v>39753</v>
      </c>
      <c r="V110" s="212">
        <v>19</v>
      </c>
      <c r="W110" s="212">
        <v>5</v>
      </c>
      <c r="X110" s="212">
        <v>6</v>
      </c>
      <c r="Y110" s="213">
        <v>1</v>
      </c>
    </row>
    <row r="111" spans="21:25" x14ac:dyDescent="0.2">
      <c r="U111" s="214">
        <v>39783</v>
      </c>
      <c r="V111" s="212">
        <v>22</v>
      </c>
      <c r="W111" s="212">
        <v>4</v>
      </c>
      <c r="X111" s="212">
        <v>5</v>
      </c>
      <c r="Y111" s="213">
        <v>1</v>
      </c>
    </row>
    <row r="112" spans="21:25" x14ac:dyDescent="0.2">
      <c r="U112" s="214">
        <v>39814</v>
      </c>
      <c r="V112" s="212">
        <v>21</v>
      </c>
      <c r="W112" s="212">
        <v>5</v>
      </c>
      <c r="X112" s="212">
        <v>5</v>
      </c>
      <c r="Y112" s="213">
        <v>1</v>
      </c>
    </row>
    <row r="113" spans="21:25" x14ac:dyDescent="0.2">
      <c r="U113" s="214">
        <v>39845</v>
      </c>
      <c r="V113" s="212">
        <v>20</v>
      </c>
      <c r="W113" s="212">
        <v>4</v>
      </c>
      <c r="X113" s="212">
        <v>4</v>
      </c>
      <c r="Y113" s="213">
        <v>0</v>
      </c>
    </row>
    <row r="114" spans="21:25" x14ac:dyDescent="0.2">
      <c r="U114" s="214">
        <v>39873</v>
      </c>
      <c r="V114" s="212">
        <v>22</v>
      </c>
      <c r="W114" s="212">
        <v>4</v>
      </c>
      <c r="X114" s="212">
        <v>5</v>
      </c>
      <c r="Y114" s="213">
        <v>0</v>
      </c>
    </row>
    <row r="115" spans="21:25" x14ac:dyDescent="0.2">
      <c r="U115" s="214">
        <v>39904</v>
      </c>
      <c r="V115" s="212">
        <v>22</v>
      </c>
      <c r="W115" s="212">
        <v>4</v>
      </c>
      <c r="X115" s="212">
        <v>4</v>
      </c>
      <c r="Y115" s="213">
        <v>0</v>
      </c>
    </row>
    <row r="116" spans="21:25" x14ac:dyDescent="0.2">
      <c r="U116" s="214">
        <v>39934</v>
      </c>
      <c r="V116" s="212">
        <v>20</v>
      </c>
      <c r="W116" s="212">
        <v>5</v>
      </c>
      <c r="X116" s="212">
        <v>6</v>
      </c>
      <c r="Y116" s="213">
        <v>1</v>
      </c>
    </row>
    <row r="117" spans="21:25" x14ac:dyDescent="0.2">
      <c r="U117" s="214">
        <v>39965</v>
      </c>
      <c r="V117" s="212">
        <v>22</v>
      </c>
      <c r="W117" s="212">
        <v>4</v>
      </c>
      <c r="X117" s="212">
        <v>4</v>
      </c>
      <c r="Y117" s="213">
        <v>0</v>
      </c>
    </row>
    <row r="118" spans="21:25" x14ac:dyDescent="0.2">
      <c r="U118" s="214">
        <v>39995</v>
      </c>
      <c r="V118" s="212">
        <v>23</v>
      </c>
      <c r="W118" s="212">
        <v>3</v>
      </c>
      <c r="X118" s="212">
        <v>5</v>
      </c>
      <c r="Y118" s="213">
        <v>1</v>
      </c>
    </row>
    <row r="119" spans="21:25" x14ac:dyDescent="0.2">
      <c r="U119" s="214">
        <v>40026</v>
      </c>
      <c r="V119" s="212">
        <v>21</v>
      </c>
      <c r="W119" s="212">
        <v>5</v>
      </c>
      <c r="X119" s="212">
        <v>5</v>
      </c>
      <c r="Y119" s="213">
        <v>0</v>
      </c>
    </row>
    <row r="120" spans="21:25" x14ac:dyDescent="0.2">
      <c r="U120" s="214">
        <v>40057</v>
      </c>
      <c r="V120" s="212">
        <v>21</v>
      </c>
      <c r="W120" s="212">
        <v>4</v>
      </c>
      <c r="X120" s="212">
        <v>5</v>
      </c>
      <c r="Y120" s="213">
        <v>1</v>
      </c>
    </row>
    <row r="121" spans="21:25" x14ac:dyDescent="0.2">
      <c r="U121" s="214">
        <v>40087</v>
      </c>
      <c r="V121" s="212">
        <v>22</v>
      </c>
      <c r="W121" s="212">
        <v>5</v>
      </c>
      <c r="X121" s="212">
        <v>4</v>
      </c>
      <c r="Y121" s="213">
        <v>0</v>
      </c>
    </row>
    <row r="122" spans="21:25" x14ac:dyDescent="0.2">
      <c r="U122" s="214">
        <v>40118</v>
      </c>
      <c r="V122" s="212">
        <v>20</v>
      </c>
      <c r="W122" s="212">
        <v>4</v>
      </c>
      <c r="X122" s="212">
        <v>6</v>
      </c>
      <c r="Y122" s="213">
        <v>1</v>
      </c>
    </row>
    <row r="123" spans="21:25" x14ac:dyDescent="0.2">
      <c r="U123" s="214">
        <v>40148</v>
      </c>
      <c r="V123" s="212">
        <v>22</v>
      </c>
      <c r="W123" s="212">
        <v>4</v>
      </c>
      <c r="X123" s="212">
        <v>5</v>
      </c>
      <c r="Y123" s="213">
        <v>1</v>
      </c>
    </row>
    <row r="124" spans="21:25" x14ac:dyDescent="0.2">
      <c r="U124" s="214">
        <v>40179</v>
      </c>
      <c r="V124" s="212">
        <v>20</v>
      </c>
      <c r="W124" s="212">
        <v>5</v>
      </c>
      <c r="X124" s="212">
        <v>6</v>
      </c>
      <c r="Y124" s="213">
        <v>1</v>
      </c>
    </row>
    <row r="125" spans="21:25" x14ac:dyDescent="0.2">
      <c r="U125" s="214">
        <v>40210</v>
      </c>
      <c r="V125" s="212">
        <v>20</v>
      </c>
      <c r="W125" s="212">
        <v>4</v>
      </c>
      <c r="X125" s="212">
        <v>4</v>
      </c>
      <c r="Y125" s="213">
        <v>0</v>
      </c>
    </row>
    <row r="126" spans="21:25" x14ac:dyDescent="0.2">
      <c r="U126" s="214">
        <v>40238</v>
      </c>
      <c r="V126" s="212">
        <v>23</v>
      </c>
      <c r="W126" s="212">
        <v>4</v>
      </c>
      <c r="X126" s="212">
        <v>4</v>
      </c>
      <c r="Y126" s="213">
        <v>0</v>
      </c>
    </row>
    <row r="127" spans="21:25" x14ac:dyDescent="0.2">
      <c r="U127" s="214">
        <v>40269</v>
      </c>
      <c r="V127" s="212">
        <v>22</v>
      </c>
      <c r="W127" s="212">
        <v>4</v>
      </c>
      <c r="X127" s="212">
        <v>4</v>
      </c>
      <c r="Y127" s="213">
        <v>0</v>
      </c>
    </row>
    <row r="128" spans="21:25" x14ac:dyDescent="0.2">
      <c r="U128" s="214">
        <v>40299</v>
      </c>
      <c r="V128" s="212">
        <v>20</v>
      </c>
      <c r="W128" s="212">
        <v>5</v>
      </c>
      <c r="X128" s="212">
        <v>6</v>
      </c>
      <c r="Y128" s="213">
        <v>1</v>
      </c>
    </row>
    <row r="129" spans="21:25" x14ac:dyDescent="0.2">
      <c r="U129" s="214">
        <v>40330</v>
      </c>
      <c r="V129" s="212">
        <v>22</v>
      </c>
      <c r="W129" s="212">
        <v>4</v>
      </c>
      <c r="X129" s="212">
        <v>4</v>
      </c>
      <c r="Y129" s="213">
        <v>0</v>
      </c>
    </row>
    <row r="130" spans="21:25" x14ac:dyDescent="0.2">
      <c r="U130" s="214">
        <v>40360</v>
      </c>
      <c r="V130" s="212">
        <v>21</v>
      </c>
      <c r="W130" s="212">
        <v>5</v>
      </c>
      <c r="X130" s="212">
        <v>5</v>
      </c>
      <c r="Y130" s="213">
        <v>1</v>
      </c>
    </row>
    <row r="131" spans="21:25" x14ac:dyDescent="0.2">
      <c r="U131" s="214">
        <v>40391</v>
      </c>
      <c r="V131" s="212">
        <v>22</v>
      </c>
      <c r="W131" s="212">
        <v>4</v>
      </c>
      <c r="X131" s="212">
        <v>5</v>
      </c>
      <c r="Y131" s="213">
        <v>0</v>
      </c>
    </row>
    <row r="132" spans="21:25" x14ac:dyDescent="0.2">
      <c r="U132" s="214">
        <v>40422</v>
      </c>
      <c r="V132" s="212">
        <v>21</v>
      </c>
      <c r="W132" s="212">
        <v>4</v>
      </c>
      <c r="X132" s="212">
        <v>5</v>
      </c>
      <c r="Y132" s="213">
        <v>1</v>
      </c>
    </row>
    <row r="133" spans="21:25" x14ac:dyDescent="0.2">
      <c r="U133" s="214">
        <v>40452</v>
      </c>
      <c r="V133" s="212">
        <v>21</v>
      </c>
      <c r="W133" s="212">
        <v>5</v>
      </c>
      <c r="X133" s="212">
        <v>5</v>
      </c>
      <c r="Y133" s="213">
        <v>0</v>
      </c>
    </row>
    <row r="134" spans="21:25" x14ac:dyDescent="0.2">
      <c r="U134" s="214">
        <v>40483</v>
      </c>
      <c r="V134" s="212">
        <v>21</v>
      </c>
      <c r="W134" s="212">
        <v>4</v>
      </c>
      <c r="X134" s="212">
        <v>5</v>
      </c>
      <c r="Y134" s="213">
        <v>1</v>
      </c>
    </row>
    <row r="135" spans="21:25" x14ac:dyDescent="0.2">
      <c r="U135" s="214">
        <v>40513</v>
      </c>
      <c r="V135" s="212">
        <v>23</v>
      </c>
      <c r="W135" s="212">
        <v>3</v>
      </c>
      <c r="X135" s="212">
        <v>5</v>
      </c>
      <c r="Y135" s="213">
        <v>1</v>
      </c>
    </row>
    <row r="136" spans="21:25" x14ac:dyDescent="0.2">
      <c r="U136" s="214">
        <v>40544</v>
      </c>
      <c r="V136" s="212">
        <v>21</v>
      </c>
      <c r="W136" s="212">
        <v>4</v>
      </c>
      <c r="X136" s="212">
        <v>6</v>
      </c>
      <c r="Y136" s="213">
        <v>1</v>
      </c>
    </row>
    <row r="137" spans="21:25" x14ac:dyDescent="0.2">
      <c r="U137" s="214">
        <v>40575</v>
      </c>
      <c r="V137" s="212">
        <v>20</v>
      </c>
      <c r="W137" s="212">
        <v>4</v>
      </c>
      <c r="X137" s="212">
        <v>4</v>
      </c>
      <c r="Y137" s="213">
        <v>0</v>
      </c>
    </row>
    <row r="138" spans="21:25" x14ac:dyDescent="0.2">
      <c r="U138" s="214">
        <v>40603</v>
      </c>
      <c r="V138" s="212">
        <v>23</v>
      </c>
      <c r="W138" s="212">
        <v>4</v>
      </c>
      <c r="X138" s="212">
        <v>4</v>
      </c>
      <c r="Y138" s="213">
        <v>0</v>
      </c>
    </row>
    <row r="139" spans="21:25" x14ac:dyDescent="0.2">
      <c r="U139" s="214">
        <v>40634</v>
      </c>
      <c r="V139" s="212">
        <v>21</v>
      </c>
      <c r="W139" s="212">
        <v>5</v>
      </c>
      <c r="X139" s="212">
        <v>4</v>
      </c>
      <c r="Y139" s="213">
        <v>0</v>
      </c>
    </row>
    <row r="140" spans="21:25" x14ac:dyDescent="0.2">
      <c r="U140" s="214">
        <v>40664</v>
      </c>
      <c r="V140" s="212">
        <v>21</v>
      </c>
      <c r="W140" s="212">
        <v>4</v>
      </c>
      <c r="X140" s="212">
        <v>6</v>
      </c>
      <c r="Y140" s="213">
        <v>1</v>
      </c>
    </row>
    <row r="141" spans="21:25" x14ac:dyDescent="0.2">
      <c r="U141" s="214">
        <v>40695</v>
      </c>
      <c r="V141" s="212">
        <v>22</v>
      </c>
      <c r="W141" s="212">
        <v>4</v>
      </c>
      <c r="X141" s="212">
        <v>4</v>
      </c>
      <c r="Y141" s="213">
        <v>0</v>
      </c>
    </row>
    <row r="142" spans="21:25" x14ac:dyDescent="0.2">
      <c r="U142" s="214">
        <v>40725</v>
      </c>
      <c r="V142" s="212">
        <v>20</v>
      </c>
      <c r="W142" s="212">
        <v>5</v>
      </c>
      <c r="X142" s="212">
        <v>6</v>
      </c>
      <c r="Y142" s="213">
        <v>1</v>
      </c>
    </row>
    <row r="143" spans="21:25" x14ac:dyDescent="0.2">
      <c r="U143" s="214">
        <v>40756</v>
      </c>
      <c r="V143" s="212">
        <v>23</v>
      </c>
      <c r="W143" s="212">
        <v>4</v>
      </c>
      <c r="X143" s="212">
        <v>4</v>
      </c>
      <c r="Y143" s="213">
        <v>0</v>
      </c>
    </row>
    <row r="144" spans="21:25" x14ac:dyDescent="0.2">
      <c r="U144" s="214">
        <v>40787</v>
      </c>
      <c r="V144" s="212">
        <v>21</v>
      </c>
      <c r="W144" s="212">
        <v>4</v>
      </c>
      <c r="X144" s="212">
        <v>5</v>
      </c>
      <c r="Y144" s="213">
        <v>1</v>
      </c>
    </row>
    <row r="145" spans="21:25" x14ac:dyDescent="0.2">
      <c r="U145" s="214">
        <v>40817</v>
      </c>
      <c r="V145" s="212">
        <v>21</v>
      </c>
      <c r="W145" s="212">
        <v>5</v>
      </c>
      <c r="X145" s="212">
        <v>5</v>
      </c>
      <c r="Y145" s="213">
        <v>0</v>
      </c>
    </row>
    <row r="146" spans="21:25" x14ac:dyDescent="0.2">
      <c r="U146" s="214">
        <v>40848</v>
      </c>
      <c r="V146" s="212">
        <v>21</v>
      </c>
      <c r="W146" s="212">
        <v>4</v>
      </c>
      <c r="X146" s="212">
        <v>5</v>
      </c>
      <c r="Y146" s="213">
        <v>1</v>
      </c>
    </row>
    <row r="147" spans="21:25" x14ac:dyDescent="0.2">
      <c r="U147" s="214">
        <v>40878</v>
      </c>
      <c r="V147" s="212">
        <v>21</v>
      </c>
      <c r="W147" s="212">
        <v>5</v>
      </c>
      <c r="X147" s="212">
        <v>5</v>
      </c>
      <c r="Y147" s="213">
        <v>1</v>
      </c>
    </row>
    <row r="148" spans="21:25" x14ac:dyDescent="0.2">
      <c r="U148" s="214">
        <v>40909</v>
      </c>
      <c r="V148" s="212">
        <v>21</v>
      </c>
      <c r="W148" s="212">
        <v>4</v>
      </c>
      <c r="X148" s="212">
        <v>6</v>
      </c>
      <c r="Y148" s="213">
        <v>1</v>
      </c>
    </row>
    <row r="149" spans="21:25" x14ac:dyDescent="0.2">
      <c r="U149" s="214">
        <v>40940</v>
      </c>
      <c r="V149" s="212">
        <v>21</v>
      </c>
      <c r="W149" s="212">
        <v>4</v>
      </c>
      <c r="X149" s="212">
        <v>4</v>
      </c>
      <c r="Y149" s="213">
        <v>0</v>
      </c>
    </row>
    <row r="150" spans="21:25" x14ac:dyDescent="0.2">
      <c r="U150" s="214">
        <v>40969</v>
      </c>
      <c r="V150" s="212">
        <v>22</v>
      </c>
      <c r="W150" s="212">
        <v>5</v>
      </c>
      <c r="X150" s="212">
        <v>4</v>
      </c>
      <c r="Y150" s="213">
        <v>0</v>
      </c>
    </row>
    <row r="151" spans="21:25" x14ac:dyDescent="0.2">
      <c r="U151" s="214">
        <v>41000</v>
      </c>
      <c r="V151" s="212">
        <v>21</v>
      </c>
      <c r="W151" s="212">
        <v>4</v>
      </c>
      <c r="X151" s="212">
        <v>5</v>
      </c>
      <c r="Y151" s="213">
        <v>0</v>
      </c>
    </row>
    <row r="152" spans="21:25" x14ac:dyDescent="0.2">
      <c r="U152" s="214">
        <v>41030</v>
      </c>
      <c r="V152" s="212">
        <v>22</v>
      </c>
      <c r="W152" s="212">
        <v>4</v>
      </c>
      <c r="X152" s="212">
        <v>5</v>
      </c>
      <c r="Y152" s="213">
        <v>1</v>
      </c>
    </row>
    <row r="153" spans="21:25" x14ac:dyDescent="0.2">
      <c r="U153" s="214">
        <v>41061</v>
      </c>
      <c r="V153" s="212">
        <v>21</v>
      </c>
      <c r="W153" s="212">
        <v>5</v>
      </c>
      <c r="X153" s="212">
        <v>4</v>
      </c>
      <c r="Y153" s="213">
        <v>0</v>
      </c>
    </row>
    <row r="154" spans="21:25" x14ac:dyDescent="0.2">
      <c r="U154" s="214">
        <v>41091</v>
      </c>
      <c r="V154" s="212">
        <v>21</v>
      </c>
      <c r="W154" s="212">
        <v>4</v>
      </c>
      <c r="X154" s="212">
        <v>6</v>
      </c>
      <c r="Y154" s="213">
        <v>1</v>
      </c>
    </row>
    <row r="155" spans="21:25" x14ac:dyDescent="0.2">
      <c r="U155" s="214">
        <v>41122</v>
      </c>
      <c r="V155" s="212">
        <v>23</v>
      </c>
      <c r="W155" s="212">
        <v>4</v>
      </c>
      <c r="X155" s="212">
        <v>4</v>
      </c>
      <c r="Y155" s="213">
        <v>0</v>
      </c>
    </row>
    <row r="156" spans="21:25" x14ac:dyDescent="0.2">
      <c r="U156" s="214">
        <v>41153</v>
      </c>
      <c r="V156" s="212">
        <v>19</v>
      </c>
      <c r="W156" s="212">
        <v>5</v>
      </c>
      <c r="X156" s="212">
        <v>6</v>
      </c>
      <c r="Y156" s="213">
        <v>1</v>
      </c>
    </row>
    <row r="157" spans="21:25" x14ac:dyDescent="0.2">
      <c r="U157" s="214">
        <v>41183</v>
      </c>
      <c r="V157" s="212">
        <v>23</v>
      </c>
      <c r="W157" s="212">
        <v>4</v>
      </c>
      <c r="X157" s="212">
        <v>4</v>
      </c>
      <c r="Y157" s="213">
        <v>0</v>
      </c>
    </row>
    <row r="158" spans="21:25" x14ac:dyDescent="0.2">
      <c r="U158" s="214">
        <v>41214</v>
      </c>
      <c r="V158" s="212">
        <v>21</v>
      </c>
      <c r="W158" s="212">
        <v>4</v>
      </c>
      <c r="X158" s="212">
        <v>5</v>
      </c>
      <c r="Y158" s="213">
        <v>1</v>
      </c>
    </row>
    <row r="159" spans="21:25" x14ac:dyDescent="0.2">
      <c r="U159" s="214">
        <v>41244</v>
      </c>
      <c r="V159" s="212">
        <v>20</v>
      </c>
      <c r="W159" s="212">
        <v>5</v>
      </c>
      <c r="X159" s="212">
        <v>6</v>
      </c>
      <c r="Y159" s="213">
        <v>1</v>
      </c>
    </row>
    <row r="160" spans="21:25" x14ac:dyDescent="0.2">
      <c r="U160" s="214">
        <v>41275</v>
      </c>
      <c r="V160" s="212">
        <v>22</v>
      </c>
      <c r="W160" s="212">
        <v>4</v>
      </c>
      <c r="X160" s="212">
        <v>5</v>
      </c>
      <c r="Y160" s="213">
        <v>1</v>
      </c>
    </row>
    <row r="161" spans="21:25" x14ac:dyDescent="0.2">
      <c r="U161" s="214">
        <v>41306</v>
      </c>
      <c r="V161" s="212">
        <v>20</v>
      </c>
      <c r="W161" s="212">
        <v>4</v>
      </c>
      <c r="X161" s="212">
        <v>4</v>
      </c>
      <c r="Y161" s="213">
        <v>0</v>
      </c>
    </row>
    <row r="162" spans="21:25" x14ac:dyDescent="0.2">
      <c r="U162" s="214">
        <v>41334</v>
      </c>
      <c r="V162" s="212">
        <v>21</v>
      </c>
      <c r="W162" s="212">
        <v>5</v>
      </c>
      <c r="X162" s="212">
        <v>5</v>
      </c>
      <c r="Y162" s="213">
        <v>0</v>
      </c>
    </row>
    <row r="163" spans="21:25" x14ac:dyDescent="0.2">
      <c r="U163" s="214">
        <v>41365</v>
      </c>
      <c r="V163" s="212">
        <v>22</v>
      </c>
      <c r="W163" s="212">
        <v>4</v>
      </c>
      <c r="X163" s="212">
        <v>4</v>
      </c>
      <c r="Y163" s="213">
        <v>0</v>
      </c>
    </row>
    <row r="164" spans="21:25" x14ac:dyDescent="0.2">
      <c r="U164" s="214">
        <v>41395</v>
      </c>
      <c r="V164" s="212">
        <v>22</v>
      </c>
      <c r="W164" s="212">
        <v>4</v>
      </c>
      <c r="X164" s="212">
        <v>5</v>
      </c>
      <c r="Y164" s="213">
        <v>1</v>
      </c>
    </row>
    <row r="165" spans="21:25" x14ac:dyDescent="0.2">
      <c r="U165" s="214">
        <v>41426</v>
      </c>
      <c r="V165" s="212">
        <v>20</v>
      </c>
      <c r="W165" s="212">
        <v>5</v>
      </c>
      <c r="X165" s="212">
        <v>5</v>
      </c>
      <c r="Y165" s="213">
        <v>0</v>
      </c>
    </row>
    <row r="166" spans="21:25" x14ac:dyDescent="0.2">
      <c r="U166" s="214">
        <v>41456</v>
      </c>
      <c r="V166" s="212">
        <v>22</v>
      </c>
      <c r="W166" s="212">
        <v>4</v>
      </c>
      <c r="X166" s="212">
        <v>5</v>
      </c>
      <c r="Y166" s="213">
        <v>1</v>
      </c>
    </row>
    <row r="167" spans="21:25" x14ac:dyDescent="0.2">
      <c r="U167" s="214">
        <v>41487</v>
      </c>
      <c r="V167" s="212">
        <v>22</v>
      </c>
      <c r="W167" s="212">
        <v>5</v>
      </c>
      <c r="X167" s="212">
        <v>4</v>
      </c>
      <c r="Y167" s="213">
        <v>0</v>
      </c>
    </row>
    <row r="168" spans="21:25" x14ac:dyDescent="0.2">
      <c r="U168" s="214">
        <v>41518</v>
      </c>
      <c r="V168" s="212">
        <v>20</v>
      </c>
      <c r="W168" s="212">
        <v>4</v>
      </c>
      <c r="X168" s="212">
        <v>6</v>
      </c>
      <c r="Y168" s="213">
        <v>1</v>
      </c>
    </row>
    <row r="169" spans="21:25" x14ac:dyDescent="0.2">
      <c r="U169" s="214">
        <v>41548</v>
      </c>
      <c r="V169" s="212">
        <v>23</v>
      </c>
      <c r="W169" s="212">
        <v>4</v>
      </c>
      <c r="X169" s="212">
        <v>4</v>
      </c>
      <c r="Y169" s="213">
        <v>0</v>
      </c>
    </row>
    <row r="170" spans="21:25" x14ac:dyDescent="0.2">
      <c r="U170" s="214">
        <v>41579</v>
      </c>
      <c r="V170" s="212">
        <v>20</v>
      </c>
      <c r="W170" s="212">
        <v>5</v>
      </c>
      <c r="X170" s="212">
        <v>5</v>
      </c>
      <c r="Y170" s="213">
        <v>1</v>
      </c>
    </row>
    <row r="171" spans="21:25" x14ac:dyDescent="0.2">
      <c r="U171" s="214">
        <v>41609</v>
      </c>
      <c r="V171" s="212">
        <v>21</v>
      </c>
      <c r="W171" s="212">
        <v>4</v>
      </c>
      <c r="X171" s="212">
        <v>6</v>
      </c>
      <c r="Y171" s="213">
        <v>1</v>
      </c>
    </row>
    <row r="172" spans="21:25" x14ac:dyDescent="0.2">
      <c r="U172" s="214">
        <v>41640</v>
      </c>
      <c r="V172" s="212">
        <v>22</v>
      </c>
      <c r="W172" s="212">
        <v>4</v>
      </c>
      <c r="X172" s="212">
        <v>5</v>
      </c>
      <c r="Y172" s="213">
        <v>1</v>
      </c>
    </row>
    <row r="173" spans="21:25" x14ac:dyDescent="0.2">
      <c r="U173" s="214">
        <v>41671</v>
      </c>
      <c r="V173" s="212">
        <v>20</v>
      </c>
      <c r="W173" s="212">
        <v>4</v>
      </c>
      <c r="X173" s="212">
        <v>4</v>
      </c>
      <c r="Y173" s="213">
        <v>0</v>
      </c>
    </row>
    <row r="174" spans="21:25" x14ac:dyDescent="0.2">
      <c r="U174" s="214">
        <v>41699</v>
      </c>
      <c r="V174" s="212">
        <v>21</v>
      </c>
      <c r="W174" s="212">
        <v>5</v>
      </c>
      <c r="X174" s="212">
        <v>5</v>
      </c>
      <c r="Y174" s="213">
        <v>0</v>
      </c>
    </row>
    <row r="175" spans="21:25" x14ac:dyDescent="0.2">
      <c r="U175" s="214">
        <v>41730</v>
      </c>
      <c r="V175" s="212">
        <v>22</v>
      </c>
      <c r="W175" s="212">
        <v>4</v>
      </c>
      <c r="X175" s="212">
        <v>4</v>
      </c>
      <c r="Y175" s="213">
        <v>0</v>
      </c>
    </row>
    <row r="176" spans="21:25" x14ac:dyDescent="0.2">
      <c r="U176" s="214">
        <v>41760</v>
      </c>
      <c r="V176" s="212">
        <v>21</v>
      </c>
      <c r="W176" s="212">
        <v>5</v>
      </c>
      <c r="X176" s="212">
        <v>5</v>
      </c>
      <c r="Y176" s="213">
        <v>1</v>
      </c>
    </row>
    <row r="177" spans="21:25" x14ac:dyDescent="0.2">
      <c r="U177" s="214">
        <v>41791</v>
      </c>
      <c r="V177" s="212">
        <v>21</v>
      </c>
      <c r="W177" s="212">
        <v>4</v>
      </c>
      <c r="X177" s="212">
        <v>5</v>
      </c>
      <c r="Y177" s="213">
        <v>0</v>
      </c>
    </row>
    <row r="178" spans="21:25" x14ac:dyDescent="0.2">
      <c r="U178" s="214">
        <v>41821</v>
      </c>
      <c r="V178" s="212">
        <v>22</v>
      </c>
      <c r="W178" s="212">
        <v>4</v>
      </c>
      <c r="X178" s="212">
        <v>5</v>
      </c>
      <c r="Y178" s="213">
        <v>1</v>
      </c>
    </row>
    <row r="179" spans="21:25" x14ac:dyDescent="0.2">
      <c r="U179" s="214">
        <v>41852</v>
      </c>
      <c r="V179" s="212">
        <v>21</v>
      </c>
      <c r="W179" s="212">
        <v>5</v>
      </c>
      <c r="X179" s="212">
        <v>5</v>
      </c>
      <c r="Y179" s="213">
        <v>0</v>
      </c>
    </row>
    <row r="180" spans="21:25" x14ac:dyDescent="0.2">
      <c r="U180" s="214">
        <v>41883</v>
      </c>
      <c r="V180" s="212">
        <v>21</v>
      </c>
      <c r="W180" s="212">
        <v>4</v>
      </c>
      <c r="X180" s="212">
        <v>5</v>
      </c>
      <c r="Y180" s="213">
        <v>1</v>
      </c>
    </row>
    <row r="181" spans="21:25" x14ac:dyDescent="0.2">
      <c r="U181" s="214">
        <v>41913</v>
      </c>
      <c r="V181" s="212">
        <v>23</v>
      </c>
      <c r="W181" s="212">
        <v>4</v>
      </c>
      <c r="X181" s="212">
        <v>4</v>
      </c>
      <c r="Y181" s="213">
        <v>0</v>
      </c>
    </row>
    <row r="182" spans="21:25" x14ac:dyDescent="0.2">
      <c r="U182" s="214">
        <v>41944</v>
      </c>
      <c r="V182" s="212">
        <v>19</v>
      </c>
      <c r="W182" s="212">
        <v>5</v>
      </c>
      <c r="X182" s="212">
        <v>6</v>
      </c>
      <c r="Y182" s="213">
        <v>1</v>
      </c>
    </row>
    <row r="183" spans="21:25" x14ac:dyDescent="0.2">
      <c r="U183" s="214">
        <v>41974</v>
      </c>
      <c r="V183" s="212">
        <v>22</v>
      </c>
      <c r="W183" s="212">
        <v>4</v>
      </c>
      <c r="X183" s="212">
        <v>5</v>
      </c>
      <c r="Y183" s="213">
        <v>1</v>
      </c>
    </row>
    <row r="184" spans="21:25" x14ac:dyDescent="0.2">
      <c r="U184" s="214">
        <v>42005</v>
      </c>
      <c r="V184" s="212">
        <v>21</v>
      </c>
      <c r="W184" s="212">
        <v>5</v>
      </c>
      <c r="X184" s="212">
        <v>5</v>
      </c>
      <c r="Y184" s="213">
        <v>1</v>
      </c>
    </row>
    <row r="185" spans="21:25" x14ac:dyDescent="0.2">
      <c r="U185" s="214">
        <v>42036</v>
      </c>
      <c r="V185" s="212">
        <v>20</v>
      </c>
      <c r="W185" s="212">
        <v>4</v>
      </c>
      <c r="X185" s="212">
        <v>4</v>
      </c>
      <c r="Y185" s="213">
        <v>0</v>
      </c>
    </row>
    <row r="186" spans="21:25" x14ac:dyDescent="0.2">
      <c r="U186" s="214">
        <v>42064</v>
      </c>
      <c r="V186" s="212">
        <v>22</v>
      </c>
      <c r="W186" s="212">
        <v>4</v>
      </c>
      <c r="X186" s="212">
        <v>5</v>
      </c>
      <c r="Y186" s="213">
        <v>0</v>
      </c>
    </row>
    <row r="187" spans="21:25" x14ac:dyDescent="0.2">
      <c r="U187" s="214">
        <v>42095</v>
      </c>
      <c r="V187" s="212">
        <v>22</v>
      </c>
      <c r="W187" s="212">
        <v>4</v>
      </c>
      <c r="X187" s="212">
        <v>4</v>
      </c>
      <c r="Y187" s="213">
        <v>0</v>
      </c>
    </row>
    <row r="188" spans="21:25" x14ac:dyDescent="0.2">
      <c r="U188" s="214">
        <v>42125</v>
      </c>
      <c r="V188" s="212">
        <v>20</v>
      </c>
      <c r="W188" s="212">
        <v>5</v>
      </c>
      <c r="X188" s="212">
        <v>6</v>
      </c>
      <c r="Y188" s="213">
        <v>1</v>
      </c>
    </row>
    <row r="189" spans="21:25" x14ac:dyDescent="0.2">
      <c r="U189" s="214">
        <v>42156</v>
      </c>
      <c r="V189" s="212">
        <v>22</v>
      </c>
      <c r="W189" s="212">
        <v>4</v>
      </c>
      <c r="X189" s="212">
        <v>4</v>
      </c>
      <c r="Y189" s="213">
        <v>0</v>
      </c>
    </row>
    <row r="190" spans="21:25" x14ac:dyDescent="0.2">
      <c r="U190" s="214">
        <v>42186</v>
      </c>
      <c r="V190" s="212">
        <v>23</v>
      </c>
      <c r="W190" s="212">
        <v>3</v>
      </c>
      <c r="X190" s="212">
        <v>5</v>
      </c>
      <c r="Y190" s="213">
        <v>1</v>
      </c>
    </row>
    <row r="191" spans="21:25" x14ac:dyDescent="0.2">
      <c r="U191" s="214">
        <v>42217</v>
      </c>
      <c r="V191" s="212">
        <v>21</v>
      </c>
      <c r="W191" s="212">
        <v>5</v>
      </c>
      <c r="X191" s="212">
        <v>5</v>
      </c>
      <c r="Y191" s="213">
        <v>0</v>
      </c>
    </row>
    <row r="192" spans="21:25" x14ac:dyDescent="0.2">
      <c r="U192" s="214">
        <v>42248</v>
      </c>
      <c r="V192" s="212">
        <v>21</v>
      </c>
      <c r="W192" s="212">
        <v>4</v>
      </c>
      <c r="X192" s="212">
        <v>5</v>
      </c>
      <c r="Y192" s="213">
        <v>1</v>
      </c>
    </row>
    <row r="193" spans="21:25" x14ac:dyDescent="0.2">
      <c r="U193" s="214">
        <v>42278</v>
      </c>
      <c r="V193" s="212">
        <v>22</v>
      </c>
      <c r="W193" s="212">
        <v>5</v>
      </c>
      <c r="X193" s="212">
        <v>4</v>
      </c>
      <c r="Y193" s="213">
        <v>0</v>
      </c>
    </row>
    <row r="194" spans="21:25" x14ac:dyDescent="0.2">
      <c r="U194" s="214">
        <v>42309</v>
      </c>
      <c r="V194" s="212">
        <v>20</v>
      </c>
      <c r="W194" s="212">
        <v>4</v>
      </c>
      <c r="X194" s="212">
        <v>6</v>
      </c>
      <c r="Y194" s="213">
        <v>1</v>
      </c>
    </row>
    <row r="195" spans="21:25" x14ac:dyDescent="0.2">
      <c r="U195" s="214">
        <v>42339</v>
      </c>
      <c r="V195" s="212">
        <v>22</v>
      </c>
      <c r="W195" s="212">
        <v>4</v>
      </c>
      <c r="X195" s="212">
        <v>5</v>
      </c>
      <c r="Y195" s="213">
        <v>1</v>
      </c>
    </row>
    <row r="196" spans="21:25" x14ac:dyDescent="0.2">
      <c r="U196" s="214">
        <v>42370</v>
      </c>
      <c r="V196" s="212">
        <v>20</v>
      </c>
      <c r="W196" s="212">
        <v>5</v>
      </c>
      <c r="X196" s="212">
        <v>6</v>
      </c>
      <c r="Y196" s="213">
        <v>1</v>
      </c>
    </row>
    <row r="197" spans="21:25" x14ac:dyDescent="0.2">
      <c r="U197" s="214">
        <v>42401</v>
      </c>
      <c r="V197" s="212">
        <v>21</v>
      </c>
      <c r="W197" s="212">
        <v>4</v>
      </c>
      <c r="X197" s="212">
        <v>4</v>
      </c>
      <c r="Y197" s="213">
        <v>0</v>
      </c>
    </row>
    <row r="198" spans="21:25" x14ac:dyDescent="0.2">
      <c r="U198" s="214">
        <v>42430</v>
      </c>
      <c r="V198" s="212">
        <v>23</v>
      </c>
      <c r="W198" s="212">
        <v>4</v>
      </c>
      <c r="X198" s="212">
        <v>4</v>
      </c>
      <c r="Y198" s="213">
        <v>0</v>
      </c>
    </row>
    <row r="199" spans="21:25" x14ac:dyDescent="0.2">
      <c r="U199" s="214">
        <v>42461</v>
      </c>
      <c r="V199" s="212">
        <v>21</v>
      </c>
      <c r="W199" s="212">
        <v>5</v>
      </c>
      <c r="X199" s="212">
        <v>4</v>
      </c>
      <c r="Y199" s="213">
        <v>0</v>
      </c>
    </row>
    <row r="200" spans="21:25" x14ac:dyDescent="0.2">
      <c r="U200" s="214">
        <v>42491</v>
      </c>
      <c r="V200" s="212">
        <v>21</v>
      </c>
      <c r="W200" s="212">
        <v>4</v>
      </c>
      <c r="X200" s="212">
        <v>6</v>
      </c>
      <c r="Y200" s="213">
        <v>1</v>
      </c>
    </row>
    <row r="201" spans="21:25" x14ac:dyDescent="0.2">
      <c r="U201" s="214">
        <v>42522</v>
      </c>
      <c r="V201" s="212">
        <v>22</v>
      </c>
      <c r="W201" s="212">
        <v>4</v>
      </c>
      <c r="X201" s="212">
        <v>4</v>
      </c>
      <c r="Y201" s="213">
        <v>0</v>
      </c>
    </row>
    <row r="202" spans="21:25" x14ac:dyDescent="0.2">
      <c r="U202" s="214">
        <v>42552</v>
      </c>
      <c r="V202" s="212">
        <v>20</v>
      </c>
      <c r="W202" s="212">
        <v>5</v>
      </c>
      <c r="X202" s="212">
        <v>6</v>
      </c>
      <c r="Y202" s="213">
        <v>1</v>
      </c>
    </row>
    <row r="203" spans="21:25" x14ac:dyDescent="0.2">
      <c r="U203" s="214">
        <v>42583</v>
      </c>
      <c r="V203" s="212">
        <v>23</v>
      </c>
      <c r="W203" s="212">
        <v>4</v>
      </c>
      <c r="X203" s="212">
        <v>4</v>
      </c>
      <c r="Y203" s="213">
        <v>0</v>
      </c>
    </row>
    <row r="204" spans="21:25" x14ac:dyDescent="0.2">
      <c r="U204" s="214">
        <v>42614</v>
      </c>
      <c r="V204" s="212">
        <v>21</v>
      </c>
      <c r="W204" s="212">
        <v>4</v>
      </c>
      <c r="X204" s="212">
        <v>5</v>
      </c>
      <c r="Y204" s="213">
        <v>1</v>
      </c>
    </row>
    <row r="205" spans="21:25" x14ac:dyDescent="0.2">
      <c r="U205" s="214">
        <v>42644</v>
      </c>
      <c r="V205" s="212">
        <v>21</v>
      </c>
      <c r="W205" s="212">
        <v>5</v>
      </c>
      <c r="X205" s="212">
        <v>5</v>
      </c>
      <c r="Y205" s="213">
        <v>0</v>
      </c>
    </row>
    <row r="206" spans="21:25" x14ac:dyDescent="0.2">
      <c r="U206" s="214">
        <v>42675</v>
      </c>
      <c r="V206" s="212">
        <v>21</v>
      </c>
      <c r="W206" s="212">
        <v>4</v>
      </c>
      <c r="X206" s="212">
        <v>5</v>
      </c>
      <c r="Y206" s="213">
        <v>1</v>
      </c>
    </row>
    <row r="207" spans="21:25" x14ac:dyDescent="0.2">
      <c r="U207" s="214">
        <v>42705</v>
      </c>
      <c r="V207" s="212">
        <v>21</v>
      </c>
      <c r="W207" s="212">
        <v>5</v>
      </c>
      <c r="X207" s="212">
        <v>5</v>
      </c>
      <c r="Y207" s="213">
        <v>1</v>
      </c>
    </row>
    <row r="208" spans="21:25" x14ac:dyDescent="0.2">
      <c r="U208" s="214">
        <v>42736</v>
      </c>
      <c r="V208" s="212">
        <v>21</v>
      </c>
      <c r="W208" s="212">
        <v>4</v>
      </c>
      <c r="X208" s="212">
        <v>6</v>
      </c>
      <c r="Y208" s="213">
        <v>1</v>
      </c>
    </row>
    <row r="209" spans="21:25" x14ac:dyDescent="0.2">
      <c r="U209" s="214">
        <v>42767</v>
      </c>
      <c r="V209" s="212">
        <v>20</v>
      </c>
      <c r="W209" s="212">
        <v>4</v>
      </c>
      <c r="X209" s="212">
        <v>4</v>
      </c>
      <c r="Y209" s="213">
        <v>0</v>
      </c>
    </row>
    <row r="210" spans="21:25" x14ac:dyDescent="0.2">
      <c r="U210" s="214">
        <v>42795</v>
      </c>
      <c r="V210" s="212">
        <v>23</v>
      </c>
      <c r="W210" s="212">
        <v>4</v>
      </c>
      <c r="X210" s="212">
        <v>4</v>
      </c>
      <c r="Y210" s="213">
        <v>0</v>
      </c>
    </row>
    <row r="211" spans="21:25" x14ac:dyDescent="0.2">
      <c r="U211" s="214">
        <v>42826</v>
      </c>
      <c r="V211" s="212">
        <v>20</v>
      </c>
      <c r="W211" s="212">
        <v>5</v>
      </c>
      <c r="X211" s="212">
        <v>5</v>
      </c>
      <c r="Y211" s="213">
        <v>0</v>
      </c>
    </row>
    <row r="212" spans="21:25" x14ac:dyDescent="0.2">
      <c r="U212" s="214">
        <v>42856</v>
      </c>
      <c r="V212" s="212">
        <v>22</v>
      </c>
      <c r="W212" s="212">
        <v>4</v>
      </c>
      <c r="X212" s="212">
        <v>5</v>
      </c>
      <c r="Y212" s="213">
        <v>1</v>
      </c>
    </row>
    <row r="213" spans="21:25" x14ac:dyDescent="0.2">
      <c r="U213" s="214">
        <v>42887</v>
      </c>
      <c r="V213" s="212">
        <v>22</v>
      </c>
      <c r="W213" s="212">
        <v>4</v>
      </c>
      <c r="X213" s="212">
        <v>4</v>
      </c>
      <c r="Y213" s="213">
        <v>0</v>
      </c>
    </row>
    <row r="214" spans="21:25" x14ac:dyDescent="0.2">
      <c r="U214" s="214">
        <v>42917</v>
      </c>
      <c r="V214" s="212">
        <v>20</v>
      </c>
      <c r="W214" s="212">
        <v>5</v>
      </c>
      <c r="X214" s="212">
        <v>6</v>
      </c>
      <c r="Y214" s="213">
        <v>1</v>
      </c>
    </row>
    <row r="215" spans="21:25" x14ac:dyDescent="0.2">
      <c r="U215" s="214">
        <v>42948</v>
      </c>
      <c r="V215" s="212">
        <v>23</v>
      </c>
      <c r="W215" s="212">
        <v>4</v>
      </c>
      <c r="X215" s="212">
        <v>4</v>
      </c>
      <c r="Y215" s="213">
        <v>0</v>
      </c>
    </row>
    <row r="216" spans="21:25" x14ac:dyDescent="0.2">
      <c r="U216" s="214">
        <v>42979</v>
      </c>
      <c r="V216" s="212">
        <v>20</v>
      </c>
      <c r="W216" s="212">
        <v>5</v>
      </c>
      <c r="X216" s="212">
        <v>5</v>
      </c>
      <c r="Y216" s="213">
        <v>1</v>
      </c>
    </row>
    <row r="217" spans="21:25" x14ac:dyDescent="0.2">
      <c r="U217" s="214">
        <v>43009</v>
      </c>
      <c r="V217" s="212">
        <v>22</v>
      </c>
      <c r="W217" s="212">
        <v>4</v>
      </c>
      <c r="X217" s="212">
        <v>5</v>
      </c>
      <c r="Y217" s="213">
        <v>0</v>
      </c>
    </row>
    <row r="218" spans="21:25" x14ac:dyDescent="0.2">
      <c r="U218" s="214">
        <v>43040</v>
      </c>
      <c r="V218" s="212">
        <v>21</v>
      </c>
      <c r="W218" s="212">
        <v>4</v>
      </c>
      <c r="X218" s="212">
        <v>5</v>
      </c>
      <c r="Y218" s="213">
        <v>1</v>
      </c>
    </row>
    <row r="219" spans="21:25" x14ac:dyDescent="0.2">
      <c r="U219" s="214">
        <v>43070</v>
      </c>
      <c r="V219" s="212">
        <v>20</v>
      </c>
      <c r="W219" s="212">
        <v>5</v>
      </c>
      <c r="X219" s="212">
        <v>6</v>
      </c>
      <c r="Y219" s="213">
        <v>1</v>
      </c>
    </row>
    <row r="220" spans="21:25" x14ac:dyDescent="0.2">
      <c r="U220" s="214">
        <v>43101</v>
      </c>
      <c r="V220" s="212">
        <v>22</v>
      </c>
      <c r="W220" s="212">
        <v>4</v>
      </c>
      <c r="X220" s="212">
        <v>5</v>
      </c>
      <c r="Y220" s="213">
        <v>1</v>
      </c>
    </row>
    <row r="221" spans="21:25" x14ac:dyDescent="0.2">
      <c r="U221" s="214">
        <v>43132</v>
      </c>
      <c r="V221" s="212">
        <v>20</v>
      </c>
      <c r="W221" s="212">
        <v>4</v>
      </c>
      <c r="X221" s="212">
        <v>4</v>
      </c>
      <c r="Y221" s="213">
        <v>0</v>
      </c>
    </row>
    <row r="222" spans="21:25" x14ac:dyDescent="0.2">
      <c r="U222" s="214">
        <v>43160</v>
      </c>
      <c r="V222" s="212">
        <v>22</v>
      </c>
      <c r="W222" s="212">
        <v>5</v>
      </c>
      <c r="X222" s="212">
        <v>4</v>
      </c>
      <c r="Y222" s="213">
        <v>0</v>
      </c>
    </row>
    <row r="223" spans="21:25" x14ac:dyDescent="0.2">
      <c r="U223" s="214">
        <v>43191</v>
      </c>
      <c r="V223" s="212">
        <v>21</v>
      </c>
      <c r="W223" s="212">
        <v>4</v>
      </c>
      <c r="X223" s="212">
        <v>5</v>
      </c>
      <c r="Y223" s="213">
        <v>0</v>
      </c>
    </row>
    <row r="224" spans="21:25" x14ac:dyDescent="0.2">
      <c r="U224" s="214">
        <v>43221</v>
      </c>
      <c r="V224" s="212">
        <v>22</v>
      </c>
      <c r="W224" s="212">
        <v>4</v>
      </c>
      <c r="X224" s="212">
        <v>5</v>
      </c>
      <c r="Y224" s="213">
        <v>1</v>
      </c>
    </row>
    <row r="225" spans="21:25" x14ac:dyDescent="0.2">
      <c r="U225" s="214">
        <v>43252</v>
      </c>
      <c r="V225" s="212">
        <v>21</v>
      </c>
      <c r="W225" s="212">
        <v>5</v>
      </c>
      <c r="X225" s="212">
        <v>4</v>
      </c>
      <c r="Y225" s="213">
        <v>0</v>
      </c>
    </row>
    <row r="226" spans="21:25" x14ac:dyDescent="0.2">
      <c r="U226" s="214">
        <v>43282</v>
      </c>
      <c r="V226" s="212">
        <v>21</v>
      </c>
      <c r="W226" s="212">
        <v>4</v>
      </c>
      <c r="X226" s="212">
        <v>6</v>
      </c>
      <c r="Y226" s="213">
        <v>1</v>
      </c>
    </row>
    <row r="227" spans="21:25" x14ac:dyDescent="0.2">
      <c r="U227" s="214">
        <v>43313</v>
      </c>
      <c r="V227" s="212">
        <v>23</v>
      </c>
      <c r="W227" s="212">
        <v>4</v>
      </c>
      <c r="X227" s="212">
        <v>4</v>
      </c>
      <c r="Y227" s="213">
        <v>0</v>
      </c>
    </row>
    <row r="228" spans="21:25" x14ac:dyDescent="0.2">
      <c r="U228" s="214">
        <v>43344</v>
      </c>
      <c r="V228" s="212">
        <v>19</v>
      </c>
      <c r="W228" s="212">
        <v>5</v>
      </c>
      <c r="X228" s="212">
        <v>6</v>
      </c>
      <c r="Y228" s="213">
        <v>1</v>
      </c>
    </row>
    <row r="229" spans="21:25" x14ac:dyDescent="0.2">
      <c r="U229" s="214">
        <v>43374</v>
      </c>
      <c r="V229" s="212">
        <v>23</v>
      </c>
      <c r="W229" s="212">
        <v>4</v>
      </c>
      <c r="X229" s="212">
        <v>4</v>
      </c>
      <c r="Y229" s="213">
        <v>0</v>
      </c>
    </row>
    <row r="230" spans="21:25" x14ac:dyDescent="0.2">
      <c r="U230" s="214">
        <v>43405</v>
      </c>
      <c r="V230" s="212">
        <v>21</v>
      </c>
      <c r="W230" s="212">
        <v>4</v>
      </c>
      <c r="X230" s="212">
        <v>5</v>
      </c>
      <c r="Y230" s="213">
        <v>1</v>
      </c>
    </row>
    <row r="231" spans="21:25" x14ac:dyDescent="0.2">
      <c r="U231" s="214">
        <v>43435</v>
      </c>
      <c r="V231" s="212">
        <v>20</v>
      </c>
      <c r="W231" s="212">
        <v>5</v>
      </c>
      <c r="X231" s="212">
        <v>6</v>
      </c>
      <c r="Y231" s="213">
        <v>1</v>
      </c>
    </row>
    <row r="232" spans="21:25" x14ac:dyDescent="0.2">
      <c r="U232" s="214">
        <v>43466</v>
      </c>
      <c r="V232" s="212">
        <v>22</v>
      </c>
      <c r="W232" s="212">
        <v>4</v>
      </c>
      <c r="X232" s="212">
        <v>5</v>
      </c>
      <c r="Y232" s="213">
        <v>1</v>
      </c>
    </row>
    <row r="233" spans="21:25" x14ac:dyDescent="0.2">
      <c r="U233" s="214">
        <v>43497</v>
      </c>
      <c r="V233" s="212">
        <v>20</v>
      </c>
      <c r="W233" s="212">
        <v>4</v>
      </c>
      <c r="X233" s="212">
        <v>4</v>
      </c>
      <c r="Y233" s="213">
        <v>0</v>
      </c>
    </row>
    <row r="234" spans="21:25" x14ac:dyDescent="0.2">
      <c r="U234" s="214">
        <v>43525</v>
      </c>
      <c r="V234" s="212">
        <v>21</v>
      </c>
      <c r="W234" s="212">
        <v>5</v>
      </c>
      <c r="X234" s="212">
        <v>5</v>
      </c>
      <c r="Y234" s="213">
        <v>0</v>
      </c>
    </row>
    <row r="235" spans="21:25" x14ac:dyDescent="0.2">
      <c r="U235" s="214">
        <v>43556</v>
      </c>
      <c r="V235" s="212">
        <v>22</v>
      </c>
      <c r="W235" s="212">
        <v>4</v>
      </c>
      <c r="X235" s="212">
        <v>4</v>
      </c>
      <c r="Y235" s="213">
        <v>0</v>
      </c>
    </row>
    <row r="236" spans="21:25" x14ac:dyDescent="0.2">
      <c r="U236" s="214">
        <v>43586</v>
      </c>
      <c r="V236" s="212">
        <v>22</v>
      </c>
      <c r="W236" s="212">
        <v>4</v>
      </c>
      <c r="X236" s="212">
        <v>5</v>
      </c>
      <c r="Y236" s="213">
        <v>1</v>
      </c>
    </row>
    <row r="237" spans="21:25" x14ac:dyDescent="0.2">
      <c r="U237" s="214">
        <v>43617</v>
      </c>
      <c r="V237" s="212">
        <v>20</v>
      </c>
      <c r="W237" s="212">
        <v>5</v>
      </c>
      <c r="X237" s="212">
        <v>5</v>
      </c>
      <c r="Y237" s="213">
        <v>0</v>
      </c>
    </row>
    <row r="238" spans="21:25" x14ac:dyDescent="0.2">
      <c r="U238" s="214">
        <v>43647</v>
      </c>
      <c r="V238" s="212">
        <v>22</v>
      </c>
      <c r="W238" s="212">
        <v>4</v>
      </c>
      <c r="X238" s="212">
        <v>5</v>
      </c>
      <c r="Y238" s="213">
        <v>1</v>
      </c>
    </row>
    <row r="239" spans="21:25" x14ac:dyDescent="0.2">
      <c r="U239" s="214">
        <v>43678</v>
      </c>
      <c r="V239" s="212">
        <v>22</v>
      </c>
      <c r="W239" s="212">
        <v>5</v>
      </c>
      <c r="X239" s="212">
        <v>4</v>
      </c>
      <c r="Y239" s="213">
        <v>0</v>
      </c>
    </row>
    <row r="240" spans="21:25" x14ac:dyDescent="0.2">
      <c r="U240" s="214">
        <v>43709</v>
      </c>
      <c r="V240" s="212">
        <v>20</v>
      </c>
      <c r="W240" s="212">
        <v>4</v>
      </c>
      <c r="X240" s="212">
        <v>6</v>
      </c>
      <c r="Y240" s="213">
        <v>1</v>
      </c>
    </row>
    <row r="241" spans="21:25" x14ac:dyDescent="0.2">
      <c r="U241" s="214">
        <v>43739</v>
      </c>
      <c r="V241" s="212">
        <v>23</v>
      </c>
      <c r="W241" s="212">
        <v>4</v>
      </c>
      <c r="X241" s="212">
        <v>4</v>
      </c>
      <c r="Y241" s="213">
        <v>0</v>
      </c>
    </row>
    <row r="242" spans="21:25" x14ac:dyDescent="0.2">
      <c r="U242" s="214">
        <v>43770</v>
      </c>
      <c r="V242" s="212">
        <v>20</v>
      </c>
      <c r="W242" s="212">
        <v>5</v>
      </c>
      <c r="X242" s="212">
        <v>5</v>
      </c>
      <c r="Y242" s="213">
        <v>1</v>
      </c>
    </row>
    <row r="243" spans="21:25" x14ac:dyDescent="0.2">
      <c r="U243" s="214">
        <v>43800</v>
      </c>
      <c r="V243" s="212">
        <v>21</v>
      </c>
      <c r="W243" s="212">
        <v>4</v>
      </c>
      <c r="X243" s="212">
        <v>6</v>
      </c>
      <c r="Y243" s="213">
        <v>1</v>
      </c>
    </row>
    <row r="244" spans="21:25" x14ac:dyDescent="0.2">
      <c r="U244" s="214">
        <v>43831</v>
      </c>
      <c r="V244" s="212">
        <v>22</v>
      </c>
      <c r="W244" s="212">
        <v>4</v>
      </c>
      <c r="X244" s="212">
        <v>5</v>
      </c>
      <c r="Y244" s="213">
        <v>1</v>
      </c>
    </row>
    <row r="245" spans="21:25" x14ac:dyDescent="0.2">
      <c r="U245" s="214">
        <v>43862</v>
      </c>
      <c r="V245" s="212">
        <v>20</v>
      </c>
      <c r="W245" s="212">
        <v>5</v>
      </c>
      <c r="X245" s="212">
        <v>4</v>
      </c>
      <c r="Y245" s="213">
        <v>0</v>
      </c>
    </row>
    <row r="246" spans="21:25" x14ac:dyDescent="0.2">
      <c r="U246" s="214">
        <v>43891</v>
      </c>
      <c r="V246" s="212">
        <v>22</v>
      </c>
      <c r="W246" s="212">
        <v>4</v>
      </c>
      <c r="X246" s="212">
        <v>5</v>
      </c>
      <c r="Y246" s="213">
        <v>0</v>
      </c>
    </row>
    <row r="247" spans="21:25" x14ac:dyDescent="0.2">
      <c r="U247" s="214">
        <v>43922</v>
      </c>
      <c r="V247" s="212">
        <v>22</v>
      </c>
      <c r="W247" s="212">
        <v>4</v>
      </c>
      <c r="X247" s="212">
        <v>4</v>
      </c>
      <c r="Y247" s="213">
        <v>0</v>
      </c>
    </row>
    <row r="248" spans="21:25" x14ac:dyDescent="0.2">
      <c r="U248" s="214">
        <v>43952</v>
      </c>
      <c r="V248" s="212">
        <v>20</v>
      </c>
      <c r="W248" s="212">
        <v>5</v>
      </c>
      <c r="X248" s="212">
        <v>6</v>
      </c>
      <c r="Y248" s="213">
        <v>1</v>
      </c>
    </row>
    <row r="249" spans="21:25" x14ac:dyDescent="0.2">
      <c r="U249" s="214">
        <v>43983</v>
      </c>
      <c r="V249" s="212">
        <v>22</v>
      </c>
      <c r="W249" s="212">
        <v>4</v>
      </c>
      <c r="X249" s="212">
        <v>4</v>
      </c>
      <c r="Y249" s="213">
        <v>0</v>
      </c>
    </row>
    <row r="250" spans="21:25" x14ac:dyDescent="0.2">
      <c r="U250" s="214">
        <v>44013</v>
      </c>
      <c r="V250" s="212">
        <v>23</v>
      </c>
      <c r="W250" s="212">
        <v>3</v>
      </c>
      <c r="X250" s="212">
        <v>5</v>
      </c>
      <c r="Y250" s="213">
        <v>1</v>
      </c>
    </row>
    <row r="251" spans="21:25" x14ac:dyDescent="0.2">
      <c r="U251" s="214">
        <v>44044</v>
      </c>
      <c r="V251" s="212">
        <v>21</v>
      </c>
      <c r="W251" s="212">
        <v>5</v>
      </c>
      <c r="X251" s="212">
        <v>5</v>
      </c>
      <c r="Y251" s="213">
        <v>0</v>
      </c>
    </row>
    <row r="252" spans="21:25" x14ac:dyDescent="0.2">
      <c r="U252" s="214">
        <v>44075</v>
      </c>
      <c r="V252" s="212">
        <v>21</v>
      </c>
      <c r="W252" s="212">
        <v>4</v>
      </c>
      <c r="X252" s="212">
        <v>5</v>
      </c>
      <c r="Y252" s="213">
        <v>1</v>
      </c>
    </row>
    <row r="253" spans="21:25" x14ac:dyDescent="0.2">
      <c r="U253" s="214">
        <v>44105</v>
      </c>
      <c r="V253" s="212">
        <v>22</v>
      </c>
      <c r="W253" s="212">
        <v>5</v>
      </c>
      <c r="X253" s="212">
        <v>4</v>
      </c>
      <c r="Y253" s="213">
        <v>0</v>
      </c>
    </row>
    <row r="254" spans="21:25" x14ac:dyDescent="0.2">
      <c r="U254" s="214">
        <v>44136</v>
      </c>
      <c r="V254" s="212">
        <v>20</v>
      </c>
      <c r="W254" s="212">
        <v>4</v>
      </c>
      <c r="X254" s="212">
        <v>6</v>
      </c>
      <c r="Y254" s="213">
        <v>1</v>
      </c>
    </row>
    <row r="255" spans="21:25" x14ac:dyDescent="0.2">
      <c r="U255" s="214">
        <v>44166</v>
      </c>
      <c r="V255" s="212">
        <v>22</v>
      </c>
      <c r="W255" s="212">
        <v>4</v>
      </c>
      <c r="X255" s="212">
        <v>5</v>
      </c>
      <c r="Y255" s="213">
        <v>1</v>
      </c>
    </row>
    <row r="256" spans="21:25" x14ac:dyDescent="0.2">
      <c r="U256" s="214">
        <v>44197</v>
      </c>
      <c r="V256" s="212">
        <v>22</v>
      </c>
      <c r="W256" s="212">
        <v>4</v>
      </c>
      <c r="X256" s="212">
        <v>5</v>
      </c>
      <c r="Y256" s="213">
        <v>1</v>
      </c>
    </row>
    <row r="257" spans="21:25" x14ac:dyDescent="0.2">
      <c r="U257" s="214">
        <v>44228</v>
      </c>
      <c r="V257" s="212">
        <v>20</v>
      </c>
      <c r="W257" s="212">
        <v>4</v>
      </c>
      <c r="X257" s="212">
        <v>4</v>
      </c>
      <c r="Y257" s="213">
        <v>0</v>
      </c>
    </row>
    <row r="258" spans="21:25" x14ac:dyDescent="0.2">
      <c r="U258" s="214">
        <v>44256</v>
      </c>
      <c r="V258" s="212">
        <v>21</v>
      </c>
      <c r="W258" s="212">
        <v>5</v>
      </c>
      <c r="X258" s="212">
        <v>5</v>
      </c>
      <c r="Y258" s="213">
        <v>0</v>
      </c>
    </row>
    <row r="259" spans="21:25" x14ac:dyDescent="0.2">
      <c r="U259" s="214">
        <v>44287</v>
      </c>
      <c r="V259" s="212">
        <v>22</v>
      </c>
      <c r="W259" s="212">
        <v>4</v>
      </c>
      <c r="X259" s="212">
        <v>4</v>
      </c>
      <c r="Y259" s="213">
        <v>0</v>
      </c>
    </row>
    <row r="260" spans="21:25" x14ac:dyDescent="0.2">
      <c r="U260" s="214">
        <v>44317</v>
      </c>
      <c r="V260" s="212">
        <v>22</v>
      </c>
      <c r="W260" s="212">
        <v>4</v>
      </c>
      <c r="X260" s="212">
        <v>5</v>
      </c>
      <c r="Y260" s="213">
        <v>1</v>
      </c>
    </row>
    <row r="261" spans="21:25" x14ac:dyDescent="0.2">
      <c r="U261" s="214">
        <v>44348</v>
      </c>
      <c r="V261" s="212">
        <v>20</v>
      </c>
      <c r="W261" s="212">
        <v>5</v>
      </c>
      <c r="X261" s="212">
        <v>5</v>
      </c>
      <c r="Y261" s="213">
        <v>0</v>
      </c>
    </row>
    <row r="262" spans="21:25" x14ac:dyDescent="0.2">
      <c r="U262" s="214">
        <v>44378</v>
      </c>
      <c r="V262" s="212">
        <v>22</v>
      </c>
      <c r="W262" s="212">
        <v>4</v>
      </c>
      <c r="X262" s="212">
        <v>5</v>
      </c>
      <c r="Y262" s="213">
        <v>1</v>
      </c>
    </row>
    <row r="263" spans="21:25" x14ac:dyDescent="0.2">
      <c r="U263" s="214">
        <v>44409</v>
      </c>
      <c r="V263" s="212">
        <v>22</v>
      </c>
      <c r="W263" s="212">
        <v>5</v>
      </c>
      <c r="X263" s="212">
        <v>4</v>
      </c>
      <c r="Y263" s="213">
        <v>0</v>
      </c>
    </row>
    <row r="264" spans="21:25" x14ac:dyDescent="0.2">
      <c r="U264" s="214">
        <v>44440</v>
      </c>
      <c r="V264" s="212">
        <v>20</v>
      </c>
      <c r="W264" s="212">
        <v>4</v>
      </c>
      <c r="X264" s="212">
        <v>6</v>
      </c>
      <c r="Y264" s="213">
        <v>1</v>
      </c>
    </row>
    <row r="265" spans="21:25" x14ac:dyDescent="0.2">
      <c r="U265" s="214">
        <v>44470</v>
      </c>
      <c r="V265" s="212">
        <v>23</v>
      </c>
      <c r="W265" s="212">
        <v>4</v>
      </c>
      <c r="X265" s="212">
        <v>4</v>
      </c>
      <c r="Y265" s="213">
        <v>0</v>
      </c>
    </row>
    <row r="266" spans="21:25" x14ac:dyDescent="0.2">
      <c r="U266" s="214">
        <v>44501</v>
      </c>
      <c r="V266" s="212">
        <v>20</v>
      </c>
      <c r="W266" s="212">
        <v>5</v>
      </c>
      <c r="X266" s="212">
        <v>5</v>
      </c>
      <c r="Y266" s="213">
        <v>1</v>
      </c>
    </row>
    <row r="267" spans="21:25" x14ac:dyDescent="0.2">
      <c r="U267" s="214">
        <v>44531</v>
      </c>
      <c r="V267" s="212">
        <v>21</v>
      </c>
      <c r="W267" s="212">
        <v>4</v>
      </c>
      <c r="X267" s="212">
        <v>6</v>
      </c>
      <c r="Y267" s="213">
        <v>1</v>
      </c>
    </row>
    <row r="268" spans="21:25" x14ac:dyDescent="0.2">
      <c r="U268" s="214">
        <v>44562</v>
      </c>
      <c r="V268" s="212">
        <v>22</v>
      </c>
      <c r="W268" s="212">
        <v>4</v>
      </c>
      <c r="X268" s="212">
        <v>5</v>
      </c>
      <c r="Y268" s="213">
        <v>1</v>
      </c>
    </row>
    <row r="269" spans="21:25" x14ac:dyDescent="0.2">
      <c r="U269" s="214">
        <v>44593</v>
      </c>
      <c r="V269" s="212">
        <v>20</v>
      </c>
      <c r="W269" s="212">
        <v>4</v>
      </c>
      <c r="X269" s="212">
        <v>4</v>
      </c>
      <c r="Y269" s="213">
        <v>0</v>
      </c>
    </row>
    <row r="270" spans="21:25" x14ac:dyDescent="0.2">
      <c r="U270" s="214">
        <v>44621</v>
      </c>
      <c r="V270" s="212">
        <v>21</v>
      </c>
      <c r="W270" s="212">
        <v>5</v>
      </c>
      <c r="X270" s="212">
        <v>5</v>
      </c>
      <c r="Y270" s="213">
        <v>0</v>
      </c>
    </row>
    <row r="271" spans="21:25" x14ac:dyDescent="0.2">
      <c r="U271" s="214">
        <v>44652</v>
      </c>
      <c r="V271" s="212">
        <v>22</v>
      </c>
      <c r="W271" s="212">
        <v>4</v>
      </c>
      <c r="X271" s="212">
        <v>4</v>
      </c>
      <c r="Y271" s="213">
        <v>0</v>
      </c>
    </row>
    <row r="272" spans="21:25" x14ac:dyDescent="0.2">
      <c r="U272" s="214">
        <v>44682</v>
      </c>
      <c r="V272" s="212">
        <v>22</v>
      </c>
      <c r="W272" s="212">
        <v>4</v>
      </c>
      <c r="X272" s="212">
        <v>5</v>
      </c>
      <c r="Y272" s="213">
        <v>1</v>
      </c>
    </row>
    <row r="273" spans="21:25" x14ac:dyDescent="0.2">
      <c r="U273" s="214">
        <v>44713</v>
      </c>
      <c r="V273" s="212">
        <v>20</v>
      </c>
      <c r="W273" s="212">
        <v>5</v>
      </c>
      <c r="X273" s="212">
        <v>5</v>
      </c>
      <c r="Y273" s="213">
        <v>0</v>
      </c>
    </row>
    <row r="274" spans="21:25" x14ac:dyDescent="0.2">
      <c r="U274" s="214">
        <v>44743</v>
      </c>
      <c r="V274" s="212">
        <v>22</v>
      </c>
      <c r="W274" s="212">
        <v>4</v>
      </c>
      <c r="X274" s="212">
        <v>5</v>
      </c>
      <c r="Y274" s="213">
        <v>1</v>
      </c>
    </row>
    <row r="275" spans="21:25" x14ac:dyDescent="0.2">
      <c r="U275" s="214">
        <v>44774</v>
      </c>
      <c r="V275" s="212">
        <v>22</v>
      </c>
      <c r="W275" s="212">
        <v>5</v>
      </c>
      <c r="X275" s="212">
        <v>4</v>
      </c>
      <c r="Y275" s="213">
        <v>0</v>
      </c>
    </row>
    <row r="276" spans="21:25" x14ac:dyDescent="0.2">
      <c r="U276" s="214">
        <v>44805</v>
      </c>
      <c r="V276" s="212">
        <v>20</v>
      </c>
      <c r="W276" s="212">
        <v>4</v>
      </c>
      <c r="X276" s="212">
        <v>6</v>
      </c>
      <c r="Y276" s="213">
        <v>1</v>
      </c>
    </row>
    <row r="277" spans="21:25" x14ac:dyDescent="0.2">
      <c r="U277" s="214">
        <v>44835</v>
      </c>
      <c r="V277" s="212">
        <v>23</v>
      </c>
      <c r="W277" s="212">
        <v>4</v>
      </c>
      <c r="X277" s="212">
        <v>4</v>
      </c>
      <c r="Y277" s="213">
        <v>0</v>
      </c>
    </row>
    <row r="278" spans="21:25" x14ac:dyDescent="0.2">
      <c r="U278" s="214">
        <v>44866</v>
      </c>
      <c r="V278" s="212">
        <v>20</v>
      </c>
      <c r="W278" s="212">
        <v>5</v>
      </c>
      <c r="X278" s="212">
        <v>5</v>
      </c>
      <c r="Y278" s="213">
        <v>1</v>
      </c>
    </row>
    <row r="279" spans="21:25" x14ac:dyDescent="0.2">
      <c r="U279" s="214">
        <v>44896</v>
      </c>
      <c r="V279" s="212">
        <v>21</v>
      </c>
      <c r="W279" s="212">
        <v>4</v>
      </c>
      <c r="X279" s="212">
        <v>6</v>
      </c>
      <c r="Y279" s="213">
        <v>1</v>
      </c>
    </row>
    <row r="280" spans="21:25" x14ac:dyDescent="0.2">
      <c r="U280" s="214">
        <v>44927</v>
      </c>
      <c r="V280" s="212">
        <v>22</v>
      </c>
      <c r="W280" s="212">
        <v>4</v>
      </c>
      <c r="X280" s="212">
        <v>5</v>
      </c>
      <c r="Y280" s="213">
        <v>1</v>
      </c>
    </row>
    <row r="281" spans="21:25" x14ac:dyDescent="0.2">
      <c r="U281" s="214">
        <v>44958</v>
      </c>
      <c r="V281" s="212">
        <v>20</v>
      </c>
      <c r="W281" s="212">
        <v>4</v>
      </c>
      <c r="X281" s="212">
        <v>4</v>
      </c>
      <c r="Y281" s="213">
        <v>0</v>
      </c>
    </row>
    <row r="282" spans="21:25" x14ac:dyDescent="0.2">
      <c r="U282" s="214">
        <v>44986</v>
      </c>
      <c r="V282" s="212">
        <v>21</v>
      </c>
      <c r="W282" s="212">
        <v>5</v>
      </c>
      <c r="X282" s="212">
        <v>5</v>
      </c>
      <c r="Y282" s="213">
        <v>0</v>
      </c>
    </row>
    <row r="283" spans="21:25" x14ac:dyDescent="0.2">
      <c r="U283" s="214">
        <v>45017</v>
      </c>
      <c r="V283" s="212">
        <v>22</v>
      </c>
      <c r="W283" s="212">
        <v>4</v>
      </c>
      <c r="X283" s="212">
        <v>4</v>
      </c>
      <c r="Y283" s="213">
        <v>0</v>
      </c>
    </row>
    <row r="284" spans="21:25" x14ac:dyDescent="0.2">
      <c r="U284" s="214">
        <v>45047</v>
      </c>
      <c r="V284" s="212">
        <v>22</v>
      </c>
      <c r="W284" s="212">
        <v>4</v>
      </c>
      <c r="X284" s="212">
        <v>5</v>
      </c>
      <c r="Y284" s="213">
        <v>1</v>
      </c>
    </row>
    <row r="285" spans="21:25" x14ac:dyDescent="0.2">
      <c r="U285" s="214">
        <v>45078</v>
      </c>
      <c r="V285" s="212">
        <v>20</v>
      </c>
      <c r="W285" s="212">
        <v>5</v>
      </c>
      <c r="X285" s="212">
        <v>5</v>
      </c>
      <c r="Y285" s="213">
        <v>0</v>
      </c>
    </row>
    <row r="286" spans="21:25" x14ac:dyDescent="0.2">
      <c r="U286" s="214">
        <v>45108</v>
      </c>
      <c r="V286" s="212">
        <v>22</v>
      </c>
      <c r="W286" s="212">
        <v>4</v>
      </c>
      <c r="X286" s="212">
        <v>5</v>
      </c>
      <c r="Y286" s="213">
        <v>1</v>
      </c>
    </row>
    <row r="287" spans="21:25" x14ac:dyDescent="0.2">
      <c r="U287" s="214">
        <v>45139</v>
      </c>
      <c r="V287" s="212">
        <v>22</v>
      </c>
      <c r="W287" s="212">
        <v>5</v>
      </c>
      <c r="X287" s="212">
        <v>4</v>
      </c>
      <c r="Y287" s="213">
        <v>0</v>
      </c>
    </row>
    <row r="288" spans="21:25" x14ac:dyDescent="0.2">
      <c r="U288" s="214">
        <v>45170</v>
      </c>
      <c r="V288" s="212">
        <v>20</v>
      </c>
      <c r="W288" s="212">
        <v>4</v>
      </c>
      <c r="X288" s="212">
        <v>6</v>
      </c>
      <c r="Y288" s="213">
        <v>1</v>
      </c>
    </row>
    <row r="289" spans="21:25" x14ac:dyDescent="0.2">
      <c r="U289" s="214">
        <v>45200</v>
      </c>
      <c r="V289" s="212">
        <v>23</v>
      </c>
      <c r="W289" s="212">
        <v>4</v>
      </c>
      <c r="X289" s="212">
        <v>4</v>
      </c>
      <c r="Y289" s="213">
        <v>0</v>
      </c>
    </row>
    <row r="290" spans="21:25" x14ac:dyDescent="0.2">
      <c r="U290" s="214">
        <v>45231</v>
      </c>
      <c r="V290" s="212">
        <v>20</v>
      </c>
      <c r="W290" s="212">
        <v>5</v>
      </c>
      <c r="X290" s="212">
        <v>5</v>
      </c>
      <c r="Y290" s="213">
        <v>1</v>
      </c>
    </row>
    <row r="291" spans="21:25" x14ac:dyDescent="0.2">
      <c r="U291" s="214">
        <v>45261</v>
      </c>
      <c r="V291" s="212">
        <v>21</v>
      </c>
      <c r="W291" s="212">
        <v>4</v>
      </c>
      <c r="X291" s="212">
        <v>6</v>
      </c>
      <c r="Y291" s="213">
        <v>1</v>
      </c>
    </row>
    <row r="292" spans="21:25" x14ac:dyDescent="0.2">
      <c r="U292" s="214">
        <v>45292</v>
      </c>
      <c r="V292" s="212">
        <v>22</v>
      </c>
      <c r="W292" s="212">
        <v>4</v>
      </c>
      <c r="X292" s="212">
        <v>5</v>
      </c>
      <c r="Y292" s="213">
        <v>1</v>
      </c>
    </row>
    <row r="293" spans="21:25" x14ac:dyDescent="0.2">
      <c r="U293" s="214">
        <v>45323</v>
      </c>
      <c r="V293" s="212">
        <v>20</v>
      </c>
      <c r="W293" s="212">
        <v>5</v>
      </c>
      <c r="X293" s="212">
        <v>4</v>
      </c>
      <c r="Y293" s="213">
        <v>0</v>
      </c>
    </row>
    <row r="294" spans="21:25" x14ac:dyDescent="0.2">
      <c r="U294" s="214">
        <v>45352</v>
      </c>
      <c r="V294" s="212">
        <v>22</v>
      </c>
      <c r="W294" s="212">
        <v>4</v>
      </c>
      <c r="X294" s="212">
        <v>5</v>
      </c>
      <c r="Y294" s="213">
        <v>0</v>
      </c>
    </row>
    <row r="295" spans="21:25" x14ac:dyDescent="0.2">
      <c r="U295" s="214">
        <v>45383</v>
      </c>
      <c r="V295" s="212">
        <v>22</v>
      </c>
      <c r="W295" s="212">
        <v>4</v>
      </c>
      <c r="X295" s="212">
        <v>4</v>
      </c>
      <c r="Y295" s="213">
        <v>0</v>
      </c>
    </row>
    <row r="296" spans="21:25" x14ac:dyDescent="0.2">
      <c r="U296" s="214">
        <v>45413</v>
      </c>
      <c r="V296" s="212">
        <v>20</v>
      </c>
      <c r="W296" s="212">
        <v>5</v>
      </c>
      <c r="X296" s="212">
        <v>6</v>
      </c>
      <c r="Y296" s="213">
        <v>1</v>
      </c>
    </row>
    <row r="297" spans="21:25" x14ac:dyDescent="0.2">
      <c r="U297" s="214">
        <v>45444</v>
      </c>
      <c r="V297" s="212">
        <v>22</v>
      </c>
      <c r="W297" s="212">
        <v>4</v>
      </c>
      <c r="X297" s="212">
        <v>4</v>
      </c>
      <c r="Y297" s="213">
        <v>0</v>
      </c>
    </row>
    <row r="298" spans="21:25" x14ac:dyDescent="0.2">
      <c r="U298" s="214">
        <v>45474</v>
      </c>
      <c r="V298" s="212">
        <v>23</v>
      </c>
      <c r="W298" s="212">
        <v>3</v>
      </c>
      <c r="X298" s="212">
        <v>5</v>
      </c>
      <c r="Y298" s="213">
        <v>1</v>
      </c>
    </row>
    <row r="299" spans="21:25" x14ac:dyDescent="0.2">
      <c r="U299" s="214">
        <v>45505</v>
      </c>
      <c r="V299" s="212">
        <v>21</v>
      </c>
      <c r="W299" s="212">
        <v>5</v>
      </c>
      <c r="X299" s="212">
        <v>5</v>
      </c>
      <c r="Y299" s="213">
        <v>0</v>
      </c>
    </row>
    <row r="300" spans="21:25" x14ac:dyDescent="0.2">
      <c r="U300" s="214">
        <v>45536</v>
      </c>
      <c r="V300" s="212">
        <v>21</v>
      </c>
      <c r="W300" s="212">
        <v>4</v>
      </c>
      <c r="X300" s="212">
        <v>5</v>
      </c>
      <c r="Y300" s="213">
        <v>1</v>
      </c>
    </row>
    <row r="301" spans="21:25" x14ac:dyDescent="0.2">
      <c r="U301" s="214">
        <v>45566</v>
      </c>
      <c r="V301" s="212">
        <v>22</v>
      </c>
      <c r="W301" s="212">
        <v>5</v>
      </c>
      <c r="X301" s="212">
        <v>4</v>
      </c>
      <c r="Y301" s="213">
        <v>0</v>
      </c>
    </row>
    <row r="302" spans="21:25" x14ac:dyDescent="0.2">
      <c r="U302" s="214">
        <v>45597</v>
      </c>
      <c r="V302" s="212">
        <v>20</v>
      </c>
      <c r="W302" s="212">
        <v>4</v>
      </c>
      <c r="X302" s="212">
        <v>6</v>
      </c>
      <c r="Y302" s="213">
        <v>1</v>
      </c>
    </row>
    <row r="303" spans="21:25" x14ac:dyDescent="0.2">
      <c r="U303" s="214">
        <v>45627</v>
      </c>
      <c r="V303" s="212">
        <v>22</v>
      </c>
      <c r="W303" s="212">
        <v>4</v>
      </c>
      <c r="X303" s="212">
        <v>5</v>
      </c>
      <c r="Y303" s="213">
        <v>1</v>
      </c>
    </row>
    <row r="304" spans="21:25" x14ac:dyDescent="0.2">
      <c r="U304" s="214">
        <v>45658</v>
      </c>
      <c r="V304" s="212">
        <v>22</v>
      </c>
      <c r="W304" s="212">
        <v>4</v>
      </c>
      <c r="X304" s="212">
        <v>5</v>
      </c>
      <c r="Y304" s="213">
        <v>1</v>
      </c>
    </row>
    <row r="305" spans="21:25" x14ac:dyDescent="0.2">
      <c r="U305" s="214">
        <v>45689</v>
      </c>
      <c r="V305" s="212">
        <v>20</v>
      </c>
      <c r="W305" s="212">
        <v>4</v>
      </c>
      <c r="X305" s="212">
        <v>4</v>
      </c>
      <c r="Y305" s="213">
        <v>0</v>
      </c>
    </row>
    <row r="306" spans="21:25" x14ac:dyDescent="0.2">
      <c r="U306" s="214">
        <v>45717</v>
      </c>
      <c r="V306" s="212">
        <v>21</v>
      </c>
      <c r="W306" s="212">
        <v>5</v>
      </c>
      <c r="X306" s="212">
        <v>5</v>
      </c>
      <c r="Y306" s="213">
        <v>0</v>
      </c>
    </row>
    <row r="307" spans="21:25" x14ac:dyDescent="0.2">
      <c r="U307" s="214">
        <v>45748</v>
      </c>
      <c r="V307" s="212">
        <v>22</v>
      </c>
      <c r="W307" s="212">
        <v>4</v>
      </c>
      <c r="X307" s="212">
        <v>4</v>
      </c>
      <c r="Y307" s="213">
        <v>0</v>
      </c>
    </row>
    <row r="308" spans="21:25" x14ac:dyDescent="0.2">
      <c r="U308" s="214">
        <v>45778</v>
      </c>
      <c r="V308" s="212">
        <v>22</v>
      </c>
      <c r="W308" s="212">
        <v>4</v>
      </c>
      <c r="X308" s="212">
        <v>5</v>
      </c>
      <c r="Y308" s="213">
        <v>1</v>
      </c>
    </row>
    <row r="309" spans="21:25" x14ac:dyDescent="0.2">
      <c r="U309" s="214">
        <v>45809</v>
      </c>
      <c r="V309" s="212">
        <v>20</v>
      </c>
      <c r="W309" s="212">
        <v>5</v>
      </c>
      <c r="X309" s="212">
        <v>5</v>
      </c>
      <c r="Y309" s="213">
        <v>0</v>
      </c>
    </row>
    <row r="310" spans="21:25" x14ac:dyDescent="0.2">
      <c r="U310" s="214">
        <v>45839</v>
      </c>
      <c r="V310" s="212">
        <v>22</v>
      </c>
      <c r="W310" s="212">
        <v>4</v>
      </c>
      <c r="X310" s="212">
        <v>5</v>
      </c>
      <c r="Y310" s="213">
        <v>1</v>
      </c>
    </row>
    <row r="311" spans="21:25" x14ac:dyDescent="0.2">
      <c r="U311" s="214">
        <v>45870</v>
      </c>
      <c r="V311" s="212">
        <v>22</v>
      </c>
      <c r="W311" s="212">
        <v>5</v>
      </c>
      <c r="X311" s="212">
        <v>4</v>
      </c>
      <c r="Y311" s="213">
        <v>0</v>
      </c>
    </row>
    <row r="312" spans="21:25" x14ac:dyDescent="0.2">
      <c r="U312" s="214">
        <v>45901</v>
      </c>
      <c r="V312" s="212">
        <v>20</v>
      </c>
      <c r="W312" s="212">
        <v>4</v>
      </c>
      <c r="X312" s="212">
        <v>6</v>
      </c>
      <c r="Y312" s="213">
        <v>1</v>
      </c>
    </row>
    <row r="313" spans="21:25" x14ac:dyDescent="0.2">
      <c r="U313" s="214">
        <v>45931</v>
      </c>
      <c r="V313" s="212">
        <v>23</v>
      </c>
      <c r="W313" s="212">
        <v>4</v>
      </c>
      <c r="X313" s="212">
        <v>4</v>
      </c>
      <c r="Y313" s="213">
        <v>0</v>
      </c>
    </row>
    <row r="314" spans="21:25" x14ac:dyDescent="0.2">
      <c r="U314" s="214">
        <v>45962</v>
      </c>
      <c r="V314" s="212">
        <v>20</v>
      </c>
      <c r="W314" s="212">
        <v>5</v>
      </c>
      <c r="X314" s="212">
        <v>5</v>
      </c>
      <c r="Y314" s="213">
        <v>1</v>
      </c>
    </row>
    <row r="315" spans="21:25" x14ac:dyDescent="0.2">
      <c r="U315" s="214">
        <v>45992</v>
      </c>
      <c r="V315" s="212">
        <v>21</v>
      </c>
      <c r="W315" s="212">
        <v>4</v>
      </c>
      <c r="X315" s="212">
        <v>6</v>
      </c>
      <c r="Y315" s="213">
        <v>1</v>
      </c>
    </row>
    <row r="316" spans="21:25" x14ac:dyDescent="0.2">
      <c r="U316" s="214">
        <v>46023</v>
      </c>
      <c r="V316" s="212">
        <v>22</v>
      </c>
      <c r="W316" s="212">
        <v>4</v>
      </c>
      <c r="X316" s="212">
        <v>5</v>
      </c>
      <c r="Y316" s="213">
        <v>1</v>
      </c>
    </row>
    <row r="317" spans="21:25" x14ac:dyDescent="0.2">
      <c r="U317" s="214">
        <v>46054</v>
      </c>
      <c r="V317" s="212">
        <v>20</v>
      </c>
      <c r="W317" s="212">
        <v>4</v>
      </c>
      <c r="X317" s="212">
        <v>4</v>
      </c>
      <c r="Y317" s="213">
        <v>0</v>
      </c>
    </row>
    <row r="318" spans="21:25" x14ac:dyDescent="0.2">
      <c r="U318" s="214">
        <v>46082</v>
      </c>
      <c r="V318" s="212">
        <v>21</v>
      </c>
      <c r="W318" s="212">
        <v>5</v>
      </c>
      <c r="X318" s="212">
        <v>5</v>
      </c>
      <c r="Y318" s="213">
        <v>0</v>
      </c>
    </row>
    <row r="319" spans="21:25" x14ac:dyDescent="0.2">
      <c r="U319" s="214">
        <v>46113</v>
      </c>
      <c r="V319" s="212">
        <v>22</v>
      </c>
      <c r="W319" s="212">
        <v>4</v>
      </c>
      <c r="X319" s="212">
        <v>4</v>
      </c>
      <c r="Y319" s="213">
        <v>0</v>
      </c>
    </row>
    <row r="320" spans="21:25" x14ac:dyDescent="0.2">
      <c r="U320" s="214">
        <v>46143</v>
      </c>
      <c r="V320" s="212">
        <v>22</v>
      </c>
      <c r="W320" s="212">
        <v>4</v>
      </c>
      <c r="X320" s="212">
        <v>5</v>
      </c>
      <c r="Y320" s="213">
        <v>1</v>
      </c>
    </row>
    <row r="321" spans="21:25" x14ac:dyDescent="0.2">
      <c r="U321" s="214">
        <v>46174</v>
      </c>
      <c r="V321" s="212">
        <v>20</v>
      </c>
      <c r="W321" s="212">
        <v>5</v>
      </c>
      <c r="X321" s="212">
        <v>5</v>
      </c>
      <c r="Y321" s="213">
        <v>0</v>
      </c>
    </row>
    <row r="322" spans="21:25" x14ac:dyDescent="0.2">
      <c r="U322" s="214">
        <v>46204</v>
      </c>
      <c r="V322" s="212">
        <v>22</v>
      </c>
      <c r="W322" s="212">
        <v>4</v>
      </c>
      <c r="X322" s="212">
        <v>5</v>
      </c>
      <c r="Y322" s="213">
        <v>1</v>
      </c>
    </row>
    <row r="323" spans="21:25" x14ac:dyDescent="0.2">
      <c r="U323" s="214">
        <v>46235</v>
      </c>
      <c r="V323" s="212">
        <v>22</v>
      </c>
      <c r="W323" s="212">
        <v>5</v>
      </c>
      <c r="X323" s="212">
        <v>4</v>
      </c>
      <c r="Y323" s="213">
        <v>0</v>
      </c>
    </row>
    <row r="324" spans="21:25" x14ac:dyDescent="0.2">
      <c r="U324" s="214">
        <v>46266</v>
      </c>
      <c r="V324" s="212">
        <v>20</v>
      </c>
      <c r="W324" s="212">
        <v>4</v>
      </c>
      <c r="X324" s="212">
        <v>6</v>
      </c>
      <c r="Y324" s="213">
        <v>1</v>
      </c>
    </row>
    <row r="325" spans="21:25" x14ac:dyDescent="0.2">
      <c r="U325" s="214">
        <v>46296</v>
      </c>
      <c r="V325" s="212">
        <v>23</v>
      </c>
      <c r="W325" s="212">
        <v>4</v>
      </c>
      <c r="X325" s="212">
        <v>4</v>
      </c>
      <c r="Y325" s="213">
        <v>0</v>
      </c>
    </row>
    <row r="326" spans="21:25" x14ac:dyDescent="0.2">
      <c r="U326" s="214">
        <v>46327</v>
      </c>
      <c r="V326" s="212">
        <v>20</v>
      </c>
      <c r="W326" s="212">
        <v>5</v>
      </c>
      <c r="X326" s="212">
        <v>5</v>
      </c>
      <c r="Y326" s="213">
        <v>1</v>
      </c>
    </row>
    <row r="327" spans="21:25" x14ac:dyDescent="0.2">
      <c r="U327" s="214">
        <v>46357</v>
      </c>
      <c r="V327" s="212">
        <v>21</v>
      </c>
      <c r="W327" s="212">
        <v>4</v>
      </c>
      <c r="X327" s="212">
        <v>6</v>
      </c>
      <c r="Y327" s="213">
        <v>1</v>
      </c>
    </row>
    <row r="328" spans="21:25" x14ac:dyDescent="0.2">
      <c r="U328" s="214">
        <v>46388</v>
      </c>
      <c r="V328" s="212">
        <v>22</v>
      </c>
      <c r="W328" s="212">
        <v>4</v>
      </c>
      <c r="X328" s="212">
        <v>5</v>
      </c>
      <c r="Y328" s="213">
        <v>1</v>
      </c>
    </row>
    <row r="329" spans="21:25" x14ac:dyDescent="0.2">
      <c r="U329" s="214">
        <v>46419</v>
      </c>
      <c r="V329" s="212">
        <v>20</v>
      </c>
      <c r="W329" s="212">
        <v>4</v>
      </c>
      <c r="X329" s="212">
        <v>4</v>
      </c>
      <c r="Y329" s="213">
        <v>0</v>
      </c>
    </row>
    <row r="330" spans="21:25" x14ac:dyDescent="0.2">
      <c r="U330" s="214">
        <v>46447</v>
      </c>
      <c r="V330" s="212">
        <v>21</v>
      </c>
      <c r="W330" s="212">
        <v>5</v>
      </c>
      <c r="X330" s="212">
        <v>5</v>
      </c>
      <c r="Y330" s="213">
        <v>0</v>
      </c>
    </row>
    <row r="331" spans="21:25" x14ac:dyDescent="0.2">
      <c r="U331" s="214">
        <v>46478</v>
      </c>
      <c r="V331" s="212">
        <v>22</v>
      </c>
      <c r="W331" s="212">
        <v>4</v>
      </c>
      <c r="X331" s="212">
        <v>4</v>
      </c>
      <c r="Y331" s="213">
        <v>0</v>
      </c>
    </row>
    <row r="332" spans="21:25" x14ac:dyDescent="0.2">
      <c r="U332" s="214">
        <v>46508</v>
      </c>
      <c r="V332" s="212">
        <v>22</v>
      </c>
      <c r="W332" s="212">
        <v>4</v>
      </c>
      <c r="X332" s="212">
        <v>5</v>
      </c>
      <c r="Y332" s="213">
        <v>1</v>
      </c>
    </row>
    <row r="333" spans="21:25" x14ac:dyDescent="0.2">
      <c r="U333" s="214">
        <v>46539</v>
      </c>
      <c r="V333" s="212">
        <v>20</v>
      </c>
      <c r="W333" s="212">
        <v>5</v>
      </c>
      <c r="X333" s="212">
        <v>5</v>
      </c>
      <c r="Y333" s="213">
        <v>0</v>
      </c>
    </row>
    <row r="334" spans="21:25" x14ac:dyDescent="0.2">
      <c r="U334" s="214">
        <v>46569</v>
      </c>
      <c r="V334" s="212">
        <v>22</v>
      </c>
      <c r="W334" s="212">
        <v>4</v>
      </c>
      <c r="X334" s="212">
        <v>5</v>
      </c>
      <c r="Y334" s="213">
        <v>1</v>
      </c>
    </row>
    <row r="335" spans="21:25" x14ac:dyDescent="0.2">
      <c r="U335" s="214">
        <v>46600</v>
      </c>
      <c r="V335" s="212">
        <v>22</v>
      </c>
      <c r="W335" s="212">
        <v>5</v>
      </c>
      <c r="X335" s="212">
        <v>4</v>
      </c>
      <c r="Y335" s="213">
        <v>0</v>
      </c>
    </row>
    <row r="336" spans="21:25" x14ac:dyDescent="0.2">
      <c r="U336" s="214">
        <v>46631</v>
      </c>
      <c r="V336" s="212">
        <v>20</v>
      </c>
      <c r="W336" s="212">
        <v>4</v>
      </c>
      <c r="X336" s="212">
        <v>6</v>
      </c>
      <c r="Y336" s="213">
        <v>1</v>
      </c>
    </row>
    <row r="337" spans="21:25" x14ac:dyDescent="0.2">
      <c r="U337" s="214">
        <v>46661</v>
      </c>
      <c r="V337" s="212">
        <v>23</v>
      </c>
      <c r="W337" s="212">
        <v>4</v>
      </c>
      <c r="X337" s="212">
        <v>4</v>
      </c>
      <c r="Y337" s="213">
        <v>0</v>
      </c>
    </row>
    <row r="338" spans="21:25" x14ac:dyDescent="0.2">
      <c r="U338" s="214">
        <v>46692</v>
      </c>
      <c r="V338" s="212">
        <v>20</v>
      </c>
      <c r="W338" s="212">
        <v>5</v>
      </c>
      <c r="X338" s="212">
        <v>5</v>
      </c>
      <c r="Y338" s="213">
        <v>1</v>
      </c>
    </row>
    <row r="339" spans="21:25" x14ac:dyDescent="0.2">
      <c r="U339" s="214">
        <v>46722</v>
      </c>
      <c r="V339" s="212">
        <v>21</v>
      </c>
      <c r="W339" s="212">
        <v>4</v>
      </c>
      <c r="X339" s="212">
        <v>6</v>
      </c>
      <c r="Y339" s="213">
        <v>1</v>
      </c>
    </row>
    <row r="340" spans="21:25" x14ac:dyDescent="0.2">
      <c r="U340" s="214">
        <v>46753</v>
      </c>
      <c r="V340" s="212">
        <v>22</v>
      </c>
      <c r="W340" s="212">
        <v>4</v>
      </c>
      <c r="X340" s="212">
        <v>5</v>
      </c>
      <c r="Y340" s="213">
        <v>1</v>
      </c>
    </row>
    <row r="341" spans="21:25" x14ac:dyDescent="0.2">
      <c r="U341" s="214">
        <v>46784</v>
      </c>
      <c r="V341" s="212">
        <v>20</v>
      </c>
      <c r="W341" s="212">
        <v>5</v>
      </c>
      <c r="X341" s="212">
        <v>4</v>
      </c>
      <c r="Y341" s="213">
        <v>0</v>
      </c>
    </row>
    <row r="342" spans="21:25" x14ac:dyDescent="0.2">
      <c r="U342" s="214">
        <v>46813</v>
      </c>
      <c r="V342" s="212">
        <v>22</v>
      </c>
      <c r="W342" s="212">
        <v>4</v>
      </c>
      <c r="X342" s="212">
        <v>5</v>
      </c>
      <c r="Y342" s="213">
        <v>0</v>
      </c>
    </row>
    <row r="343" spans="21:25" x14ac:dyDescent="0.2">
      <c r="U343" s="214">
        <v>46844</v>
      </c>
      <c r="V343" s="212">
        <v>22</v>
      </c>
      <c r="W343" s="212">
        <v>4</v>
      </c>
      <c r="X343" s="212">
        <v>4</v>
      </c>
      <c r="Y343" s="213">
        <v>0</v>
      </c>
    </row>
    <row r="344" spans="21:25" x14ac:dyDescent="0.2">
      <c r="U344" s="214">
        <v>46874</v>
      </c>
      <c r="V344" s="212">
        <v>20</v>
      </c>
      <c r="W344" s="212">
        <v>5</v>
      </c>
      <c r="X344" s="212">
        <v>6</v>
      </c>
      <c r="Y344" s="213">
        <v>1</v>
      </c>
    </row>
    <row r="345" spans="21:25" x14ac:dyDescent="0.2">
      <c r="U345" s="214">
        <v>46905</v>
      </c>
      <c r="V345" s="212">
        <v>22</v>
      </c>
      <c r="W345" s="212">
        <v>4</v>
      </c>
      <c r="X345" s="212">
        <v>4</v>
      </c>
      <c r="Y345" s="213">
        <v>0</v>
      </c>
    </row>
    <row r="346" spans="21:25" x14ac:dyDescent="0.2">
      <c r="U346" s="214">
        <v>46935</v>
      </c>
      <c r="V346" s="212">
        <v>23</v>
      </c>
      <c r="W346" s="212">
        <v>3</v>
      </c>
      <c r="X346" s="212">
        <v>5</v>
      </c>
      <c r="Y346" s="213">
        <v>1</v>
      </c>
    </row>
    <row r="347" spans="21:25" x14ac:dyDescent="0.2">
      <c r="U347" s="214">
        <v>46966</v>
      </c>
      <c r="V347" s="212">
        <v>21</v>
      </c>
      <c r="W347" s="212">
        <v>5</v>
      </c>
      <c r="X347" s="212">
        <v>5</v>
      </c>
      <c r="Y347" s="213">
        <v>0</v>
      </c>
    </row>
    <row r="348" spans="21:25" x14ac:dyDescent="0.2">
      <c r="U348" s="214">
        <v>46997</v>
      </c>
      <c r="V348" s="212">
        <v>21</v>
      </c>
      <c r="W348" s="212">
        <v>4</v>
      </c>
      <c r="X348" s="212">
        <v>5</v>
      </c>
      <c r="Y348" s="213">
        <v>1</v>
      </c>
    </row>
    <row r="349" spans="21:25" x14ac:dyDescent="0.2">
      <c r="U349" s="214">
        <v>47027</v>
      </c>
      <c r="V349" s="212">
        <v>22</v>
      </c>
      <c r="W349" s="212">
        <v>5</v>
      </c>
      <c r="X349" s="212">
        <v>4</v>
      </c>
      <c r="Y349" s="213">
        <v>0</v>
      </c>
    </row>
    <row r="350" spans="21:25" x14ac:dyDescent="0.2">
      <c r="U350" s="214">
        <v>47058</v>
      </c>
      <c r="V350" s="212">
        <v>20</v>
      </c>
      <c r="W350" s="212">
        <v>4</v>
      </c>
      <c r="X350" s="212">
        <v>6</v>
      </c>
      <c r="Y350" s="213">
        <v>1</v>
      </c>
    </row>
    <row r="351" spans="21:25" x14ac:dyDescent="0.2">
      <c r="U351" s="214">
        <v>47088</v>
      </c>
      <c r="V351" s="212">
        <v>22</v>
      </c>
      <c r="W351" s="212">
        <v>4</v>
      </c>
      <c r="X351" s="212">
        <v>5</v>
      </c>
      <c r="Y351" s="213">
        <v>1</v>
      </c>
    </row>
    <row r="352" spans="21:25" x14ac:dyDescent="0.2">
      <c r="U352" s="214">
        <v>47119</v>
      </c>
      <c r="V352" s="212">
        <v>22</v>
      </c>
      <c r="W352" s="212">
        <v>4</v>
      </c>
      <c r="X352" s="212">
        <v>5</v>
      </c>
      <c r="Y352" s="213">
        <v>1</v>
      </c>
    </row>
    <row r="353" spans="21:25" x14ac:dyDescent="0.2">
      <c r="U353" s="214">
        <v>47150</v>
      </c>
      <c r="V353" s="212">
        <v>20</v>
      </c>
      <c r="W353" s="212">
        <v>4</v>
      </c>
      <c r="X353" s="212">
        <v>4</v>
      </c>
      <c r="Y353" s="213">
        <v>0</v>
      </c>
    </row>
    <row r="354" spans="21:25" x14ac:dyDescent="0.2">
      <c r="U354" s="214">
        <v>47178</v>
      </c>
      <c r="V354" s="212">
        <v>21</v>
      </c>
      <c r="W354" s="212">
        <v>5</v>
      </c>
      <c r="X354" s="212">
        <v>5</v>
      </c>
      <c r="Y354" s="213">
        <v>0</v>
      </c>
    </row>
    <row r="355" spans="21:25" x14ac:dyDescent="0.2">
      <c r="U355" s="214">
        <v>47209</v>
      </c>
      <c r="V355" s="212">
        <v>22</v>
      </c>
      <c r="W355" s="212">
        <v>4</v>
      </c>
      <c r="X355" s="212">
        <v>4</v>
      </c>
      <c r="Y355" s="213">
        <v>0</v>
      </c>
    </row>
    <row r="356" spans="21:25" x14ac:dyDescent="0.2">
      <c r="U356" s="214">
        <v>47239</v>
      </c>
      <c r="V356" s="212">
        <v>22</v>
      </c>
      <c r="W356" s="212">
        <v>4</v>
      </c>
      <c r="X356" s="212">
        <v>5</v>
      </c>
      <c r="Y356" s="213">
        <v>1</v>
      </c>
    </row>
    <row r="357" spans="21:25" x14ac:dyDescent="0.2">
      <c r="U357" s="214">
        <v>47270</v>
      </c>
      <c r="V357" s="212">
        <v>20</v>
      </c>
      <c r="W357" s="212">
        <v>5</v>
      </c>
      <c r="X357" s="212">
        <v>5</v>
      </c>
      <c r="Y357" s="213">
        <v>0</v>
      </c>
    </row>
    <row r="358" spans="21:25" x14ac:dyDescent="0.2">
      <c r="U358" s="214">
        <v>47300</v>
      </c>
      <c r="V358" s="212">
        <v>22</v>
      </c>
      <c r="W358" s="212">
        <v>4</v>
      </c>
      <c r="X358" s="212">
        <v>5</v>
      </c>
      <c r="Y358" s="213">
        <v>1</v>
      </c>
    </row>
    <row r="359" spans="21:25" x14ac:dyDescent="0.2">
      <c r="U359" s="214">
        <v>47331</v>
      </c>
      <c r="V359" s="212">
        <v>22</v>
      </c>
      <c r="W359" s="212">
        <v>5</v>
      </c>
      <c r="X359" s="212">
        <v>4</v>
      </c>
      <c r="Y359" s="213">
        <v>0</v>
      </c>
    </row>
    <row r="360" spans="21:25" x14ac:dyDescent="0.2">
      <c r="U360" s="214">
        <v>47362</v>
      </c>
      <c r="V360" s="212">
        <v>20</v>
      </c>
      <c r="W360" s="212">
        <v>4</v>
      </c>
      <c r="X360" s="212">
        <v>6</v>
      </c>
      <c r="Y360" s="213">
        <v>1</v>
      </c>
    </row>
    <row r="361" spans="21:25" x14ac:dyDescent="0.2">
      <c r="U361" s="214">
        <v>47392</v>
      </c>
      <c r="V361" s="212">
        <v>23</v>
      </c>
      <c r="W361" s="212">
        <v>4</v>
      </c>
      <c r="X361" s="212">
        <v>4</v>
      </c>
      <c r="Y361" s="213">
        <v>0</v>
      </c>
    </row>
    <row r="362" spans="21:25" x14ac:dyDescent="0.2">
      <c r="U362" s="214">
        <v>47423</v>
      </c>
      <c r="V362" s="212">
        <v>20</v>
      </c>
      <c r="W362" s="212">
        <v>5</v>
      </c>
      <c r="X362" s="212">
        <v>5</v>
      </c>
      <c r="Y362" s="213">
        <v>1</v>
      </c>
    </row>
    <row r="363" spans="21:25" x14ac:dyDescent="0.2">
      <c r="U363" s="214">
        <v>47453</v>
      </c>
      <c r="V363" s="212">
        <v>21</v>
      </c>
      <c r="W363" s="212">
        <v>4</v>
      </c>
      <c r="X363" s="212">
        <v>6</v>
      </c>
      <c r="Y363" s="213">
        <v>1</v>
      </c>
    </row>
    <row r="364" spans="21:25" x14ac:dyDescent="0.2">
      <c r="U364" s="214">
        <v>47484</v>
      </c>
      <c r="V364" s="212">
        <v>22</v>
      </c>
      <c r="W364" s="212">
        <v>4</v>
      </c>
      <c r="X364" s="212">
        <v>5</v>
      </c>
      <c r="Y364" s="213">
        <v>1</v>
      </c>
    </row>
    <row r="365" spans="21:25" x14ac:dyDescent="0.2">
      <c r="U365" s="214">
        <v>47515</v>
      </c>
      <c r="V365" s="212">
        <v>20</v>
      </c>
      <c r="W365" s="212">
        <v>4</v>
      </c>
      <c r="X365" s="212">
        <v>4</v>
      </c>
      <c r="Y365" s="213">
        <v>0</v>
      </c>
    </row>
    <row r="366" spans="21:25" x14ac:dyDescent="0.2">
      <c r="U366" s="214">
        <v>47543</v>
      </c>
      <c r="V366" s="212">
        <v>21</v>
      </c>
      <c r="W366" s="212">
        <v>5</v>
      </c>
      <c r="X366" s="212">
        <v>5</v>
      </c>
      <c r="Y366" s="213">
        <v>0</v>
      </c>
    </row>
    <row r="367" spans="21:25" x14ac:dyDescent="0.2">
      <c r="U367" s="214">
        <v>47574</v>
      </c>
      <c r="V367" s="212">
        <v>22</v>
      </c>
      <c r="W367" s="212">
        <v>4</v>
      </c>
      <c r="X367" s="212">
        <v>4</v>
      </c>
      <c r="Y367" s="213">
        <v>0</v>
      </c>
    </row>
    <row r="368" spans="21:25" x14ac:dyDescent="0.2">
      <c r="U368" s="214">
        <v>47604</v>
      </c>
      <c r="V368" s="212">
        <v>22</v>
      </c>
      <c r="W368" s="212">
        <v>4</v>
      </c>
      <c r="X368" s="212">
        <v>5</v>
      </c>
      <c r="Y368" s="213">
        <v>1</v>
      </c>
    </row>
    <row r="369" spans="21:25" x14ac:dyDescent="0.2">
      <c r="U369" s="214">
        <v>47635</v>
      </c>
      <c r="V369" s="212">
        <v>20</v>
      </c>
      <c r="W369" s="212">
        <v>5</v>
      </c>
      <c r="X369" s="212">
        <v>5</v>
      </c>
      <c r="Y369" s="213">
        <v>0</v>
      </c>
    </row>
    <row r="370" spans="21:25" x14ac:dyDescent="0.2">
      <c r="U370" s="214">
        <v>47665</v>
      </c>
      <c r="V370" s="212">
        <v>22</v>
      </c>
      <c r="W370" s="212">
        <v>4</v>
      </c>
      <c r="X370" s="212">
        <v>5</v>
      </c>
      <c r="Y370" s="213">
        <v>1</v>
      </c>
    </row>
    <row r="371" spans="21:25" x14ac:dyDescent="0.2">
      <c r="U371" s="214">
        <v>47696</v>
      </c>
      <c r="V371" s="212">
        <v>22</v>
      </c>
      <c r="W371" s="212">
        <v>5</v>
      </c>
      <c r="X371" s="212">
        <v>4</v>
      </c>
      <c r="Y371" s="213">
        <v>0</v>
      </c>
    </row>
    <row r="372" spans="21:25" x14ac:dyDescent="0.2">
      <c r="U372" s="214">
        <v>47727</v>
      </c>
      <c r="V372" s="212">
        <v>20</v>
      </c>
      <c r="W372" s="212">
        <v>4</v>
      </c>
      <c r="X372" s="212">
        <v>6</v>
      </c>
      <c r="Y372" s="213">
        <v>1</v>
      </c>
    </row>
    <row r="373" spans="21:25" x14ac:dyDescent="0.2">
      <c r="U373" s="214">
        <v>47757</v>
      </c>
      <c r="V373" s="212">
        <v>23</v>
      </c>
      <c r="W373" s="212">
        <v>4</v>
      </c>
      <c r="X373" s="212">
        <v>4</v>
      </c>
      <c r="Y373" s="213">
        <v>0</v>
      </c>
    </row>
    <row r="374" spans="21:25" x14ac:dyDescent="0.2">
      <c r="U374" s="214">
        <v>47788</v>
      </c>
      <c r="V374" s="212">
        <v>20</v>
      </c>
      <c r="W374" s="212">
        <v>5</v>
      </c>
      <c r="X374" s="212">
        <v>5</v>
      </c>
      <c r="Y374" s="213">
        <v>1</v>
      </c>
    </row>
    <row r="375" spans="21:25" x14ac:dyDescent="0.2">
      <c r="U375" s="214">
        <v>47818</v>
      </c>
      <c r="V375" s="212">
        <v>21</v>
      </c>
      <c r="W375" s="212">
        <v>4</v>
      </c>
      <c r="X375" s="212">
        <v>6</v>
      </c>
      <c r="Y375" s="213">
        <v>1</v>
      </c>
    </row>
    <row r="376" spans="21:25" x14ac:dyDescent="0.2">
      <c r="U376" s="214">
        <v>47849</v>
      </c>
      <c r="V376" s="212">
        <v>22</v>
      </c>
      <c r="W376" s="212">
        <v>4</v>
      </c>
      <c r="X376" s="212">
        <v>5</v>
      </c>
      <c r="Y376" s="213">
        <v>1</v>
      </c>
    </row>
    <row r="377" spans="21:25" x14ac:dyDescent="0.2">
      <c r="U377" s="214">
        <v>47880</v>
      </c>
      <c r="V377" s="212">
        <v>20</v>
      </c>
      <c r="W377" s="212">
        <v>4</v>
      </c>
      <c r="X377" s="212">
        <v>4</v>
      </c>
      <c r="Y377" s="213">
        <v>0</v>
      </c>
    </row>
    <row r="378" spans="21:25" x14ac:dyDescent="0.2">
      <c r="U378" s="214">
        <v>47908</v>
      </c>
      <c r="V378" s="212">
        <v>21</v>
      </c>
      <c r="W378" s="212">
        <v>5</v>
      </c>
      <c r="X378" s="212">
        <v>5</v>
      </c>
      <c r="Y378" s="213">
        <v>0</v>
      </c>
    </row>
    <row r="379" spans="21:25" x14ac:dyDescent="0.2">
      <c r="U379" s="214">
        <v>47939</v>
      </c>
      <c r="V379" s="212">
        <v>22</v>
      </c>
      <c r="W379" s="212">
        <v>4</v>
      </c>
      <c r="X379" s="212">
        <v>4</v>
      </c>
      <c r="Y379" s="213">
        <v>0</v>
      </c>
    </row>
    <row r="380" spans="21:25" x14ac:dyDescent="0.2">
      <c r="U380" s="214">
        <v>47969</v>
      </c>
      <c r="V380" s="212">
        <v>22</v>
      </c>
      <c r="W380" s="212">
        <v>4</v>
      </c>
      <c r="X380" s="212">
        <v>5</v>
      </c>
      <c r="Y380" s="213">
        <v>1</v>
      </c>
    </row>
    <row r="381" spans="21:25" x14ac:dyDescent="0.2">
      <c r="U381" s="214">
        <v>48000</v>
      </c>
      <c r="V381" s="212">
        <v>20</v>
      </c>
      <c r="W381" s="212">
        <v>5</v>
      </c>
      <c r="X381" s="212">
        <v>5</v>
      </c>
      <c r="Y381" s="213">
        <v>0</v>
      </c>
    </row>
    <row r="382" spans="21:25" x14ac:dyDescent="0.2">
      <c r="U382" s="214">
        <v>48030</v>
      </c>
      <c r="V382" s="212">
        <v>22</v>
      </c>
      <c r="W382" s="212">
        <v>4</v>
      </c>
      <c r="X382" s="212">
        <v>5</v>
      </c>
      <c r="Y382" s="213">
        <v>1</v>
      </c>
    </row>
    <row r="383" spans="21:25" x14ac:dyDescent="0.2">
      <c r="U383" s="214">
        <v>48061</v>
      </c>
      <c r="V383" s="212">
        <v>22</v>
      </c>
      <c r="W383" s="212">
        <v>5</v>
      </c>
      <c r="X383" s="212">
        <v>4</v>
      </c>
      <c r="Y383" s="213">
        <v>0</v>
      </c>
    </row>
    <row r="384" spans="21:25" x14ac:dyDescent="0.2">
      <c r="U384" s="214">
        <v>48092</v>
      </c>
      <c r="V384" s="212">
        <v>20</v>
      </c>
      <c r="W384" s="212">
        <v>4</v>
      </c>
      <c r="X384" s="212">
        <v>6</v>
      </c>
      <c r="Y384" s="213">
        <v>1</v>
      </c>
    </row>
    <row r="385" spans="21:25" x14ac:dyDescent="0.2">
      <c r="U385" s="214">
        <v>48122</v>
      </c>
      <c r="V385" s="212">
        <v>23</v>
      </c>
      <c r="W385" s="212">
        <v>4</v>
      </c>
      <c r="X385" s="212">
        <v>4</v>
      </c>
      <c r="Y385" s="213">
        <v>0</v>
      </c>
    </row>
    <row r="386" spans="21:25" x14ac:dyDescent="0.2">
      <c r="U386" s="214">
        <v>48153</v>
      </c>
      <c r="V386" s="212">
        <v>20</v>
      </c>
      <c r="W386" s="212">
        <v>5</v>
      </c>
      <c r="X386" s="212">
        <v>5</v>
      </c>
      <c r="Y386" s="213">
        <v>1</v>
      </c>
    </row>
    <row r="387" spans="21:25" x14ac:dyDescent="0.2">
      <c r="U387" s="214">
        <v>48183</v>
      </c>
      <c r="V387" s="212">
        <v>21</v>
      </c>
      <c r="W387" s="212">
        <v>4</v>
      </c>
      <c r="X387" s="212">
        <v>6</v>
      </c>
      <c r="Y387" s="213">
        <v>1</v>
      </c>
    </row>
    <row r="388" spans="21:25" x14ac:dyDescent="0.2">
      <c r="U388" s="214">
        <v>48214</v>
      </c>
      <c r="V388" s="212">
        <v>22</v>
      </c>
      <c r="W388" s="212">
        <v>4</v>
      </c>
      <c r="X388" s="212">
        <v>5</v>
      </c>
      <c r="Y388" s="213">
        <v>1</v>
      </c>
    </row>
    <row r="389" spans="21:25" x14ac:dyDescent="0.2">
      <c r="U389" s="214">
        <v>48245</v>
      </c>
      <c r="V389" s="212">
        <v>20</v>
      </c>
      <c r="W389" s="212">
        <v>5</v>
      </c>
      <c r="X389" s="212">
        <v>4</v>
      </c>
      <c r="Y389" s="213">
        <v>0</v>
      </c>
    </row>
    <row r="390" spans="21:25" x14ac:dyDescent="0.2">
      <c r="U390" s="214">
        <v>48274</v>
      </c>
      <c r="V390" s="212">
        <v>22</v>
      </c>
      <c r="W390" s="212">
        <v>4</v>
      </c>
      <c r="X390" s="212">
        <v>5</v>
      </c>
      <c r="Y390" s="213">
        <v>0</v>
      </c>
    </row>
    <row r="391" spans="21:25" x14ac:dyDescent="0.2">
      <c r="U391" s="214">
        <v>48305</v>
      </c>
      <c r="V391" s="212">
        <v>22</v>
      </c>
      <c r="W391" s="212">
        <v>4</v>
      </c>
      <c r="X391" s="212">
        <v>4</v>
      </c>
      <c r="Y391" s="213">
        <v>0</v>
      </c>
    </row>
    <row r="392" spans="21:25" x14ac:dyDescent="0.2">
      <c r="U392" s="214">
        <v>48335</v>
      </c>
      <c r="V392" s="212">
        <v>20</v>
      </c>
      <c r="W392" s="212">
        <v>5</v>
      </c>
      <c r="X392" s="212">
        <v>6</v>
      </c>
      <c r="Y392" s="213">
        <v>1</v>
      </c>
    </row>
    <row r="393" spans="21:25" x14ac:dyDescent="0.2">
      <c r="U393" s="214">
        <v>48366</v>
      </c>
      <c r="V393" s="212">
        <v>22</v>
      </c>
      <c r="W393" s="212">
        <v>4</v>
      </c>
      <c r="X393" s="212">
        <v>4</v>
      </c>
      <c r="Y393" s="213">
        <v>0</v>
      </c>
    </row>
    <row r="394" spans="21:25" x14ac:dyDescent="0.2">
      <c r="U394" s="214">
        <v>48396</v>
      </c>
      <c r="V394" s="212">
        <v>23</v>
      </c>
      <c r="W394" s="212">
        <v>3</v>
      </c>
      <c r="X394" s="212">
        <v>5</v>
      </c>
      <c r="Y394" s="213">
        <v>1</v>
      </c>
    </row>
    <row r="395" spans="21:25" x14ac:dyDescent="0.2">
      <c r="U395" s="214">
        <v>48427</v>
      </c>
      <c r="V395" s="212">
        <v>21</v>
      </c>
      <c r="W395" s="212">
        <v>5</v>
      </c>
      <c r="X395" s="212">
        <v>5</v>
      </c>
      <c r="Y395" s="213">
        <v>0</v>
      </c>
    </row>
    <row r="396" spans="21:25" x14ac:dyDescent="0.2">
      <c r="U396" s="214">
        <v>48458</v>
      </c>
      <c r="V396" s="212">
        <v>21</v>
      </c>
      <c r="W396" s="212">
        <v>4</v>
      </c>
      <c r="X396" s="212">
        <v>5</v>
      </c>
      <c r="Y396" s="213">
        <v>1</v>
      </c>
    </row>
    <row r="397" spans="21:25" x14ac:dyDescent="0.2">
      <c r="U397" s="214">
        <v>48488</v>
      </c>
      <c r="V397" s="212">
        <v>22</v>
      </c>
      <c r="W397" s="212">
        <v>5</v>
      </c>
      <c r="X397" s="212">
        <v>4</v>
      </c>
      <c r="Y397" s="213">
        <v>0</v>
      </c>
    </row>
    <row r="398" spans="21:25" x14ac:dyDescent="0.2">
      <c r="U398" s="214">
        <v>48519</v>
      </c>
      <c r="V398" s="212">
        <v>20</v>
      </c>
      <c r="W398" s="212">
        <v>4</v>
      </c>
      <c r="X398" s="212">
        <v>6</v>
      </c>
      <c r="Y398" s="213">
        <v>1</v>
      </c>
    </row>
    <row r="399" spans="21:25" x14ac:dyDescent="0.2">
      <c r="U399" s="214">
        <v>48549</v>
      </c>
      <c r="V399" s="212">
        <v>22</v>
      </c>
      <c r="W399" s="212">
        <v>4</v>
      </c>
      <c r="X399" s="212">
        <v>5</v>
      </c>
      <c r="Y399" s="213">
        <v>1</v>
      </c>
    </row>
    <row r="400" spans="21:25" x14ac:dyDescent="0.2">
      <c r="U400" s="214">
        <v>48580</v>
      </c>
      <c r="V400" s="212">
        <v>22</v>
      </c>
      <c r="W400" s="212">
        <v>4</v>
      </c>
      <c r="X400" s="212">
        <v>5</v>
      </c>
      <c r="Y400" s="213">
        <v>1</v>
      </c>
    </row>
    <row r="401" spans="21:25" x14ac:dyDescent="0.2">
      <c r="U401" s="214">
        <v>48611</v>
      </c>
      <c r="V401" s="212">
        <v>20</v>
      </c>
      <c r="W401" s="212">
        <v>4</v>
      </c>
      <c r="X401" s="212">
        <v>4</v>
      </c>
      <c r="Y401" s="213">
        <v>0</v>
      </c>
    </row>
    <row r="402" spans="21:25" x14ac:dyDescent="0.2">
      <c r="U402" s="214">
        <v>48639</v>
      </c>
      <c r="V402" s="212">
        <v>21</v>
      </c>
      <c r="W402" s="212">
        <v>5</v>
      </c>
      <c r="X402" s="212">
        <v>5</v>
      </c>
      <c r="Y402" s="213">
        <v>0</v>
      </c>
    </row>
    <row r="403" spans="21:25" x14ac:dyDescent="0.2">
      <c r="U403" s="214">
        <v>48670</v>
      </c>
      <c r="V403" s="212">
        <v>22</v>
      </c>
      <c r="W403" s="212">
        <v>4</v>
      </c>
      <c r="X403" s="212">
        <v>4</v>
      </c>
      <c r="Y403" s="213">
        <v>0</v>
      </c>
    </row>
    <row r="404" spans="21:25" x14ac:dyDescent="0.2">
      <c r="U404" s="214">
        <v>48700</v>
      </c>
      <c r="V404" s="212">
        <v>22</v>
      </c>
      <c r="W404" s="212">
        <v>4</v>
      </c>
      <c r="X404" s="212">
        <v>5</v>
      </c>
      <c r="Y404" s="213">
        <v>1</v>
      </c>
    </row>
    <row r="405" spans="21:25" x14ac:dyDescent="0.2">
      <c r="U405" s="214">
        <v>48731</v>
      </c>
      <c r="V405" s="212">
        <v>20</v>
      </c>
      <c r="W405" s="212">
        <v>5</v>
      </c>
      <c r="X405" s="212">
        <v>5</v>
      </c>
      <c r="Y405" s="213">
        <v>0</v>
      </c>
    </row>
    <row r="406" spans="21:25" x14ac:dyDescent="0.2">
      <c r="U406" s="214">
        <v>48761</v>
      </c>
      <c r="V406" s="212">
        <v>22</v>
      </c>
      <c r="W406" s="212">
        <v>4</v>
      </c>
      <c r="X406" s="212">
        <v>5</v>
      </c>
      <c r="Y406" s="213">
        <v>1</v>
      </c>
    </row>
    <row r="407" spans="21:25" x14ac:dyDescent="0.2">
      <c r="U407" s="214">
        <v>48792</v>
      </c>
      <c r="V407" s="212">
        <v>22</v>
      </c>
      <c r="W407" s="212">
        <v>5</v>
      </c>
      <c r="X407" s="212">
        <v>4</v>
      </c>
      <c r="Y407" s="213">
        <v>0</v>
      </c>
    </row>
    <row r="408" spans="21:25" x14ac:dyDescent="0.2">
      <c r="U408" s="214">
        <v>48823</v>
      </c>
      <c r="V408" s="212">
        <v>20</v>
      </c>
      <c r="W408" s="212">
        <v>4</v>
      </c>
      <c r="X408" s="212">
        <v>6</v>
      </c>
      <c r="Y408" s="213">
        <v>1</v>
      </c>
    </row>
    <row r="409" spans="21:25" x14ac:dyDescent="0.2">
      <c r="U409" s="214">
        <v>48853</v>
      </c>
      <c r="V409" s="212">
        <v>23</v>
      </c>
      <c r="W409" s="212">
        <v>4</v>
      </c>
      <c r="X409" s="212">
        <v>4</v>
      </c>
      <c r="Y409" s="213">
        <v>0</v>
      </c>
    </row>
    <row r="410" spans="21:25" x14ac:dyDescent="0.2">
      <c r="U410" s="214">
        <v>48884</v>
      </c>
      <c r="V410" s="212">
        <v>20</v>
      </c>
      <c r="W410" s="212">
        <v>5</v>
      </c>
      <c r="X410" s="212">
        <v>5</v>
      </c>
      <c r="Y410" s="213">
        <v>1</v>
      </c>
    </row>
    <row r="411" spans="21:25" x14ac:dyDescent="0.2">
      <c r="U411" s="214">
        <v>48914</v>
      </c>
      <c r="V411" s="212">
        <v>21</v>
      </c>
      <c r="W411" s="212">
        <v>4</v>
      </c>
      <c r="X411" s="212">
        <v>6</v>
      </c>
      <c r="Y411" s="213">
        <v>1</v>
      </c>
    </row>
    <row r="412" spans="21:25" x14ac:dyDescent="0.2">
      <c r="U412" s="214">
        <v>48945</v>
      </c>
      <c r="V412" s="212">
        <v>22</v>
      </c>
      <c r="W412" s="212">
        <v>4</v>
      </c>
      <c r="X412" s="212">
        <v>5</v>
      </c>
      <c r="Y412" s="213">
        <v>1</v>
      </c>
    </row>
    <row r="413" spans="21:25" x14ac:dyDescent="0.2">
      <c r="U413" s="214">
        <v>48976</v>
      </c>
      <c r="V413" s="212">
        <v>20</v>
      </c>
      <c r="W413" s="212">
        <v>4</v>
      </c>
      <c r="X413" s="212">
        <v>4</v>
      </c>
      <c r="Y413" s="213">
        <v>0</v>
      </c>
    </row>
    <row r="414" spans="21:25" x14ac:dyDescent="0.2">
      <c r="U414" s="214">
        <v>49004</v>
      </c>
      <c r="V414" s="212">
        <v>21</v>
      </c>
      <c r="W414" s="212">
        <v>5</v>
      </c>
      <c r="X414" s="212">
        <v>5</v>
      </c>
      <c r="Y414" s="213">
        <v>0</v>
      </c>
    </row>
    <row r="415" spans="21:25" x14ac:dyDescent="0.2">
      <c r="U415" s="214">
        <v>49035</v>
      </c>
      <c r="V415" s="212">
        <v>22</v>
      </c>
      <c r="W415" s="212">
        <v>4</v>
      </c>
      <c r="X415" s="212">
        <v>4</v>
      </c>
      <c r="Y415" s="213">
        <v>0</v>
      </c>
    </row>
    <row r="416" spans="21:25" x14ac:dyDescent="0.2">
      <c r="U416" s="214">
        <v>49065</v>
      </c>
      <c r="V416" s="212">
        <v>22</v>
      </c>
      <c r="W416" s="212">
        <v>4</v>
      </c>
      <c r="X416" s="212">
        <v>5</v>
      </c>
      <c r="Y416" s="213">
        <v>1</v>
      </c>
    </row>
    <row r="417" spans="21:25" x14ac:dyDescent="0.2">
      <c r="U417" s="214">
        <v>49096</v>
      </c>
      <c r="V417" s="212">
        <v>20</v>
      </c>
      <c r="W417" s="212">
        <v>5</v>
      </c>
      <c r="X417" s="212">
        <v>5</v>
      </c>
      <c r="Y417" s="213">
        <v>0</v>
      </c>
    </row>
    <row r="418" spans="21:25" x14ac:dyDescent="0.2">
      <c r="U418" s="214">
        <v>49126</v>
      </c>
      <c r="V418" s="212">
        <v>22</v>
      </c>
      <c r="W418" s="212">
        <v>4</v>
      </c>
      <c r="X418" s="212">
        <v>5</v>
      </c>
      <c r="Y418" s="213">
        <v>1</v>
      </c>
    </row>
    <row r="419" spans="21:25" x14ac:dyDescent="0.2">
      <c r="U419" s="214">
        <v>49157</v>
      </c>
      <c r="V419" s="212">
        <v>22</v>
      </c>
      <c r="W419" s="212">
        <v>5</v>
      </c>
      <c r="X419" s="212">
        <v>4</v>
      </c>
      <c r="Y419" s="213">
        <v>0</v>
      </c>
    </row>
    <row r="420" spans="21:25" x14ac:dyDescent="0.2">
      <c r="U420" s="214">
        <v>49188</v>
      </c>
      <c r="V420" s="212">
        <v>20</v>
      </c>
      <c r="W420" s="212">
        <v>4</v>
      </c>
      <c r="X420" s="212">
        <v>6</v>
      </c>
      <c r="Y420" s="213">
        <v>1</v>
      </c>
    </row>
    <row r="421" spans="21:25" x14ac:dyDescent="0.2">
      <c r="U421" s="214">
        <v>49218</v>
      </c>
      <c r="V421" s="212">
        <v>23</v>
      </c>
      <c r="W421" s="212">
        <v>4</v>
      </c>
      <c r="X421" s="212">
        <v>4</v>
      </c>
      <c r="Y421" s="213">
        <v>0</v>
      </c>
    </row>
    <row r="422" spans="21:25" x14ac:dyDescent="0.2">
      <c r="U422" s="214">
        <v>49249</v>
      </c>
      <c r="V422" s="212">
        <v>20</v>
      </c>
      <c r="W422" s="212">
        <v>5</v>
      </c>
      <c r="X422" s="212">
        <v>5</v>
      </c>
      <c r="Y422" s="213">
        <v>1</v>
      </c>
    </row>
    <row r="423" spans="21:25" x14ac:dyDescent="0.2">
      <c r="U423" s="214">
        <v>49279</v>
      </c>
      <c r="V423" s="212">
        <v>21</v>
      </c>
      <c r="W423" s="212">
        <v>4</v>
      </c>
      <c r="X423" s="212">
        <v>6</v>
      </c>
      <c r="Y423" s="213">
        <v>1</v>
      </c>
    </row>
    <row r="424" spans="21:25" x14ac:dyDescent="0.2">
      <c r="U424" s="214">
        <v>49310</v>
      </c>
      <c r="V424" s="212">
        <v>22</v>
      </c>
      <c r="W424" s="212">
        <v>4</v>
      </c>
      <c r="X424" s="212">
        <v>5</v>
      </c>
      <c r="Y424" s="213">
        <v>1</v>
      </c>
    </row>
    <row r="425" spans="21:25" x14ac:dyDescent="0.2">
      <c r="U425" s="214">
        <v>49341</v>
      </c>
      <c r="V425" s="212">
        <v>20</v>
      </c>
      <c r="W425" s="212">
        <v>4</v>
      </c>
      <c r="X425" s="212">
        <v>4</v>
      </c>
      <c r="Y425" s="213">
        <v>0</v>
      </c>
    </row>
    <row r="426" spans="21:25" x14ac:dyDescent="0.2">
      <c r="U426" s="214">
        <v>49369</v>
      </c>
      <c r="V426" s="212">
        <v>21</v>
      </c>
      <c r="W426" s="212">
        <v>5</v>
      </c>
      <c r="X426" s="212">
        <v>5</v>
      </c>
      <c r="Y426" s="213">
        <v>0</v>
      </c>
    </row>
    <row r="427" spans="21:25" x14ac:dyDescent="0.2">
      <c r="U427" s="214">
        <v>49400</v>
      </c>
      <c r="V427" s="212">
        <v>22</v>
      </c>
      <c r="W427" s="212">
        <v>4</v>
      </c>
      <c r="X427" s="212">
        <v>4</v>
      </c>
      <c r="Y427" s="213">
        <v>0</v>
      </c>
    </row>
    <row r="428" spans="21:25" x14ac:dyDescent="0.2">
      <c r="U428" s="214">
        <v>49430</v>
      </c>
      <c r="V428" s="212">
        <v>22</v>
      </c>
      <c r="W428" s="212">
        <v>4</v>
      </c>
      <c r="X428" s="212">
        <v>5</v>
      </c>
      <c r="Y428" s="213">
        <v>1</v>
      </c>
    </row>
    <row r="429" spans="21:25" x14ac:dyDescent="0.2">
      <c r="U429" s="214">
        <v>49461</v>
      </c>
      <c r="V429" s="212">
        <v>20</v>
      </c>
      <c r="W429" s="212">
        <v>5</v>
      </c>
      <c r="X429" s="212">
        <v>5</v>
      </c>
      <c r="Y429" s="213">
        <v>0</v>
      </c>
    </row>
    <row r="430" spans="21:25" x14ac:dyDescent="0.2">
      <c r="U430" s="214">
        <v>49491</v>
      </c>
      <c r="V430" s="212">
        <v>22</v>
      </c>
      <c r="W430" s="212">
        <v>4</v>
      </c>
      <c r="X430" s="212">
        <v>5</v>
      </c>
      <c r="Y430" s="213">
        <v>1</v>
      </c>
    </row>
    <row r="431" spans="21:25" x14ac:dyDescent="0.2">
      <c r="U431" s="214">
        <v>49522</v>
      </c>
      <c r="V431" s="212">
        <v>22</v>
      </c>
      <c r="W431" s="212">
        <v>5</v>
      </c>
      <c r="X431" s="212">
        <v>4</v>
      </c>
      <c r="Y431" s="213">
        <v>0</v>
      </c>
    </row>
    <row r="432" spans="21:25" x14ac:dyDescent="0.2">
      <c r="U432" s="214">
        <v>49553</v>
      </c>
      <c r="V432" s="212">
        <v>20</v>
      </c>
      <c r="W432" s="212">
        <v>4</v>
      </c>
      <c r="X432" s="212">
        <v>6</v>
      </c>
      <c r="Y432" s="213">
        <v>1</v>
      </c>
    </row>
    <row r="433" spans="21:25" x14ac:dyDescent="0.2">
      <c r="U433" s="214">
        <v>49583</v>
      </c>
      <c r="V433" s="212">
        <v>23</v>
      </c>
      <c r="W433" s="212">
        <v>4</v>
      </c>
      <c r="X433" s="212">
        <v>4</v>
      </c>
      <c r="Y433" s="213">
        <v>0</v>
      </c>
    </row>
    <row r="434" spans="21:25" x14ac:dyDescent="0.2">
      <c r="U434" s="214">
        <v>49614</v>
      </c>
      <c r="V434" s="212">
        <v>20</v>
      </c>
      <c r="W434" s="212">
        <v>5</v>
      </c>
      <c r="X434" s="212">
        <v>5</v>
      </c>
      <c r="Y434" s="213">
        <v>1</v>
      </c>
    </row>
    <row r="435" spans="21:25" x14ac:dyDescent="0.2">
      <c r="U435" s="214">
        <v>49644</v>
      </c>
      <c r="V435" s="212">
        <v>21</v>
      </c>
      <c r="W435" s="212">
        <v>4</v>
      </c>
      <c r="X435" s="212">
        <v>6</v>
      </c>
      <c r="Y435" s="213">
        <v>1</v>
      </c>
    </row>
    <row r="436" spans="21:25" x14ac:dyDescent="0.2">
      <c r="U436" s="214">
        <v>49675</v>
      </c>
      <c r="V436" s="212">
        <v>22</v>
      </c>
      <c r="W436" s="212">
        <v>4</v>
      </c>
      <c r="X436" s="212">
        <v>5</v>
      </c>
      <c r="Y436" s="213">
        <v>1</v>
      </c>
    </row>
    <row r="437" spans="21:25" x14ac:dyDescent="0.2">
      <c r="U437" s="214">
        <v>49706</v>
      </c>
      <c r="V437" s="212">
        <v>20</v>
      </c>
      <c r="W437" s="212">
        <v>5</v>
      </c>
      <c r="X437" s="212">
        <v>4</v>
      </c>
      <c r="Y437" s="213">
        <v>0</v>
      </c>
    </row>
    <row r="438" spans="21:25" x14ac:dyDescent="0.2">
      <c r="U438" s="214">
        <v>49735</v>
      </c>
      <c r="V438" s="212">
        <v>22</v>
      </c>
      <c r="W438" s="212">
        <v>4</v>
      </c>
      <c r="X438" s="212">
        <v>5</v>
      </c>
      <c r="Y438" s="213">
        <v>0</v>
      </c>
    </row>
    <row r="439" spans="21:25" x14ac:dyDescent="0.2">
      <c r="U439" s="214">
        <v>49766</v>
      </c>
      <c r="V439" s="212">
        <v>22</v>
      </c>
      <c r="W439" s="212">
        <v>4</v>
      </c>
      <c r="X439" s="212">
        <v>4</v>
      </c>
      <c r="Y439" s="213">
        <v>0</v>
      </c>
    </row>
    <row r="440" spans="21:25" x14ac:dyDescent="0.2">
      <c r="U440" s="214">
        <v>49796</v>
      </c>
      <c r="V440" s="212">
        <v>20</v>
      </c>
      <c r="W440" s="212">
        <v>5</v>
      </c>
      <c r="X440" s="212">
        <v>6</v>
      </c>
      <c r="Y440" s="213">
        <v>1</v>
      </c>
    </row>
    <row r="441" spans="21:25" x14ac:dyDescent="0.2">
      <c r="U441" s="214">
        <v>49827</v>
      </c>
      <c r="V441" s="212">
        <v>22</v>
      </c>
      <c r="W441" s="212">
        <v>4</v>
      </c>
      <c r="X441" s="212">
        <v>4</v>
      </c>
      <c r="Y441" s="213">
        <v>0</v>
      </c>
    </row>
    <row r="442" spans="21:25" x14ac:dyDescent="0.2">
      <c r="U442" s="214">
        <v>49857</v>
      </c>
      <c r="V442" s="212">
        <v>23</v>
      </c>
      <c r="W442" s="212">
        <v>3</v>
      </c>
      <c r="X442" s="212">
        <v>5</v>
      </c>
      <c r="Y442" s="213">
        <v>1</v>
      </c>
    </row>
    <row r="443" spans="21:25" x14ac:dyDescent="0.2">
      <c r="U443" s="214">
        <v>49888</v>
      </c>
      <c r="V443" s="212">
        <v>21</v>
      </c>
      <c r="W443" s="212">
        <v>5</v>
      </c>
      <c r="X443" s="212">
        <v>5</v>
      </c>
      <c r="Y443" s="213">
        <v>0</v>
      </c>
    </row>
    <row r="444" spans="21:25" x14ac:dyDescent="0.2">
      <c r="U444" s="214">
        <v>49919</v>
      </c>
      <c r="V444" s="212">
        <v>21</v>
      </c>
      <c r="W444" s="212">
        <v>4</v>
      </c>
      <c r="X444" s="212">
        <v>5</v>
      </c>
      <c r="Y444" s="213">
        <v>1</v>
      </c>
    </row>
    <row r="445" spans="21:25" x14ac:dyDescent="0.2">
      <c r="U445" s="214">
        <v>49949</v>
      </c>
      <c r="V445" s="212">
        <v>22</v>
      </c>
      <c r="W445" s="212">
        <v>5</v>
      </c>
      <c r="X445" s="212">
        <v>4</v>
      </c>
      <c r="Y445" s="213">
        <v>0</v>
      </c>
    </row>
    <row r="446" spans="21:25" x14ac:dyDescent="0.2">
      <c r="U446" s="214">
        <v>49980</v>
      </c>
      <c r="V446" s="212">
        <v>20</v>
      </c>
      <c r="W446" s="212">
        <v>4</v>
      </c>
      <c r="X446" s="212">
        <v>6</v>
      </c>
      <c r="Y446" s="213">
        <v>1</v>
      </c>
    </row>
    <row r="447" spans="21:25" ht="12" thickBot="1" x14ac:dyDescent="0.25">
      <c r="U447" s="215">
        <v>50010</v>
      </c>
      <c r="V447" s="216">
        <v>22</v>
      </c>
      <c r="W447" s="216">
        <v>4</v>
      </c>
      <c r="X447" s="216">
        <v>5</v>
      </c>
      <c r="Y447" s="217">
        <v>1</v>
      </c>
    </row>
  </sheetData>
  <mergeCells count="20">
    <mergeCell ref="AF3:AG3"/>
    <mergeCell ref="AI3:AJ3"/>
    <mergeCell ref="BD4:BD5"/>
    <mergeCell ref="BE4:BE5"/>
    <mergeCell ref="AT4:AT5"/>
    <mergeCell ref="AW4:AW5"/>
    <mergeCell ref="AX4:AX5"/>
    <mergeCell ref="AY4:BB4"/>
    <mergeCell ref="AM4:AN4"/>
    <mergeCell ref="AO4:AQ4"/>
    <mergeCell ref="C4:D4"/>
    <mergeCell ref="H4:H5"/>
    <mergeCell ref="I4:I5"/>
    <mergeCell ref="E4:G4"/>
    <mergeCell ref="AR4:AR5"/>
    <mergeCell ref="AS4:AS5"/>
    <mergeCell ref="O4:R4"/>
    <mergeCell ref="J4:J5"/>
    <mergeCell ref="M4:M5"/>
    <mergeCell ref="N4:N5"/>
  </mergeCells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G502"/>
  <sheetViews>
    <sheetView workbookViewId="0">
      <selection activeCell="H14" sqref="H14"/>
    </sheetView>
  </sheetViews>
  <sheetFormatPr defaultColWidth="5.7109375" defaultRowHeight="11.25" x14ac:dyDescent="0.2"/>
  <cols>
    <col min="1" max="1" width="5.7109375" style="21" customWidth="1"/>
    <col min="2" max="2" width="5.85546875" style="21" customWidth="1"/>
    <col min="3" max="3" width="3.7109375" style="21" customWidth="1"/>
    <col min="4" max="4" width="7.5703125" style="21" customWidth="1"/>
    <col min="5" max="6" width="5.7109375" style="21" customWidth="1"/>
    <col min="7" max="7" width="8.5703125" style="21" customWidth="1"/>
    <col min="8" max="12" width="5.7109375" style="21" customWidth="1"/>
    <col min="13" max="13" width="6.85546875" style="21" customWidth="1"/>
    <col min="14" max="45" width="5.7109375" style="21" customWidth="1"/>
    <col min="46" max="47" width="6.28515625" style="21" bestFit="1" customWidth="1"/>
    <col min="48" max="49" width="6.28515625" style="21" customWidth="1"/>
    <col min="50" max="57" width="6.28515625" style="21" bestFit="1" customWidth="1"/>
    <col min="58" max="59" width="5.7109375" style="21" customWidth="1"/>
    <col min="60" max="60" width="6.140625" style="21" bestFit="1" customWidth="1"/>
    <col min="61" max="61" width="9" style="21" bestFit="1" customWidth="1"/>
    <col min="62" max="66" width="5.7109375" style="21" customWidth="1"/>
    <col min="67" max="67" width="6.42578125" style="21" customWidth="1"/>
    <col min="68" max="69" width="5.7109375" style="21" customWidth="1"/>
    <col min="70" max="70" width="7" style="21" customWidth="1"/>
    <col min="71" max="71" width="6.28515625" style="21" customWidth="1"/>
    <col min="72" max="16384" width="5.7109375" style="21"/>
  </cols>
  <sheetData>
    <row r="1" spans="1:85" ht="12" thickBot="1" x14ac:dyDescent="0.25"/>
    <row r="2" spans="1:85" ht="12" thickBot="1" x14ac:dyDescent="0.25">
      <c r="A2" s="3" t="s">
        <v>12</v>
      </c>
      <c r="D2" s="241" t="s">
        <v>48</v>
      </c>
      <c r="BU2" s="17" t="s">
        <v>76</v>
      </c>
      <c r="BV2" s="18"/>
    </row>
    <row r="3" spans="1:85" ht="12" thickBot="1" x14ac:dyDescent="0.25">
      <c r="A3" s="242">
        <f>IF(MONTH(CurveDate)=12,DATE(YEAR(CurveDate)+1,1,1),DATE(YEAR(CurveDate),MONTH(CurveDate)+1,1))</f>
        <v>36982</v>
      </c>
      <c r="B3" s="243">
        <v>5.8768507524129009E-2</v>
      </c>
      <c r="D3" s="244" t="s">
        <v>163</v>
      </c>
      <c r="E3" s="245" t="s">
        <v>164</v>
      </c>
      <c r="F3" s="8"/>
      <c r="G3" s="246">
        <v>36971</v>
      </c>
      <c r="H3" s="247"/>
      <c r="I3" s="248"/>
      <c r="J3" s="248"/>
      <c r="K3" s="248"/>
      <c r="L3" s="7"/>
      <c r="M3" s="249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  <c r="AU3" s="248"/>
      <c r="AV3" s="248"/>
      <c r="AW3" s="248"/>
      <c r="AX3" s="248"/>
      <c r="AY3" s="248"/>
      <c r="AZ3" s="248"/>
      <c r="BA3" s="248"/>
      <c r="BB3" s="248"/>
      <c r="BC3" s="248"/>
      <c r="BD3" s="248"/>
      <c r="BE3" s="248"/>
      <c r="BF3" s="248"/>
      <c r="BG3" s="248"/>
      <c r="BH3" s="249"/>
      <c r="BI3" s="248"/>
      <c r="BJ3" s="248"/>
      <c r="BK3" s="248"/>
      <c r="BL3" s="248"/>
      <c r="BM3" s="248"/>
      <c r="BN3" s="248"/>
      <c r="BO3" s="248"/>
      <c r="BP3" s="248"/>
      <c r="BQ3" s="248"/>
      <c r="BR3" s="248"/>
      <c r="BS3" s="248"/>
      <c r="BT3" s="248"/>
      <c r="BU3" s="19" t="s">
        <v>79</v>
      </c>
      <c r="BV3" s="20">
        <v>1</v>
      </c>
      <c r="BW3" s="248"/>
      <c r="BX3" s="248"/>
      <c r="BY3" s="248"/>
      <c r="BZ3" s="248"/>
      <c r="CA3" s="248"/>
      <c r="CB3" s="248"/>
      <c r="CC3" s="248"/>
      <c r="CD3" s="248"/>
      <c r="CE3" s="248"/>
      <c r="CF3" s="248"/>
      <c r="CG3" s="248"/>
    </row>
    <row r="4" spans="1:85" ht="12.75" x14ac:dyDescent="0.2">
      <c r="A4" s="29">
        <v>36951</v>
      </c>
      <c r="B4" s="243">
        <v>5.782291193348401E-2</v>
      </c>
      <c r="D4" s="250"/>
      <c r="E4" s="8"/>
      <c r="F4" s="8"/>
      <c r="G4" s="8"/>
      <c r="H4" s="7"/>
      <c r="I4" s="248"/>
      <c r="J4" s="248"/>
      <c r="K4" s="248"/>
      <c r="L4" s="7"/>
      <c r="M4" s="249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 t="s">
        <v>49</v>
      </c>
      <c r="AA4" s="248"/>
      <c r="AB4" s="248"/>
      <c r="AC4" s="248"/>
      <c r="AD4" s="248"/>
      <c r="AE4" s="248"/>
      <c r="AF4" s="248"/>
      <c r="AG4" s="248"/>
      <c r="AH4" s="248" t="s">
        <v>50</v>
      </c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9"/>
      <c r="BI4" s="248"/>
      <c r="BJ4" s="248"/>
      <c r="BK4" s="248"/>
      <c r="BL4" s="248"/>
      <c r="BM4" s="248"/>
      <c r="BN4" s="248"/>
      <c r="BO4"/>
      <c r="BP4"/>
      <c r="BQ4"/>
      <c r="BR4"/>
      <c r="BS4"/>
      <c r="BT4" s="248"/>
      <c r="BU4" s="251" t="s">
        <v>77</v>
      </c>
      <c r="BV4" s="252" t="s">
        <v>78</v>
      </c>
      <c r="BW4" s="248"/>
      <c r="BX4" s="248"/>
      <c r="BY4" s="248"/>
      <c r="BZ4" s="248"/>
      <c r="CA4" s="248"/>
      <c r="CB4" s="248"/>
      <c r="CC4" s="248"/>
      <c r="CD4" s="248"/>
      <c r="CE4" s="248"/>
      <c r="CF4" s="248"/>
      <c r="CG4" s="248"/>
    </row>
    <row r="5" spans="1:85" ht="12.75" x14ac:dyDescent="0.2">
      <c r="A5" s="29">
        <v>36982</v>
      </c>
      <c r="B5" s="243">
        <v>5.6935221700728011E-2</v>
      </c>
      <c r="D5" s="7"/>
      <c r="E5" s="7"/>
      <c r="F5" s="7" t="s">
        <v>52</v>
      </c>
      <c r="G5" s="7"/>
      <c r="H5" s="7"/>
      <c r="I5" s="7"/>
      <c r="J5" s="7" t="s">
        <v>53</v>
      </c>
      <c r="K5" s="7"/>
      <c r="L5" s="7"/>
      <c r="M5" s="249"/>
      <c r="N5" s="7"/>
      <c r="O5" s="7" t="s">
        <v>54</v>
      </c>
      <c r="P5" s="7"/>
      <c r="Q5" s="7"/>
      <c r="R5" s="7"/>
      <c r="S5" s="7" t="s">
        <v>55</v>
      </c>
      <c r="T5" s="7"/>
      <c r="U5" s="7"/>
      <c r="V5" s="7"/>
      <c r="W5" s="7" t="s">
        <v>56</v>
      </c>
      <c r="X5" s="7"/>
      <c r="Y5" s="248"/>
      <c r="Z5" s="7"/>
      <c r="AA5" s="7" t="s">
        <v>20</v>
      </c>
      <c r="AB5" s="7"/>
      <c r="AC5" s="248"/>
      <c r="AD5" s="7"/>
      <c r="AE5" s="7" t="s">
        <v>57</v>
      </c>
      <c r="AF5" s="7"/>
      <c r="AG5" s="248"/>
      <c r="AH5" s="7"/>
      <c r="AI5" s="7" t="s">
        <v>20</v>
      </c>
      <c r="AJ5" s="7"/>
      <c r="AK5" s="248"/>
      <c r="AL5" s="7"/>
      <c r="AM5" s="7" t="s">
        <v>57</v>
      </c>
      <c r="AN5" s="7"/>
      <c r="AO5" s="248"/>
      <c r="AP5" s="7" t="s">
        <v>58</v>
      </c>
      <c r="AQ5" s="7" t="s">
        <v>59</v>
      </c>
      <c r="AR5" s="248"/>
      <c r="AS5" s="248"/>
      <c r="AT5" s="248"/>
      <c r="AU5" s="248"/>
      <c r="AV5" s="248"/>
      <c r="AW5" s="248"/>
      <c r="AX5" s="248"/>
      <c r="AY5" s="248"/>
      <c r="AZ5" s="248"/>
      <c r="BA5" s="248"/>
      <c r="BB5" s="248"/>
      <c r="BC5" s="248"/>
      <c r="BD5" s="248"/>
      <c r="BE5" s="248"/>
      <c r="BF5" s="248"/>
      <c r="BG5" s="248"/>
      <c r="BH5" s="249"/>
      <c r="BI5" s="7" t="s">
        <v>31</v>
      </c>
      <c r="BJ5" s="248"/>
      <c r="BK5" s="248"/>
      <c r="BL5" s="248"/>
      <c r="BM5" s="248"/>
      <c r="BN5" s="248"/>
      <c r="BO5"/>
      <c r="BP5"/>
      <c r="BQ5"/>
      <c r="BR5"/>
      <c r="BS5"/>
      <c r="BT5" s="248"/>
      <c r="BU5" s="253" t="s">
        <v>79</v>
      </c>
      <c r="BV5" s="254"/>
      <c r="BW5" s="248"/>
      <c r="BX5" s="248"/>
      <c r="BY5" s="248"/>
      <c r="BZ5" s="248"/>
      <c r="CA5" s="248"/>
      <c r="CB5" s="248">
        <v>2</v>
      </c>
      <c r="CC5" s="248"/>
      <c r="CD5" s="248"/>
      <c r="CE5" s="248"/>
      <c r="CF5" s="248"/>
      <c r="CG5" s="248"/>
    </row>
    <row r="6" spans="1:85" ht="12.75" x14ac:dyDescent="0.2">
      <c r="A6" s="29">
        <v>37012</v>
      </c>
      <c r="B6" s="243">
        <v>5.6349405031458001E-2</v>
      </c>
      <c r="D6" s="4"/>
      <c r="E6" s="5" t="s">
        <v>61</v>
      </c>
      <c r="F6" s="5" t="s">
        <v>60</v>
      </c>
      <c r="G6" s="6" t="s">
        <v>62</v>
      </c>
      <c r="H6" s="7"/>
      <c r="I6" s="6" t="s">
        <v>61</v>
      </c>
      <c r="J6" s="6" t="s">
        <v>60</v>
      </c>
      <c r="K6" s="6" t="s">
        <v>62</v>
      </c>
      <c r="L6" s="7"/>
      <c r="M6" s="249"/>
      <c r="N6" s="5" t="s">
        <v>61</v>
      </c>
      <c r="O6" s="5" t="s">
        <v>60</v>
      </c>
      <c r="P6" s="8" t="s">
        <v>62</v>
      </c>
      <c r="Q6" s="6"/>
      <c r="R6" s="5" t="s">
        <v>61</v>
      </c>
      <c r="S6" s="5" t="s">
        <v>60</v>
      </c>
      <c r="T6" s="8" t="s">
        <v>62</v>
      </c>
      <c r="U6" s="6"/>
      <c r="V6" s="5" t="s">
        <v>61</v>
      </c>
      <c r="W6" s="5" t="s">
        <v>60</v>
      </c>
      <c r="X6" s="6" t="s">
        <v>62</v>
      </c>
      <c r="Y6" s="248"/>
      <c r="Z6" s="5" t="s">
        <v>61</v>
      </c>
      <c r="AA6" s="5" t="s">
        <v>60</v>
      </c>
      <c r="AB6" s="6" t="s">
        <v>62</v>
      </c>
      <c r="AC6" s="248"/>
      <c r="AD6" s="5" t="s">
        <v>61</v>
      </c>
      <c r="AE6" s="5" t="s">
        <v>60</v>
      </c>
      <c r="AF6" s="6" t="s">
        <v>62</v>
      </c>
      <c r="AG6" s="248"/>
      <c r="AH6" s="5" t="s">
        <v>61</v>
      </c>
      <c r="AI6" s="5" t="s">
        <v>60</v>
      </c>
      <c r="AJ6" s="6" t="s">
        <v>62</v>
      </c>
      <c r="AK6" s="248"/>
      <c r="AL6" s="5" t="s">
        <v>61</v>
      </c>
      <c r="AM6" s="5" t="s">
        <v>60</v>
      </c>
      <c r="AN6" s="6" t="s">
        <v>62</v>
      </c>
      <c r="AO6" s="248"/>
      <c r="AP6" s="7" t="s">
        <v>63</v>
      </c>
      <c r="AQ6" s="7" t="s">
        <v>64</v>
      </c>
      <c r="AR6" s="248"/>
      <c r="AS6" s="7"/>
      <c r="AT6" s="8" t="s">
        <v>18</v>
      </c>
      <c r="AU6" s="8" t="s">
        <v>19</v>
      </c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248"/>
      <c r="BH6" s="249"/>
      <c r="BI6" s="7" t="s">
        <v>75</v>
      </c>
      <c r="BJ6" s="248"/>
      <c r="BK6" s="248"/>
      <c r="BL6" s="248"/>
      <c r="BM6" s="248"/>
      <c r="BN6" s="248"/>
      <c r="BO6"/>
      <c r="BP6"/>
      <c r="BQ6"/>
      <c r="BR6"/>
      <c r="BS6"/>
      <c r="BT6" s="248"/>
      <c r="BU6" s="255" t="s">
        <v>80</v>
      </c>
      <c r="BV6" s="256">
        <v>1</v>
      </c>
      <c r="BW6" s="248"/>
      <c r="BX6" s="248"/>
      <c r="BY6" s="248"/>
      <c r="BZ6" s="248"/>
      <c r="CA6" s="248"/>
      <c r="CB6" s="248"/>
      <c r="CC6" s="248"/>
      <c r="CD6" s="248"/>
      <c r="CE6" s="248"/>
      <c r="CF6" s="248"/>
      <c r="CG6" s="248"/>
    </row>
    <row r="7" spans="1:85" ht="12.75" x14ac:dyDescent="0.2">
      <c r="A7" s="29">
        <v>37043</v>
      </c>
      <c r="B7" s="243">
        <v>5.5788260418609015E-2</v>
      </c>
      <c r="D7" s="7"/>
      <c r="E7" s="7" t="s">
        <v>65</v>
      </c>
      <c r="F7" s="7" t="s">
        <v>65</v>
      </c>
      <c r="G7" s="7" t="s">
        <v>65</v>
      </c>
      <c r="H7" s="7"/>
      <c r="I7" s="7" t="s">
        <v>65</v>
      </c>
      <c r="J7" s="7" t="s">
        <v>65</v>
      </c>
      <c r="K7" s="7" t="s">
        <v>65</v>
      </c>
      <c r="L7" s="7"/>
      <c r="M7" s="249"/>
      <c r="N7" s="7" t="s">
        <v>65</v>
      </c>
      <c r="O7" s="7" t="s">
        <v>65</v>
      </c>
      <c r="P7" s="7" t="s">
        <v>65</v>
      </c>
      <c r="Q7" s="7"/>
      <c r="R7" s="7" t="s">
        <v>65</v>
      </c>
      <c r="S7" s="7" t="s">
        <v>65</v>
      </c>
      <c r="T7" s="7" t="s">
        <v>65</v>
      </c>
      <c r="U7" s="7"/>
      <c r="V7" s="7" t="s">
        <v>65</v>
      </c>
      <c r="W7" s="7" t="s">
        <v>65</v>
      </c>
      <c r="X7" s="7" t="s">
        <v>65</v>
      </c>
      <c r="Y7" s="248"/>
      <c r="Z7" s="7"/>
      <c r="AA7" s="7"/>
      <c r="AB7" s="7"/>
      <c r="AC7" s="248"/>
      <c r="AD7" s="7"/>
      <c r="AE7" s="7"/>
      <c r="AF7" s="7"/>
      <c r="AG7" s="248"/>
      <c r="AH7" s="7"/>
      <c r="AI7" s="7"/>
      <c r="AJ7" s="7"/>
      <c r="AK7" s="248"/>
      <c r="AL7" s="7"/>
      <c r="AM7" s="7"/>
      <c r="AN7" s="7"/>
      <c r="AO7" s="248"/>
      <c r="AP7" s="248"/>
      <c r="AQ7" s="248"/>
      <c r="AR7" s="248"/>
      <c r="AS7" s="8" t="s">
        <v>20</v>
      </c>
      <c r="AT7" s="257">
        <v>700</v>
      </c>
      <c r="AU7" s="257">
        <v>2200</v>
      </c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248"/>
      <c r="BH7" s="249"/>
      <c r="BI7" s="248"/>
      <c r="BJ7" s="248"/>
      <c r="BK7" s="248"/>
      <c r="BL7" s="248"/>
      <c r="BM7" s="248"/>
      <c r="BN7" s="248"/>
      <c r="BO7"/>
      <c r="BP7"/>
      <c r="BQ7"/>
      <c r="BR7"/>
      <c r="BS7"/>
      <c r="BT7" s="248"/>
      <c r="BU7" s="255" t="s">
        <v>81</v>
      </c>
      <c r="BV7" s="256">
        <v>2</v>
      </c>
      <c r="BW7" s="248"/>
      <c r="BX7" s="248"/>
      <c r="BY7" s="248"/>
      <c r="BZ7" s="248"/>
      <c r="CA7" s="248"/>
      <c r="CB7" s="248"/>
      <c r="CC7" s="248"/>
      <c r="CD7" s="248"/>
      <c r="CE7" s="248"/>
      <c r="CF7" s="248"/>
      <c r="CG7" s="248"/>
    </row>
    <row r="8" spans="1:85" ht="12.75" x14ac:dyDescent="0.2">
      <c r="A8" s="29">
        <v>37073</v>
      </c>
      <c r="B8" s="243">
        <v>5.5225338053079026E-2</v>
      </c>
      <c r="D8" s="8" t="s">
        <v>51</v>
      </c>
      <c r="E8" s="8"/>
      <c r="F8" s="8"/>
      <c r="G8" s="8"/>
      <c r="H8" s="8"/>
      <c r="I8" s="8"/>
      <c r="J8" s="8"/>
      <c r="K8" s="8"/>
      <c r="L8" s="7"/>
      <c r="M8" s="249" t="s">
        <v>51</v>
      </c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8"/>
      <c r="AM8" s="248"/>
      <c r="AN8" s="248"/>
      <c r="AO8" s="248"/>
      <c r="AP8" s="248"/>
      <c r="AQ8" s="248"/>
      <c r="AR8" s="248"/>
      <c r="AS8" s="258" t="s">
        <v>21</v>
      </c>
      <c r="AT8" s="259"/>
      <c r="AU8" s="259"/>
      <c r="AV8" s="259"/>
      <c r="AW8" s="259"/>
      <c r="AX8" s="6"/>
      <c r="AY8" s="6"/>
      <c r="AZ8" s="259"/>
      <c r="BA8" s="259"/>
      <c r="BB8" s="259"/>
      <c r="BC8" s="259"/>
      <c r="BD8" s="259"/>
      <c r="BE8" s="259"/>
      <c r="BF8" s="259"/>
      <c r="BG8" s="248"/>
      <c r="BH8" s="249" t="s">
        <v>51</v>
      </c>
      <c r="BI8" s="248"/>
      <c r="BJ8" s="248"/>
      <c r="BK8" s="248"/>
      <c r="BL8" s="248"/>
      <c r="BM8" s="248"/>
      <c r="BN8" s="248"/>
      <c r="BO8"/>
      <c r="BP8"/>
      <c r="BQ8"/>
      <c r="BR8"/>
      <c r="BS8"/>
      <c r="BT8" s="248"/>
      <c r="BU8" s="255" t="s">
        <v>82</v>
      </c>
      <c r="BV8" s="256">
        <v>3</v>
      </c>
      <c r="BW8" s="248"/>
      <c r="BX8" s="248"/>
      <c r="BY8" s="248"/>
      <c r="BZ8" s="248"/>
      <c r="CA8" s="248"/>
      <c r="CB8" s="248"/>
      <c r="CC8" s="248"/>
      <c r="CD8" s="248"/>
      <c r="CE8" s="248"/>
      <c r="CF8" s="248"/>
      <c r="CG8" s="248"/>
    </row>
    <row r="9" spans="1:85" ht="12.75" x14ac:dyDescent="0.2">
      <c r="A9" s="29">
        <v>37104</v>
      </c>
      <c r="B9" s="243">
        <v>5.4662415793083008E-2</v>
      </c>
      <c r="D9" s="260">
        <v>36972</v>
      </c>
      <c r="E9" s="9">
        <v>39.249996185302734</v>
      </c>
      <c r="F9" s="9">
        <v>39.499996185302734</v>
      </c>
      <c r="G9" s="9">
        <v>39.749996185302734</v>
      </c>
      <c r="H9" s="8"/>
      <c r="I9" s="9">
        <v>21.610000610351562</v>
      </c>
      <c r="J9" s="9">
        <v>21.860000610351563</v>
      </c>
      <c r="K9" s="9">
        <v>22.610000610351563</v>
      </c>
      <c r="L9" s="7"/>
      <c r="M9" s="249">
        <v>36923</v>
      </c>
      <c r="N9" s="261">
        <v>0</v>
      </c>
      <c r="O9" s="261">
        <v>0</v>
      </c>
      <c r="P9" s="261">
        <v>0</v>
      </c>
      <c r="Q9" s="248"/>
      <c r="R9" s="261">
        <v>0</v>
      </c>
      <c r="S9" s="261">
        <v>0</v>
      </c>
      <c r="T9" s="261">
        <v>0</v>
      </c>
      <c r="U9" s="248"/>
      <c r="V9" s="261">
        <v>0</v>
      </c>
      <c r="W9" s="261">
        <v>0</v>
      </c>
      <c r="X9" s="261">
        <v>0</v>
      </c>
      <c r="Y9" s="248"/>
      <c r="Z9" s="261">
        <v>0.67500000000000004</v>
      </c>
      <c r="AA9" s="261">
        <v>0.9</v>
      </c>
      <c r="AB9" s="261">
        <v>1.35</v>
      </c>
      <c r="AC9" s="248"/>
      <c r="AD9" s="261">
        <v>0.10875</v>
      </c>
      <c r="AE9" s="261">
        <v>0.14499999999999999</v>
      </c>
      <c r="AF9" s="261">
        <v>0.2175</v>
      </c>
      <c r="AG9" s="248"/>
      <c r="AH9" s="261">
        <v>-0.4</v>
      </c>
      <c r="AI9" s="261">
        <v>2.85</v>
      </c>
      <c r="AJ9" s="261">
        <v>0.6</v>
      </c>
      <c r="AK9" s="248"/>
      <c r="AL9" s="261">
        <v>-0.1</v>
      </c>
      <c r="AM9" s="261">
        <v>1</v>
      </c>
      <c r="AN9" s="261">
        <v>0.1</v>
      </c>
      <c r="AO9" s="248"/>
      <c r="AP9" s="7">
        <v>1</v>
      </c>
      <c r="AQ9" s="9">
        <v>0</v>
      </c>
      <c r="AR9" s="248"/>
      <c r="AS9" s="10"/>
      <c r="AT9" s="10" t="s">
        <v>13</v>
      </c>
      <c r="AU9" s="10" t="s">
        <v>14</v>
      </c>
      <c r="AV9" s="10" t="s">
        <v>15</v>
      </c>
      <c r="AW9" s="10" t="s">
        <v>17</v>
      </c>
      <c r="AX9" s="10" t="s">
        <v>16</v>
      </c>
      <c r="AY9" s="10" t="s">
        <v>22</v>
      </c>
      <c r="AZ9" s="10" t="s">
        <v>23</v>
      </c>
      <c r="BA9" s="10" t="s">
        <v>24</v>
      </c>
      <c r="BB9" s="10" t="s">
        <v>25</v>
      </c>
      <c r="BC9" s="10" t="s">
        <v>26</v>
      </c>
      <c r="BD9" s="10" t="s">
        <v>27</v>
      </c>
      <c r="BE9" s="10" t="s">
        <v>28</v>
      </c>
      <c r="BF9" s="10"/>
      <c r="BG9" s="248"/>
      <c r="BH9" s="249">
        <v>36923</v>
      </c>
      <c r="BI9" s="262">
        <v>0.75</v>
      </c>
      <c r="BJ9" s="248"/>
      <c r="BK9" s="248"/>
      <c r="BL9" s="248"/>
      <c r="BM9" s="248"/>
      <c r="BN9" s="248"/>
      <c r="BO9"/>
      <c r="BP9"/>
      <c r="BQ9"/>
      <c r="BR9"/>
      <c r="BS9"/>
      <c r="BT9" s="248"/>
      <c r="BU9" s="255" t="s">
        <v>83</v>
      </c>
      <c r="BV9" s="256">
        <v>4</v>
      </c>
      <c r="BW9" s="248"/>
      <c r="BX9" s="248"/>
      <c r="BY9" s="248"/>
      <c r="BZ9" s="248"/>
      <c r="CA9" s="248"/>
      <c r="CB9" s="248"/>
      <c r="CC9" s="248"/>
      <c r="CD9" s="248"/>
      <c r="CE9" s="248"/>
      <c r="CF9" s="248"/>
      <c r="CG9" s="248"/>
    </row>
    <row r="10" spans="1:85" ht="12.75" x14ac:dyDescent="0.2">
      <c r="A10" s="29">
        <v>37135</v>
      </c>
      <c r="B10" s="243">
        <v>5.4217519160728998E-2</v>
      </c>
      <c r="D10" s="260">
        <v>36973</v>
      </c>
      <c r="E10" s="9">
        <v>39.749996185302734</v>
      </c>
      <c r="F10" s="9">
        <v>39.999996185302734</v>
      </c>
      <c r="G10" s="9">
        <v>40.249996185302734</v>
      </c>
      <c r="H10" s="8"/>
      <c r="I10" s="9">
        <v>21.610000610351562</v>
      </c>
      <c r="J10" s="9">
        <v>21.860000610351563</v>
      </c>
      <c r="K10" s="9">
        <v>22.610000610351563</v>
      </c>
      <c r="L10" s="7"/>
      <c r="M10" s="249">
        <v>36951</v>
      </c>
      <c r="N10" s="261">
        <v>0</v>
      </c>
      <c r="O10" s="261">
        <v>0</v>
      </c>
      <c r="P10" s="261">
        <v>0</v>
      </c>
      <c r="Q10" s="248"/>
      <c r="R10" s="261">
        <v>0</v>
      </c>
      <c r="S10" s="261">
        <v>0</v>
      </c>
      <c r="T10" s="261">
        <v>0</v>
      </c>
      <c r="U10" s="248"/>
      <c r="V10" s="261">
        <v>0</v>
      </c>
      <c r="W10" s="261">
        <v>0</v>
      </c>
      <c r="X10" s="261">
        <v>0</v>
      </c>
      <c r="Y10" s="248"/>
      <c r="Z10" s="261">
        <v>0.6</v>
      </c>
      <c r="AA10" s="261">
        <v>0.8</v>
      </c>
      <c r="AB10" s="261">
        <v>1.2</v>
      </c>
      <c r="AC10" s="248"/>
      <c r="AD10" s="261">
        <v>0.09</v>
      </c>
      <c r="AE10" s="261">
        <v>0.12</v>
      </c>
      <c r="AF10" s="261">
        <v>0.18</v>
      </c>
      <c r="AG10" s="248"/>
      <c r="AH10" s="261">
        <v>-0.5</v>
      </c>
      <c r="AI10" s="261">
        <v>1.5</v>
      </c>
      <c r="AJ10" s="261">
        <v>1</v>
      </c>
      <c r="AK10" s="248"/>
      <c r="AL10" s="261">
        <v>-0.1</v>
      </c>
      <c r="AM10" s="261">
        <v>1</v>
      </c>
      <c r="AN10" s="261">
        <v>0.1</v>
      </c>
      <c r="AO10" s="248"/>
      <c r="AP10" s="7">
        <v>1</v>
      </c>
      <c r="AQ10" s="9">
        <v>0</v>
      </c>
      <c r="AR10" s="248"/>
      <c r="AS10" s="8" t="s">
        <v>29</v>
      </c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 t="s">
        <v>30</v>
      </c>
      <c r="BG10" s="248"/>
      <c r="BH10" s="249">
        <v>36951</v>
      </c>
      <c r="BI10" s="262">
        <v>0.75</v>
      </c>
      <c r="BJ10" s="248"/>
      <c r="BK10" s="248"/>
      <c r="BL10" s="248"/>
      <c r="BM10" s="248"/>
      <c r="BN10" s="248"/>
      <c r="BO10"/>
      <c r="BP10"/>
      <c r="BQ10"/>
      <c r="BR10"/>
      <c r="BS10"/>
      <c r="BT10" s="248"/>
      <c r="BU10" s="255" t="s">
        <v>84</v>
      </c>
      <c r="BV10" s="256">
        <v>5</v>
      </c>
      <c r="BW10" s="248"/>
      <c r="BX10" s="248"/>
      <c r="BY10" s="248"/>
      <c r="BZ10" s="248"/>
      <c r="CA10" s="248"/>
      <c r="CB10" s="248"/>
      <c r="CC10" s="248"/>
      <c r="CD10" s="248"/>
      <c r="CE10" s="248"/>
      <c r="CF10" s="248"/>
      <c r="CG10" s="248"/>
    </row>
    <row r="11" spans="1:85" ht="12.75" x14ac:dyDescent="0.2">
      <c r="A11" s="29">
        <v>37165</v>
      </c>
      <c r="B11" s="243">
        <v>5.3919449479775006E-2</v>
      </c>
      <c r="D11" s="260">
        <v>36974</v>
      </c>
      <c r="E11" s="9">
        <v>24.749996185302734</v>
      </c>
      <c r="F11" s="9">
        <v>24.999996185302734</v>
      </c>
      <c r="G11" s="9">
        <v>25.249996185302734</v>
      </c>
      <c r="H11" s="8"/>
      <c r="I11" s="9">
        <v>21.610000610351562</v>
      </c>
      <c r="J11" s="9">
        <v>21.860000610351563</v>
      </c>
      <c r="K11" s="9">
        <v>22.610000610351563</v>
      </c>
      <c r="L11" s="7"/>
      <c r="M11" s="249">
        <v>36982</v>
      </c>
      <c r="N11" s="261">
        <v>29.25</v>
      </c>
      <c r="O11" s="261">
        <v>29.5</v>
      </c>
      <c r="P11" s="261">
        <v>29.75</v>
      </c>
      <c r="Q11" s="248"/>
      <c r="R11" s="261">
        <v>28.245000839233398</v>
      </c>
      <c r="S11" s="261">
        <v>28.495000839233398</v>
      </c>
      <c r="T11" s="261">
        <v>28.745000839233398</v>
      </c>
      <c r="U11" s="248"/>
      <c r="V11" s="261">
        <v>0</v>
      </c>
      <c r="W11" s="261">
        <v>0</v>
      </c>
      <c r="X11" s="261">
        <v>0</v>
      </c>
      <c r="Y11" s="248"/>
      <c r="Z11" s="261">
        <v>0.5625</v>
      </c>
      <c r="AA11" s="261">
        <v>0.75</v>
      </c>
      <c r="AB11" s="261">
        <v>1.125</v>
      </c>
      <c r="AC11" s="248"/>
      <c r="AD11" s="261">
        <v>0.09</v>
      </c>
      <c r="AE11" s="261">
        <v>0.12</v>
      </c>
      <c r="AF11" s="261">
        <v>0.18</v>
      </c>
      <c r="AG11" s="248"/>
      <c r="AH11" s="261">
        <v>-0.5</v>
      </c>
      <c r="AI11" s="261">
        <v>1.75</v>
      </c>
      <c r="AJ11" s="261">
        <v>1</v>
      </c>
      <c r="AK11" s="248"/>
      <c r="AL11" s="261">
        <v>-0.1</v>
      </c>
      <c r="AM11" s="261">
        <v>1</v>
      </c>
      <c r="AN11" s="261">
        <v>0.1</v>
      </c>
      <c r="AO11" s="248"/>
      <c r="AP11" s="7">
        <v>1</v>
      </c>
      <c r="AQ11" s="9">
        <v>0</v>
      </c>
      <c r="AR11" s="248"/>
      <c r="AS11" s="7">
        <v>100</v>
      </c>
      <c r="AT11" s="263">
        <v>0.95</v>
      </c>
      <c r="AU11" s="263">
        <v>0.95</v>
      </c>
      <c r="AV11" s="263">
        <v>0.97040774510566918</v>
      </c>
      <c r="AW11" s="263">
        <v>0.99581258108414328</v>
      </c>
      <c r="AX11" s="263">
        <v>0.93483386579872663</v>
      </c>
      <c r="AY11" s="263">
        <v>1.02</v>
      </c>
      <c r="AZ11" s="263">
        <v>1.1093405989335892</v>
      </c>
      <c r="BA11" s="263">
        <v>1.1093405989335892</v>
      </c>
      <c r="BB11" s="263">
        <v>1.02</v>
      </c>
      <c r="BC11" s="263">
        <v>0.99581258108414328</v>
      </c>
      <c r="BD11" s="263">
        <v>0.97599999999999998</v>
      </c>
      <c r="BE11" s="263">
        <v>0.97599999999999998</v>
      </c>
      <c r="BF11" s="7" t="s">
        <v>67</v>
      </c>
      <c r="BG11" s="248"/>
      <c r="BH11" s="249">
        <v>36982</v>
      </c>
      <c r="BI11" s="262">
        <v>0.75</v>
      </c>
      <c r="BJ11" s="248"/>
      <c r="BK11" s="248"/>
      <c r="BL11" s="248"/>
      <c r="BM11" s="248"/>
      <c r="BN11" s="248"/>
      <c r="BO11"/>
      <c r="BP11"/>
      <c r="BQ11"/>
      <c r="BR11"/>
      <c r="BS11"/>
      <c r="BT11" s="248"/>
      <c r="BU11" s="255" t="s">
        <v>85</v>
      </c>
      <c r="BV11" s="256">
        <v>6</v>
      </c>
      <c r="BW11" s="248"/>
      <c r="BX11" s="248"/>
      <c r="BY11" s="248"/>
      <c r="BZ11" s="248"/>
      <c r="CA11" s="248"/>
      <c r="CB11" s="248"/>
      <c r="CC11" s="248"/>
      <c r="CD11" s="248"/>
      <c r="CE11" s="248"/>
      <c r="CF11" s="248"/>
      <c r="CG11" s="248"/>
    </row>
    <row r="12" spans="1:85" ht="12.75" x14ac:dyDescent="0.2">
      <c r="A12" s="29">
        <v>37196</v>
      </c>
      <c r="B12" s="243">
        <v>5.3630994978010008E-2</v>
      </c>
      <c r="D12" s="260">
        <v>36975</v>
      </c>
      <c r="E12" s="9">
        <v>24.749996185302734</v>
      </c>
      <c r="F12" s="9">
        <v>24.999996185302734</v>
      </c>
      <c r="G12" s="9">
        <v>25.249996185302734</v>
      </c>
      <c r="H12" s="8"/>
      <c r="I12" s="9">
        <v>21.610000610351562</v>
      </c>
      <c r="J12" s="9">
        <v>21.860000610351563</v>
      </c>
      <c r="K12" s="9">
        <v>22.610000610351563</v>
      </c>
      <c r="L12" s="7"/>
      <c r="M12" s="249">
        <v>37012</v>
      </c>
      <c r="N12" s="261">
        <v>30.25</v>
      </c>
      <c r="O12" s="261">
        <v>30.5</v>
      </c>
      <c r="P12" s="261">
        <v>30.75</v>
      </c>
      <c r="Q12" s="248"/>
      <c r="R12" s="261">
        <v>29.254997253417969</v>
      </c>
      <c r="S12" s="261">
        <v>29.504997253417969</v>
      </c>
      <c r="T12" s="261">
        <v>29.754997253417969</v>
      </c>
      <c r="U12" s="248"/>
      <c r="V12" s="261">
        <v>0</v>
      </c>
      <c r="W12" s="261">
        <v>0</v>
      </c>
      <c r="X12" s="261">
        <v>0</v>
      </c>
      <c r="Y12" s="248"/>
      <c r="Z12" s="261">
        <v>0.5625</v>
      </c>
      <c r="AA12" s="261">
        <v>0.75</v>
      </c>
      <c r="AB12" s="261">
        <v>1.125</v>
      </c>
      <c r="AC12" s="248"/>
      <c r="AD12" s="261">
        <v>0.11625000000000001</v>
      </c>
      <c r="AE12" s="261">
        <v>0.155</v>
      </c>
      <c r="AF12" s="261">
        <v>0.23250000000000001</v>
      </c>
      <c r="AG12" s="248"/>
      <c r="AH12" s="261">
        <v>-0.4</v>
      </c>
      <c r="AI12" s="261">
        <v>2.25</v>
      </c>
      <c r="AJ12" s="261">
        <v>0.5</v>
      </c>
      <c r="AK12" s="248"/>
      <c r="AL12" s="261">
        <v>-0.1</v>
      </c>
      <c r="AM12" s="261">
        <v>1.05</v>
      </c>
      <c r="AN12" s="261">
        <v>0.1</v>
      </c>
      <c r="AO12" s="248"/>
      <c r="AP12" s="7">
        <v>2</v>
      </c>
      <c r="AQ12" s="9">
        <v>0</v>
      </c>
      <c r="AR12" s="248"/>
      <c r="AS12" s="7">
        <v>200</v>
      </c>
      <c r="AT12" s="263">
        <v>0.9</v>
      </c>
      <c r="AU12" s="263">
        <v>0.9</v>
      </c>
      <c r="AV12" s="263">
        <v>0.93432900971023825</v>
      </c>
      <c r="AW12" s="263">
        <v>0.86749010993427533</v>
      </c>
      <c r="AX12" s="263">
        <v>0.93</v>
      </c>
      <c r="AY12" s="263">
        <v>0.95</v>
      </c>
      <c r="AZ12" s="263">
        <v>0.94039391064740063</v>
      </c>
      <c r="BA12" s="263">
        <v>0.94039391064740063</v>
      </c>
      <c r="BB12" s="263">
        <v>0.95</v>
      </c>
      <c r="BC12" s="263">
        <v>0.86749010993427533</v>
      </c>
      <c r="BD12" s="263">
        <v>0.9</v>
      </c>
      <c r="BE12" s="263">
        <v>0.9</v>
      </c>
      <c r="BF12" s="7" t="s">
        <v>67</v>
      </c>
      <c r="BG12" s="248"/>
      <c r="BH12" s="249">
        <v>37012</v>
      </c>
      <c r="BI12" s="262">
        <v>0.75</v>
      </c>
      <c r="BJ12" s="248"/>
      <c r="BK12" s="248"/>
      <c r="BL12" s="248"/>
      <c r="BM12" s="248"/>
      <c r="BN12" s="248"/>
      <c r="BO12"/>
      <c r="BP12"/>
      <c r="BQ12"/>
      <c r="BR12"/>
      <c r="BS12"/>
      <c r="BT12" s="248"/>
      <c r="BU12" s="255" t="s">
        <v>86</v>
      </c>
      <c r="BV12" s="256">
        <v>7</v>
      </c>
      <c r="BW12" s="248"/>
      <c r="BX12" s="248"/>
      <c r="BY12" s="248"/>
      <c r="BZ12" s="248"/>
      <c r="CA12" s="248"/>
      <c r="CB12" s="248"/>
      <c r="CC12" s="248"/>
      <c r="CD12" s="248"/>
      <c r="CE12" s="248"/>
      <c r="CF12" s="248"/>
      <c r="CG12" s="248"/>
    </row>
    <row r="13" spans="1:85" ht="12.75" x14ac:dyDescent="0.2">
      <c r="A13" s="29">
        <v>37226</v>
      </c>
      <c r="B13" s="243">
        <v>5.3452603808603005E-2</v>
      </c>
      <c r="D13" s="260">
        <v>36976</v>
      </c>
      <c r="E13" s="9">
        <v>40.999996185302734</v>
      </c>
      <c r="F13" s="9">
        <v>41.249996185302734</v>
      </c>
      <c r="G13" s="9">
        <v>41.499996185302734</v>
      </c>
      <c r="H13" s="8"/>
      <c r="I13" s="9">
        <v>21.610000610351562</v>
      </c>
      <c r="J13" s="9">
        <v>21.860000610351563</v>
      </c>
      <c r="K13" s="9">
        <v>22.610000610351563</v>
      </c>
      <c r="L13" s="7"/>
      <c r="M13" s="249">
        <v>37043</v>
      </c>
      <c r="N13" s="261">
        <v>35.25</v>
      </c>
      <c r="O13" s="261">
        <v>35.5</v>
      </c>
      <c r="P13" s="261">
        <v>35.75</v>
      </c>
      <c r="Q13" s="248"/>
      <c r="R13" s="261">
        <v>33.25</v>
      </c>
      <c r="S13" s="261">
        <v>33.5</v>
      </c>
      <c r="T13" s="261">
        <v>33.75</v>
      </c>
      <c r="U13" s="248"/>
      <c r="V13" s="261">
        <v>0</v>
      </c>
      <c r="W13" s="261">
        <v>0</v>
      </c>
      <c r="X13" s="261">
        <v>0</v>
      </c>
      <c r="Y13" s="248"/>
      <c r="Z13" s="261">
        <v>0.52500000000000002</v>
      </c>
      <c r="AA13" s="261">
        <v>0.7</v>
      </c>
      <c r="AB13" s="261">
        <v>1.05</v>
      </c>
      <c r="AC13" s="248"/>
      <c r="AD13" s="261">
        <v>0.13125000000000001</v>
      </c>
      <c r="AE13" s="261">
        <v>0.17499999999999999</v>
      </c>
      <c r="AF13" s="261">
        <v>0.26250000000000001</v>
      </c>
      <c r="AG13" s="248"/>
      <c r="AH13" s="261">
        <v>-0.4</v>
      </c>
      <c r="AI13" s="261">
        <v>4</v>
      </c>
      <c r="AJ13" s="261">
        <v>0.5</v>
      </c>
      <c r="AK13" s="248"/>
      <c r="AL13" s="261">
        <v>-0.1</v>
      </c>
      <c r="AM13" s="261">
        <v>1.1499999999999999</v>
      </c>
      <c r="AN13" s="261">
        <v>0.1</v>
      </c>
      <c r="AO13" s="248"/>
      <c r="AP13" s="7">
        <v>2</v>
      </c>
      <c r="AQ13" s="9">
        <v>0</v>
      </c>
      <c r="AR13" s="248"/>
      <c r="AS13" s="7">
        <v>300</v>
      </c>
      <c r="AT13" s="263">
        <v>0.9</v>
      </c>
      <c r="AU13" s="263">
        <v>0.9</v>
      </c>
      <c r="AV13" s="263">
        <v>0.93171633102390283</v>
      </c>
      <c r="AW13" s="263">
        <v>0.82996821771517892</v>
      </c>
      <c r="AX13" s="263">
        <v>0.93</v>
      </c>
      <c r="AY13" s="263">
        <v>0.9</v>
      </c>
      <c r="AZ13" s="263">
        <v>0.83371778620831694</v>
      </c>
      <c r="BA13" s="263">
        <v>0.83371778620831694</v>
      </c>
      <c r="BB13" s="263">
        <v>0.9</v>
      </c>
      <c r="BC13" s="263">
        <v>0.82996821771517892</v>
      </c>
      <c r="BD13" s="263">
        <v>0.9</v>
      </c>
      <c r="BE13" s="263">
        <v>0.9</v>
      </c>
      <c r="BF13" s="7" t="s">
        <v>67</v>
      </c>
      <c r="BG13" s="248"/>
      <c r="BH13" s="249">
        <v>37043</v>
      </c>
      <c r="BI13" s="262">
        <v>0.75</v>
      </c>
      <c r="BJ13" s="248"/>
      <c r="BK13" s="248"/>
      <c r="BL13" s="248"/>
      <c r="BM13" s="248"/>
      <c r="BN13" s="248"/>
      <c r="BO13"/>
      <c r="BP13"/>
      <c r="BQ13"/>
      <c r="BR13"/>
      <c r="BS13"/>
      <c r="BT13" s="248"/>
      <c r="BU13" s="255" t="s">
        <v>87</v>
      </c>
      <c r="BV13" s="256">
        <v>8</v>
      </c>
      <c r="BW13" s="248"/>
      <c r="BX13" s="248"/>
      <c r="BY13" s="248"/>
      <c r="BZ13" s="248"/>
      <c r="CA13" s="248"/>
      <c r="CB13" s="248"/>
      <c r="CC13" s="248"/>
      <c r="CD13" s="248"/>
      <c r="CE13" s="248"/>
      <c r="CF13" s="248"/>
      <c r="CG13" s="248"/>
    </row>
    <row r="14" spans="1:85" ht="12.75" x14ac:dyDescent="0.2">
      <c r="A14" s="29">
        <v>37257</v>
      </c>
      <c r="B14" s="243">
        <v>5.3439921275452003E-2</v>
      </c>
      <c r="D14" s="260">
        <v>36977</v>
      </c>
      <c r="E14" s="9">
        <v>40.999996185302734</v>
      </c>
      <c r="F14" s="9">
        <v>41.249996185302734</v>
      </c>
      <c r="G14" s="9">
        <v>41.499996185302734</v>
      </c>
      <c r="H14" s="8"/>
      <c r="I14" s="9">
        <v>20.610000610351562</v>
      </c>
      <c r="J14" s="9">
        <v>20.860000610351563</v>
      </c>
      <c r="K14" s="9">
        <v>21.610000610351562</v>
      </c>
      <c r="L14" s="7"/>
      <c r="M14" s="249">
        <v>37073</v>
      </c>
      <c r="N14" s="261">
        <v>39.25</v>
      </c>
      <c r="O14" s="261">
        <v>39.5</v>
      </c>
      <c r="P14" s="261">
        <v>39.75</v>
      </c>
      <c r="Q14" s="248"/>
      <c r="R14" s="261">
        <v>39.25</v>
      </c>
      <c r="S14" s="261">
        <v>39.5</v>
      </c>
      <c r="T14" s="261">
        <v>39.75</v>
      </c>
      <c r="U14" s="248"/>
      <c r="V14" s="261">
        <v>0</v>
      </c>
      <c r="W14" s="261">
        <v>0</v>
      </c>
      <c r="X14" s="261">
        <v>0</v>
      </c>
      <c r="Y14" s="248"/>
      <c r="Z14" s="261">
        <v>0.63749999999999996</v>
      </c>
      <c r="AA14" s="261">
        <v>0.85</v>
      </c>
      <c r="AB14" s="261">
        <v>1.2749999999999999</v>
      </c>
      <c r="AC14" s="248"/>
      <c r="AD14" s="261">
        <v>0.16125</v>
      </c>
      <c r="AE14" s="261">
        <v>0.215</v>
      </c>
      <c r="AF14" s="261">
        <v>0.32250000000000001</v>
      </c>
      <c r="AG14" s="248"/>
      <c r="AH14" s="261">
        <v>-0.4</v>
      </c>
      <c r="AI14" s="261">
        <v>6.75</v>
      </c>
      <c r="AJ14" s="261">
        <v>0.5</v>
      </c>
      <c r="AK14" s="248"/>
      <c r="AL14" s="261">
        <v>-0.1</v>
      </c>
      <c r="AM14" s="261">
        <v>1.1499999999999999</v>
      </c>
      <c r="AN14" s="261">
        <v>0.1</v>
      </c>
      <c r="AO14" s="248"/>
      <c r="AP14" s="7">
        <v>2</v>
      </c>
      <c r="AQ14" s="9">
        <v>0</v>
      </c>
      <c r="AR14" s="248"/>
      <c r="AS14" s="7">
        <v>400</v>
      </c>
      <c r="AT14" s="263">
        <v>0.9</v>
      </c>
      <c r="AU14" s="263">
        <v>0.9</v>
      </c>
      <c r="AV14" s="263">
        <v>0.93171633102390283</v>
      </c>
      <c r="AW14" s="263">
        <v>0.82996821771517892</v>
      </c>
      <c r="AX14" s="263">
        <v>0.93600000000000005</v>
      </c>
      <c r="AY14" s="263">
        <v>0.85</v>
      </c>
      <c r="AZ14" s="263">
        <v>0.79555730190312479</v>
      </c>
      <c r="BA14" s="263">
        <v>0.79555730190312479</v>
      </c>
      <c r="BB14" s="263">
        <v>0.85</v>
      </c>
      <c r="BC14" s="263">
        <v>0.82996821771517892</v>
      </c>
      <c r="BD14" s="263">
        <v>0.9</v>
      </c>
      <c r="BE14" s="263">
        <v>0.9</v>
      </c>
      <c r="BF14" s="7" t="s">
        <v>67</v>
      </c>
      <c r="BG14" s="248"/>
      <c r="BH14" s="249">
        <v>37073</v>
      </c>
      <c r="BI14" s="262">
        <v>0.75</v>
      </c>
      <c r="BJ14" s="248"/>
      <c r="BK14" s="248"/>
      <c r="BL14" s="248"/>
      <c r="BM14" s="248"/>
      <c r="BN14" s="248"/>
      <c r="BO14"/>
      <c r="BP14"/>
      <c r="BQ14"/>
      <c r="BR14"/>
      <c r="BS14"/>
      <c r="BT14" s="248"/>
      <c r="BU14" s="255" t="s">
        <v>88</v>
      </c>
      <c r="BV14" s="256">
        <v>10</v>
      </c>
      <c r="BW14" s="248"/>
      <c r="BX14" s="248"/>
      <c r="BY14" s="248"/>
      <c r="BZ14" s="248"/>
      <c r="CA14" s="248"/>
      <c r="CB14" s="248"/>
      <c r="CC14" s="248"/>
      <c r="CD14" s="248"/>
      <c r="CE14" s="248"/>
      <c r="CF14" s="248"/>
      <c r="CG14" s="248"/>
    </row>
    <row r="15" spans="1:85" ht="12.75" x14ac:dyDescent="0.2">
      <c r="A15" s="29">
        <v>37288</v>
      </c>
      <c r="B15" s="243">
        <v>5.3428466084266005E-2</v>
      </c>
      <c r="D15" s="260">
        <v>36978</v>
      </c>
      <c r="E15" s="9">
        <v>40.999996185302734</v>
      </c>
      <c r="F15" s="9">
        <v>41.249996185302734</v>
      </c>
      <c r="G15" s="9">
        <v>41.499996185302734</v>
      </c>
      <c r="H15" s="8"/>
      <c r="I15" s="9">
        <v>20.610000610351562</v>
      </c>
      <c r="J15" s="9">
        <v>20.860000610351563</v>
      </c>
      <c r="K15" s="9">
        <v>21.610000610351562</v>
      </c>
      <c r="L15" s="7"/>
      <c r="M15" s="249">
        <v>37104</v>
      </c>
      <c r="N15" s="261">
        <v>39.250003814697266</v>
      </c>
      <c r="O15" s="261">
        <v>39.500003814697266</v>
      </c>
      <c r="P15" s="261">
        <v>39.750003814697266</v>
      </c>
      <c r="Q15" s="248"/>
      <c r="R15" s="261">
        <v>39.25</v>
      </c>
      <c r="S15" s="261">
        <v>39.5</v>
      </c>
      <c r="T15" s="261">
        <v>39.75</v>
      </c>
      <c r="U15" s="248"/>
      <c r="V15" s="261">
        <v>0</v>
      </c>
      <c r="W15" s="261">
        <v>0</v>
      </c>
      <c r="X15" s="261">
        <v>0</v>
      </c>
      <c r="Y15" s="248"/>
      <c r="Z15" s="261">
        <v>0.52500000000000002</v>
      </c>
      <c r="AA15" s="261">
        <v>0.7</v>
      </c>
      <c r="AB15" s="261">
        <v>1.05</v>
      </c>
      <c r="AC15" s="248"/>
      <c r="AD15" s="261">
        <v>0.16125</v>
      </c>
      <c r="AE15" s="261">
        <v>0.215</v>
      </c>
      <c r="AF15" s="261">
        <v>0.32250000000000001</v>
      </c>
      <c r="AG15" s="248"/>
      <c r="AH15" s="261">
        <v>-0.5</v>
      </c>
      <c r="AI15" s="261">
        <v>5.75</v>
      </c>
      <c r="AJ15" s="261">
        <v>1.75</v>
      </c>
      <c r="AK15" s="248"/>
      <c r="AL15" s="261">
        <v>-0.1</v>
      </c>
      <c r="AM15" s="261">
        <v>1.1499999999999999</v>
      </c>
      <c r="AN15" s="261">
        <v>0.1</v>
      </c>
      <c r="AO15" s="248"/>
      <c r="AP15" s="7">
        <v>3</v>
      </c>
      <c r="AQ15" s="9">
        <v>0</v>
      </c>
      <c r="AR15" s="248"/>
      <c r="AS15" s="7">
        <v>500</v>
      </c>
      <c r="AT15" s="263">
        <v>1</v>
      </c>
      <c r="AU15" s="263">
        <v>1</v>
      </c>
      <c r="AV15" s="263">
        <v>0.96100868442314669</v>
      </c>
      <c r="AW15" s="263">
        <v>0.90412641673294813</v>
      </c>
      <c r="AX15" s="263">
        <v>0.96</v>
      </c>
      <c r="AY15" s="263">
        <v>0.89500000000000002</v>
      </c>
      <c r="AZ15" s="263">
        <v>0.81365478360870713</v>
      </c>
      <c r="BA15" s="263">
        <v>0.81365478360870713</v>
      </c>
      <c r="BB15" s="263">
        <v>0.89500000000000002</v>
      </c>
      <c r="BC15" s="263">
        <v>0.90412641673294813</v>
      </c>
      <c r="BD15" s="263">
        <v>0.95</v>
      </c>
      <c r="BE15" s="263">
        <v>0.95</v>
      </c>
      <c r="BF15" s="7" t="s">
        <v>67</v>
      </c>
      <c r="BG15" s="248"/>
      <c r="BH15" s="249">
        <v>37104</v>
      </c>
      <c r="BI15" s="262">
        <v>0.75</v>
      </c>
      <c r="BJ15" s="248"/>
      <c r="BK15" s="248"/>
      <c r="BL15" s="248"/>
      <c r="BM15" s="248"/>
      <c r="BN15" s="248"/>
      <c r="BO15"/>
      <c r="BP15"/>
      <c r="BQ15"/>
      <c r="BR15"/>
      <c r="BS15"/>
      <c r="BT15" s="248"/>
      <c r="BU15" s="255" t="s">
        <v>89</v>
      </c>
      <c r="BV15" s="256">
        <v>11</v>
      </c>
      <c r="BW15" s="248"/>
      <c r="BX15" s="248"/>
      <c r="BY15" s="248"/>
      <c r="BZ15" s="248"/>
      <c r="CA15" s="248"/>
      <c r="CB15" s="248"/>
      <c r="CC15" s="248"/>
      <c r="CD15" s="248"/>
      <c r="CE15" s="248"/>
      <c r="CF15" s="248"/>
      <c r="CG15" s="248"/>
    </row>
    <row r="16" spans="1:85" ht="12.75" x14ac:dyDescent="0.2">
      <c r="A16" s="29">
        <v>37316</v>
      </c>
      <c r="B16" s="243">
        <v>5.3442106428677007E-2</v>
      </c>
      <c r="D16" s="260">
        <v>36979</v>
      </c>
      <c r="E16" s="9">
        <v>40.999996185302734</v>
      </c>
      <c r="F16" s="9">
        <v>41.249996185302734</v>
      </c>
      <c r="G16" s="9">
        <v>41.499996185302734</v>
      </c>
      <c r="H16" s="8"/>
      <c r="I16" s="9">
        <v>20.610000610351562</v>
      </c>
      <c r="J16" s="9">
        <v>20.860000610351563</v>
      </c>
      <c r="K16" s="9">
        <v>21.610000610351562</v>
      </c>
      <c r="L16" s="7"/>
      <c r="M16" s="249">
        <v>37135</v>
      </c>
      <c r="N16" s="261">
        <v>34.25</v>
      </c>
      <c r="O16" s="261">
        <v>34.5</v>
      </c>
      <c r="P16" s="261">
        <v>34.75</v>
      </c>
      <c r="Q16" s="248"/>
      <c r="R16" s="261">
        <v>33.25</v>
      </c>
      <c r="S16" s="261">
        <v>33.5</v>
      </c>
      <c r="T16" s="261">
        <v>33.75</v>
      </c>
      <c r="U16" s="248"/>
      <c r="V16" s="261">
        <v>0</v>
      </c>
      <c r="W16" s="261">
        <v>0</v>
      </c>
      <c r="X16" s="261">
        <v>0</v>
      </c>
      <c r="Y16" s="248"/>
      <c r="Z16" s="261">
        <v>0.45</v>
      </c>
      <c r="AA16" s="261">
        <v>0.6</v>
      </c>
      <c r="AB16" s="261">
        <v>0.9</v>
      </c>
      <c r="AC16" s="248"/>
      <c r="AD16" s="261">
        <v>0.10125000000000001</v>
      </c>
      <c r="AE16" s="261">
        <v>0.13500000000000001</v>
      </c>
      <c r="AF16" s="261">
        <v>0.20250000000000001</v>
      </c>
      <c r="AG16" s="248"/>
      <c r="AH16" s="261">
        <v>-1</v>
      </c>
      <c r="AI16" s="261">
        <v>3</v>
      </c>
      <c r="AJ16" s="261">
        <v>2.5</v>
      </c>
      <c r="AK16" s="248"/>
      <c r="AL16" s="261">
        <v>-0.1</v>
      </c>
      <c r="AM16" s="261">
        <v>1.05</v>
      </c>
      <c r="AN16" s="261">
        <v>0.1</v>
      </c>
      <c r="AO16" s="248"/>
      <c r="AP16" s="7">
        <v>3</v>
      </c>
      <c r="AQ16" s="9">
        <v>0</v>
      </c>
      <c r="AR16" s="248"/>
      <c r="AS16" s="7">
        <v>600</v>
      </c>
      <c r="AT16" s="263">
        <v>1.35</v>
      </c>
      <c r="AU16" s="263">
        <v>1.35</v>
      </c>
      <c r="AV16" s="263">
        <v>1.0660006897127419</v>
      </c>
      <c r="AW16" s="263">
        <v>1.1534694065192279</v>
      </c>
      <c r="AX16" s="263">
        <v>1.2</v>
      </c>
      <c r="AY16" s="263">
        <v>0.92</v>
      </c>
      <c r="AZ16" s="263">
        <v>1.0213679776619993</v>
      </c>
      <c r="BA16" s="263">
        <v>1.0213679776619993</v>
      </c>
      <c r="BB16" s="263">
        <v>0.92</v>
      </c>
      <c r="BC16" s="263">
        <v>1.1534694065192279</v>
      </c>
      <c r="BD16" s="263">
        <v>1.2</v>
      </c>
      <c r="BE16" s="263">
        <v>1.1499999999999999</v>
      </c>
      <c r="BF16" s="7" t="s">
        <v>67</v>
      </c>
      <c r="BG16" s="248"/>
      <c r="BH16" s="249">
        <v>37135</v>
      </c>
      <c r="BI16" s="262">
        <v>0.75</v>
      </c>
      <c r="BJ16" s="248"/>
      <c r="BK16" s="248"/>
      <c r="BL16" s="248"/>
      <c r="BM16" s="248"/>
      <c r="BN16" s="248"/>
      <c r="BO16"/>
      <c r="BP16"/>
      <c r="BQ16"/>
      <c r="BR16"/>
      <c r="BS16"/>
      <c r="BT16" s="248"/>
      <c r="BU16" s="255" t="s">
        <v>90</v>
      </c>
      <c r="BV16" s="256">
        <v>12</v>
      </c>
      <c r="BW16" s="248"/>
      <c r="BX16" s="248"/>
      <c r="BY16" s="248"/>
      <c r="BZ16" s="248"/>
      <c r="CA16" s="248"/>
      <c r="CB16" s="248"/>
      <c r="CC16" s="248"/>
      <c r="CD16" s="248"/>
      <c r="CE16" s="248"/>
      <c r="CF16" s="248"/>
      <c r="CG16" s="248"/>
    </row>
    <row r="17" spans="1:85" ht="12.75" x14ac:dyDescent="0.2">
      <c r="A17" s="29">
        <v>37347</v>
      </c>
      <c r="B17" s="243">
        <v>5.3487811448450009E-2</v>
      </c>
      <c r="D17" s="260">
        <v>36980</v>
      </c>
      <c r="E17" s="9">
        <v>40.999996185302734</v>
      </c>
      <c r="F17" s="9">
        <v>41.249996185302734</v>
      </c>
      <c r="G17" s="9">
        <v>41.499996185302734</v>
      </c>
      <c r="H17" s="8"/>
      <c r="I17" s="9">
        <v>20.610000610351562</v>
      </c>
      <c r="J17" s="9">
        <v>20.860000610351563</v>
      </c>
      <c r="K17" s="9">
        <v>21.610000610351562</v>
      </c>
      <c r="L17" s="7"/>
      <c r="M17" s="249">
        <v>37165</v>
      </c>
      <c r="N17" s="261">
        <v>29.246000289916992</v>
      </c>
      <c r="O17" s="261">
        <v>29.496000289916992</v>
      </c>
      <c r="P17" s="261">
        <v>29.746000289916992</v>
      </c>
      <c r="Q17" s="248"/>
      <c r="R17" s="261">
        <v>28.246500015258789</v>
      </c>
      <c r="S17" s="261">
        <v>28.496500015258789</v>
      </c>
      <c r="T17" s="261">
        <v>28.746500015258789</v>
      </c>
      <c r="U17" s="248"/>
      <c r="V17" s="261">
        <v>0</v>
      </c>
      <c r="W17" s="261">
        <v>0</v>
      </c>
      <c r="X17" s="261">
        <v>0</v>
      </c>
      <c r="Y17" s="248"/>
      <c r="Z17" s="261">
        <v>0.375</v>
      </c>
      <c r="AA17" s="261">
        <v>0.5</v>
      </c>
      <c r="AB17" s="261">
        <v>0.75</v>
      </c>
      <c r="AC17" s="248"/>
      <c r="AD17" s="261">
        <v>7.8750000000000001E-2</v>
      </c>
      <c r="AE17" s="261">
        <v>0.105</v>
      </c>
      <c r="AF17" s="261">
        <v>0.1575</v>
      </c>
      <c r="AG17" s="248"/>
      <c r="AH17" s="261">
        <v>-1</v>
      </c>
      <c r="AI17" s="261">
        <v>2.2000000000000002</v>
      </c>
      <c r="AJ17" s="261">
        <v>2.5</v>
      </c>
      <c r="AK17" s="248"/>
      <c r="AL17" s="261">
        <v>-0.1</v>
      </c>
      <c r="AM17" s="261">
        <v>1</v>
      </c>
      <c r="AN17" s="261">
        <v>0.1</v>
      </c>
      <c r="AO17" s="248"/>
      <c r="AP17" s="7">
        <v>3</v>
      </c>
      <c r="AQ17" s="9">
        <v>0.1</v>
      </c>
      <c r="AR17" s="248"/>
      <c r="AS17" s="7">
        <v>700</v>
      </c>
      <c r="AT17" s="263">
        <v>1.35</v>
      </c>
      <c r="AU17" s="263">
        <v>1.35</v>
      </c>
      <c r="AV17" s="263">
        <v>1.1560999999999999</v>
      </c>
      <c r="AW17" s="263">
        <v>1.22</v>
      </c>
      <c r="AX17" s="263">
        <v>0.85</v>
      </c>
      <c r="AY17" s="263">
        <v>0.47</v>
      </c>
      <c r="AZ17" s="263">
        <v>0.37</v>
      </c>
      <c r="BA17" s="263">
        <v>0.37</v>
      </c>
      <c r="BB17" s="263">
        <v>0.45</v>
      </c>
      <c r="BC17" s="263">
        <v>1.22</v>
      </c>
      <c r="BD17" s="263">
        <v>0.8</v>
      </c>
      <c r="BE17" s="263">
        <v>1</v>
      </c>
      <c r="BF17" s="7" t="s">
        <v>66</v>
      </c>
      <c r="BG17" s="248"/>
      <c r="BH17" s="249">
        <v>37165</v>
      </c>
      <c r="BI17" s="262">
        <v>0.75</v>
      </c>
      <c r="BJ17" s="248"/>
      <c r="BK17" s="248"/>
      <c r="BL17" s="248"/>
      <c r="BM17" s="248"/>
      <c r="BN17" s="248"/>
      <c r="BO17"/>
      <c r="BP17"/>
      <c r="BQ17"/>
      <c r="BR17"/>
      <c r="BS17"/>
      <c r="BT17" s="248"/>
      <c r="BU17" s="255" t="s">
        <v>91</v>
      </c>
      <c r="BV17" s="256">
        <v>14</v>
      </c>
      <c r="BW17" s="248"/>
      <c r="BX17" s="248"/>
      <c r="BY17" s="248"/>
      <c r="BZ17" s="248"/>
      <c r="CA17" s="248"/>
      <c r="CB17" s="248"/>
      <c r="CC17" s="248"/>
      <c r="CD17" s="248"/>
      <c r="CE17" s="248"/>
      <c r="CF17" s="248"/>
      <c r="CG17" s="248"/>
    </row>
    <row r="18" spans="1:85" ht="13.5" thickBot="1" x14ac:dyDescent="0.25">
      <c r="A18" s="29">
        <v>37377</v>
      </c>
      <c r="B18" s="243">
        <v>5.3535039969613001E-2</v>
      </c>
      <c r="D18" s="260">
        <v>36981</v>
      </c>
      <c r="E18" s="9">
        <v>24.749996185302734</v>
      </c>
      <c r="F18" s="9">
        <v>24.999996185302734</v>
      </c>
      <c r="G18" s="9">
        <v>25.249996185302734</v>
      </c>
      <c r="H18" s="8"/>
      <c r="I18" s="9">
        <v>20.610000610351562</v>
      </c>
      <c r="J18" s="9">
        <v>20.860000610351563</v>
      </c>
      <c r="K18" s="9">
        <v>21.610000610351562</v>
      </c>
      <c r="L18" s="7"/>
      <c r="M18" s="249">
        <v>37196</v>
      </c>
      <c r="N18" s="261">
        <v>29.25</v>
      </c>
      <c r="O18" s="261">
        <v>29.5</v>
      </c>
      <c r="P18" s="261">
        <v>29.75</v>
      </c>
      <c r="Q18" s="248"/>
      <c r="R18" s="261">
        <v>28.25</v>
      </c>
      <c r="S18" s="261">
        <v>28.5</v>
      </c>
      <c r="T18" s="261">
        <v>28.75</v>
      </c>
      <c r="U18" s="248"/>
      <c r="V18" s="261">
        <v>0</v>
      </c>
      <c r="W18" s="261">
        <v>0</v>
      </c>
      <c r="X18" s="261">
        <v>0</v>
      </c>
      <c r="Y18" s="248"/>
      <c r="Z18" s="261">
        <v>0.35625000000000001</v>
      </c>
      <c r="AA18" s="261">
        <v>0.47499999999999998</v>
      </c>
      <c r="AB18" s="261">
        <v>0.71250000000000002</v>
      </c>
      <c r="AC18" s="248"/>
      <c r="AD18" s="261">
        <v>7.8750000000000001E-2</v>
      </c>
      <c r="AE18" s="261">
        <v>0.105</v>
      </c>
      <c r="AF18" s="261">
        <v>0.1575</v>
      </c>
      <c r="AG18" s="248"/>
      <c r="AH18" s="261">
        <v>-0.5</v>
      </c>
      <c r="AI18" s="261">
        <v>2.15</v>
      </c>
      <c r="AJ18" s="261">
        <v>1</v>
      </c>
      <c r="AK18" s="248"/>
      <c r="AL18" s="261">
        <v>-0.1</v>
      </c>
      <c r="AM18" s="261">
        <v>1</v>
      </c>
      <c r="AN18" s="261">
        <v>0.1</v>
      </c>
      <c r="AO18" s="248"/>
      <c r="AP18" s="7">
        <v>4</v>
      </c>
      <c r="AQ18" s="9">
        <v>0.1</v>
      </c>
      <c r="AR18" s="248"/>
      <c r="AS18" s="7">
        <v>800</v>
      </c>
      <c r="AT18" s="263">
        <v>1.3485</v>
      </c>
      <c r="AU18" s="263">
        <v>1.3485</v>
      </c>
      <c r="AV18" s="263">
        <v>1.2485549132947977</v>
      </c>
      <c r="AW18" s="263">
        <v>1.22</v>
      </c>
      <c r="AX18" s="263">
        <v>0.91749999999999998</v>
      </c>
      <c r="AY18" s="263">
        <v>0.47</v>
      </c>
      <c r="AZ18" s="263">
        <v>0.37</v>
      </c>
      <c r="BA18" s="263">
        <v>0.37</v>
      </c>
      <c r="BB18" s="263">
        <v>0.53136531365313655</v>
      </c>
      <c r="BC18" s="263">
        <v>1.22</v>
      </c>
      <c r="BD18" s="263">
        <v>1.1499999999999999</v>
      </c>
      <c r="BE18" s="263">
        <v>1.2544999999999999</v>
      </c>
      <c r="BF18" s="7" t="s">
        <v>66</v>
      </c>
      <c r="BG18" s="248"/>
      <c r="BH18" s="249">
        <v>37196</v>
      </c>
      <c r="BI18" s="262">
        <v>0.75</v>
      </c>
      <c r="BJ18" s="248"/>
      <c r="BK18" s="248"/>
      <c r="BL18" s="248"/>
      <c r="BM18" s="248"/>
      <c r="BN18" s="248"/>
      <c r="BO18"/>
      <c r="BP18"/>
      <c r="BQ18"/>
      <c r="BR18"/>
      <c r="BS18"/>
      <c r="BT18" s="248"/>
      <c r="BU18" s="264" t="s">
        <v>92</v>
      </c>
      <c r="BV18" s="265">
        <v>15</v>
      </c>
      <c r="BW18" s="248"/>
      <c r="BX18" s="248"/>
      <c r="BY18" s="248"/>
      <c r="BZ18" s="248"/>
      <c r="CA18" s="248"/>
      <c r="CB18" s="248"/>
      <c r="CC18" s="248"/>
      <c r="CD18" s="248"/>
      <c r="CE18" s="248"/>
      <c r="CF18" s="248"/>
      <c r="CG18" s="248"/>
    </row>
    <row r="19" spans="1:85" ht="13.5" thickBot="1" x14ac:dyDescent="0.25">
      <c r="A19" s="29">
        <v>37408</v>
      </c>
      <c r="B19" s="243">
        <v>5.3610157746085012E-2</v>
      </c>
      <c r="D19" s="260">
        <v>36982</v>
      </c>
      <c r="E19" s="9">
        <v>24.5</v>
      </c>
      <c r="F19" s="9">
        <v>25</v>
      </c>
      <c r="G19" s="9">
        <v>25.5</v>
      </c>
      <c r="H19" s="8"/>
      <c r="I19" s="9">
        <v>20.110000610351563</v>
      </c>
      <c r="J19" s="9">
        <v>20.360000610351563</v>
      </c>
      <c r="K19" s="9">
        <v>21.110000610351563</v>
      </c>
      <c r="L19" s="7"/>
      <c r="M19" s="249">
        <v>37226</v>
      </c>
      <c r="N19" s="261">
        <v>29.25</v>
      </c>
      <c r="O19" s="261">
        <v>29.5</v>
      </c>
      <c r="P19" s="261">
        <v>29.75</v>
      </c>
      <c r="Q19" s="248"/>
      <c r="R19" s="261">
        <v>28.25</v>
      </c>
      <c r="S19" s="261">
        <v>28.5</v>
      </c>
      <c r="T19" s="261">
        <v>28.75</v>
      </c>
      <c r="U19" s="248"/>
      <c r="V19" s="261">
        <v>0</v>
      </c>
      <c r="W19" s="261">
        <v>0</v>
      </c>
      <c r="X19" s="261">
        <v>0</v>
      </c>
      <c r="Y19" s="248"/>
      <c r="Z19" s="261">
        <v>0.39374999999999999</v>
      </c>
      <c r="AA19" s="261">
        <v>0.52500000000000002</v>
      </c>
      <c r="AB19" s="261">
        <v>0.78749999999999998</v>
      </c>
      <c r="AC19" s="248"/>
      <c r="AD19" s="261">
        <v>0.10875</v>
      </c>
      <c r="AE19" s="261">
        <v>0.14499999999999999</v>
      </c>
      <c r="AF19" s="261">
        <v>0.2175</v>
      </c>
      <c r="AG19" s="248"/>
      <c r="AH19" s="261">
        <v>-0.4</v>
      </c>
      <c r="AI19" s="261">
        <v>2.25</v>
      </c>
      <c r="AJ19" s="261">
        <v>0.5</v>
      </c>
      <c r="AK19" s="248"/>
      <c r="AL19" s="261">
        <v>-0.1</v>
      </c>
      <c r="AM19" s="261">
        <v>1</v>
      </c>
      <c r="AN19" s="261">
        <v>0.1</v>
      </c>
      <c r="AO19" s="248"/>
      <c r="AP19" s="7">
        <v>4</v>
      </c>
      <c r="AQ19" s="9">
        <v>0.1</v>
      </c>
      <c r="AR19" s="248"/>
      <c r="AS19" s="7">
        <v>900</v>
      </c>
      <c r="AT19" s="263">
        <v>1.35</v>
      </c>
      <c r="AU19" s="263">
        <v>1.35</v>
      </c>
      <c r="AV19" s="263">
        <v>1.2485549132947977</v>
      </c>
      <c r="AW19" s="263">
        <v>1.1499999999999999</v>
      </c>
      <c r="AX19" s="263">
        <v>0.95</v>
      </c>
      <c r="AY19" s="263">
        <v>0.47</v>
      </c>
      <c r="AZ19" s="263">
        <v>0.37</v>
      </c>
      <c r="BA19" s="263">
        <v>0.37</v>
      </c>
      <c r="BB19" s="263">
        <v>0.56088560885608851</v>
      </c>
      <c r="BC19" s="263">
        <v>1.1499999999999999</v>
      </c>
      <c r="BD19" s="263">
        <v>1.1499999999999999</v>
      </c>
      <c r="BE19" s="263">
        <v>1.26</v>
      </c>
      <c r="BF19" s="7" t="s">
        <v>66</v>
      </c>
      <c r="BG19" s="248"/>
      <c r="BH19" s="249">
        <v>37226</v>
      </c>
      <c r="BI19" s="262">
        <v>0.75</v>
      </c>
      <c r="BJ19" s="248"/>
      <c r="BK19" s="248"/>
      <c r="BL19" s="248"/>
      <c r="BM19" s="248"/>
      <c r="BN19" s="248"/>
      <c r="BO19"/>
      <c r="BP19"/>
      <c r="BQ19"/>
      <c r="BR19"/>
      <c r="BS19"/>
      <c r="BT19" s="248"/>
      <c r="BU19" s="266" t="s">
        <v>93</v>
      </c>
      <c r="BW19" s="248"/>
      <c r="BX19" s="248"/>
      <c r="BY19" s="248"/>
      <c r="BZ19" s="248"/>
      <c r="CA19" s="248"/>
      <c r="CB19" s="248"/>
      <c r="CC19" s="248"/>
      <c r="CD19" s="248"/>
      <c r="CE19" s="248"/>
      <c r="CF19" s="248"/>
      <c r="CG19" s="248"/>
    </row>
    <row r="20" spans="1:85" ht="12.75" x14ac:dyDescent="0.2">
      <c r="A20" s="29">
        <v>37438</v>
      </c>
      <c r="B20" s="243">
        <v>5.373605290087103E-2</v>
      </c>
      <c r="D20" s="260">
        <v>36983</v>
      </c>
      <c r="E20" s="9">
        <v>39.75</v>
      </c>
      <c r="F20" s="9">
        <v>40.25</v>
      </c>
      <c r="G20" s="9">
        <v>40.75</v>
      </c>
      <c r="H20" s="8"/>
      <c r="I20" s="9">
        <v>20.110000610351563</v>
      </c>
      <c r="J20" s="9">
        <v>20.360000610351563</v>
      </c>
      <c r="K20" s="9">
        <v>21.110000610351563</v>
      </c>
      <c r="L20" s="7"/>
      <c r="M20" s="249">
        <v>37257</v>
      </c>
      <c r="N20" s="261">
        <v>35</v>
      </c>
      <c r="O20" s="261">
        <v>35.5</v>
      </c>
      <c r="P20" s="261">
        <v>36</v>
      </c>
      <c r="Q20" s="248"/>
      <c r="R20" s="261">
        <v>24.5</v>
      </c>
      <c r="S20" s="261">
        <v>25</v>
      </c>
      <c r="T20" s="261">
        <v>25.5</v>
      </c>
      <c r="U20" s="248"/>
      <c r="V20" s="261">
        <v>0</v>
      </c>
      <c r="W20" s="261">
        <v>0</v>
      </c>
      <c r="X20" s="261">
        <v>0</v>
      </c>
      <c r="Y20" s="248"/>
      <c r="Z20" s="261">
        <v>0.35625000000000001</v>
      </c>
      <c r="AA20" s="261">
        <v>0.47499999999999998</v>
      </c>
      <c r="AB20" s="261">
        <v>0.71250000000000002</v>
      </c>
      <c r="AC20" s="248"/>
      <c r="AD20" s="261">
        <v>0.10125000000000001</v>
      </c>
      <c r="AE20" s="261">
        <v>0.13500000000000001</v>
      </c>
      <c r="AF20" s="261">
        <v>0.20250000000000001</v>
      </c>
      <c r="AG20" s="248"/>
      <c r="AH20" s="261">
        <v>-0.4</v>
      </c>
      <c r="AI20" s="261">
        <v>2.5</v>
      </c>
      <c r="AJ20" s="261">
        <v>0.5</v>
      </c>
      <c r="AK20" s="248"/>
      <c r="AL20" s="261">
        <v>-0.1</v>
      </c>
      <c r="AM20" s="261">
        <v>1</v>
      </c>
      <c r="AN20" s="261">
        <v>0.1</v>
      </c>
      <c r="AO20" s="248"/>
      <c r="AP20" s="7">
        <v>4</v>
      </c>
      <c r="AQ20" s="9">
        <v>0.1</v>
      </c>
      <c r="AR20" s="248"/>
      <c r="AS20" s="7">
        <v>1000</v>
      </c>
      <c r="AT20" s="263">
        <v>1.1000000000000001</v>
      </c>
      <c r="AU20" s="263">
        <v>1.1000000000000001</v>
      </c>
      <c r="AV20" s="263">
        <v>1.1098265895953756</v>
      </c>
      <c r="AW20" s="263">
        <v>1</v>
      </c>
      <c r="AX20" s="263">
        <v>0.97</v>
      </c>
      <c r="AY20" s="263">
        <v>0.47</v>
      </c>
      <c r="AZ20" s="263">
        <v>0.37</v>
      </c>
      <c r="BA20" s="263">
        <v>0.37</v>
      </c>
      <c r="BB20" s="263">
        <v>0.6</v>
      </c>
      <c r="BC20" s="263">
        <v>1</v>
      </c>
      <c r="BD20" s="263">
        <v>1.1499999999999999</v>
      </c>
      <c r="BE20" s="263">
        <v>1.2050000000000001</v>
      </c>
      <c r="BF20" s="7" t="s">
        <v>66</v>
      </c>
      <c r="BG20" s="248"/>
      <c r="BH20" s="249">
        <v>37257</v>
      </c>
      <c r="BI20" s="262">
        <v>0.75</v>
      </c>
      <c r="BJ20" s="248"/>
      <c r="BK20" s="248"/>
      <c r="BL20" s="248"/>
      <c r="BM20" s="248"/>
      <c r="BN20" s="248"/>
      <c r="BO20"/>
      <c r="BP20"/>
      <c r="BQ20"/>
      <c r="BR20"/>
      <c r="BS20"/>
      <c r="BT20" s="248"/>
      <c r="BW20" s="248"/>
      <c r="BX20" s="248"/>
      <c r="BY20" s="248"/>
      <c r="BZ20" s="248"/>
      <c r="CA20" s="248"/>
      <c r="CB20" s="248"/>
      <c r="CC20" s="248"/>
      <c r="CD20" s="248"/>
      <c r="CE20" s="248"/>
      <c r="CF20" s="248"/>
      <c r="CG20" s="248"/>
    </row>
    <row r="21" spans="1:85" ht="12.75" x14ac:dyDescent="0.2">
      <c r="A21" s="29">
        <v>37469</v>
      </c>
      <c r="B21" s="243">
        <v>5.3861948060937997E-2</v>
      </c>
      <c r="D21" s="260">
        <v>36984</v>
      </c>
      <c r="E21" s="9">
        <v>39.75</v>
      </c>
      <c r="F21" s="9">
        <v>40.25</v>
      </c>
      <c r="G21" s="9">
        <v>40.75</v>
      </c>
      <c r="H21" s="8"/>
      <c r="I21" s="9">
        <v>20.110000610351563</v>
      </c>
      <c r="J21" s="9">
        <v>20.360000610351563</v>
      </c>
      <c r="K21" s="9">
        <v>21.110000610351563</v>
      </c>
      <c r="L21" s="7"/>
      <c r="M21" s="249">
        <v>37288</v>
      </c>
      <c r="N21" s="261">
        <v>32.996002197265625</v>
      </c>
      <c r="O21" s="261">
        <v>33.496002197265625</v>
      </c>
      <c r="P21" s="261">
        <v>33.996002197265625</v>
      </c>
      <c r="Q21" s="248"/>
      <c r="R21" s="261">
        <v>24.496501922607422</v>
      </c>
      <c r="S21" s="261">
        <v>24.996501922607422</v>
      </c>
      <c r="T21" s="261">
        <v>25.496501922607422</v>
      </c>
      <c r="U21" s="248"/>
      <c r="V21" s="261">
        <v>0</v>
      </c>
      <c r="W21" s="261">
        <v>0</v>
      </c>
      <c r="X21" s="261">
        <v>0</v>
      </c>
      <c r="Y21" s="248"/>
      <c r="Z21" s="261">
        <v>0.31874999999999998</v>
      </c>
      <c r="AA21" s="261">
        <v>0.42499999999999999</v>
      </c>
      <c r="AB21" s="261">
        <v>0.63749999999999996</v>
      </c>
      <c r="AC21" s="248"/>
      <c r="AD21" s="261">
        <v>0.10125000000000001</v>
      </c>
      <c r="AE21" s="261">
        <v>0.13500000000000001</v>
      </c>
      <c r="AF21" s="261">
        <v>0.20250000000000001</v>
      </c>
      <c r="AG21" s="248"/>
      <c r="AH21" s="261">
        <v>-0.4</v>
      </c>
      <c r="AI21" s="261">
        <v>2.5</v>
      </c>
      <c r="AJ21" s="261">
        <v>0.6</v>
      </c>
      <c r="AK21" s="248"/>
      <c r="AL21" s="261">
        <v>-0.1</v>
      </c>
      <c r="AM21" s="261">
        <v>1</v>
      </c>
      <c r="AN21" s="261">
        <v>0.1</v>
      </c>
      <c r="AO21" s="248"/>
      <c r="AP21" s="7">
        <v>5</v>
      </c>
      <c r="AQ21" s="9">
        <v>0.1</v>
      </c>
      <c r="AR21" s="248"/>
      <c r="AS21" s="7">
        <v>1100</v>
      </c>
      <c r="AT21" s="263">
        <v>0.88664987405541562</v>
      </c>
      <c r="AU21" s="263">
        <v>0.88664987405541562</v>
      </c>
      <c r="AV21" s="263">
        <v>0.87861271676300579</v>
      </c>
      <c r="AW21" s="263">
        <v>0.9</v>
      </c>
      <c r="AX21" s="263">
        <v>0.97499999999999998</v>
      </c>
      <c r="AY21" s="263">
        <v>0.47</v>
      </c>
      <c r="AZ21" s="263">
        <v>0.37</v>
      </c>
      <c r="BA21" s="263">
        <v>0.37</v>
      </c>
      <c r="BB21" s="263">
        <v>0.66349999999999998</v>
      </c>
      <c r="BC21" s="263">
        <v>0.9</v>
      </c>
      <c r="BD21" s="263">
        <v>0.92054794520547945</v>
      </c>
      <c r="BE21" s="263">
        <v>0.92054794520547945</v>
      </c>
      <c r="BF21" s="7" t="s">
        <v>66</v>
      </c>
      <c r="BG21" s="248"/>
      <c r="BH21" s="249">
        <v>37288</v>
      </c>
      <c r="BI21" s="262">
        <v>0.75</v>
      </c>
      <c r="BJ21" s="248"/>
      <c r="BK21" s="248"/>
      <c r="BL21" s="248"/>
      <c r="BM21" s="248"/>
      <c r="BN21" s="248"/>
      <c r="BO21"/>
      <c r="BP21"/>
      <c r="BQ21"/>
      <c r="BR21"/>
      <c r="BS21"/>
      <c r="BT21" s="248"/>
      <c r="BU21" s="248"/>
      <c r="BV21" s="248"/>
      <c r="BW21" s="248"/>
      <c r="BX21" s="248"/>
      <c r="BY21" s="248"/>
      <c r="BZ21" s="248"/>
      <c r="CA21" s="248"/>
      <c r="CB21" s="248"/>
      <c r="CC21" s="248"/>
      <c r="CD21" s="248"/>
      <c r="CE21" s="248"/>
      <c r="CF21" s="248"/>
      <c r="CG21" s="248"/>
    </row>
    <row r="22" spans="1:85" ht="12.75" x14ac:dyDescent="0.2">
      <c r="A22" s="29">
        <v>37500</v>
      </c>
      <c r="B22" s="243">
        <v>5.3996077213610008E-2</v>
      </c>
      <c r="D22" s="260">
        <v>36985</v>
      </c>
      <c r="E22" s="9">
        <v>39.75</v>
      </c>
      <c r="F22" s="9">
        <v>40.25</v>
      </c>
      <c r="G22" s="9">
        <v>40.75</v>
      </c>
      <c r="H22" s="8"/>
      <c r="I22" s="9">
        <v>20.110000610351563</v>
      </c>
      <c r="J22" s="9">
        <v>20.360000610351563</v>
      </c>
      <c r="K22" s="9">
        <v>21.110000610351563</v>
      </c>
      <c r="L22" s="7"/>
      <c r="M22" s="249">
        <v>37316</v>
      </c>
      <c r="N22" s="261">
        <v>28</v>
      </c>
      <c r="O22" s="261">
        <v>28.5</v>
      </c>
      <c r="P22" s="261">
        <v>29</v>
      </c>
      <c r="Q22" s="248"/>
      <c r="R22" s="261">
        <v>22.5</v>
      </c>
      <c r="S22" s="261">
        <v>23</v>
      </c>
      <c r="T22" s="261">
        <v>23.5</v>
      </c>
      <c r="U22" s="248"/>
      <c r="V22" s="261">
        <v>0</v>
      </c>
      <c r="W22" s="261">
        <v>0</v>
      </c>
      <c r="X22" s="261">
        <v>0</v>
      </c>
      <c r="Y22" s="248"/>
      <c r="Z22" s="261">
        <v>0.28949999999999998</v>
      </c>
      <c r="AA22" s="261">
        <v>0.38600000000000001</v>
      </c>
      <c r="AB22" s="261">
        <v>0.57899999999999996</v>
      </c>
      <c r="AC22" s="248"/>
      <c r="AD22" s="261">
        <v>0.09</v>
      </c>
      <c r="AE22" s="261">
        <v>0.12</v>
      </c>
      <c r="AF22" s="261">
        <v>0.18</v>
      </c>
      <c r="AG22" s="248"/>
      <c r="AH22" s="261">
        <v>-0.5</v>
      </c>
      <c r="AI22" s="261">
        <v>1.5</v>
      </c>
      <c r="AJ22" s="261">
        <v>1</v>
      </c>
      <c r="AK22" s="248"/>
      <c r="AL22" s="261">
        <v>-0.1</v>
      </c>
      <c r="AM22" s="261">
        <v>1</v>
      </c>
      <c r="AN22" s="261">
        <v>0.1</v>
      </c>
      <c r="AO22" s="248"/>
      <c r="AP22" s="7">
        <v>5</v>
      </c>
      <c r="AQ22" s="9">
        <v>0.1</v>
      </c>
      <c r="AR22" s="248"/>
      <c r="AS22" s="7">
        <v>1200</v>
      </c>
      <c r="AT22" s="263">
        <v>0.72544080604534</v>
      </c>
      <c r="AU22" s="263">
        <v>0.72544080604534</v>
      </c>
      <c r="AV22" s="263">
        <v>0.83236994219653182</v>
      </c>
      <c r="AW22" s="263">
        <v>0.85</v>
      </c>
      <c r="AX22" s="263">
        <v>0.98</v>
      </c>
      <c r="AY22" s="263">
        <v>0.47</v>
      </c>
      <c r="AZ22" s="263">
        <v>0.37</v>
      </c>
      <c r="BA22" s="263">
        <v>0.37</v>
      </c>
      <c r="BB22" s="263">
        <v>0.76</v>
      </c>
      <c r="BC22" s="263">
        <v>0.85</v>
      </c>
      <c r="BD22" s="263">
        <v>0.77</v>
      </c>
      <c r="BE22" s="263">
        <v>0.74</v>
      </c>
      <c r="BF22" s="7" t="s">
        <v>66</v>
      </c>
      <c r="BG22" s="248"/>
      <c r="BH22" s="249">
        <v>37316</v>
      </c>
      <c r="BI22" s="262">
        <v>0.75</v>
      </c>
      <c r="BJ22" s="248"/>
      <c r="BK22" s="248"/>
      <c r="BL22" s="248"/>
      <c r="BM22" s="248"/>
      <c r="BN22" s="248"/>
      <c r="BO22"/>
      <c r="BP22"/>
      <c r="BQ22"/>
      <c r="BR22"/>
      <c r="BS22"/>
      <c r="BT22" s="248"/>
      <c r="BU22" s="248"/>
      <c r="BV22" s="248"/>
      <c r="BW22" s="248"/>
      <c r="BX22" s="248"/>
      <c r="BY22" s="248"/>
      <c r="BZ22" s="248"/>
      <c r="CA22" s="248"/>
      <c r="CB22" s="248"/>
      <c r="CC22" s="248"/>
      <c r="CD22" s="248"/>
      <c r="CE22" s="248"/>
      <c r="CF22" s="248"/>
      <c r="CG22" s="248"/>
    </row>
    <row r="23" spans="1:85" ht="12.75" x14ac:dyDescent="0.2">
      <c r="A23" s="29">
        <v>37530</v>
      </c>
      <c r="B23" s="243">
        <v>5.4152282890442993E-2</v>
      </c>
      <c r="D23" s="260">
        <v>36986</v>
      </c>
      <c r="E23" s="9">
        <v>39.75</v>
      </c>
      <c r="F23" s="9">
        <v>40.25</v>
      </c>
      <c r="G23" s="9">
        <v>40.75</v>
      </c>
      <c r="H23" s="8"/>
      <c r="I23" s="9">
        <v>20.110000610351563</v>
      </c>
      <c r="J23" s="9">
        <v>20.360000610351563</v>
      </c>
      <c r="K23" s="9">
        <v>21.110000610351563</v>
      </c>
      <c r="L23" s="7"/>
      <c r="M23" s="249">
        <v>37347</v>
      </c>
      <c r="N23" s="261">
        <v>28</v>
      </c>
      <c r="O23" s="261">
        <v>28.5</v>
      </c>
      <c r="P23" s="261">
        <v>29</v>
      </c>
      <c r="Q23" s="248"/>
      <c r="R23" s="261">
        <v>22.495000839233398</v>
      </c>
      <c r="S23" s="261">
        <v>22.995000839233398</v>
      </c>
      <c r="T23" s="261">
        <v>23.495000839233398</v>
      </c>
      <c r="U23" s="248"/>
      <c r="V23" s="261">
        <v>0</v>
      </c>
      <c r="W23" s="261">
        <v>0</v>
      </c>
      <c r="X23" s="261">
        <v>0</v>
      </c>
      <c r="Y23" s="248"/>
      <c r="Z23" s="261">
        <v>0.28949999999999998</v>
      </c>
      <c r="AA23" s="261">
        <v>0.38600000000000001</v>
      </c>
      <c r="AB23" s="261">
        <v>0.57899999999999996</v>
      </c>
      <c r="AC23" s="248"/>
      <c r="AD23" s="261">
        <v>0.09</v>
      </c>
      <c r="AE23" s="261">
        <v>0.12</v>
      </c>
      <c r="AF23" s="261">
        <v>0.18</v>
      </c>
      <c r="AG23" s="248"/>
      <c r="AH23" s="261">
        <v>-0.5</v>
      </c>
      <c r="AI23" s="261">
        <v>1.75</v>
      </c>
      <c r="AJ23" s="261">
        <v>1</v>
      </c>
      <c r="AK23" s="248"/>
      <c r="AL23" s="261">
        <v>-0.1</v>
      </c>
      <c r="AM23" s="261">
        <v>1</v>
      </c>
      <c r="AN23" s="261">
        <v>0.1</v>
      </c>
      <c r="AO23" s="248"/>
      <c r="AP23" s="7">
        <v>5</v>
      </c>
      <c r="AQ23" s="9">
        <v>0.1</v>
      </c>
      <c r="AR23" s="248"/>
      <c r="AS23" s="7">
        <v>1300</v>
      </c>
      <c r="AT23" s="263">
        <v>0.7</v>
      </c>
      <c r="AU23" s="263">
        <v>0.7</v>
      </c>
      <c r="AV23" s="263">
        <v>0.83236994219653182</v>
      </c>
      <c r="AW23" s="263">
        <v>0.85</v>
      </c>
      <c r="AX23" s="263">
        <v>0.97499999999999998</v>
      </c>
      <c r="AY23" s="263">
        <v>1.53</v>
      </c>
      <c r="AZ23" s="263">
        <v>1.63</v>
      </c>
      <c r="BA23" s="263">
        <v>1.63</v>
      </c>
      <c r="BB23" s="263">
        <v>0.93500000000000005</v>
      </c>
      <c r="BC23" s="263">
        <v>0.85</v>
      </c>
      <c r="BD23" s="263">
        <v>0.7</v>
      </c>
      <c r="BE23" s="263">
        <v>0.73</v>
      </c>
      <c r="BF23" s="7" t="s">
        <v>66</v>
      </c>
      <c r="BG23" s="248"/>
      <c r="BH23" s="249">
        <v>37347</v>
      </c>
      <c r="BI23" s="262">
        <v>0.75</v>
      </c>
      <c r="BJ23" s="248"/>
      <c r="BK23" s="248"/>
      <c r="BL23" s="248"/>
      <c r="BM23" s="248"/>
      <c r="BN23" s="248"/>
      <c r="BO23"/>
      <c r="BP23"/>
      <c r="BQ23"/>
      <c r="BR23"/>
      <c r="BS23"/>
      <c r="BT23" s="248"/>
      <c r="BU23" s="248"/>
      <c r="BV23" s="248"/>
      <c r="BW23" s="248"/>
      <c r="BX23" s="248"/>
      <c r="BY23" s="248"/>
      <c r="BZ23" s="248"/>
      <c r="CA23" s="248"/>
      <c r="CB23" s="248"/>
      <c r="CC23" s="248"/>
      <c r="CD23" s="248"/>
      <c r="CE23" s="248"/>
      <c r="CF23" s="248"/>
      <c r="CG23" s="248"/>
    </row>
    <row r="24" spans="1:85" ht="12.75" x14ac:dyDescent="0.2">
      <c r="A24" s="29">
        <v>37561</v>
      </c>
      <c r="B24" s="243">
        <v>5.430344968221601E-2</v>
      </c>
      <c r="D24" s="260">
        <v>36987</v>
      </c>
      <c r="E24" s="9">
        <v>39.75</v>
      </c>
      <c r="F24" s="9">
        <v>40.25</v>
      </c>
      <c r="G24" s="9">
        <v>40.75</v>
      </c>
      <c r="H24" s="8"/>
      <c r="I24" s="9">
        <v>20.110000610351563</v>
      </c>
      <c r="J24" s="9">
        <v>20.360000610351563</v>
      </c>
      <c r="K24" s="9">
        <v>21.110000610351563</v>
      </c>
      <c r="L24" s="7"/>
      <c r="M24" s="249">
        <v>37377</v>
      </c>
      <c r="N24" s="261">
        <v>30</v>
      </c>
      <c r="O24" s="261">
        <v>30.5</v>
      </c>
      <c r="P24" s="261">
        <v>31</v>
      </c>
      <c r="Q24" s="248"/>
      <c r="R24" s="261">
        <v>23.504999160766602</v>
      </c>
      <c r="S24" s="261">
        <v>24.004999160766602</v>
      </c>
      <c r="T24" s="261">
        <v>24.504999160766602</v>
      </c>
      <c r="U24" s="248"/>
      <c r="V24" s="261">
        <v>0</v>
      </c>
      <c r="W24" s="261">
        <v>0</v>
      </c>
      <c r="X24" s="261">
        <v>0</v>
      </c>
      <c r="Y24" s="248"/>
      <c r="Z24" s="261">
        <v>0.31200000000000006</v>
      </c>
      <c r="AA24" s="261">
        <v>0.41600000000000004</v>
      </c>
      <c r="AB24" s="261">
        <v>0.62400000000000011</v>
      </c>
      <c r="AC24" s="248"/>
      <c r="AD24" s="261">
        <v>0.11625000000000001</v>
      </c>
      <c r="AE24" s="261">
        <v>0.155</v>
      </c>
      <c r="AF24" s="261">
        <v>0.23250000000000001</v>
      </c>
      <c r="AG24" s="248"/>
      <c r="AH24" s="261">
        <v>-0.4</v>
      </c>
      <c r="AI24" s="261">
        <v>3</v>
      </c>
      <c r="AJ24" s="261">
        <v>0.5</v>
      </c>
      <c r="AK24" s="248"/>
      <c r="AL24" s="261">
        <v>-0.1</v>
      </c>
      <c r="AM24" s="261">
        <v>1.05</v>
      </c>
      <c r="AN24" s="261">
        <v>0.1</v>
      </c>
      <c r="AO24" s="248"/>
      <c r="AP24" s="7">
        <v>6</v>
      </c>
      <c r="AQ24" s="9">
        <v>0.1</v>
      </c>
      <c r="AR24" s="248"/>
      <c r="AS24" s="7">
        <v>1400</v>
      </c>
      <c r="AT24" s="263">
        <v>0.7</v>
      </c>
      <c r="AU24" s="263">
        <v>0.7</v>
      </c>
      <c r="AV24" s="263">
        <v>0.83236994219653182</v>
      </c>
      <c r="AW24" s="263">
        <v>0.85</v>
      </c>
      <c r="AX24" s="263">
        <v>0.99</v>
      </c>
      <c r="AY24" s="263">
        <v>1.53</v>
      </c>
      <c r="AZ24" s="263">
        <v>1.63</v>
      </c>
      <c r="BA24" s="263">
        <v>1.63</v>
      </c>
      <c r="BB24" s="263">
        <v>1.1499999999999999</v>
      </c>
      <c r="BC24" s="263">
        <v>0.85</v>
      </c>
      <c r="BD24" s="263">
        <v>0.7</v>
      </c>
      <c r="BE24" s="263">
        <v>0.72</v>
      </c>
      <c r="BF24" s="7" t="s">
        <v>66</v>
      </c>
      <c r="BG24" s="248"/>
      <c r="BH24" s="249">
        <v>37377</v>
      </c>
      <c r="BI24" s="262">
        <v>0.75</v>
      </c>
      <c r="BJ24" s="248"/>
      <c r="BK24" s="248"/>
      <c r="BL24" s="248"/>
      <c r="BM24" s="248"/>
      <c r="BN24" s="248"/>
      <c r="BO24"/>
      <c r="BP24"/>
      <c r="BQ24"/>
      <c r="BR24"/>
      <c r="BS24"/>
      <c r="BT24" s="248"/>
      <c r="BU24" s="248"/>
      <c r="BV24" s="248"/>
      <c r="BW24" s="248"/>
      <c r="BX24" s="248"/>
      <c r="BY24" s="248"/>
      <c r="BZ24" s="248"/>
      <c r="CA24" s="248"/>
      <c r="CB24" s="248"/>
      <c r="CC24" s="248"/>
      <c r="CD24" s="248"/>
      <c r="CE24" s="248"/>
      <c r="CF24" s="248"/>
      <c r="CG24" s="248"/>
    </row>
    <row r="25" spans="1:85" ht="12.75" x14ac:dyDescent="0.2">
      <c r="A25" s="29">
        <v>37591</v>
      </c>
      <c r="B25" s="243">
        <v>5.4474976899793019E-2</v>
      </c>
      <c r="D25" s="260">
        <v>36988</v>
      </c>
      <c r="E25" s="9">
        <v>24.5</v>
      </c>
      <c r="F25" s="9">
        <v>25</v>
      </c>
      <c r="G25" s="9">
        <v>25.5</v>
      </c>
      <c r="H25" s="8"/>
      <c r="I25" s="9">
        <v>20.110000610351563</v>
      </c>
      <c r="J25" s="9">
        <v>20.360000610351563</v>
      </c>
      <c r="K25" s="9">
        <v>21.110000610351563</v>
      </c>
      <c r="L25" s="7"/>
      <c r="M25" s="249">
        <v>37408</v>
      </c>
      <c r="N25" s="261">
        <v>37</v>
      </c>
      <c r="O25" s="261">
        <v>37.5</v>
      </c>
      <c r="P25" s="261">
        <v>38</v>
      </c>
      <c r="Q25" s="248"/>
      <c r="R25" s="261">
        <v>27.5</v>
      </c>
      <c r="S25" s="261">
        <v>28</v>
      </c>
      <c r="T25" s="261">
        <v>28.5</v>
      </c>
      <c r="U25" s="248"/>
      <c r="V25" s="261">
        <v>0</v>
      </c>
      <c r="W25" s="261">
        <v>0</v>
      </c>
      <c r="X25" s="261">
        <v>0</v>
      </c>
      <c r="Y25" s="248"/>
      <c r="Z25" s="261">
        <v>0.33787500000000004</v>
      </c>
      <c r="AA25" s="261">
        <v>0.45050000000000001</v>
      </c>
      <c r="AB25" s="261">
        <v>0.67575000000000007</v>
      </c>
      <c r="AC25" s="248"/>
      <c r="AD25" s="261">
        <v>0.13125000000000001</v>
      </c>
      <c r="AE25" s="261">
        <v>0.17499999999999999</v>
      </c>
      <c r="AF25" s="261">
        <v>0.26250000000000001</v>
      </c>
      <c r="AG25" s="248"/>
      <c r="AH25" s="261">
        <v>-0.4</v>
      </c>
      <c r="AI25" s="261">
        <v>3.75</v>
      </c>
      <c r="AJ25" s="261">
        <v>0.5</v>
      </c>
      <c r="AK25" s="248"/>
      <c r="AL25" s="261">
        <v>-0.1</v>
      </c>
      <c r="AM25" s="261">
        <v>1.1499999999999999</v>
      </c>
      <c r="AN25" s="261">
        <v>0.1</v>
      </c>
      <c r="AO25" s="248"/>
      <c r="AP25" s="7">
        <v>6</v>
      </c>
      <c r="AQ25" s="9">
        <v>0.1</v>
      </c>
      <c r="AR25" s="248"/>
      <c r="AS25" s="7">
        <v>1500</v>
      </c>
      <c r="AT25" s="263">
        <v>0.7</v>
      </c>
      <c r="AU25" s="263">
        <v>0.7</v>
      </c>
      <c r="AV25" s="263">
        <v>0.83236994219653182</v>
      </c>
      <c r="AW25" s="263">
        <v>0.88</v>
      </c>
      <c r="AX25" s="263">
        <v>1.05</v>
      </c>
      <c r="AY25" s="263">
        <v>1.53</v>
      </c>
      <c r="AZ25" s="263">
        <v>1.63</v>
      </c>
      <c r="BA25" s="263">
        <v>1.63</v>
      </c>
      <c r="BB25" s="263">
        <v>1.38</v>
      </c>
      <c r="BC25" s="263">
        <v>0.88</v>
      </c>
      <c r="BD25" s="263">
        <v>0.7</v>
      </c>
      <c r="BE25" s="263">
        <v>0.73</v>
      </c>
      <c r="BF25" s="7" t="s">
        <v>66</v>
      </c>
      <c r="BG25" s="248"/>
      <c r="BH25" s="249">
        <v>37408</v>
      </c>
      <c r="BI25" s="262">
        <v>0.75</v>
      </c>
      <c r="BJ25" s="248"/>
      <c r="BK25" s="248"/>
      <c r="BL25" s="248"/>
      <c r="BM25" s="248"/>
      <c r="BN25" s="248"/>
      <c r="BO25"/>
      <c r="BP25"/>
      <c r="BQ25"/>
      <c r="BR25"/>
      <c r="BS25"/>
      <c r="BT25" s="248"/>
      <c r="BU25" s="248"/>
      <c r="BV25" s="248"/>
      <c r="BW25" s="248"/>
      <c r="BX25" s="248"/>
      <c r="BY25" s="248"/>
      <c r="BZ25" s="248"/>
      <c r="CA25" s="248"/>
      <c r="CB25" s="248"/>
      <c r="CC25" s="248"/>
      <c r="CD25" s="248"/>
      <c r="CE25" s="248"/>
      <c r="CF25" s="248"/>
      <c r="CG25" s="248"/>
    </row>
    <row r="26" spans="1:85" ht="12.75" x14ac:dyDescent="0.2">
      <c r="A26" s="29">
        <v>37622</v>
      </c>
      <c r="B26" s="243">
        <v>5.4665108836960012E-2</v>
      </c>
      <c r="D26" s="260">
        <v>36989</v>
      </c>
      <c r="E26" s="9">
        <v>24.5</v>
      </c>
      <c r="F26" s="9">
        <v>25</v>
      </c>
      <c r="G26" s="9">
        <v>25.5</v>
      </c>
      <c r="H26" s="8"/>
      <c r="I26" s="9">
        <v>20.110000610351563</v>
      </c>
      <c r="J26" s="9">
        <v>20.360000610351563</v>
      </c>
      <c r="K26" s="9">
        <v>21.110000610351563</v>
      </c>
      <c r="L26" s="7"/>
      <c r="M26" s="249">
        <v>37438</v>
      </c>
      <c r="N26" s="261">
        <v>43</v>
      </c>
      <c r="O26" s="261">
        <v>43.5</v>
      </c>
      <c r="P26" s="261">
        <v>44</v>
      </c>
      <c r="Q26" s="248"/>
      <c r="R26" s="261">
        <v>33.5</v>
      </c>
      <c r="S26" s="261">
        <v>34</v>
      </c>
      <c r="T26" s="261">
        <v>34.5</v>
      </c>
      <c r="U26" s="248"/>
      <c r="V26" s="261">
        <v>0</v>
      </c>
      <c r="W26" s="261">
        <v>0</v>
      </c>
      <c r="X26" s="261">
        <v>0</v>
      </c>
      <c r="Y26" s="248"/>
      <c r="Z26" s="261">
        <v>0.38662500000000005</v>
      </c>
      <c r="AA26" s="261">
        <v>0.51550000000000007</v>
      </c>
      <c r="AB26" s="261">
        <v>0.7732500000000001</v>
      </c>
      <c r="AC26" s="248"/>
      <c r="AD26" s="261">
        <v>0.16125</v>
      </c>
      <c r="AE26" s="261">
        <v>0.215</v>
      </c>
      <c r="AF26" s="261">
        <v>0.32250000000000001</v>
      </c>
      <c r="AG26" s="248"/>
      <c r="AH26" s="261">
        <v>-0.4</v>
      </c>
      <c r="AI26" s="261">
        <v>6</v>
      </c>
      <c r="AJ26" s="261">
        <v>0.5</v>
      </c>
      <c r="AK26" s="248"/>
      <c r="AL26" s="261">
        <v>-0.1</v>
      </c>
      <c r="AM26" s="261">
        <v>1.1499999999999999</v>
      </c>
      <c r="AN26" s="261">
        <v>0.1</v>
      </c>
      <c r="AO26" s="248"/>
      <c r="AP26" s="7">
        <v>6</v>
      </c>
      <c r="AQ26" s="9">
        <v>0.15</v>
      </c>
      <c r="AR26" s="248"/>
      <c r="AS26" s="7">
        <v>1600</v>
      </c>
      <c r="AT26" s="263">
        <v>0.8</v>
      </c>
      <c r="AU26" s="263">
        <v>0.8</v>
      </c>
      <c r="AV26" s="263">
        <v>0.83236994219653182</v>
      </c>
      <c r="AW26" s="263">
        <v>0.88</v>
      </c>
      <c r="AX26" s="263">
        <v>1.1000000000000001</v>
      </c>
      <c r="AY26" s="263">
        <v>1.53</v>
      </c>
      <c r="AZ26" s="263">
        <v>1.63</v>
      </c>
      <c r="BA26" s="263">
        <v>1.63</v>
      </c>
      <c r="BB26" s="263">
        <v>1.43</v>
      </c>
      <c r="BC26" s="263">
        <v>0.88</v>
      </c>
      <c r="BD26" s="263">
        <v>0.7</v>
      </c>
      <c r="BE26" s="263">
        <v>0.74</v>
      </c>
      <c r="BF26" s="7" t="s">
        <v>66</v>
      </c>
      <c r="BG26" s="248"/>
      <c r="BH26" s="249">
        <v>37438</v>
      </c>
      <c r="BI26" s="262">
        <v>0.75</v>
      </c>
      <c r="BJ26" s="248"/>
      <c r="BK26" s="248"/>
      <c r="BL26" s="248"/>
      <c r="BM26" s="248"/>
      <c r="BN26" s="248"/>
      <c r="BO26"/>
      <c r="BP26"/>
      <c r="BQ26"/>
      <c r="BR26"/>
      <c r="BS26"/>
      <c r="BT26" s="248"/>
      <c r="BU26" s="248"/>
      <c r="BV26" s="248"/>
      <c r="BW26" s="248"/>
      <c r="BX26" s="248"/>
      <c r="BY26" s="248"/>
      <c r="BZ26" s="248"/>
      <c r="CA26" s="248"/>
      <c r="CB26" s="248"/>
      <c r="CC26" s="248"/>
      <c r="CD26" s="248"/>
      <c r="CE26" s="248"/>
      <c r="CF26" s="248"/>
      <c r="CG26" s="248"/>
    </row>
    <row r="27" spans="1:85" ht="12.75" x14ac:dyDescent="0.2">
      <c r="A27" s="29">
        <v>37653</v>
      </c>
      <c r="B27" s="243">
        <v>5.4836840919591019E-2</v>
      </c>
      <c r="D27" s="260">
        <v>36990</v>
      </c>
      <c r="E27" s="9">
        <v>39.75</v>
      </c>
      <c r="F27" s="9">
        <v>40.25</v>
      </c>
      <c r="G27" s="9">
        <v>40.75</v>
      </c>
      <c r="H27" s="8"/>
      <c r="I27" s="9">
        <v>20.110000610351563</v>
      </c>
      <c r="J27" s="9">
        <v>20.360000610351563</v>
      </c>
      <c r="K27" s="9">
        <v>21.110000610351563</v>
      </c>
      <c r="L27" s="7"/>
      <c r="M27" s="249">
        <v>37469</v>
      </c>
      <c r="N27" s="261">
        <v>41.000003814697266</v>
      </c>
      <c r="O27" s="261">
        <v>41.500003814697266</v>
      </c>
      <c r="P27" s="261">
        <v>42.000003814697266</v>
      </c>
      <c r="Q27" s="248"/>
      <c r="R27" s="261">
        <v>33.5</v>
      </c>
      <c r="S27" s="261">
        <v>34</v>
      </c>
      <c r="T27" s="261">
        <v>34.5</v>
      </c>
      <c r="U27" s="248"/>
      <c r="V27" s="261">
        <v>0</v>
      </c>
      <c r="W27" s="261">
        <v>0</v>
      </c>
      <c r="X27" s="261">
        <v>0</v>
      </c>
      <c r="Y27" s="248"/>
      <c r="Z27" s="261">
        <v>0.38662500000000005</v>
      </c>
      <c r="AA27" s="261">
        <v>0.51550000000000007</v>
      </c>
      <c r="AB27" s="261">
        <v>0.7732500000000001</v>
      </c>
      <c r="AC27" s="248"/>
      <c r="AD27" s="261">
        <v>0.16125</v>
      </c>
      <c r="AE27" s="261">
        <v>0.215</v>
      </c>
      <c r="AF27" s="261">
        <v>0.32250000000000001</v>
      </c>
      <c r="AG27" s="248"/>
      <c r="AH27" s="261">
        <v>-0.5</v>
      </c>
      <c r="AI27" s="261">
        <v>5</v>
      </c>
      <c r="AJ27" s="261">
        <v>1.75</v>
      </c>
      <c r="AK27" s="248"/>
      <c r="AL27" s="261">
        <v>-0.1</v>
      </c>
      <c r="AM27" s="261">
        <v>1.1499999999999999</v>
      </c>
      <c r="AN27" s="261">
        <v>0.1</v>
      </c>
      <c r="AO27" s="248"/>
      <c r="AP27" s="7">
        <v>7</v>
      </c>
      <c r="AQ27" s="9">
        <v>0.15</v>
      </c>
      <c r="AR27" s="248"/>
      <c r="AS27" s="7">
        <v>1700</v>
      </c>
      <c r="AT27" s="263">
        <v>1</v>
      </c>
      <c r="AU27" s="263">
        <v>1</v>
      </c>
      <c r="AV27" s="263">
        <v>1.0173410404624277</v>
      </c>
      <c r="AW27" s="263">
        <v>1.05</v>
      </c>
      <c r="AX27" s="263">
        <v>1.1000000000000001</v>
      </c>
      <c r="AY27" s="263">
        <v>1.53</v>
      </c>
      <c r="AZ27" s="263">
        <v>1.63</v>
      </c>
      <c r="BA27" s="263">
        <v>1.63</v>
      </c>
      <c r="BB27" s="263">
        <v>1.55</v>
      </c>
      <c r="BC27" s="263">
        <v>1.05</v>
      </c>
      <c r="BD27" s="263">
        <v>1</v>
      </c>
      <c r="BE27" s="263">
        <v>1.1200000000000001</v>
      </c>
      <c r="BF27" s="7" t="s">
        <v>66</v>
      </c>
      <c r="BG27" s="248"/>
      <c r="BH27" s="249">
        <v>37469</v>
      </c>
      <c r="BI27" s="262">
        <v>0.75</v>
      </c>
      <c r="BJ27" s="248"/>
      <c r="BK27" s="248"/>
      <c r="BL27" s="248"/>
      <c r="BM27" s="248"/>
      <c r="BN27" s="248"/>
      <c r="BO27"/>
      <c r="BP27"/>
      <c r="BQ27"/>
      <c r="BR27"/>
      <c r="BS27"/>
      <c r="BT27" s="248"/>
      <c r="BU27" s="248"/>
      <c r="BV27" s="248"/>
      <c r="BW27" s="248"/>
      <c r="BX27" s="248"/>
      <c r="BY27" s="248"/>
      <c r="BZ27" s="248"/>
      <c r="CA27" s="248"/>
      <c r="CB27" s="248"/>
      <c r="CC27" s="248"/>
      <c r="CD27" s="248"/>
      <c r="CE27" s="248"/>
      <c r="CF27" s="248"/>
      <c r="CG27" s="248"/>
    </row>
    <row r="28" spans="1:85" ht="12.75" x14ac:dyDescent="0.2">
      <c r="A28" s="29">
        <v>37681</v>
      </c>
      <c r="B28" s="243">
        <v>5.5013777784327013E-2</v>
      </c>
      <c r="D28" s="260">
        <v>36991</v>
      </c>
      <c r="E28" s="9">
        <v>39.75</v>
      </c>
      <c r="F28" s="9">
        <v>40.25</v>
      </c>
      <c r="G28" s="9">
        <v>40.75</v>
      </c>
      <c r="H28" s="8"/>
      <c r="I28" s="9">
        <v>20.110000610351563</v>
      </c>
      <c r="J28" s="9">
        <v>20.360000610351563</v>
      </c>
      <c r="K28" s="9">
        <v>21.110000610351563</v>
      </c>
      <c r="L28" s="7"/>
      <c r="M28" s="249">
        <v>37500</v>
      </c>
      <c r="N28" s="261">
        <v>33</v>
      </c>
      <c r="O28" s="261">
        <v>33.5</v>
      </c>
      <c r="P28" s="261">
        <v>34</v>
      </c>
      <c r="Q28" s="248"/>
      <c r="R28" s="261">
        <v>27.5</v>
      </c>
      <c r="S28" s="261">
        <v>28</v>
      </c>
      <c r="T28" s="261">
        <v>28.5</v>
      </c>
      <c r="U28" s="248"/>
      <c r="V28" s="261">
        <v>0</v>
      </c>
      <c r="W28" s="261">
        <v>0</v>
      </c>
      <c r="X28" s="261">
        <v>0</v>
      </c>
      <c r="Y28" s="248"/>
      <c r="Z28" s="261">
        <v>0.27787500000000004</v>
      </c>
      <c r="AA28" s="261">
        <v>0.37050000000000005</v>
      </c>
      <c r="AB28" s="261">
        <v>0.55575000000000008</v>
      </c>
      <c r="AC28" s="248"/>
      <c r="AD28" s="261">
        <v>0.10125000000000001</v>
      </c>
      <c r="AE28" s="261">
        <v>0.13500000000000001</v>
      </c>
      <c r="AF28" s="261">
        <v>0.20250000000000001</v>
      </c>
      <c r="AG28" s="248"/>
      <c r="AH28" s="261">
        <v>-1</v>
      </c>
      <c r="AI28" s="261">
        <v>2.5</v>
      </c>
      <c r="AJ28" s="261">
        <v>2.5</v>
      </c>
      <c r="AK28" s="248"/>
      <c r="AL28" s="261">
        <v>-0.1</v>
      </c>
      <c r="AM28" s="261">
        <v>1.05</v>
      </c>
      <c r="AN28" s="261">
        <v>0.1</v>
      </c>
      <c r="AO28" s="248"/>
      <c r="AP28" s="7">
        <v>7</v>
      </c>
      <c r="AQ28" s="9">
        <v>0.15</v>
      </c>
      <c r="AR28" s="248"/>
      <c r="AS28" s="7">
        <v>1800</v>
      </c>
      <c r="AT28" s="263">
        <v>1.3</v>
      </c>
      <c r="AU28" s="263">
        <v>1.3</v>
      </c>
      <c r="AV28" s="263">
        <v>1.2023121387283238</v>
      </c>
      <c r="AW28" s="263">
        <v>1.2</v>
      </c>
      <c r="AX28" s="263">
        <v>1.1200000000000001</v>
      </c>
      <c r="AY28" s="263">
        <v>1.53</v>
      </c>
      <c r="AZ28" s="263">
        <v>1.63</v>
      </c>
      <c r="BA28" s="263">
        <v>1.63</v>
      </c>
      <c r="BB28" s="263">
        <v>1.5</v>
      </c>
      <c r="BC28" s="263">
        <v>1.2</v>
      </c>
      <c r="BD28" s="263">
        <v>1.2549999999999999</v>
      </c>
      <c r="BE28" s="263">
        <v>1.35</v>
      </c>
      <c r="BF28" s="7" t="s">
        <v>66</v>
      </c>
      <c r="BG28" s="248"/>
      <c r="BH28" s="249">
        <v>37500</v>
      </c>
      <c r="BI28" s="262">
        <v>0.75</v>
      </c>
      <c r="BJ28" s="248"/>
      <c r="BK28" s="248"/>
      <c r="BL28" s="248"/>
      <c r="BM28" s="248"/>
      <c r="BN28" s="248"/>
      <c r="BO28"/>
      <c r="BP28"/>
      <c r="BQ28"/>
      <c r="BR28"/>
      <c r="BS28"/>
      <c r="BT28" s="248"/>
      <c r="BU28" s="248"/>
      <c r="BV28" s="248"/>
      <c r="BW28" s="248"/>
      <c r="BX28" s="248"/>
      <c r="BY28" s="248"/>
      <c r="BZ28" s="248"/>
      <c r="CA28" s="248"/>
      <c r="CB28" s="248"/>
      <c r="CC28" s="248"/>
      <c r="CD28" s="248"/>
      <c r="CE28" s="248"/>
      <c r="CF28" s="248"/>
      <c r="CG28" s="248"/>
    </row>
    <row r="29" spans="1:85" ht="12.75" x14ac:dyDescent="0.2">
      <c r="A29" s="29">
        <v>37712</v>
      </c>
      <c r="B29" s="243">
        <v>5.5167025939401995E-2</v>
      </c>
      <c r="D29" s="260">
        <v>36992</v>
      </c>
      <c r="E29" s="9">
        <v>39.75</v>
      </c>
      <c r="F29" s="9">
        <v>40.25</v>
      </c>
      <c r="G29" s="9">
        <v>40.75</v>
      </c>
      <c r="H29" s="8"/>
      <c r="I29" s="9">
        <v>20.110000610351563</v>
      </c>
      <c r="J29" s="9">
        <v>20.360000610351563</v>
      </c>
      <c r="K29" s="9">
        <v>21.110000610351563</v>
      </c>
      <c r="L29" s="7"/>
      <c r="M29" s="249">
        <v>37530</v>
      </c>
      <c r="N29" s="261">
        <v>27.996000289916992</v>
      </c>
      <c r="O29" s="261">
        <v>28.496000289916992</v>
      </c>
      <c r="P29" s="261">
        <v>28.996000289916992</v>
      </c>
      <c r="Q29" s="248"/>
      <c r="R29" s="261">
        <v>22.496500015258789</v>
      </c>
      <c r="S29" s="261">
        <v>22.996500015258789</v>
      </c>
      <c r="T29" s="261">
        <v>23.496500015258789</v>
      </c>
      <c r="U29" s="248"/>
      <c r="V29" s="261">
        <v>0</v>
      </c>
      <c r="W29" s="261">
        <v>0</v>
      </c>
      <c r="X29" s="261">
        <v>0</v>
      </c>
      <c r="Y29" s="248"/>
      <c r="Z29" s="261">
        <v>0.24787500000000001</v>
      </c>
      <c r="AA29" s="261">
        <v>0.33050000000000002</v>
      </c>
      <c r="AB29" s="261">
        <v>0.49575000000000002</v>
      </c>
      <c r="AC29" s="248"/>
      <c r="AD29" s="261">
        <v>7.8750000000000001E-2</v>
      </c>
      <c r="AE29" s="261">
        <v>0.105</v>
      </c>
      <c r="AF29" s="261">
        <v>0.1575</v>
      </c>
      <c r="AG29" s="248"/>
      <c r="AH29" s="261">
        <v>-1</v>
      </c>
      <c r="AI29" s="261">
        <v>2</v>
      </c>
      <c r="AJ29" s="261">
        <v>2.5</v>
      </c>
      <c r="AK29" s="248"/>
      <c r="AL29" s="261">
        <v>-0.1</v>
      </c>
      <c r="AM29" s="261">
        <v>1</v>
      </c>
      <c r="AN29" s="261">
        <v>0.1</v>
      </c>
      <c r="AO29" s="248"/>
      <c r="AP29" s="7">
        <v>7</v>
      </c>
      <c r="AQ29" s="9">
        <v>0.15</v>
      </c>
      <c r="AR29" s="248"/>
      <c r="AS29" s="7">
        <v>1900</v>
      </c>
      <c r="AT29" s="263">
        <v>1.3</v>
      </c>
      <c r="AU29" s="263">
        <v>1.3</v>
      </c>
      <c r="AV29" s="263">
        <v>1.2023121387283238</v>
      </c>
      <c r="AW29" s="263">
        <v>1.1499999999999999</v>
      </c>
      <c r="AX29" s="263">
        <v>1.1499999999999999</v>
      </c>
      <c r="AY29" s="263">
        <v>1.53</v>
      </c>
      <c r="AZ29" s="263">
        <v>1.63</v>
      </c>
      <c r="BA29" s="263">
        <v>1.63</v>
      </c>
      <c r="BB29" s="263">
        <v>1.45</v>
      </c>
      <c r="BC29" s="263">
        <v>1.1499999999999999</v>
      </c>
      <c r="BD29" s="263">
        <v>1.54</v>
      </c>
      <c r="BE29" s="263">
        <v>1.35</v>
      </c>
      <c r="BF29" s="7" t="s">
        <v>66</v>
      </c>
      <c r="BG29" s="248"/>
      <c r="BH29" s="249">
        <v>37530</v>
      </c>
      <c r="BI29" s="262">
        <v>0.75</v>
      </c>
      <c r="BJ29" s="248"/>
      <c r="BK29" s="248"/>
      <c r="BL29" s="248"/>
      <c r="BM29" s="248"/>
      <c r="BN29" s="248"/>
      <c r="BO29"/>
      <c r="BP29"/>
      <c r="BQ29"/>
      <c r="BR29"/>
      <c r="BS29"/>
      <c r="BT29" s="248"/>
      <c r="BU29" s="248"/>
      <c r="BV29" s="248"/>
      <c r="BW29" s="248"/>
      <c r="BX29" s="248"/>
      <c r="BY29" s="248"/>
      <c r="BZ29" s="248"/>
      <c r="CA29" s="248"/>
      <c r="CB29" s="248"/>
      <c r="CC29" s="248"/>
      <c r="CD29" s="248"/>
      <c r="CE29" s="248"/>
      <c r="CF29" s="248"/>
      <c r="CG29" s="248"/>
    </row>
    <row r="30" spans="1:85" ht="12.75" x14ac:dyDescent="0.2">
      <c r="A30" s="29">
        <v>37742</v>
      </c>
      <c r="B30" s="243">
        <v>5.5325382374528005E-2</v>
      </c>
      <c r="D30" s="260">
        <v>36993</v>
      </c>
      <c r="E30" s="9">
        <v>39.75</v>
      </c>
      <c r="F30" s="9">
        <v>40.25</v>
      </c>
      <c r="G30" s="9">
        <v>40.75</v>
      </c>
      <c r="H30" s="8"/>
      <c r="I30" s="9">
        <v>20.110000610351563</v>
      </c>
      <c r="J30" s="9">
        <v>20.360000610351563</v>
      </c>
      <c r="K30" s="9">
        <v>21.110000610351563</v>
      </c>
      <c r="L30" s="7"/>
      <c r="M30" s="249">
        <v>37561</v>
      </c>
      <c r="N30" s="261">
        <v>30</v>
      </c>
      <c r="O30" s="261">
        <v>30.5</v>
      </c>
      <c r="P30" s="261">
        <v>31</v>
      </c>
      <c r="Q30" s="248"/>
      <c r="R30" s="261">
        <v>22.5</v>
      </c>
      <c r="S30" s="261">
        <v>23</v>
      </c>
      <c r="T30" s="261">
        <v>23.5</v>
      </c>
      <c r="U30" s="248"/>
      <c r="V30" s="261">
        <v>0</v>
      </c>
      <c r="W30" s="261">
        <v>0</v>
      </c>
      <c r="X30" s="261">
        <v>0</v>
      </c>
      <c r="Y30" s="248"/>
      <c r="Z30" s="261">
        <v>0.24787500000000001</v>
      </c>
      <c r="AA30" s="261">
        <v>0.33050000000000002</v>
      </c>
      <c r="AB30" s="261">
        <v>0.49575000000000002</v>
      </c>
      <c r="AC30" s="248"/>
      <c r="AD30" s="261">
        <v>7.8750000000000001E-2</v>
      </c>
      <c r="AE30" s="261">
        <v>0.105</v>
      </c>
      <c r="AF30" s="261">
        <v>0.1575</v>
      </c>
      <c r="AG30" s="248"/>
      <c r="AH30" s="261">
        <v>-0.5</v>
      </c>
      <c r="AI30" s="261">
        <v>1.95</v>
      </c>
      <c r="AJ30" s="261">
        <v>1</v>
      </c>
      <c r="AK30" s="248"/>
      <c r="AL30" s="261">
        <v>-0.1</v>
      </c>
      <c r="AM30" s="261">
        <v>1</v>
      </c>
      <c r="AN30" s="261">
        <v>0.1</v>
      </c>
      <c r="AO30" s="248"/>
      <c r="AP30" s="7">
        <v>8</v>
      </c>
      <c r="AQ30" s="9">
        <v>0.15</v>
      </c>
      <c r="AR30" s="248"/>
      <c r="AS30" s="7">
        <v>2000</v>
      </c>
      <c r="AT30" s="263">
        <v>1.1499999999999999</v>
      </c>
      <c r="AU30" s="263">
        <v>1.1499999999999999</v>
      </c>
      <c r="AV30" s="263">
        <v>1.0173410404624277</v>
      </c>
      <c r="AW30" s="263">
        <v>1.05</v>
      </c>
      <c r="AX30" s="263">
        <v>1.1200000000000001</v>
      </c>
      <c r="AY30" s="263">
        <v>1.53</v>
      </c>
      <c r="AZ30" s="263">
        <v>1.63</v>
      </c>
      <c r="BA30" s="263">
        <v>1.63</v>
      </c>
      <c r="BB30" s="263">
        <v>1.35</v>
      </c>
      <c r="BC30" s="263">
        <v>1.05</v>
      </c>
      <c r="BD30" s="263">
        <v>1.54</v>
      </c>
      <c r="BE30" s="263">
        <v>1.21</v>
      </c>
      <c r="BF30" s="7" t="s">
        <v>66</v>
      </c>
      <c r="BG30" s="248"/>
      <c r="BH30" s="249">
        <v>37561</v>
      </c>
      <c r="BI30" s="262">
        <v>0.75</v>
      </c>
      <c r="BJ30" s="248"/>
      <c r="BK30" s="248"/>
      <c r="BL30" s="248"/>
      <c r="BM30" s="248"/>
      <c r="BN30" s="248"/>
      <c r="BO30"/>
      <c r="BP30"/>
      <c r="BQ30"/>
      <c r="BR30"/>
      <c r="BS30"/>
      <c r="BT30" s="248"/>
      <c r="BU30" s="248"/>
      <c r="BV30" s="248"/>
      <c r="BW30" s="248"/>
      <c r="BX30" s="248"/>
      <c r="BY30" s="248"/>
      <c r="BZ30" s="248"/>
      <c r="CA30" s="248"/>
      <c r="CB30" s="248"/>
      <c r="CC30" s="248"/>
      <c r="CD30" s="248"/>
      <c r="CE30" s="248"/>
      <c r="CF30" s="248"/>
      <c r="CG30" s="248"/>
    </row>
    <row r="31" spans="1:85" ht="12.75" x14ac:dyDescent="0.2">
      <c r="A31" s="29">
        <v>37773</v>
      </c>
      <c r="B31" s="243">
        <v>5.5474153248809006E-2</v>
      </c>
      <c r="D31" s="260">
        <v>36994</v>
      </c>
      <c r="E31" s="9">
        <v>39.75</v>
      </c>
      <c r="F31" s="9">
        <v>40.25</v>
      </c>
      <c r="G31" s="9">
        <v>40.75</v>
      </c>
      <c r="H31" s="8"/>
      <c r="I31" s="9">
        <v>20.110000610351563</v>
      </c>
      <c r="J31" s="9">
        <v>20.360000610351563</v>
      </c>
      <c r="K31" s="9">
        <v>21.110000610351563</v>
      </c>
      <c r="L31" s="7"/>
      <c r="M31" s="249">
        <v>37591</v>
      </c>
      <c r="N31" s="261">
        <v>35</v>
      </c>
      <c r="O31" s="261">
        <v>35.5</v>
      </c>
      <c r="P31" s="261">
        <v>36</v>
      </c>
      <c r="Q31" s="248"/>
      <c r="R31" s="261">
        <v>29.5</v>
      </c>
      <c r="S31" s="261">
        <v>30</v>
      </c>
      <c r="T31" s="261">
        <v>30.5</v>
      </c>
      <c r="U31" s="248"/>
      <c r="V31" s="261">
        <v>0</v>
      </c>
      <c r="W31" s="261">
        <v>0</v>
      </c>
      <c r="X31" s="261">
        <v>0</v>
      </c>
      <c r="Y31" s="248"/>
      <c r="Z31" s="261">
        <v>0.24787500000000001</v>
      </c>
      <c r="AA31" s="261">
        <v>0.33050000000000002</v>
      </c>
      <c r="AB31" s="261">
        <v>0.49575000000000002</v>
      </c>
      <c r="AC31" s="248"/>
      <c r="AD31" s="261">
        <v>0.10875</v>
      </c>
      <c r="AE31" s="261">
        <v>0.14499999999999999</v>
      </c>
      <c r="AF31" s="261">
        <v>0.2175</v>
      </c>
      <c r="AG31" s="248"/>
      <c r="AH31" s="261">
        <v>-0.4</v>
      </c>
      <c r="AI31" s="261">
        <v>1.9</v>
      </c>
      <c r="AJ31" s="261">
        <v>0.5</v>
      </c>
      <c r="AK31" s="248"/>
      <c r="AL31" s="261">
        <v>-0.1</v>
      </c>
      <c r="AM31" s="261">
        <v>1</v>
      </c>
      <c r="AN31" s="261">
        <v>0.1</v>
      </c>
      <c r="AO31" s="248"/>
      <c r="AP31" s="7">
        <v>8</v>
      </c>
      <c r="AQ31" s="9">
        <v>0.15</v>
      </c>
      <c r="AR31" s="248"/>
      <c r="AS31" s="7">
        <v>2100</v>
      </c>
      <c r="AT31" s="263">
        <v>0.8</v>
      </c>
      <c r="AU31" s="263">
        <v>0.8</v>
      </c>
      <c r="AV31" s="263">
        <v>0.92485549132947975</v>
      </c>
      <c r="AW31" s="263">
        <v>0.9</v>
      </c>
      <c r="AX31" s="263">
        <v>0.90282131661442011</v>
      </c>
      <c r="AY31" s="263">
        <v>0.47</v>
      </c>
      <c r="AZ31" s="263">
        <v>0.37</v>
      </c>
      <c r="BA31" s="263">
        <v>0.37</v>
      </c>
      <c r="BB31" s="263">
        <v>1</v>
      </c>
      <c r="BC31" s="263">
        <v>0.9</v>
      </c>
      <c r="BD31" s="263">
        <v>1.2050000000000001</v>
      </c>
      <c r="BE31" s="263">
        <v>0.95</v>
      </c>
      <c r="BF31" s="7" t="s">
        <v>66</v>
      </c>
      <c r="BG31" s="248"/>
      <c r="BH31" s="249">
        <v>37591</v>
      </c>
      <c r="BI31" s="262">
        <v>0.75</v>
      </c>
      <c r="BJ31" s="248"/>
      <c r="BK31" s="248"/>
      <c r="BL31" s="248"/>
      <c r="BM31" s="248"/>
      <c r="BN31" s="248"/>
      <c r="BO31"/>
      <c r="BP31"/>
      <c r="BQ31"/>
      <c r="BR31"/>
      <c r="BS31"/>
      <c r="BT31" s="248"/>
      <c r="BU31" s="248"/>
      <c r="BV31" s="248"/>
      <c r="BW31" s="248"/>
      <c r="BX31" s="248"/>
      <c r="BY31" s="248"/>
      <c r="BZ31" s="248"/>
      <c r="CA31" s="248"/>
      <c r="CB31" s="248"/>
      <c r="CC31" s="248"/>
      <c r="CD31" s="248"/>
      <c r="CE31" s="248"/>
      <c r="CF31" s="248"/>
      <c r="CG31" s="248"/>
    </row>
    <row r="32" spans="1:85" ht="12.75" x14ac:dyDescent="0.2">
      <c r="A32" s="29">
        <v>37803</v>
      </c>
      <c r="B32" s="243">
        <v>5.562145439014702E-2</v>
      </c>
      <c r="D32" s="260">
        <v>36995</v>
      </c>
      <c r="E32" s="9">
        <v>24.5</v>
      </c>
      <c r="F32" s="9">
        <v>25</v>
      </c>
      <c r="G32" s="9">
        <v>25.5</v>
      </c>
      <c r="H32" s="8"/>
      <c r="I32" s="9">
        <v>20.110000610351563</v>
      </c>
      <c r="J32" s="9">
        <v>20.360000610351563</v>
      </c>
      <c r="K32" s="9">
        <v>21.110000610351563</v>
      </c>
      <c r="L32" s="7"/>
      <c r="M32" s="249">
        <v>37622</v>
      </c>
      <c r="N32" s="261">
        <v>36.5</v>
      </c>
      <c r="O32" s="261">
        <v>37</v>
      </c>
      <c r="P32" s="261">
        <v>37.5</v>
      </c>
      <c r="Q32" s="248"/>
      <c r="R32" s="261">
        <v>26</v>
      </c>
      <c r="S32" s="261">
        <v>26.5</v>
      </c>
      <c r="T32" s="261">
        <v>27</v>
      </c>
      <c r="U32" s="248"/>
      <c r="V32" s="261">
        <v>0</v>
      </c>
      <c r="W32" s="261">
        <v>0</v>
      </c>
      <c r="X32" s="261">
        <v>0</v>
      </c>
      <c r="Y32" s="248"/>
      <c r="Z32" s="261">
        <v>0.31950000000000001</v>
      </c>
      <c r="AA32" s="261">
        <v>0.42600000000000005</v>
      </c>
      <c r="AB32" s="261">
        <v>0.63900000000000001</v>
      </c>
      <c r="AC32" s="248"/>
      <c r="AD32" s="261">
        <v>0.10125000000000001</v>
      </c>
      <c r="AE32" s="261">
        <v>0.13500000000000001</v>
      </c>
      <c r="AF32" s="261">
        <v>0.20250000000000001</v>
      </c>
      <c r="AG32" s="248"/>
      <c r="AH32" s="261">
        <v>-0.4</v>
      </c>
      <c r="AI32" s="261">
        <v>2.4300000000000002</v>
      </c>
      <c r="AJ32" s="261">
        <v>0.5</v>
      </c>
      <c r="AK32" s="248"/>
      <c r="AL32" s="261">
        <v>-0.1</v>
      </c>
      <c r="AM32" s="261">
        <v>1</v>
      </c>
      <c r="AN32" s="261">
        <v>0.1</v>
      </c>
      <c r="AO32" s="248"/>
      <c r="AP32" s="7">
        <v>8</v>
      </c>
      <c r="AQ32" s="9">
        <v>0.15</v>
      </c>
      <c r="AR32" s="248"/>
      <c r="AS32" s="7">
        <v>2200</v>
      </c>
      <c r="AT32" s="263">
        <v>0.79</v>
      </c>
      <c r="AU32" s="263">
        <v>0.79</v>
      </c>
      <c r="AV32" s="263">
        <v>0.83236994219653182</v>
      </c>
      <c r="AW32" s="263">
        <v>0.85</v>
      </c>
      <c r="AX32" s="263">
        <v>0.85</v>
      </c>
      <c r="AY32" s="263">
        <v>0.47</v>
      </c>
      <c r="AZ32" s="263">
        <v>0.37</v>
      </c>
      <c r="BA32" s="263">
        <v>0.37</v>
      </c>
      <c r="BB32" s="263">
        <v>0.69</v>
      </c>
      <c r="BC32" s="263">
        <v>0.85</v>
      </c>
      <c r="BD32" s="263">
        <v>0.72</v>
      </c>
      <c r="BE32" s="263">
        <v>0.72</v>
      </c>
      <c r="BF32" s="7" t="s">
        <v>66</v>
      </c>
      <c r="BG32" s="248"/>
      <c r="BH32" s="249">
        <v>37622</v>
      </c>
      <c r="BI32" s="262">
        <v>0.75</v>
      </c>
      <c r="BJ32" s="248"/>
      <c r="BK32" s="248"/>
      <c r="BL32" s="248"/>
      <c r="BM32" s="248"/>
      <c r="BN32" s="248"/>
      <c r="BO32"/>
      <c r="BP32"/>
      <c r="BQ32"/>
      <c r="BR32"/>
      <c r="BS32"/>
      <c r="BT32" s="248"/>
      <c r="BU32" s="248"/>
      <c r="BV32" s="248"/>
      <c r="BW32" s="248"/>
      <c r="BX32" s="248"/>
      <c r="BY32" s="248"/>
      <c r="BZ32" s="248"/>
      <c r="CA32" s="248"/>
      <c r="CB32" s="248"/>
      <c r="CC32" s="248"/>
      <c r="CD32" s="248"/>
      <c r="CE32" s="248"/>
      <c r="CF32" s="248"/>
      <c r="CG32" s="248"/>
    </row>
    <row r="33" spans="1:85" ht="12.75" x14ac:dyDescent="0.2">
      <c r="A33" s="29">
        <v>37834</v>
      </c>
      <c r="B33" s="243">
        <v>5.5768755538709004E-2</v>
      </c>
      <c r="D33" s="260">
        <v>36996</v>
      </c>
      <c r="E33" s="9">
        <v>24.5</v>
      </c>
      <c r="F33" s="9">
        <v>25</v>
      </c>
      <c r="G33" s="9">
        <v>25.5</v>
      </c>
      <c r="H33" s="8"/>
      <c r="I33" s="9">
        <v>20.110000610351563</v>
      </c>
      <c r="J33" s="9">
        <v>20.360000610351563</v>
      </c>
      <c r="K33" s="9">
        <v>21.110000610351563</v>
      </c>
      <c r="L33" s="7"/>
      <c r="M33" s="249">
        <v>37653</v>
      </c>
      <c r="N33" s="261">
        <v>31.996002197265625</v>
      </c>
      <c r="O33" s="261">
        <v>32.496002197265625</v>
      </c>
      <c r="P33" s="261">
        <v>32.996002197265625</v>
      </c>
      <c r="Q33" s="248"/>
      <c r="R33" s="261">
        <v>23.496501922607422</v>
      </c>
      <c r="S33" s="261">
        <v>23.996501922607422</v>
      </c>
      <c r="T33" s="261">
        <v>24.496501922607422</v>
      </c>
      <c r="U33" s="248"/>
      <c r="V33" s="261">
        <v>0</v>
      </c>
      <c r="W33" s="261">
        <v>0</v>
      </c>
      <c r="X33" s="261">
        <v>0</v>
      </c>
      <c r="Y33" s="248"/>
      <c r="Z33" s="261">
        <v>0.31950000000000001</v>
      </c>
      <c r="AA33" s="261">
        <v>0.42600000000000005</v>
      </c>
      <c r="AB33" s="261">
        <v>0.63900000000000001</v>
      </c>
      <c r="AC33" s="248"/>
      <c r="AD33" s="261">
        <v>0.10125000000000001</v>
      </c>
      <c r="AE33" s="261">
        <v>0.13500000000000001</v>
      </c>
      <c r="AF33" s="261">
        <v>0.20250000000000001</v>
      </c>
      <c r="AG33" s="248"/>
      <c r="AH33" s="261">
        <v>-0.4</v>
      </c>
      <c r="AI33" s="261">
        <v>2.4300000000000002</v>
      </c>
      <c r="AJ33" s="261">
        <v>0.6</v>
      </c>
      <c r="AK33" s="248"/>
      <c r="AL33" s="261">
        <v>-0.1</v>
      </c>
      <c r="AM33" s="261">
        <v>1</v>
      </c>
      <c r="AN33" s="261">
        <v>0.1</v>
      </c>
      <c r="AO33" s="248"/>
      <c r="AP33" s="7">
        <v>9</v>
      </c>
      <c r="AQ33" s="9">
        <v>0.15</v>
      </c>
      <c r="AR33" s="248"/>
      <c r="AS33" s="7">
        <v>2300</v>
      </c>
      <c r="AT33" s="263">
        <v>1.05</v>
      </c>
      <c r="AU33" s="263">
        <v>1.05</v>
      </c>
      <c r="AV33" s="263">
        <v>1.1394258154839256</v>
      </c>
      <c r="AW33" s="263">
        <v>1.2651538630520069</v>
      </c>
      <c r="AX33" s="263">
        <v>1.1499999999999999</v>
      </c>
      <c r="AY33" s="263">
        <v>1.25</v>
      </c>
      <c r="AZ33" s="263">
        <v>1.294655820247528</v>
      </c>
      <c r="BA33" s="263">
        <v>1.294655820247528</v>
      </c>
      <c r="BB33" s="263">
        <v>1.25</v>
      </c>
      <c r="BC33" s="263">
        <v>1.2651538630520069</v>
      </c>
      <c r="BD33" s="263">
        <v>1.1199882405274926</v>
      </c>
      <c r="BE33" s="263">
        <v>1.1199882405274926</v>
      </c>
      <c r="BF33" s="7" t="s">
        <v>67</v>
      </c>
      <c r="BG33" s="248"/>
      <c r="BH33" s="249">
        <v>37653</v>
      </c>
      <c r="BI33" s="262">
        <v>0.75</v>
      </c>
      <c r="BJ33" s="248"/>
      <c r="BK33" s="248"/>
      <c r="BL33" s="248"/>
      <c r="BM33" s="248"/>
      <c r="BN33" s="248"/>
      <c r="BO33"/>
      <c r="BP33"/>
      <c r="BQ33"/>
      <c r="BR33"/>
      <c r="BS33"/>
      <c r="BT33" s="248"/>
      <c r="BU33" s="248"/>
      <c r="BV33" s="248"/>
      <c r="BW33" s="248"/>
      <c r="BX33" s="248"/>
      <c r="BY33" s="248"/>
      <c r="BZ33" s="248"/>
      <c r="CA33" s="248"/>
      <c r="CB33" s="248"/>
      <c r="CC33" s="248"/>
      <c r="CD33" s="248"/>
      <c r="CE33" s="248"/>
      <c r="CF33" s="248"/>
      <c r="CG33" s="248"/>
    </row>
    <row r="34" spans="1:85" ht="12.75" x14ac:dyDescent="0.2">
      <c r="A34" s="29">
        <v>37865</v>
      </c>
      <c r="B34" s="243">
        <v>5.5907717235592014E-2</v>
      </c>
      <c r="D34" s="260">
        <v>36997</v>
      </c>
      <c r="E34" s="9">
        <v>39.75</v>
      </c>
      <c r="F34" s="9">
        <v>40.25</v>
      </c>
      <c r="G34" s="9">
        <v>40.75</v>
      </c>
      <c r="H34" s="8"/>
      <c r="I34" s="9">
        <v>20.110000610351563</v>
      </c>
      <c r="J34" s="9">
        <v>20.360000610351563</v>
      </c>
      <c r="K34" s="9">
        <v>21.110000610351563</v>
      </c>
      <c r="L34" s="7"/>
      <c r="M34" s="249">
        <v>37681</v>
      </c>
      <c r="N34" s="261">
        <v>27</v>
      </c>
      <c r="O34" s="261">
        <v>27.5</v>
      </c>
      <c r="P34" s="261">
        <v>28</v>
      </c>
      <c r="Q34" s="248"/>
      <c r="R34" s="261">
        <v>21.5</v>
      </c>
      <c r="S34" s="261">
        <v>22</v>
      </c>
      <c r="T34" s="261">
        <v>22.5</v>
      </c>
      <c r="U34" s="248"/>
      <c r="V34" s="261">
        <v>0</v>
      </c>
      <c r="W34" s="261">
        <v>0</v>
      </c>
      <c r="X34" s="261">
        <v>0</v>
      </c>
      <c r="Y34" s="248"/>
      <c r="Z34" s="261">
        <v>0.1875</v>
      </c>
      <c r="AA34" s="261">
        <v>0.25</v>
      </c>
      <c r="AB34" s="261">
        <v>0.375</v>
      </c>
      <c r="AC34" s="248"/>
      <c r="AD34" s="261">
        <v>0.09</v>
      </c>
      <c r="AE34" s="261">
        <v>0.12</v>
      </c>
      <c r="AF34" s="261">
        <v>0.18</v>
      </c>
      <c r="AG34" s="248"/>
      <c r="AH34" s="261">
        <v>-0.5</v>
      </c>
      <c r="AI34" s="261">
        <v>2.052</v>
      </c>
      <c r="AJ34" s="261">
        <v>1</v>
      </c>
      <c r="AK34" s="248"/>
      <c r="AL34" s="261">
        <v>-0.1</v>
      </c>
      <c r="AM34" s="261">
        <v>1</v>
      </c>
      <c r="AN34" s="261">
        <v>0.1</v>
      </c>
      <c r="AO34" s="248"/>
      <c r="AP34" s="7">
        <v>9</v>
      </c>
      <c r="AQ34" s="9">
        <v>0.15</v>
      </c>
      <c r="AR34" s="248"/>
      <c r="AS34" s="7">
        <v>2400</v>
      </c>
      <c r="AT34" s="263">
        <v>0.95</v>
      </c>
      <c r="AU34" s="263">
        <v>0.95</v>
      </c>
      <c r="AV34" s="263">
        <v>1.0653953935164719</v>
      </c>
      <c r="AW34" s="263">
        <v>1.1540111872470415</v>
      </c>
      <c r="AX34" s="263">
        <v>0.95880733290693432</v>
      </c>
      <c r="AY34" s="263">
        <v>1.2150591296388353</v>
      </c>
      <c r="AZ34" s="263">
        <v>1.1913118207893334</v>
      </c>
      <c r="BA34" s="263">
        <v>1.1913118207893334</v>
      </c>
      <c r="BB34" s="263">
        <v>1.2150591296388353</v>
      </c>
      <c r="BC34" s="263">
        <v>1.1540111872470415</v>
      </c>
      <c r="BD34" s="263">
        <v>1.0539248913203618</v>
      </c>
      <c r="BE34" s="263">
        <v>1.1039248913203601</v>
      </c>
      <c r="BF34" s="7" t="s">
        <v>67</v>
      </c>
      <c r="BG34" s="248"/>
      <c r="BH34" s="249">
        <v>37681</v>
      </c>
      <c r="BI34" s="262">
        <v>0.75</v>
      </c>
      <c r="BJ34" s="248"/>
      <c r="BK34" s="248"/>
      <c r="BL34" s="248"/>
      <c r="BM34" s="248"/>
      <c r="BN34" s="248"/>
      <c r="BO34"/>
      <c r="BP34"/>
      <c r="BQ34"/>
      <c r="BR34"/>
      <c r="BS34"/>
      <c r="BT34" s="248"/>
      <c r="BU34" s="248"/>
      <c r="BV34" s="248"/>
      <c r="BW34" s="248"/>
      <c r="BX34" s="248"/>
      <c r="BY34" s="248"/>
      <c r="BZ34" s="248"/>
      <c r="CA34" s="248"/>
      <c r="CB34" s="248"/>
      <c r="CC34" s="248"/>
      <c r="CD34" s="248"/>
      <c r="CE34" s="248"/>
      <c r="CF34" s="248"/>
      <c r="CG34" s="248"/>
    </row>
    <row r="35" spans="1:85" ht="12.75" x14ac:dyDescent="0.2">
      <c r="A35" s="29">
        <v>37895</v>
      </c>
      <c r="B35" s="243">
        <v>5.6046808209464005E-2</v>
      </c>
      <c r="D35" s="260">
        <v>36998</v>
      </c>
      <c r="E35" s="9">
        <v>39.75</v>
      </c>
      <c r="F35" s="9">
        <v>40.25</v>
      </c>
      <c r="G35" s="9">
        <v>40.75</v>
      </c>
      <c r="H35" s="8"/>
      <c r="I35" s="9">
        <v>20.110000610351563</v>
      </c>
      <c r="J35" s="9">
        <v>20.360000610351563</v>
      </c>
      <c r="K35" s="9">
        <v>21.110000610351563</v>
      </c>
      <c r="L35" s="7"/>
      <c r="M35" s="249">
        <v>37712</v>
      </c>
      <c r="N35" s="261">
        <v>27</v>
      </c>
      <c r="O35" s="261">
        <v>27.5</v>
      </c>
      <c r="P35" s="261">
        <v>28</v>
      </c>
      <c r="Q35" s="248"/>
      <c r="R35" s="261">
        <v>21.495000839233398</v>
      </c>
      <c r="S35" s="261">
        <v>21.995000839233398</v>
      </c>
      <c r="T35" s="261">
        <v>22.495000839233398</v>
      </c>
      <c r="U35" s="248"/>
      <c r="V35" s="261">
        <v>0</v>
      </c>
      <c r="W35" s="261">
        <v>0</v>
      </c>
      <c r="X35" s="261">
        <v>0</v>
      </c>
      <c r="Y35" s="248"/>
      <c r="Z35" s="261">
        <v>0.1875</v>
      </c>
      <c r="AA35" s="261">
        <v>0.25</v>
      </c>
      <c r="AB35" s="261">
        <v>0.375</v>
      </c>
      <c r="AC35" s="248"/>
      <c r="AD35" s="261">
        <v>0.09</v>
      </c>
      <c r="AE35" s="261">
        <v>0.12</v>
      </c>
      <c r="AF35" s="261">
        <v>0.18</v>
      </c>
      <c r="AG35" s="248"/>
      <c r="AH35" s="261">
        <v>-0.5</v>
      </c>
      <c r="AI35" s="261">
        <v>1.9980000000000004</v>
      </c>
      <c r="AJ35" s="261">
        <v>1</v>
      </c>
      <c r="AK35" s="248"/>
      <c r="AL35" s="261">
        <v>-0.1</v>
      </c>
      <c r="AM35" s="261">
        <v>1</v>
      </c>
      <c r="AN35" s="261">
        <v>0.1</v>
      </c>
      <c r="AO35" s="248"/>
      <c r="AP35" s="7">
        <v>9</v>
      </c>
      <c r="AQ35" s="9">
        <v>0.15</v>
      </c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9">
        <v>37712</v>
      </c>
      <c r="BI35" s="262">
        <v>0.75</v>
      </c>
      <c r="BJ35" s="248"/>
      <c r="BK35" s="248"/>
      <c r="BL35" s="248"/>
      <c r="BM35" s="248"/>
      <c r="BN35" s="248"/>
      <c r="BO35"/>
      <c r="BP35"/>
      <c r="BQ35"/>
      <c r="BR35"/>
      <c r="BS35"/>
      <c r="BT35" s="248"/>
      <c r="BU35" s="248"/>
      <c r="BV35" s="248"/>
      <c r="BW35" s="248"/>
      <c r="BX35" s="248"/>
      <c r="BY35" s="248"/>
      <c r="BZ35" s="248"/>
      <c r="CA35" s="248"/>
      <c r="CB35" s="248"/>
      <c r="CC35" s="248"/>
      <c r="CD35" s="248"/>
      <c r="CE35" s="248"/>
      <c r="CF35" s="248"/>
      <c r="CG35" s="248"/>
    </row>
    <row r="36" spans="1:85" ht="12.75" x14ac:dyDescent="0.2">
      <c r="A36" s="29">
        <v>37926</v>
      </c>
      <c r="B36" s="243">
        <v>5.6181412383859021E-2</v>
      </c>
      <c r="D36" s="260">
        <v>36999</v>
      </c>
      <c r="E36" s="9">
        <v>39.75</v>
      </c>
      <c r="F36" s="9">
        <v>40.25</v>
      </c>
      <c r="G36" s="9">
        <v>40.75</v>
      </c>
      <c r="H36" s="8"/>
      <c r="I36" s="9">
        <v>20.110000610351563</v>
      </c>
      <c r="J36" s="9">
        <v>20.360000610351563</v>
      </c>
      <c r="K36" s="9">
        <v>21.110000610351563</v>
      </c>
      <c r="L36" s="7"/>
      <c r="M36" s="249">
        <v>37742</v>
      </c>
      <c r="N36" s="261">
        <v>29</v>
      </c>
      <c r="O36" s="261">
        <v>29.5</v>
      </c>
      <c r="P36" s="261">
        <v>30</v>
      </c>
      <c r="Q36" s="248"/>
      <c r="R36" s="261">
        <v>22.504999160766602</v>
      </c>
      <c r="S36" s="261">
        <v>23.004999160766602</v>
      </c>
      <c r="T36" s="261">
        <v>23.504999160766602</v>
      </c>
      <c r="U36" s="248"/>
      <c r="V36" s="261">
        <v>0</v>
      </c>
      <c r="W36" s="261">
        <v>0</v>
      </c>
      <c r="X36" s="261">
        <v>0</v>
      </c>
      <c r="Y36" s="248"/>
      <c r="Z36" s="261">
        <v>0.31950000000000001</v>
      </c>
      <c r="AA36" s="261">
        <v>0.42600000000000005</v>
      </c>
      <c r="AB36" s="261">
        <v>0.63900000000000001</v>
      </c>
      <c r="AC36" s="248"/>
      <c r="AD36" s="261">
        <v>0.11625000000000001</v>
      </c>
      <c r="AE36" s="261">
        <v>0.155</v>
      </c>
      <c r="AF36" s="261">
        <v>0.23250000000000001</v>
      </c>
      <c r="AG36" s="248"/>
      <c r="AH36" s="261">
        <v>-0.4</v>
      </c>
      <c r="AI36" s="261">
        <v>2.6460000000000004</v>
      </c>
      <c r="AJ36" s="261">
        <v>0.5</v>
      </c>
      <c r="AK36" s="248"/>
      <c r="AL36" s="261">
        <v>-0.1</v>
      </c>
      <c r="AM36" s="261">
        <v>1.05</v>
      </c>
      <c r="AN36" s="261">
        <v>0.1</v>
      </c>
      <c r="AO36" s="248"/>
      <c r="AP36" s="7">
        <v>10</v>
      </c>
      <c r="AQ36" s="9">
        <v>0.15</v>
      </c>
      <c r="AR36" s="248"/>
      <c r="AS36" s="7" t="s">
        <v>68</v>
      </c>
      <c r="AT36" s="248"/>
      <c r="AU36" s="248"/>
      <c r="AV36" s="7" t="s">
        <v>69</v>
      </c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9">
        <v>37742</v>
      </c>
      <c r="BI36" s="262">
        <v>0.75</v>
      </c>
      <c r="BJ36" s="248"/>
      <c r="BK36" s="248"/>
      <c r="BL36" s="248"/>
      <c r="BM36" s="248"/>
      <c r="BN36" s="248"/>
      <c r="BO36"/>
      <c r="BP36"/>
      <c r="BQ36"/>
      <c r="BR36"/>
      <c r="BS36"/>
      <c r="BT36" s="248"/>
      <c r="BU36" s="248"/>
      <c r="BV36" s="248"/>
      <c r="BW36" s="248"/>
      <c r="BX36" s="248"/>
      <c r="BY36" s="248"/>
      <c r="BZ36" s="248"/>
      <c r="CA36" s="248"/>
      <c r="CB36" s="248"/>
      <c r="CC36" s="248"/>
      <c r="CD36" s="248"/>
      <c r="CE36" s="248"/>
      <c r="CF36" s="248"/>
      <c r="CG36" s="248"/>
    </row>
    <row r="37" spans="1:85" ht="12.75" x14ac:dyDescent="0.2">
      <c r="A37" s="29">
        <v>37956</v>
      </c>
      <c r="B37" s="243">
        <v>5.6324763125970012E-2</v>
      </c>
      <c r="D37" s="260">
        <v>37000</v>
      </c>
      <c r="E37" s="9">
        <v>39.75</v>
      </c>
      <c r="F37" s="9">
        <v>40.25</v>
      </c>
      <c r="G37" s="9">
        <v>40.75</v>
      </c>
      <c r="H37" s="8"/>
      <c r="I37" s="9">
        <v>20.110000610351563</v>
      </c>
      <c r="J37" s="9">
        <v>20.360000610351563</v>
      </c>
      <c r="K37" s="9">
        <v>21.110000610351563</v>
      </c>
      <c r="L37" s="7"/>
      <c r="M37" s="249">
        <v>37773</v>
      </c>
      <c r="N37" s="261">
        <v>36</v>
      </c>
      <c r="O37" s="261">
        <v>36.5</v>
      </c>
      <c r="P37" s="261">
        <v>37</v>
      </c>
      <c r="Q37" s="248"/>
      <c r="R37" s="261">
        <v>26.5</v>
      </c>
      <c r="S37" s="261">
        <v>27</v>
      </c>
      <c r="T37" s="261">
        <v>27.5</v>
      </c>
      <c r="U37" s="248"/>
      <c r="V37" s="261">
        <v>0</v>
      </c>
      <c r="W37" s="261">
        <v>0</v>
      </c>
      <c r="X37" s="261">
        <v>0</v>
      </c>
      <c r="Y37" s="248"/>
      <c r="Z37" s="261">
        <v>0.34912500000000002</v>
      </c>
      <c r="AA37" s="261">
        <v>0.46550000000000002</v>
      </c>
      <c r="AB37" s="261">
        <v>0.69825000000000004</v>
      </c>
      <c r="AC37" s="248"/>
      <c r="AD37" s="261">
        <v>0.13125000000000001</v>
      </c>
      <c r="AE37" s="261">
        <v>0.17499999999999999</v>
      </c>
      <c r="AF37" s="261">
        <v>0.26250000000000001</v>
      </c>
      <c r="AG37" s="248"/>
      <c r="AH37" s="261">
        <v>-0.4</v>
      </c>
      <c r="AI37" s="261">
        <v>4</v>
      </c>
      <c r="AJ37" s="261">
        <v>0.5</v>
      </c>
      <c r="AK37" s="248"/>
      <c r="AL37" s="261">
        <v>-0.1</v>
      </c>
      <c r="AM37" s="261">
        <v>1.1499999999999999</v>
      </c>
      <c r="AN37" s="261">
        <v>0.1</v>
      </c>
      <c r="AO37" s="248"/>
      <c r="AP37" s="7">
        <v>10</v>
      </c>
      <c r="AQ37" s="9">
        <v>0.15</v>
      </c>
      <c r="AR37" s="248"/>
      <c r="AS37" s="9">
        <v>-5</v>
      </c>
      <c r="AT37" s="267">
        <v>1.4999999999999999E-2</v>
      </c>
      <c r="AU37" s="248"/>
      <c r="AV37" s="9">
        <v>1</v>
      </c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9">
        <v>37773</v>
      </c>
      <c r="BI37" s="262">
        <v>0.75</v>
      </c>
      <c r="BJ37" s="248"/>
      <c r="BK37" s="248"/>
      <c r="BL37" s="248"/>
      <c r="BM37" s="248"/>
      <c r="BN37" s="248"/>
      <c r="BO37"/>
      <c r="BP37"/>
      <c r="BQ37"/>
      <c r="BR37"/>
      <c r="BS37"/>
      <c r="BT37" s="248"/>
      <c r="BU37" s="248"/>
      <c r="BV37" s="248"/>
      <c r="BW37" s="248"/>
      <c r="BX37" s="248"/>
      <c r="BY37" s="248"/>
      <c r="BZ37" s="248"/>
      <c r="CA37" s="248"/>
      <c r="CB37" s="248"/>
      <c r="CC37" s="248"/>
      <c r="CD37" s="248"/>
      <c r="CE37" s="248"/>
      <c r="CF37" s="248"/>
      <c r="CG37" s="248"/>
    </row>
    <row r="38" spans="1:85" ht="12.75" x14ac:dyDescent="0.2">
      <c r="A38" s="29">
        <v>37987</v>
      </c>
      <c r="B38" s="243">
        <v>5.6472657614416007E-2</v>
      </c>
      <c r="D38" s="260">
        <v>37001</v>
      </c>
      <c r="E38" s="9">
        <v>39.75</v>
      </c>
      <c r="F38" s="9">
        <v>40.25</v>
      </c>
      <c r="G38" s="9">
        <v>40.75</v>
      </c>
      <c r="H38" s="8"/>
      <c r="I38" s="9">
        <v>20.110000610351563</v>
      </c>
      <c r="J38" s="9">
        <v>20.360000610351563</v>
      </c>
      <c r="K38" s="9">
        <v>21.110000610351563</v>
      </c>
      <c r="L38" s="7"/>
      <c r="M38" s="249">
        <v>37803</v>
      </c>
      <c r="N38" s="261">
        <v>42</v>
      </c>
      <c r="O38" s="261">
        <v>42.5</v>
      </c>
      <c r="P38" s="261">
        <v>43</v>
      </c>
      <c r="Q38" s="248"/>
      <c r="R38" s="261">
        <v>32.5</v>
      </c>
      <c r="S38" s="261">
        <v>33</v>
      </c>
      <c r="T38" s="261">
        <v>33.5</v>
      </c>
      <c r="U38" s="248"/>
      <c r="V38" s="261">
        <v>0</v>
      </c>
      <c r="W38" s="261">
        <v>0</v>
      </c>
      <c r="X38" s="261">
        <v>0</v>
      </c>
      <c r="Y38" s="248"/>
      <c r="Z38" s="261">
        <v>0.37162499999999998</v>
      </c>
      <c r="AA38" s="261">
        <v>0.4955</v>
      </c>
      <c r="AB38" s="261">
        <v>0.74324999999999997</v>
      </c>
      <c r="AC38" s="248"/>
      <c r="AD38" s="261">
        <v>0.16125</v>
      </c>
      <c r="AE38" s="261">
        <v>0.215</v>
      </c>
      <c r="AF38" s="261">
        <v>0.32250000000000001</v>
      </c>
      <c r="AG38" s="248"/>
      <c r="AH38" s="261">
        <v>-0.4</v>
      </c>
      <c r="AI38" s="261">
        <v>5</v>
      </c>
      <c r="AJ38" s="261">
        <v>0.5</v>
      </c>
      <c r="AK38" s="248"/>
      <c r="AL38" s="261">
        <v>-0.1</v>
      </c>
      <c r="AM38" s="261">
        <v>1.1499999999999999</v>
      </c>
      <c r="AN38" s="261">
        <v>0.1</v>
      </c>
      <c r="AO38" s="248"/>
      <c r="AP38" s="7">
        <v>10</v>
      </c>
      <c r="AQ38" s="9">
        <v>0.25</v>
      </c>
      <c r="AR38" s="248"/>
      <c r="AS38" s="9">
        <v>-4.5</v>
      </c>
      <c r="AT38" s="262">
        <v>1.4999999999999999E-2</v>
      </c>
      <c r="AU38" s="248"/>
      <c r="AV38" s="9">
        <v>2</v>
      </c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9">
        <v>37803</v>
      </c>
      <c r="BI38" s="262">
        <v>0.75</v>
      </c>
      <c r="BJ38" s="248"/>
      <c r="BK38" s="248"/>
      <c r="BL38" s="248"/>
      <c r="BM38" s="248"/>
      <c r="BN38" s="248"/>
      <c r="BO38"/>
      <c r="BP38"/>
      <c r="BQ38"/>
      <c r="BR38"/>
      <c r="BS38"/>
      <c r="BT38" s="248"/>
      <c r="BU38" s="248"/>
      <c r="BV38" s="248"/>
      <c r="BW38" s="248"/>
      <c r="BX38" s="248"/>
      <c r="BY38" s="248"/>
      <c r="BZ38" s="248"/>
      <c r="CA38" s="248"/>
      <c r="CB38" s="248"/>
      <c r="CC38" s="248"/>
      <c r="CD38" s="248"/>
      <c r="CE38" s="248"/>
      <c r="CF38" s="248"/>
      <c r="CG38" s="248"/>
    </row>
    <row r="39" spans="1:85" ht="12.75" x14ac:dyDescent="0.2">
      <c r="A39" s="29">
        <v>38018</v>
      </c>
      <c r="B39" s="243">
        <v>5.6611010529553009E-2</v>
      </c>
      <c r="D39" s="260">
        <v>37002</v>
      </c>
      <c r="E39" s="9">
        <v>24.5</v>
      </c>
      <c r="F39" s="9">
        <v>25</v>
      </c>
      <c r="G39" s="9">
        <v>25.5</v>
      </c>
      <c r="H39" s="8"/>
      <c r="I39" s="9">
        <v>20.110000610351563</v>
      </c>
      <c r="J39" s="9">
        <v>20.360000610351563</v>
      </c>
      <c r="K39" s="9">
        <v>21.110000610351563</v>
      </c>
      <c r="L39" s="7"/>
      <c r="M39" s="249">
        <v>37834</v>
      </c>
      <c r="N39" s="261">
        <v>40.000003814697266</v>
      </c>
      <c r="O39" s="261">
        <v>40.500003814697266</v>
      </c>
      <c r="P39" s="261">
        <v>41.000003814697266</v>
      </c>
      <c r="Q39" s="248"/>
      <c r="R39" s="261">
        <v>32.5</v>
      </c>
      <c r="S39" s="261">
        <v>33</v>
      </c>
      <c r="T39" s="261">
        <v>33.5</v>
      </c>
      <c r="U39" s="248"/>
      <c r="V39" s="261">
        <v>0</v>
      </c>
      <c r="W39" s="261">
        <v>0</v>
      </c>
      <c r="X39" s="261">
        <v>0</v>
      </c>
      <c r="Y39" s="248"/>
      <c r="Z39" s="261">
        <v>0.37162499999999998</v>
      </c>
      <c r="AA39" s="261">
        <v>0.4955</v>
      </c>
      <c r="AB39" s="261">
        <v>0.74324999999999997</v>
      </c>
      <c r="AC39" s="248"/>
      <c r="AD39" s="261">
        <v>0.16125</v>
      </c>
      <c r="AE39" s="261">
        <v>0.215</v>
      </c>
      <c r="AF39" s="261">
        <v>0.32250000000000001</v>
      </c>
      <c r="AG39" s="248"/>
      <c r="AH39" s="261">
        <v>-0.5</v>
      </c>
      <c r="AI39" s="261">
        <v>5</v>
      </c>
      <c r="AJ39" s="261">
        <v>1.75</v>
      </c>
      <c r="AK39" s="248"/>
      <c r="AL39" s="261">
        <v>-0.1</v>
      </c>
      <c r="AM39" s="261">
        <v>1.1499999999999999</v>
      </c>
      <c r="AN39" s="261">
        <v>0.1</v>
      </c>
      <c r="AO39" s="248"/>
      <c r="AP39" s="7">
        <v>11</v>
      </c>
      <c r="AQ39" s="9">
        <v>0.25</v>
      </c>
      <c r="AR39" s="248"/>
      <c r="AS39" s="268">
        <v>-4</v>
      </c>
      <c r="AT39" s="267">
        <v>1.2500000000000001E-2</v>
      </c>
      <c r="AU39" s="248"/>
      <c r="AV39" s="9">
        <v>3</v>
      </c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9">
        <v>37834</v>
      </c>
      <c r="BI39" s="262">
        <v>0.75</v>
      </c>
      <c r="BJ39" s="248"/>
      <c r="BK39" s="248"/>
      <c r="BL39" s="248"/>
      <c r="BM39" s="248"/>
      <c r="BN39" s="248"/>
      <c r="BO39"/>
      <c r="BP39"/>
      <c r="BQ39"/>
      <c r="BR39"/>
      <c r="BS39"/>
      <c r="BT39" s="248"/>
      <c r="BU39" s="248"/>
      <c r="BV39" s="248"/>
      <c r="BW39" s="248"/>
      <c r="BX39" s="248"/>
      <c r="BY39" s="248"/>
      <c r="BZ39" s="248"/>
      <c r="CA39" s="248"/>
      <c r="CB39" s="248"/>
      <c r="CC39" s="248"/>
      <c r="CD39" s="248"/>
      <c r="CE39" s="248"/>
      <c r="CF39" s="248"/>
      <c r="CG39" s="248"/>
    </row>
    <row r="40" spans="1:85" ht="12.75" x14ac:dyDescent="0.2">
      <c r="A40" s="29">
        <v>38047</v>
      </c>
      <c r="B40" s="243">
        <v>5.6745831066000008E-2</v>
      </c>
      <c r="D40" s="260">
        <v>37011</v>
      </c>
      <c r="E40" s="9">
        <v>39.75</v>
      </c>
      <c r="F40" s="9">
        <v>40.25</v>
      </c>
      <c r="G40" s="9">
        <v>40.75</v>
      </c>
      <c r="H40" s="8"/>
      <c r="I40" s="9">
        <v>20.110000610351563</v>
      </c>
      <c r="J40" s="9">
        <v>20.360000610351563</v>
      </c>
      <c r="K40" s="9">
        <v>21.110000610351563</v>
      </c>
      <c r="L40" s="7"/>
      <c r="M40" s="249">
        <v>37865</v>
      </c>
      <c r="N40" s="261">
        <v>32</v>
      </c>
      <c r="O40" s="261">
        <v>32.5</v>
      </c>
      <c r="P40" s="261">
        <v>33</v>
      </c>
      <c r="Q40" s="248"/>
      <c r="R40" s="261">
        <v>26.5</v>
      </c>
      <c r="S40" s="261">
        <v>27</v>
      </c>
      <c r="T40" s="261">
        <v>27.5</v>
      </c>
      <c r="U40" s="248"/>
      <c r="V40" s="261">
        <v>0</v>
      </c>
      <c r="W40" s="261">
        <v>0</v>
      </c>
      <c r="X40" s="261">
        <v>0</v>
      </c>
      <c r="Y40" s="248"/>
      <c r="Z40" s="261">
        <v>0.31950000000000001</v>
      </c>
      <c r="AA40" s="261">
        <v>0.42600000000000005</v>
      </c>
      <c r="AB40" s="261">
        <v>0.63900000000000001</v>
      </c>
      <c r="AC40" s="248"/>
      <c r="AD40" s="261">
        <v>0.10125000000000001</v>
      </c>
      <c r="AE40" s="261">
        <v>0.13500000000000001</v>
      </c>
      <c r="AF40" s="261">
        <v>0.20250000000000001</v>
      </c>
      <c r="AG40" s="248"/>
      <c r="AH40" s="261">
        <v>-1</v>
      </c>
      <c r="AI40" s="261">
        <v>2.6460000000000004</v>
      </c>
      <c r="AJ40" s="261">
        <v>2.5</v>
      </c>
      <c r="AK40" s="248"/>
      <c r="AL40" s="261">
        <v>-0.1</v>
      </c>
      <c r="AM40" s="261">
        <v>1.05</v>
      </c>
      <c r="AN40" s="261">
        <v>0.1</v>
      </c>
      <c r="AO40" s="248"/>
      <c r="AP40" s="7">
        <v>11</v>
      </c>
      <c r="AQ40" s="9">
        <v>0.25</v>
      </c>
      <c r="AR40" s="248"/>
      <c r="AS40" s="9">
        <v>-3.5</v>
      </c>
      <c r="AT40" s="267">
        <v>1.2500000000000001E-2</v>
      </c>
      <c r="AU40" s="248"/>
      <c r="AV40" s="9">
        <v>4</v>
      </c>
      <c r="AW40" s="248"/>
      <c r="AX40" s="248"/>
      <c r="AY40" s="248"/>
      <c r="AZ40" s="248"/>
      <c r="BA40" s="248"/>
      <c r="BB40" s="248"/>
      <c r="BC40" s="248"/>
      <c r="BD40" s="248"/>
      <c r="BE40" s="248"/>
      <c r="BF40" s="248"/>
      <c r="BG40" s="248"/>
      <c r="BH40" s="249">
        <v>37865</v>
      </c>
      <c r="BI40" s="262">
        <v>0.75</v>
      </c>
      <c r="BJ40" s="248"/>
      <c r="BK40" s="248"/>
      <c r="BL40" s="248"/>
      <c r="BM40" s="248"/>
      <c r="BN40" s="248"/>
      <c r="BO40"/>
      <c r="BP40"/>
      <c r="BQ40"/>
      <c r="BR40"/>
      <c r="BS40"/>
      <c r="BT40" s="248"/>
      <c r="BU40" s="248"/>
      <c r="BV40" s="248"/>
      <c r="BW40" s="248"/>
      <c r="BX40" s="248"/>
      <c r="BY40" s="248"/>
      <c r="BZ40" s="248"/>
      <c r="CA40" s="248"/>
      <c r="CB40" s="248"/>
      <c r="CC40" s="248"/>
      <c r="CD40" s="248"/>
      <c r="CE40" s="248"/>
      <c r="CF40" s="248"/>
      <c r="CG40" s="248"/>
    </row>
    <row r="41" spans="1:85" ht="12.75" x14ac:dyDescent="0.2">
      <c r="A41" s="29">
        <v>38078</v>
      </c>
      <c r="B41" s="243">
        <v>5.6862806851182023E-2</v>
      </c>
      <c r="D41" s="260">
        <v>37012</v>
      </c>
      <c r="E41" s="9">
        <v>46</v>
      </c>
      <c r="F41" s="9">
        <v>47</v>
      </c>
      <c r="G41" s="9">
        <v>48</v>
      </c>
      <c r="H41" s="8"/>
      <c r="I41" s="9">
        <v>18.610000610351563</v>
      </c>
      <c r="J41" s="9">
        <v>18.860000610351563</v>
      </c>
      <c r="K41" s="9">
        <v>19.610000610351562</v>
      </c>
      <c r="L41" s="7"/>
      <c r="M41" s="249">
        <v>37895</v>
      </c>
      <c r="N41" s="261">
        <v>26.996000289916992</v>
      </c>
      <c r="O41" s="261">
        <v>27.496000289916992</v>
      </c>
      <c r="P41" s="261">
        <v>27.996000289916992</v>
      </c>
      <c r="Q41" s="248"/>
      <c r="R41" s="261">
        <v>21.496500015258789</v>
      </c>
      <c r="S41" s="261">
        <v>21.996500015258789</v>
      </c>
      <c r="T41" s="261">
        <v>22.496500015258789</v>
      </c>
      <c r="U41" s="248"/>
      <c r="V41" s="261">
        <v>0</v>
      </c>
      <c r="W41" s="261">
        <v>0</v>
      </c>
      <c r="X41" s="261">
        <v>0</v>
      </c>
      <c r="Y41" s="248"/>
      <c r="Z41" s="261">
        <v>0.14624999999999999</v>
      </c>
      <c r="AA41" s="261">
        <v>0.19500000000000001</v>
      </c>
      <c r="AB41" s="261">
        <v>0.29249999999999998</v>
      </c>
      <c r="AC41" s="248"/>
      <c r="AD41" s="261">
        <v>7.8750000000000001E-2</v>
      </c>
      <c r="AE41" s="261">
        <v>0.105</v>
      </c>
      <c r="AF41" s="261">
        <v>0.1575</v>
      </c>
      <c r="AG41" s="248"/>
      <c r="AH41" s="261">
        <v>-1</v>
      </c>
      <c r="AI41" s="261">
        <v>2.16</v>
      </c>
      <c r="AJ41" s="261">
        <v>2.5</v>
      </c>
      <c r="AK41" s="248"/>
      <c r="AL41" s="261">
        <v>-0.1</v>
      </c>
      <c r="AM41" s="261">
        <v>1</v>
      </c>
      <c r="AN41" s="261">
        <v>0.1</v>
      </c>
      <c r="AO41" s="248"/>
      <c r="AP41" s="7">
        <v>11</v>
      </c>
      <c r="AQ41" s="9">
        <v>0.25</v>
      </c>
      <c r="AR41" s="248"/>
      <c r="AS41" s="9">
        <v>-3</v>
      </c>
      <c r="AT41" s="267">
        <v>0.01</v>
      </c>
      <c r="AU41" s="248"/>
      <c r="AV41" s="9">
        <v>10</v>
      </c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9">
        <v>37895</v>
      </c>
      <c r="BI41" s="262">
        <v>0.75</v>
      </c>
      <c r="BJ41" s="248"/>
      <c r="BK41" s="248"/>
      <c r="BL41" s="248"/>
      <c r="BM41" s="248"/>
      <c r="BN41" s="248"/>
      <c r="BO41"/>
      <c r="BP41"/>
      <c r="BQ41"/>
      <c r="BR41"/>
      <c r="BS41"/>
      <c r="BT41" s="248"/>
      <c r="BU41" s="248"/>
      <c r="BV41" s="248"/>
      <c r="BW41" s="248"/>
      <c r="BX41" s="248"/>
      <c r="BY41" s="248"/>
      <c r="BZ41" s="248"/>
      <c r="CA41" s="248"/>
      <c r="CB41" s="248"/>
      <c r="CC41" s="248"/>
      <c r="CD41" s="248"/>
      <c r="CE41" s="248"/>
      <c r="CF41" s="248"/>
      <c r="CG41" s="248"/>
    </row>
    <row r="42" spans="1:85" ht="12.75" x14ac:dyDescent="0.2">
      <c r="A42" s="29">
        <v>38108</v>
      </c>
      <c r="B42" s="243">
        <v>5.6983681833989025E-2</v>
      </c>
      <c r="D42" s="260">
        <v>37043</v>
      </c>
      <c r="E42" s="9">
        <v>70.499992370605469</v>
      </c>
      <c r="F42" s="9">
        <v>72.999992370605469</v>
      </c>
      <c r="G42" s="9">
        <v>75.499992370605469</v>
      </c>
      <c r="H42" s="8"/>
      <c r="I42" s="9">
        <v>22.610000610351563</v>
      </c>
      <c r="J42" s="9">
        <v>22.860000610351563</v>
      </c>
      <c r="K42" s="9">
        <v>23.610000610351563</v>
      </c>
      <c r="L42" s="7"/>
      <c r="M42" s="249">
        <v>37926</v>
      </c>
      <c r="N42" s="261">
        <v>29</v>
      </c>
      <c r="O42" s="261">
        <v>29.5</v>
      </c>
      <c r="P42" s="261">
        <v>30</v>
      </c>
      <c r="Q42" s="248"/>
      <c r="R42" s="261">
        <v>21.5</v>
      </c>
      <c r="S42" s="261">
        <v>22</v>
      </c>
      <c r="T42" s="261">
        <v>22.5</v>
      </c>
      <c r="U42" s="248"/>
      <c r="V42" s="261">
        <v>0</v>
      </c>
      <c r="W42" s="261">
        <v>0</v>
      </c>
      <c r="X42" s="261">
        <v>0</v>
      </c>
      <c r="Y42" s="248"/>
      <c r="Z42" s="261">
        <v>0.14624999999999999</v>
      </c>
      <c r="AA42" s="261">
        <v>0.19500000000000001</v>
      </c>
      <c r="AB42" s="261">
        <v>0.29249999999999998</v>
      </c>
      <c r="AC42" s="248"/>
      <c r="AD42" s="261">
        <v>7.8750000000000001E-2</v>
      </c>
      <c r="AE42" s="261">
        <v>0.105</v>
      </c>
      <c r="AF42" s="261">
        <v>0.1575</v>
      </c>
      <c r="AG42" s="248"/>
      <c r="AH42" s="261">
        <v>-0.5</v>
      </c>
      <c r="AI42" s="261">
        <v>2.052</v>
      </c>
      <c r="AJ42" s="261">
        <v>1</v>
      </c>
      <c r="AK42" s="248"/>
      <c r="AL42" s="261">
        <v>-0.1</v>
      </c>
      <c r="AM42" s="261">
        <v>1</v>
      </c>
      <c r="AN42" s="261">
        <v>0.1</v>
      </c>
      <c r="AO42" s="248"/>
      <c r="AP42" s="7">
        <v>12</v>
      </c>
      <c r="AQ42" s="9">
        <v>0.25</v>
      </c>
      <c r="AR42" s="248"/>
      <c r="AS42" s="9">
        <v>-2.5</v>
      </c>
      <c r="AT42" s="262">
        <v>5.0000000000000001E-3</v>
      </c>
      <c r="AU42" s="248"/>
      <c r="AV42" s="9">
        <v>0</v>
      </c>
      <c r="AW42" s="248"/>
      <c r="AX42" s="248"/>
      <c r="AY42" s="248"/>
      <c r="AZ42" s="248"/>
      <c r="BA42" s="248"/>
      <c r="BB42" s="248"/>
      <c r="BC42" s="248"/>
      <c r="BD42" s="248"/>
      <c r="BE42" s="248"/>
      <c r="BF42" s="248"/>
      <c r="BG42" s="248"/>
      <c r="BH42" s="249">
        <v>37926</v>
      </c>
      <c r="BI42" s="262">
        <v>0.75</v>
      </c>
      <c r="BJ42" s="248"/>
      <c r="BK42" s="248"/>
      <c r="BL42" s="248"/>
      <c r="BM42" s="248"/>
      <c r="BN42" s="248"/>
      <c r="BO42"/>
      <c r="BP42"/>
      <c r="BQ42"/>
      <c r="BR42"/>
      <c r="BS42"/>
      <c r="BT42" s="248"/>
      <c r="BU42" s="248"/>
      <c r="BV42" s="248"/>
      <c r="BW42" s="248"/>
      <c r="BX42" s="248"/>
      <c r="BY42" s="248"/>
      <c r="BZ42" s="248"/>
      <c r="CA42" s="248"/>
      <c r="CB42" s="248"/>
      <c r="CC42" s="248"/>
      <c r="CD42" s="248"/>
      <c r="CE42" s="248"/>
      <c r="CF42" s="248"/>
      <c r="CG42" s="248"/>
    </row>
    <row r="43" spans="1:85" ht="12.75" x14ac:dyDescent="0.2">
      <c r="A43" s="29">
        <v>38139</v>
      </c>
      <c r="B43" s="243">
        <v>5.7098405443181018E-2</v>
      </c>
      <c r="D43" s="260">
        <v>37073</v>
      </c>
      <c r="E43" s="9">
        <v>111</v>
      </c>
      <c r="F43" s="9">
        <v>115</v>
      </c>
      <c r="G43" s="9">
        <v>119</v>
      </c>
      <c r="H43" s="8"/>
      <c r="I43" s="9">
        <v>23.610000610351563</v>
      </c>
      <c r="J43" s="9">
        <v>23.860000610351563</v>
      </c>
      <c r="K43" s="9">
        <v>24.610000610351563</v>
      </c>
      <c r="L43" s="7"/>
      <c r="M43" s="249">
        <v>37956</v>
      </c>
      <c r="N43" s="261">
        <v>34</v>
      </c>
      <c r="O43" s="261">
        <v>34.5</v>
      </c>
      <c r="P43" s="261">
        <v>35</v>
      </c>
      <c r="Q43" s="248"/>
      <c r="R43" s="261">
        <v>28.5</v>
      </c>
      <c r="S43" s="261">
        <v>29</v>
      </c>
      <c r="T43" s="261">
        <v>29.5</v>
      </c>
      <c r="U43" s="248"/>
      <c r="V43" s="261">
        <v>0</v>
      </c>
      <c r="W43" s="261">
        <v>0</v>
      </c>
      <c r="X43" s="261">
        <v>0</v>
      </c>
      <c r="Y43" s="248"/>
      <c r="Z43" s="261">
        <v>0.14812500000000001</v>
      </c>
      <c r="AA43" s="261">
        <v>0.19750000000000001</v>
      </c>
      <c r="AB43" s="261">
        <v>0.29625000000000001</v>
      </c>
      <c r="AC43" s="248"/>
      <c r="AD43" s="261">
        <v>0.10875</v>
      </c>
      <c r="AE43" s="261">
        <v>0.14499999999999999</v>
      </c>
      <c r="AF43" s="261">
        <v>0.2175</v>
      </c>
      <c r="AG43" s="248"/>
      <c r="AH43" s="261">
        <v>-0.4</v>
      </c>
      <c r="AI43" s="261">
        <v>1.89</v>
      </c>
      <c r="AJ43" s="261">
        <v>0.5</v>
      </c>
      <c r="AK43" s="248"/>
      <c r="AL43" s="261">
        <v>-0.1</v>
      </c>
      <c r="AM43" s="261">
        <v>1</v>
      </c>
      <c r="AN43" s="261">
        <v>0.1</v>
      </c>
      <c r="AO43" s="248"/>
      <c r="AP43" s="7">
        <v>12</v>
      </c>
      <c r="AQ43" s="9">
        <v>0.25</v>
      </c>
      <c r="AR43" s="248"/>
      <c r="AS43" s="9">
        <v>-2</v>
      </c>
      <c r="AT43" s="262">
        <v>2.5000000000000001E-3</v>
      </c>
      <c r="AU43" s="248"/>
      <c r="AV43" s="9">
        <v>0</v>
      </c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9">
        <v>37956</v>
      </c>
      <c r="BI43" s="262">
        <v>0.75</v>
      </c>
      <c r="BJ43" s="248"/>
      <c r="BK43" s="248"/>
      <c r="BL43" s="248"/>
      <c r="BM43" s="248"/>
      <c r="BN43" s="248"/>
      <c r="BO43"/>
      <c r="BP43"/>
      <c r="BQ43"/>
      <c r="BR43"/>
      <c r="BS43"/>
      <c r="BT43" s="248"/>
      <c r="BU43" s="248"/>
      <c r="BV43" s="248"/>
      <c r="BW43" s="248"/>
      <c r="BX43" s="248"/>
      <c r="BY43" s="248"/>
      <c r="BZ43" s="248"/>
      <c r="CA43" s="248"/>
      <c r="CB43" s="248"/>
      <c r="CC43" s="248"/>
      <c r="CD43" s="248"/>
      <c r="CE43" s="248"/>
      <c r="CF43" s="248"/>
      <c r="CG43" s="248"/>
    </row>
    <row r="44" spans="1:85" ht="12.75" x14ac:dyDescent="0.2">
      <c r="A44" s="29">
        <v>38169</v>
      </c>
      <c r="B44" s="243">
        <v>5.7214478651606011E-2</v>
      </c>
      <c r="D44" s="260">
        <v>37104</v>
      </c>
      <c r="E44" s="9">
        <v>111</v>
      </c>
      <c r="F44" s="9">
        <v>115</v>
      </c>
      <c r="G44" s="9">
        <v>119</v>
      </c>
      <c r="H44" s="8"/>
      <c r="I44" s="9">
        <v>22.110000610351563</v>
      </c>
      <c r="J44" s="9">
        <v>22.360000610351563</v>
      </c>
      <c r="K44" s="9">
        <v>23.110000610351563</v>
      </c>
      <c r="L44" s="7"/>
      <c r="M44" s="249">
        <v>37987</v>
      </c>
      <c r="N44" s="261">
        <v>36.25</v>
      </c>
      <c r="O44" s="261">
        <v>37</v>
      </c>
      <c r="P44" s="261">
        <v>37.75</v>
      </c>
      <c r="Q44" s="248"/>
      <c r="R44" s="261">
        <v>25.75</v>
      </c>
      <c r="S44" s="261">
        <v>26.5</v>
      </c>
      <c r="T44" s="261">
        <v>27.25</v>
      </c>
      <c r="U44" s="248"/>
      <c r="V44" s="261">
        <v>0</v>
      </c>
      <c r="W44" s="261">
        <v>0</v>
      </c>
      <c r="X44" s="261">
        <v>0</v>
      </c>
      <c r="Y44" s="248"/>
      <c r="Z44" s="261">
        <v>0.21787499999999999</v>
      </c>
      <c r="AA44" s="261">
        <v>0.29049999999999998</v>
      </c>
      <c r="AB44" s="261">
        <v>0.43574999999999997</v>
      </c>
      <c r="AC44" s="248"/>
      <c r="AD44" s="261">
        <v>0.10125000000000001</v>
      </c>
      <c r="AE44" s="261">
        <v>0.13500000000000001</v>
      </c>
      <c r="AF44" s="261">
        <v>0.20250000000000001</v>
      </c>
      <c r="AG44" s="248"/>
      <c r="AH44" s="261">
        <v>-0.4</v>
      </c>
      <c r="AI44" s="261">
        <v>2.3220000000000001</v>
      </c>
      <c r="AJ44" s="261">
        <v>0.5</v>
      </c>
      <c r="AK44" s="248"/>
      <c r="AL44" s="261">
        <v>-0.1</v>
      </c>
      <c r="AM44" s="261">
        <v>1</v>
      </c>
      <c r="AN44" s="261">
        <v>0.1</v>
      </c>
      <c r="AO44" s="248"/>
      <c r="AP44" s="7">
        <v>12</v>
      </c>
      <c r="AQ44" s="9">
        <v>0.25</v>
      </c>
      <c r="AR44" s="248"/>
      <c r="AS44" s="9">
        <v>-1.5</v>
      </c>
      <c r="AT44" s="262">
        <v>0</v>
      </c>
      <c r="AU44" s="248"/>
      <c r="AV44" s="9">
        <v>0</v>
      </c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9">
        <v>37987</v>
      </c>
      <c r="BI44" s="262">
        <v>0.75</v>
      </c>
      <c r="BJ44" s="248"/>
      <c r="BK44" s="248"/>
      <c r="BL44" s="248"/>
      <c r="BM44" s="248"/>
      <c r="BN44" s="248"/>
      <c r="BO44"/>
      <c r="BP44"/>
      <c r="BQ44"/>
      <c r="BR44"/>
      <c r="BS44"/>
      <c r="BT44" s="248"/>
      <c r="BU44" s="248"/>
      <c r="BV44" s="248"/>
      <c r="BW44" s="248"/>
      <c r="BX44" s="248"/>
      <c r="BY44" s="248"/>
      <c r="BZ44" s="248"/>
      <c r="CA44" s="248"/>
      <c r="CB44" s="248"/>
      <c r="CC44" s="248"/>
      <c r="CD44" s="248"/>
      <c r="CE44" s="248"/>
      <c r="CF44" s="248"/>
      <c r="CG44" s="248"/>
    </row>
    <row r="45" spans="1:85" ht="12.75" x14ac:dyDescent="0.2">
      <c r="A45" s="29">
        <v>38200</v>
      </c>
      <c r="B45" s="243">
        <v>5.7330551864514016E-2</v>
      </c>
      <c r="D45" s="260">
        <v>37135</v>
      </c>
      <c r="E45" s="9">
        <v>41.000003814697266</v>
      </c>
      <c r="F45" s="9">
        <v>43.500003814697266</v>
      </c>
      <c r="G45" s="9">
        <v>46.000003814697266</v>
      </c>
      <c r="H45" s="8"/>
      <c r="I45" s="9">
        <v>17.610000610351563</v>
      </c>
      <c r="J45" s="9">
        <v>17.860000610351563</v>
      </c>
      <c r="K45" s="9">
        <v>18.610000610351563</v>
      </c>
      <c r="L45" s="7"/>
      <c r="M45" s="249">
        <v>38018</v>
      </c>
      <c r="N45" s="261">
        <v>31.746002197265625</v>
      </c>
      <c r="O45" s="261">
        <v>32.496002197265625</v>
      </c>
      <c r="P45" s="261">
        <v>33.246002197265625</v>
      </c>
      <c r="Q45" s="248"/>
      <c r="R45" s="261">
        <v>23.246501922607422</v>
      </c>
      <c r="S45" s="261">
        <v>23.996501922607422</v>
      </c>
      <c r="T45" s="261">
        <v>24.746501922607422</v>
      </c>
      <c r="U45" s="248"/>
      <c r="V45" s="261">
        <v>0</v>
      </c>
      <c r="W45" s="261">
        <v>0</v>
      </c>
      <c r="X45" s="261">
        <v>0</v>
      </c>
      <c r="Y45" s="248"/>
      <c r="Z45" s="261">
        <v>0.21787499999999999</v>
      </c>
      <c r="AA45" s="261">
        <v>0.29049999999999998</v>
      </c>
      <c r="AB45" s="261">
        <v>0.43574999999999997</v>
      </c>
      <c r="AC45" s="248"/>
      <c r="AD45" s="261">
        <v>0.10125000000000001</v>
      </c>
      <c r="AE45" s="261">
        <v>0.13500000000000001</v>
      </c>
      <c r="AF45" s="261">
        <v>0.20250000000000001</v>
      </c>
      <c r="AG45" s="248"/>
      <c r="AH45" s="261">
        <v>-0.4</v>
      </c>
      <c r="AI45" s="261">
        <v>2.3220000000000001</v>
      </c>
      <c r="AJ45" s="261">
        <v>0.6</v>
      </c>
      <c r="AK45" s="248"/>
      <c r="AL45" s="261">
        <v>-0.1</v>
      </c>
      <c r="AM45" s="261">
        <v>1</v>
      </c>
      <c r="AN45" s="261">
        <v>0.1</v>
      </c>
      <c r="AO45" s="248"/>
      <c r="AP45" s="7">
        <v>13</v>
      </c>
      <c r="AQ45" s="9">
        <v>0.25</v>
      </c>
      <c r="AR45" s="248"/>
      <c r="AS45" s="9">
        <v>-1</v>
      </c>
      <c r="AT45" s="262">
        <v>0</v>
      </c>
      <c r="AU45" s="248"/>
      <c r="AV45" s="9">
        <v>0</v>
      </c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9">
        <v>38018</v>
      </c>
      <c r="BI45" s="262">
        <v>0.75</v>
      </c>
      <c r="BJ45" s="248"/>
      <c r="BK45" s="248"/>
      <c r="BL45" s="248"/>
      <c r="BM45" s="248"/>
      <c r="BN45" s="248"/>
      <c r="BO45"/>
      <c r="BP45"/>
      <c r="BQ45"/>
      <c r="BR45"/>
      <c r="BS45"/>
      <c r="BT45" s="248"/>
      <c r="BU45" s="248"/>
      <c r="BV45" s="248"/>
      <c r="BW45" s="248"/>
      <c r="BX45" s="248"/>
      <c r="BY45" s="248"/>
      <c r="BZ45" s="248"/>
      <c r="CA45" s="248"/>
      <c r="CB45" s="248"/>
      <c r="CC45" s="248"/>
      <c r="CD45" s="248"/>
      <c r="CE45" s="248"/>
      <c r="CF45" s="248"/>
      <c r="CG45" s="248"/>
    </row>
    <row r="46" spans="1:85" ht="12.75" x14ac:dyDescent="0.2">
      <c r="A46" s="29">
        <v>38231</v>
      </c>
      <c r="B46" s="243">
        <v>5.7440582120900009E-2</v>
      </c>
      <c r="D46" s="260">
        <v>37165</v>
      </c>
      <c r="E46" s="9">
        <v>40.650001525878906</v>
      </c>
      <c r="F46" s="9">
        <v>41.400001525878906</v>
      </c>
      <c r="G46" s="9">
        <v>42.150001525878906</v>
      </c>
      <c r="H46" s="8"/>
      <c r="I46" s="9">
        <v>15.610002517700195</v>
      </c>
      <c r="J46" s="9">
        <v>15.860002517700195</v>
      </c>
      <c r="K46" s="9">
        <v>16.610002517700195</v>
      </c>
      <c r="L46" s="7"/>
      <c r="M46" s="249">
        <v>38047</v>
      </c>
      <c r="N46" s="261">
        <v>26.75</v>
      </c>
      <c r="O46" s="261">
        <v>27.5</v>
      </c>
      <c r="P46" s="261">
        <v>28.25</v>
      </c>
      <c r="Q46" s="248"/>
      <c r="R46" s="261">
        <v>21.25</v>
      </c>
      <c r="S46" s="261">
        <v>22</v>
      </c>
      <c r="T46" s="261">
        <v>22.75</v>
      </c>
      <c r="U46" s="248"/>
      <c r="V46" s="261">
        <v>0</v>
      </c>
      <c r="W46" s="261">
        <v>0</v>
      </c>
      <c r="X46" s="261">
        <v>0</v>
      </c>
      <c r="Y46" s="248"/>
      <c r="Z46" s="261">
        <v>0.13500000000000001</v>
      </c>
      <c r="AA46" s="261">
        <v>0.18</v>
      </c>
      <c r="AB46" s="261">
        <v>0.27</v>
      </c>
      <c r="AC46" s="248"/>
      <c r="AD46" s="261">
        <v>0.09</v>
      </c>
      <c r="AE46" s="261">
        <v>0.12</v>
      </c>
      <c r="AF46" s="261">
        <v>0.18</v>
      </c>
      <c r="AG46" s="248"/>
      <c r="AH46" s="261">
        <v>-0.5</v>
      </c>
      <c r="AI46" s="261">
        <v>2.052</v>
      </c>
      <c r="AJ46" s="261">
        <v>1</v>
      </c>
      <c r="AK46" s="248"/>
      <c r="AL46" s="261">
        <v>-0.1</v>
      </c>
      <c r="AM46" s="261">
        <v>1</v>
      </c>
      <c r="AN46" s="261">
        <v>0.1</v>
      </c>
      <c r="AO46" s="248"/>
      <c r="AP46" s="7">
        <v>13</v>
      </c>
      <c r="AQ46" s="9">
        <v>0.25</v>
      </c>
      <c r="AR46" s="248"/>
      <c r="AS46" s="9">
        <v>-0.5</v>
      </c>
      <c r="AT46" s="262">
        <v>0</v>
      </c>
      <c r="AU46" s="248"/>
      <c r="AV46" s="9">
        <v>0</v>
      </c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9">
        <v>38047</v>
      </c>
      <c r="BI46" s="262">
        <v>0.75</v>
      </c>
      <c r="BJ46" s="248"/>
      <c r="BK46" s="248"/>
      <c r="BL46" s="248"/>
      <c r="BM46" s="248"/>
      <c r="BN46" s="248"/>
      <c r="BO46"/>
      <c r="BP46"/>
      <c r="BQ46"/>
      <c r="BR46"/>
      <c r="BS46"/>
      <c r="BT46" s="248"/>
      <c r="BU46" s="248"/>
      <c r="BV46" s="248"/>
      <c r="BW46" s="248"/>
      <c r="BX46" s="248"/>
      <c r="BY46" s="248"/>
      <c r="BZ46" s="248"/>
      <c r="CA46" s="248"/>
      <c r="CB46" s="248"/>
      <c r="CC46" s="248"/>
      <c r="CD46" s="248"/>
      <c r="CE46" s="248"/>
      <c r="CF46" s="248"/>
      <c r="CG46" s="248"/>
    </row>
    <row r="47" spans="1:85" ht="12.75" x14ac:dyDescent="0.2">
      <c r="A47" s="29">
        <v>38261</v>
      </c>
      <c r="B47" s="243">
        <v>5.7552068089411011E-2</v>
      </c>
      <c r="D47" s="260">
        <v>37196</v>
      </c>
      <c r="E47" s="9">
        <v>40.75</v>
      </c>
      <c r="F47" s="9">
        <v>41.5</v>
      </c>
      <c r="G47" s="9">
        <v>42.25</v>
      </c>
      <c r="H47" s="8"/>
      <c r="I47" s="9">
        <v>17.110000610351563</v>
      </c>
      <c r="J47" s="9">
        <v>17.360000610351562</v>
      </c>
      <c r="K47" s="9">
        <v>18.110000610351563</v>
      </c>
      <c r="L47" s="7"/>
      <c r="M47" s="249">
        <v>38078</v>
      </c>
      <c r="N47" s="261">
        <v>26.75</v>
      </c>
      <c r="O47" s="261">
        <v>27.5</v>
      </c>
      <c r="P47" s="261">
        <v>28.25</v>
      </c>
      <c r="Q47" s="248"/>
      <c r="R47" s="261">
        <v>21.245000839233398</v>
      </c>
      <c r="S47" s="261">
        <v>21.995000839233398</v>
      </c>
      <c r="T47" s="261">
        <v>22.745000839233398</v>
      </c>
      <c r="U47" s="248"/>
      <c r="V47" s="261">
        <v>0</v>
      </c>
      <c r="W47" s="261">
        <v>0</v>
      </c>
      <c r="X47" s="261">
        <v>0</v>
      </c>
      <c r="Y47" s="248"/>
      <c r="Z47" s="261">
        <v>0.13500000000000001</v>
      </c>
      <c r="AA47" s="261">
        <v>0.18</v>
      </c>
      <c r="AB47" s="261">
        <v>0.27</v>
      </c>
      <c r="AC47" s="248"/>
      <c r="AD47" s="261">
        <v>0.09</v>
      </c>
      <c r="AE47" s="261">
        <v>0.12</v>
      </c>
      <c r="AF47" s="261">
        <v>0.18</v>
      </c>
      <c r="AG47" s="248"/>
      <c r="AH47" s="261">
        <v>-0.5</v>
      </c>
      <c r="AI47" s="261">
        <v>1.9980000000000004</v>
      </c>
      <c r="AJ47" s="261">
        <v>1</v>
      </c>
      <c r="AK47" s="248"/>
      <c r="AL47" s="261">
        <v>-0.1</v>
      </c>
      <c r="AM47" s="261">
        <v>1</v>
      </c>
      <c r="AN47" s="261">
        <v>0.1</v>
      </c>
      <c r="AO47" s="248"/>
      <c r="AP47" s="7">
        <v>13</v>
      </c>
      <c r="AQ47" s="9">
        <v>0.25</v>
      </c>
      <c r="AR47" s="248"/>
      <c r="AS47" s="9">
        <v>0</v>
      </c>
      <c r="AT47" s="262">
        <v>0</v>
      </c>
      <c r="AU47" s="248"/>
      <c r="AV47" s="9">
        <v>0</v>
      </c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9">
        <v>38078</v>
      </c>
      <c r="BI47" s="262">
        <v>0.75</v>
      </c>
      <c r="BJ47" s="248"/>
      <c r="BK47" s="248"/>
      <c r="BL47" s="248"/>
      <c r="BM47" s="248"/>
      <c r="BN47" s="248"/>
      <c r="BO47"/>
      <c r="BP47"/>
      <c r="BQ47"/>
      <c r="BR47"/>
      <c r="BS47"/>
      <c r="BT47" s="248"/>
      <c r="BU47" s="248"/>
      <c r="BV47" s="248"/>
      <c r="BW47" s="248"/>
      <c r="BX47" s="248"/>
      <c r="BY47" s="248"/>
      <c r="BZ47" s="248"/>
      <c r="CA47" s="248"/>
      <c r="CB47" s="248"/>
      <c r="CC47" s="248"/>
      <c r="CD47" s="248"/>
      <c r="CE47" s="248"/>
      <c r="CF47" s="248"/>
      <c r="CG47" s="248"/>
    </row>
    <row r="48" spans="1:85" ht="12.75" x14ac:dyDescent="0.2">
      <c r="A48" s="29">
        <v>38292</v>
      </c>
      <c r="B48" s="243">
        <v>5.7659957740293012E-2</v>
      </c>
      <c r="D48" s="260">
        <v>37226</v>
      </c>
      <c r="E48" s="9">
        <v>40.849998474121094</v>
      </c>
      <c r="F48" s="9">
        <v>41.599998474121094</v>
      </c>
      <c r="G48" s="9">
        <v>42.349998474121094</v>
      </c>
      <c r="H48" s="8"/>
      <c r="I48" s="9">
        <v>19.110000610351563</v>
      </c>
      <c r="J48" s="9">
        <v>19.360000610351563</v>
      </c>
      <c r="K48" s="9">
        <v>20.110000610351563</v>
      </c>
      <c r="L48" s="7"/>
      <c r="M48" s="249">
        <v>38108</v>
      </c>
      <c r="N48" s="261">
        <v>28.75</v>
      </c>
      <c r="O48" s="261">
        <v>29.5</v>
      </c>
      <c r="P48" s="261">
        <v>30.25</v>
      </c>
      <c r="Q48" s="248"/>
      <c r="R48" s="261">
        <v>22.254999160766602</v>
      </c>
      <c r="S48" s="261">
        <v>23.004999160766602</v>
      </c>
      <c r="T48" s="261">
        <v>23.754999160766602</v>
      </c>
      <c r="U48" s="248"/>
      <c r="V48" s="261">
        <v>0</v>
      </c>
      <c r="W48" s="261">
        <v>0</v>
      </c>
      <c r="X48" s="261">
        <v>0</v>
      </c>
      <c r="Y48" s="248"/>
      <c r="Z48" s="261">
        <v>0.21431250000000002</v>
      </c>
      <c r="AA48" s="261">
        <v>0.28575</v>
      </c>
      <c r="AB48" s="261">
        <v>0.42862500000000003</v>
      </c>
      <c r="AC48" s="248"/>
      <c r="AD48" s="261">
        <v>0.11625000000000001</v>
      </c>
      <c r="AE48" s="261">
        <v>0.155</v>
      </c>
      <c r="AF48" s="261">
        <v>0.23250000000000001</v>
      </c>
      <c r="AG48" s="248"/>
      <c r="AH48" s="261">
        <v>-0.4</v>
      </c>
      <c r="AI48" s="261">
        <v>2.5380000000000003</v>
      </c>
      <c r="AJ48" s="261">
        <v>0.5</v>
      </c>
      <c r="AK48" s="248"/>
      <c r="AL48" s="261">
        <v>-0.1</v>
      </c>
      <c r="AM48" s="261">
        <v>1.05</v>
      </c>
      <c r="AN48" s="261">
        <v>0.1</v>
      </c>
      <c r="AO48" s="248"/>
      <c r="AP48" s="7">
        <v>14</v>
      </c>
      <c r="AQ48" s="9">
        <v>0.25</v>
      </c>
      <c r="AR48" s="248"/>
      <c r="AS48" s="9">
        <v>1</v>
      </c>
      <c r="AT48" s="262">
        <v>0</v>
      </c>
      <c r="AU48" s="248"/>
      <c r="AV48" s="9">
        <v>0</v>
      </c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9">
        <v>38108</v>
      </c>
      <c r="BI48" s="262">
        <v>0.75</v>
      </c>
      <c r="BJ48" s="248"/>
      <c r="BK48" s="248"/>
      <c r="BL48" s="248"/>
      <c r="BM48" s="248"/>
      <c r="BN48" s="248"/>
      <c r="BO48"/>
      <c r="BP48"/>
      <c r="BQ48"/>
      <c r="BR48"/>
      <c r="BS48"/>
      <c r="BT48" s="248"/>
      <c r="BU48" s="248"/>
      <c r="BV48" s="248"/>
      <c r="BW48" s="248"/>
      <c r="BX48" s="248"/>
      <c r="BY48" s="248"/>
      <c r="BZ48" s="248"/>
      <c r="CA48" s="248"/>
      <c r="CB48" s="248"/>
      <c r="CC48" s="248"/>
      <c r="CD48" s="248"/>
      <c r="CE48" s="248"/>
      <c r="CF48" s="248"/>
      <c r="CG48" s="248"/>
    </row>
    <row r="49" spans="1:85" ht="12.75" x14ac:dyDescent="0.2">
      <c r="A49" s="29">
        <v>38322</v>
      </c>
      <c r="B49" s="243">
        <v>5.7776111018460002E-2</v>
      </c>
      <c r="D49" s="260">
        <v>37257</v>
      </c>
      <c r="E49" s="9">
        <v>46.737143707275393</v>
      </c>
      <c r="F49" s="9">
        <v>47.037143707275391</v>
      </c>
      <c r="G49" s="9">
        <v>47.337143707275388</v>
      </c>
      <c r="H49" s="8"/>
      <c r="I49" s="9">
        <v>21.5</v>
      </c>
      <c r="J49" s="9">
        <v>21.75</v>
      </c>
      <c r="K49" s="9">
        <v>22.5</v>
      </c>
      <c r="L49" s="7"/>
      <c r="M49" s="249">
        <v>38139</v>
      </c>
      <c r="N49" s="261">
        <v>35.75</v>
      </c>
      <c r="O49" s="261">
        <v>36.5</v>
      </c>
      <c r="P49" s="261">
        <v>37.25</v>
      </c>
      <c r="Q49" s="248"/>
      <c r="R49" s="261">
        <v>26.25</v>
      </c>
      <c r="S49" s="261">
        <v>27</v>
      </c>
      <c r="T49" s="261">
        <v>27.75</v>
      </c>
      <c r="U49" s="248"/>
      <c r="V49" s="261">
        <v>0</v>
      </c>
      <c r="W49" s="261">
        <v>0</v>
      </c>
      <c r="X49" s="261">
        <v>0</v>
      </c>
      <c r="Y49" s="248"/>
      <c r="Z49" s="261">
        <v>0.30825000000000002</v>
      </c>
      <c r="AA49" s="261">
        <v>0.41100000000000003</v>
      </c>
      <c r="AB49" s="261">
        <v>0.61650000000000005</v>
      </c>
      <c r="AC49" s="248"/>
      <c r="AD49" s="261">
        <v>0.13125000000000001</v>
      </c>
      <c r="AE49" s="261">
        <v>0.17499999999999999</v>
      </c>
      <c r="AF49" s="261">
        <v>0.26250000000000001</v>
      </c>
      <c r="AG49" s="248"/>
      <c r="AH49" s="261">
        <v>-0.4</v>
      </c>
      <c r="AI49" s="261">
        <v>3.5640000000000001</v>
      </c>
      <c r="AJ49" s="261">
        <v>0.5</v>
      </c>
      <c r="AK49" s="248"/>
      <c r="AL49" s="261">
        <v>-0.1</v>
      </c>
      <c r="AM49" s="261">
        <v>1.1499999999999999</v>
      </c>
      <c r="AN49" s="261">
        <v>0.1</v>
      </c>
      <c r="AO49" s="248"/>
      <c r="AP49" s="7">
        <v>14</v>
      </c>
      <c r="AQ49" s="9">
        <v>0.25</v>
      </c>
      <c r="AR49" s="248"/>
      <c r="AS49" s="9">
        <v>2</v>
      </c>
      <c r="AT49" s="262">
        <v>5.0000000000000001E-3</v>
      </c>
      <c r="AU49" s="248"/>
      <c r="AV49" s="9">
        <v>0</v>
      </c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9">
        <v>38139</v>
      </c>
      <c r="BI49" s="262">
        <v>0.75</v>
      </c>
      <c r="BJ49" s="248"/>
      <c r="BK49" s="248"/>
      <c r="BL49" s="248"/>
      <c r="BM49" s="248"/>
      <c r="BN49" s="248"/>
      <c r="BO49"/>
      <c r="BP49"/>
      <c r="BQ49"/>
      <c r="BR49"/>
      <c r="BS49"/>
      <c r="BT49" s="248"/>
      <c r="BU49" s="248"/>
      <c r="BV49" s="248"/>
      <c r="BW49" s="248"/>
      <c r="BX49" s="248"/>
      <c r="BY49" s="248"/>
      <c r="BZ49" s="248"/>
      <c r="CA49" s="248"/>
      <c r="CB49" s="248"/>
      <c r="CC49" s="248"/>
      <c r="CD49" s="248"/>
      <c r="CE49" s="248"/>
      <c r="CF49" s="248"/>
      <c r="CG49" s="248"/>
    </row>
    <row r="50" spans="1:85" ht="12.75" x14ac:dyDescent="0.2">
      <c r="A50" s="29">
        <v>38353</v>
      </c>
      <c r="B50" s="243">
        <v>5.7896107961344E-2</v>
      </c>
      <c r="D50" s="260">
        <v>37288</v>
      </c>
      <c r="E50" s="9">
        <v>46.137141418457034</v>
      </c>
      <c r="F50" s="9">
        <v>46.437141418457031</v>
      </c>
      <c r="G50" s="9">
        <v>46.737141418457028</v>
      </c>
      <c r="H50" s="8"/>
      <c r="I50" s="9">
        <v>20</v>
      </c>
      <c r="J50" s="9">
        <v>20.25</v>
      </c>
      <c r="K50" s="9">
        <v>21</v>
      </c>
      <c r="L50" s="7"/>
      <c r="M50" s="249">
        <v>38169</v>
      </c>
      <c r="N50" s="261">
        <v>41.75</v>
      </c>
      <c r="O50" s="261">
        <v>42.5</v>
      </c>
      <c r="P50" s="261">
        <v>43.25</v>
      </c>
      <c r="Q50" s="248"/>
      <c r="R50" s="261">
        <v>32.25</v>
      </c>
      <c r="S50" s="261">
        <v>33</v>
      </c>
      <c r="T50" s="261">
        <v>33.75</v>
      </c>
      <c r="U50" s="248"/>
      <c r="V50" s="261">
        <v>0</v>
      </c>
      <c r="W50" s="261">
        <v>0</v>
      </c>
      <c r="X50" s="261">
        <v>0</v>
      </c>
      <c r="Y50" s="248"/>
      <c r="Z50" s="261">
        <v>0.31200000000000006</v>
      </c>
      <c r="AA50" s="261">
        <v>0.41600000000000004</v>
      </c>
      <c r="AB50" s="261">
        <v>0.62400000000000011</v>
      </c>
      <c r="AC50" s="248"/>
      <c r="AD50" s="261">
        <v>0.16125</v>
      </c>
      <c r="AE50" s="261">
        <v>0.215</v>
      </c>
      <c r="AF50" s="261">
        <v>0.32250000000000001</v>
      </c>
      <c r="AG50" s="248"/>
      <c r="AH50" s="261">
        <v>-0.4</v>
      </c>
      <c r="AI50" s="261">
        <v>4.6440000000000001</v>
      </c>
      <c r="AJ50" s="261">
        <v>0.5</v>
      </c>
      <c r="AK50" s="248"/>
      <c r="AL50" s="261">
        <v>-0.1</v>
      </c>
      <c r="AM50" s="261">
        <v>1.1499999999999999</v>
      </c>
      <c r="AN50" s="261">
        <v>0.1</v>
      </c>
      <c r="AO50" s="248"/>
      <c r="AP50" s="7">
        <v>14</v>
      </c>
      <c r="AQ50" s="9">
        <v>0.4</v>
      </c>
      <c r="AR50" s="248"/>
      <c r="AS50" s="9">
        <v>3</v>
      </c>
      <c r="AT50" s="262">
        <v>0.01</v>
      </c>
      <c r="AU50" s="248"/>
      <c r="AV50" s="9">
        <v>0</v>
      </c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9">
        <v>38169</v>
      </c>
      <c r="BI50" s="262">
        <v>0.75</v>
      </c>
      <c r="BJ50" s="248"/>
      <c r="BK50" s="248"/>
      <c r="BL50" s="248"/>
      <c r="BM50" s="248"/>
      <c r="BN50" s="248"/>
      <c r="BO50"/>
      <c r="BP50"/>
      <c r="BQ50"/>
      <c r="BR50"/>
      <c r="BS50"/>
      <c r="BT50" s="248"/>
      <c r="BU50" s="248"/>
      <c r="BV50" s="248"/>
      <c r="BW50" s="248"/>
      <c r="BX50" s="248"/>
      <c r="BY50" s="248"/>
      <c r="BZ50" s="248"/>
      <c r="CA50" s="248"/>
      <c r="CB50" s="248"/>
      <c r="CC50" s="248"/>
      <c r="CD50" s="248"/>
      <c r="CE50" s="248"/>
      <c r="CF50" s="248"/>
      <c r="CG50" s="248"/>
    </row>
    <row r="51" spans="1:85" ht="12.75" x14ac:dyDescent="0.2">
      <c r="A51" s="29">
        <v>38384</v>
      </c>
      <c r="B51" s="243">
        <v>5.8004492300969011E-2</v>
      </c>
      <c r="D51" s="260">
        <v>37316</v>
      </c>
      <c r="E51" s="9">
        <v>36.151039123535156</v>
      </c>
      <c r="F51" s="9">
        <v>36.651039123535156</v>
      </c>
      <c r="G51" s="9">
        <v>37.151039123535156</v>
      </c>
      <c r="H51" s="8"/>
      <c r="I51" s="9">
        <v>21</v>
      </c>
      <c r="J51" s="9">
        <v>21.25</v>
      </c>
      <c r="K51" s="9">
        <v>22</v>
      </c>
      <c r="L51" s="7"/>
      <c r="M51" s="249">
        <v>38200</v>
      </c>
      <c r="N51" s="261">
        <v>39.750003814697266</v>
      </c>
      <c r="O51" s="261">
        <v>40.500003814697266</v>
      </c>
      <c r="P51" s="261">
        <v>41.250003814697266</v>
      </c>
      <c r="Q51" s="248"/>
      <c r="R51" s="261">
        <v>32.25</v>
      </c>
      <c r="S51" s="261">
        <v>33</v>
      </c>
      <c r="T51" s="261">
        <v>33.75</v>
      </c>
      <c r="U51" s="248"/>
      <c r="V51" s="261">
        <v>0</v>
      </c>
      <c r="W51" s="261">
        <v>0</v>
      </c>
      <c r="X51" s="261">
        <v>0</v>
      </c>
      <c r="Y51" s="248"/>
      <c r="Z51" s="261">
        <v>0.31200000000000006</v>
      </c>
      <c r="AA51" s="261">
        <v>0.41600000000000004</v>
      </c>
      <c r="AB51" s="261">
        <v>0.62400000000000011</v>
      </c>
      <c r="AC51" s="248"/>
      <c r="AD51" s="261">
        <v>0.16125</v>
      </c>
      <c r="AE51" s="261">
        <v>0.215</v>
      </c>
      <c r="AF51" s="261">
        <v>0.32250000000000001</v>
      </c>
      <c r="AG51" s="248"/>
      <c r="AH51" s="261">
        <v>-0.5</v>
      </c>
      <c r="AI51" s="261">
        <v>4.6440000000000001</v>
      </c>
      <c r="AJ51" s="261">
        <v>1.75</v>
      </c>
      <c r="AK51" s="248"/>
      <c r="AL51" s="261">
        <v>-0.1</v>
      </c>
      <c r="AM51" s="261">
        <v>1.1499999999999999</v>
      </c>
      <c r="AN51" s="261">
        <v>0.1</v>
      </c>
      <c r="AO51" s="248"/>
      <c r="AP51" s="7">
        <v>15</v>
      </c>
      <c r="AQ51" s="9">
        <v>0.4</v>
      </c>
      <c r="AR51" s="248"/>
      <c r="AS51" s="9">
        <v>4</v>
      </c>
      <c r="AT51" s="262">
        <v>1.4999999999999999E-2</v>
      </c>
      <c r="AU51" s="248"/>
      <c r="AV51" s="9">
        <v>0</v>
      </c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9">
        <v>38200</v>
      </c>
      <c r="BI51" s="262">
        <v>0.75</v>
      </c>
      <c r="BJ51" s="248"/>
      <c r="BK51" s="248"/>
      <c r="BL51" s="248"/>
      <c r="BM51" s="248"/>
      <c r="BN51" s="248"/>
      <c r="BO51"/>
      <c r="BP51"/>
      <c r="BQ51"/>
      <c r="BR51"/>
      <c r="BS51"/>
      <c r="BT51" s="248"/>
      <c r="BU51" s="248"/>
      <c r="BV51" s="248"/>
      <c r="BW51" s="248"/>
      <c r="BX51" s="248"/>
      <c r="BY51" s="248"/>
      <c r="BZ51" s="248"/>
      <c r="CA51" s="248"/>
      <c r="CB51" s="248"/>
      <c r="CC51" s="248"/>
      <c r="CD51" s="248"/>
      <c r="CE51" s="248"/>
      <c r="CF51" s="248"/>
      <c r="CG51" s="248"/>
    </row>
    <row r="52" spans="1:85" ht="12.75" x14ac:dyDescent="0.2">
      <c r="A52" s="29">
        <v>38412</v>
      </c>
      <c r="B52" s="243">
        <v>5.8106718451507014E-2</v>
      </c>
      <c r="D52" s="260">
        <v>37347</v>
      </c>
      <c r="E52" s="9">
        <v>35.851043701171875</v>
      </c>
      <c r="F52" s="9">
        <v>36.851043701171875</v>
      </c>
      <c r="G52" s="9">
        <v>37.851043701171875</v>
      </c>
      <c r="H52" s="8"/>
      <c r="I52" s="9">
        <v>19</v>
      </c>
      <c r="J52" s="9">
        <v>19.25</v>
      </c>
      <c r="K52" s="9">
        <v>20</v>
      </c>
      <c r="L52" s="7"/>
      <c r="M52" s="249">
        <v>38231</v>
      </c>
      <c r="N52" s="261">
        <v>31.75</v>
      </c>
      <c r="O52" s="261">
        <v>32.5</v>
      </c>
      <c r="P52" s="261">
        <v>33.25</v>
      </c>
      <c r="Q52" s="248"/>
      <c r="R52" s="261">
        <v>26.25</v>
      </c>
      <c r="S52" s="261">
        <v>27</v>
      </c>
      <c r="T52" s="261">
        <v>27.75</v>
      </c>
      <c r="U52" s="248"/>
      <c r="V52" s="261">
        <v>0</v>
      </c>
      <c r="W52" s="261">
        <v>0</v>
      </c>
      <c r="X52" s="261">
        <v>0</v>
      </c>
      <c r="Y52" s="248"/>
      <c r="Z52" s="261">
        <v>0.21431250000000002</v>
      </c>
      <c r="AA52" s="261">
        <v>0.28575</v>
      </c>
      <c r="AB52" s="261">
        <v>0.42862500000000003</v>
      </c>
      <c r="AC52" s="248"/>
      <c r="AD52" s="261">
        <v>0.10125000000000001</v>
      </c>
      <c r="AE52" s="261">
        <v>0.13500000000000001</v>
      </c>
      <c r="AF52" s="261">
        <v>0.20250000000000001</v>
      </c>
      <c r="AG52" s="248"/>
      <c r="AH52" s="261">
        <v>-1</v>
      </c>
      <c r="AI52" s="261">
        <v>2.5380000000000003</v>
      </c>
      <c r="AJ52" s="261">
        <v>2.5</v>
      </c>
      <c r="AK52" s="248"/>
      <c r="AL52" s="261">
        <v>-0.1</v>
      </c>
      <c r="AM52" s="261">
        <v>1.05</v>
      </c>
      <c r="AN52" s="261">
        <v>0.1</v>
      </c>
      <c r="AO52" s="248"/>
      <c r="AP52" s="7">
        <v>15</v>
      </c>
      <c r="AQ52" s="9">
        <v>0.4</v>
      </c>
      <c r="AR52" s="248"/>
      <c r="AS52" s="9">
        <v>5</v>
      </c>
      <c r="AT52" s="262">
        <v>0.02</v>
      </c>
      <c r="AU52" s="248"/>
      <c r="AV52" s="9">
        <v>0</v>
      </c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9">
        <v>38231</v>
      </c>
      <c r="BI52" s="262">
        <v>0.75</v>
      </c>
      <c r="BJ52" s="248"/>
      <c r="BK52" s="248"/>
      <c r="BL52" s="248"/>
      <c r="BM52" s="248"/>
      <c r="BN52" s="248"/>
      <c r="BO52"/>
      <c r="BP52"/>
      <c r="BQ52"/>
      <c r="BR52"/>
      <c r="BS52"/>
      <c r="BT52" s="248"/>
      <c r="BU52" s="248"/>
      <c r="BV52" s="248"/>
      <c r="BW52" s="248"/>
      <c r="BX52" s="248"/>
      <c r="BY52" s="248"/>
      <c r="BZ52" s="248"/>
      <c r="CA52" s="248"/>
      <c r="CB52" s="248"/>
      <c r="CC52" s="248"/>
      <c r="CD52" s="248"/>
      <c r="CE52" s="248"/>
      <c r="CF52" s="248"/>
      <c r="CG52" s="248"/>
    </row>
    <row r="53" spans="1:85" ht="12.75" x14ac:dyDescent="0.2">
      <c r="A53" s="29">
        <v>38443</v>
      </c>
      <c r="B53" s="243">
        <v>5.8191484299130014E-2</v>
      </c>
      <c r="D53" s="260">
        <v>37377</v>
      </c>
      <c r="E53" s="9">
        <v>39.249996185302734</v>
      </c>
      <c r="F53" s="9">
        <v>40.999996185302734</v>
      </c>
      <c r="G53" s="9">
        <v>42.749996185302734</v>
      </c>
      <c r="H53" s="8"/>
      <c r="I53" s="9">
        <v>21</v>
      </c>
      <c r="J53" s="9">
        <v>21.25</v>
      </c>
      <c r="K53" s="9">
        <v>22</v>
      </c>
      <c r="L53" s="7"/>
      <c r="M53" s="249">
        <v>38261</v>
      </c>
      <c r="N53" s="261">
        <v>26.746000289916992</v>
      </c>
      <c r="O53" s="261">
        <v>27.496000289916992</v>
      </c>
      <c r="P53" s="261">
        <v>28.246000289916992</v>
      </c>
      <c r="Q53" s="248"/>
      <c r="R53" s="261">
        <v>21.246500015258789</v>
      </c>
      <c r="S53" s="261">
        <v>21.996500015258789</v>
      </c>
      <c r="T53" s="261">
        <v>22.746500015258789</v>
      </c>
      <c r="U53" s="248"/>
      <c r="V53" s="261">
        <v>0</v>
      </c>
      <c r="W53" s="261">
        <v>0</v>
      </c>
      <c r="X53" s="261">
        <v>0</v>
      </c>
      <c r="Y53" s="248"/>
      <c r="Z53" s="261">
        <v>0.1275</v>
      </c>
      <c r="AA53" s="261">
        <v>0.17</v>
      </c>
      <c r="AB53" s="261">
        <v>0.255</v>
      </c>
      <c r="AC53" s="248"/>
      <c r="AD53" s="261">
        <v>7.8750000000000001E-2</v>
      </c>
      <c r="AE53" s="261">
        <v>0.105</v>
      </c>
      <c r="AF53" s="261">
        <v>0.1575</v>
      </c>
      <c r="AG53" s="248"/>
      <c r="AH53" s="261">
        <v>-1</v>
      </c>
      <c r="AI53" s="261">
        <v>2.16</v>
      </c>
      <c r="AJ53" s="261">
        <v>2.5</v>
      </c>
      <c r="AK53" s="248"/>
      <c r="AL53" s="261">
        <v>-0.1</v>
      </c>
      <c r="AM53" s="261">
        <v>1</v>
      </c>
      <c r="AN53" s="261">
        <v>0.1</v>
      </c>
      <c r="AO53" s="248"/>
      <c r="AP53" s="7">
        <v>15</v>
      </c>
      <c r="AQ53" s="9">
        <v>0.4</v>
      </c>
      <c r="AR53" s="248"/>
      <c r="AS53" s="9">
        <v>6</v>
      </c>
      <c r="AT53" s="262">
        <v>0.03</v>
      </c>
      <c r="AU53" s="248"/>
      <c r="AV53" s="9">
        <v>0</v>
      </c>
      <c r="AW53" s="248"/>
      <c r="AX53" s="248"/>
      <c r="AY53" s="248"/>
      <c r="AZ53" s="248"/>
      <c r="BA53" s="248"/>
      <c r="BB53" s="248"/>
      <c r="BC53" s="248"/>
      <c r="BD53" s="248"/>
      <c r="BE53" s="248"/>
      <c r="BF53" s="248"/>
      <c r="BG53" s="248"/>
      <c r="BH53" s="249">
        <v>38261</v>
      </c>
      <c r="BI53" s="262">
        <v>0.75</v>
      </c>
      <c r="BJ53" s="248"/>
      <c r="BK53" s="248"/>
      <c r="BL53" s="248"/>
      <c r="BM53" s="248"/>
      <c r="BN53" s="248"/>
      <c r="BO53"/>
      <c r="BP53"/>
      <c r="BQ53"/>
      <c r="BR53"/>
      <c r="BS53"/>
      <c r="BT53" s="248"/>
      <c r="BU53" s="248"/>
      <c r="BV53" s="248"/>
      <c r="BW53" s="248"/>
      <c r="BX53" s="248"/>
      <c r="BY53" s="248"/>
      <c r="BZ53" s="248"/>
      <c r="CA53" s="248"/>
      <c r="CB53" s="248"/>
      <c r="CC53" s="248"/>
      <c r="CD53" s="248"/>
      <c r="CE53" s="248"/>
      <c r="CF53" s="248"/>
      <c r="CG53" s="248"/>
    </row>
    <row r="54" spans="1:85" ht="12.75" x14ac:dyDescent="0.2">
      <c r="A54" s="29">
        <v>38473</v>
      </c>
      <c r="B54" s="243">
        <v>5.827907567751902E-2</v>
      </c>
      <c r="D54" s="260">
        <v>37408</v>
      </c>
      <c r="E54" s="9">
        <v>56</v>
      </c>
      <c r="F54" s="9">
        <v>59.5</v>
      </c>
      <c r="G54" s="9">
        <v>63</v>
      </c>
      <c r="H54" s="8"/>
      <c r="I54" s="9">
        <v>24</v>
      </c>
      <c r="J54" s="9">
        <v>24.25</v>
      </c>
      <c r="K54" s="9">
        <v>25</v>
      </c>
      <c r="L54" s="7"/>
      <c r="M54" s="249">
        <v>38292</v>
      </c>
      <c r="N54" s="261">
        <v>28.75</v>
      </c>
      <c r="O54" s="261">
        <v>29.5</v>
      </c>
      <c r="P54" s="261">
        <v>30.25</v>
      </c>
      <c r="Q54" s="248"/>
      <c r="R54" s="261">
        <v>21.25</v>
      </c>
      <c r="S54" s="261">
        <v>22</v>
      </c>
      <c r="T54" s="261">
        <v>22.75</v>
      </c>
      <c r="U54" s="248"/>
      <c r="V54" s="261">
        <v>0</v>
      </c>
      <c r="W54" s="261">
        <v>0</v>
      </c>
      <c r="X54" s="261">
        <v>0</v>
      </c>
      <c r="Y54" s="248"/>
      <c r="Z54" s="261">
        <v>0.1275</v>
      </c>
      <c r="AA54" s="261">
        <v>0.17</v>
      </c>
      <c r="AB54" s="261">
        <v>0.255</v>
      </c>
      <c r="AC54" s="248"/>
      <c r="AD54" s="261">
        <v>7.8750000000000001E-2</v>
      </c>
      <c r="AE54" s="261">
        <v>0.105</v>
      </c>
      <c r="AF54" s="261">
        <v>0.1575</v>
      </c>
      <c r="AG54" s="248"/>
      <c r="AH54" s="261">
        <v>-0.5</v>
      </c>
      <c r="AI54" s="261">
        <v>2.052</v>
      </c>
      <c r="AJ54" s="261">
        <v>1</v>
      </c>
      <c r="AK54" s="248"/>
      <c r="AL54" s="261">
        <v>-0.1</v>
      </c>
      <c r="AM54" s="261">
        <v>1</v>
      </c>
      <c r="AN54" s="261">
        <v>0.1</v>
      </c>
      <c r="AO54" s="248"/>
      <c r="AP54" s="7">
        <v>16</v>
      </c>
      <c r="AQ54" s="9">
        <v>0.4</v>
      </c>
      <c r="AR54" s="248"/>
      <c r="AS54" s="9">
        <v>7</v>
      </c>
      <c r="AT54" s="262">
        <v>3.5000000000000003E-2</v>
      </c>
      <c r="AU54" s="248"/>
      <c r="AV54" s="9">
        <v>0</v>
      </c>
      <c r="AW54" s="248"/>
      <c r="AX54" s="248"/>
      <c r="AY54" s="248"/>
      <c r="AZ54" s="248"/>
      <c r="BA54" s="248"/>
      <c r="BB54" s="248"/>
      <c r="BC54" s="248"/>
      <c r="BD54" s="248"/>
      <c r="BE54" s="248"/>
      <c r="BF54" s="248"/>
      <c r="BG54" s="248"/>
      <c r="BH54" s="249">
        <v>38292</v>
      </c>
      <c r="BI54" s="262">
        <v>0.75</v>
      </c>
      <c r="BJ54" s="248"/>
      <c r="BK54" s="248"/>
      <c r="BL54" s="248"/>
      <c r="BM54" s="248"/>
      <c r="BN54" s="248"/>
      <c r="BO54"/>
      <c r="BP54"/>
      <c r="BQ54"/>
      <c r="BR54"/>
      <c r="BS54"/>
      <c r="BT54" s="248"/>
      <c r="BU54" s="248"/>
      <c r="BV54" s="248"/>
      <c r="BW54" s="248"/>
      <c r="BX54" s="248"/>
      <c r="BY54" s="248"/>
      <c r="BZ54" s="248"/>
      <c r="CA54" s="248"/>
      <c r="CB54" s="248"/>
      <c r="CC54" s="248"/>
      <c r="CD54" s="248"/>
      <c r="CE54" s="248"/>
      <c r="CF54" s="248"/>
      <c r="CG54" s="248"/>
    </row>
    <row r="55" spans="1:85" ht="12.75" x14ac:dyDescent="0.2">
      <c r="A55" s="29">
        <v>38504</v>
      </c>
      <c r="B55" s="243">
        <v>5.8363841530002014E-2</v>
      </c>
      <c r="D55" s="260">
        <v>37438</v>
      </c>
      <c r="E55" s="9">
        <v>80.5</v>
      </c>
      <c r="F55" s="9">
        <v>85.5</v>
      </c>
      <c r="G55" s="9">
        <v>90.5</v>
      </c>
      <c r="H55" s="8"/>
      <c r="I55" s="9">
        <v>24.5</v>
      </c>
      <c r="J55" s="9">
        <v>24.75</v>
      </c>
      <c r="K55" s="9">
        <v>25.5</v>
      </c>
      <c r="L55" s="7"/>
      <c r="M55" s="249">
        <v>38322</v>
      </c>
      <c r="N55" s="261">
        <v>33.75</v>
      </c>
      <c r="O55" s="261">
        <v>34.5</v>
      </c>
      <c r="P55" s="261">
        <v>35.25</v>
      </c>
      <c r="Q55" s="248"/>
      <c r="R55" s="261">
        <v>28.25</v>
      </c>
      <c r="S55" s="261">
        <v>29</v>
      </c>
      <c r="T55" s="261">
        <v>29.75</v>
      </c>
      <c r="U55" s="248"/>
      <c r="V55" s="261">
        <v>0</v>
      </c>
      <c r="W55" s="261">
        <v>0</v>
      </c>
      <c r="X55" s="261">
        <v>0</v>
      </c>
      <c r="Y55" s="248"/>
      <c r="Z55" s="261">
        <v>0.12937499999999999</v>
      </c>
      <c r="AA55" s="261">
        <v>0.17249999999999999</v>
      </c>
      <c r="AB55" s="261">
        <v>0.25874999999999998</v>
      </c>
      <c r="AC55" s="248"/>
      <c r="AD55" s="261">
        <v>0.10875</v>
      </c>
      <c r="AE55" s="261">
        <v>0.14499999999999999</v>
      </c>
      <c r="AF55" s="261">
        <v>0.2175</v>
      </c>
      <c r="AG55" s="248"/>
      <c r="AH55" s="261">
        <v>-0.4</v>
      </c>
      <c r="AI55" s="261">
        <v>1.89</v>
      </c>
      <c r="AJ55" s="261">
        <v>0.5</v>
      </c>
      <c r="AK55" s="248"/>
      <c r="AL55" s="261">
        <v>-0.1</v>
      </c>
      <c r="AM55" s="261">
        <v>1</v>
      </c>
      <c r="AN55" s="261">
        <v>0.1</v>
      </c>
      <c r="AO55" s="248"/>
      <c r="AP55" s="7">
        <v>16</v>
      </c>
      <c r="AQ55" s="9">
        <v>0.4</v>
      </c>
      <c r="AR55" s="248"/>
      <c r="AS55" s="9">
        <v>8</v>
      </c>
      <c r="AT55" s="262">
        <v>0.04</v>
      </c>
      <c r="AU55" s="248"/>
      <c r="AV55" s="9">
        <v>0</v>
      </c>
      <c r="AW55" s="248"/>
      <c r="AX55" s="248"/>
      <c r="AY55" s="248"/>
      <c r="AZ55" s="248"/>
      <c r="BA55" s="248"/>
      <c r="BB55" s="248"/>
      <c r="BC55" s="248"/>
      <c r="BD55" s="248"/>
      <c r="BE55" s="248"/>
      <c r="BF55" s="248"/>
      <c r="BG55" s="248"/>
      <c r="BH55" s="249">
        <v>38322</v>
      </c>
      <c r="BI55" s="262">
        <v>0.75</v>
      </c>
      <c r="BJ55" s="248"/>
      <c r="BK55" s="248"/>
      <c r="BL55" s="248"/>
      <c r="BM55" s="248"/>
      <c r="BN55" s="248"/>
      <c r="BO55"/>
      <c r="BP55"/>
      <c r="BQ55"/>
      <c r="BR55"/>
      <c r="BS55"/>
      <c r="BT55" s="248"/>
      <c r="BU55" s="248"/>
      <c r="BV55" s="248"/>
      <c r="BW55" s="248"/>
      <c r="BX55" s="248"/>
      <c r="BY55" s="248"/>
      <c r="BZ55" s="248"/>
      <c r="CA55" s="248"/>
      <c r="CB55" s="248"/>
      <c r="CC55" s="248"/>
      <c r="CD55" s="248"/>
      <c r="CE55" s="248"/>
      <c r="CF55" s="248"/>
      <c r="CG55" s="248"/>
    </row>
    <row r="56" spans="1:85" ht="12.75" x14ac:dyDescent="0.2">
      <c r="A56" s="29">
        <v>38534</v>
      </c>
      <c r="B56" s="243">
        <v>5.8451432913410012E-2</v>
      </c>
      <c r="D56" s="260">
        <v>37469</v>
      </c>
      <c r="E56" s="9">
        <v>80.5</v>
      </c>
      <c r="F56" s="9">
        <v>85.5</v>
      </c>
      <c r="G56" s="9">
        <v>90.5</v>
      </c>
      <c r="H56" s="8"/>
      <c r="I56" s="9">
        <v>25.5</v>
      </c>
      <c r="J56" s="9">
        <v>25.75</v>
      </c>
      <c r="K56" s="9">
        <v>26.5</v>
      </c>
      <c r="L56" s="7"/>
      <c r="M56" s="249">
        <v>38353</v>
      </c>
      <c r="N56" s="261">
        <v>35.5</v>
      </c>
      <c r="O56" s="261">
        <v>37</v>
      </c>
      <c r="P56" s="261">
        <v>38.5</v>
      </c>
      <c r="Q56" s="248"/>
      <c r="R56" s="261">
        <v>25</v>
      </c>
      <c r="S56" s="261">
        <v>26.5</v>
      </c>
      <c r="T56" s="261">
        <v>28</v>
      </c>
      <c r="U56" s="248"/>
      <c r="V56" s="261">
        <v>0</v>
      </c>
      <c r="W56" s="261">
        <v>0</v>
      </c>
      <c r="X56" s="261">
        <v>0</v>
      </c>
      <c r="Y56" s="248"/>
      <c r="Z56" s="261">
        <v>0.19275</v>
      </c>
      <c r="AA56" s="261">
        <v>0.25700000000000001</v>
      </c>
      <c r="AB56" s="261">
        <v>0.38550000000000001</v>
      </c>
      <c r="AC56" s="248"/>
      <c r="AD56" s="261">
        <v>0.10125000000000001</v>
      </c>
      <c r="AE56" s="261">
        <v>0.13500000000000001</v>
      </c>
      <c r="AF56" s="261">
        <v>0.20250000000000001</v>
      </c>
      <c r="AG56" s="248"/>
      <c r="AH56" s="261">
        <v>-0.4</v>
      </c>
      <c r="AI56" s="261">
        <v>2.3220000000000001</v>
      </c>
      <c r="AJ56" s="261">
        <v>0.5</v>
      </c>
      <c r="AK56" s="248"/>
      <c r="AL56" s="261">
        <v>-0.1</v>
      </c>
      <c r="AM56" s="261">
        <v>1</v>
      </c>
      <c r="AN56" s="261">
        <v>0.1</v>
      </c>
      <c r="AO56" s="248"/>
      <c r="AP56" s="7">
        <v>16</v>
      </c>
      <c r="AQ56" s="9">
        <v>0.4</v>
      </c>
      <c r="AR56" s="248"/>
      <c r="AS56" s="9">
        <v>9</v>
      </c>
      <c r="AT56" s="262">
        <v>0.05</v>
      </c>
      <c r="AU56" s="248"/>
      <c r="AV56" s="9">
        <v>0</v>
      </c>
      <c r="AW56" s="248"/>
      <c r="AX56" s="248"/>
      <c r="AY56" s="248"/>
      <c r="AZ56" s="248"/>
      <c r="BA56" s="248"/>
      <c r="BB56" s="248"/>
      <c r="BC56" s="248"/>
      <c r="BD56" s="248"/>
      <c r="BE56" s="248"/>
      <c r="BF56" s="248"/>
      <c r="BG56" s="248"/>
      <c r="BH56" s="249">
        <v>38353</v>
      </c>
      <c r="BI56" s="262">
        <v>0.75</v>
      </c>
      <c r="BJ56" s="248"/>
      <c r="BK56" s="248"/>
      <c r="BL56" s="248"/>
      <c r="BM56" s="248"/>
      <c r="BN56" s="248"/>
      <c r="BO56"/>
      <c r="BP56"/>
      <c r="BQ56"/>
      <c r="BR56"/>
      <c r="BS56"/>
      <c r="BT56" s="248"/>
      <c r="BU56" s="248"/>
      <c r="BV56" s="248"/>
      <c r="BW56" s="248"/>
      <c r="BX56" s="248"/>
      <c r="BY56" s="248"/>
      <c r="BZ56" s="248"/>
      <c r="CA56" s="248"/>
      <c r="CB56" s="248"/>
      <c r="CC56" s="248"/>
      <c r="CD56" s="248"/>
      <c r="CE56" s="248"/>
      <c r="CF56" s="248"/>
      <c r="CG56" s="248"/>
    </row>
    <row r="57" spans="1:85" ht="12.75" x14ac:dyDescent="0.2">
      <c r="A57" s="29">
        <v>38565</v>
      </c>
      <c r="B57" s="243">
        <v>5.8539024299370017E-2</v>
      </c>
      <c r="D57" s="260">
        <v>37500</v>
      </c>
      <c r="E57" s="9">
        <v>34.950003814697268</v>
      </c>
      <c r="F57" s="9">
        <v>37.500003814697266</v>
      </c>
      <c r="G57" s="9">
        <v>40.050003814697263</v>
      </c>
      <c r="H57" s="8"/>
      <c r="I57" s="9">
        <v>18.5</v>
      </c>
      <c r="J57" s="9">
        <v>18.75</v>
      </c>
      <c r="K57" s="9">
        <v>19.5</v>
      </c>
      <c r="L57" s="7"/>
      <c r="M57" s="249">
        <v>38384</v>
      </c>
      <c r="N57" s="261">
        <v>30.996002197265625</v>
      </c>
      <c r="O57" s="261">
        <v>32.496002197265625</v>
      </c>
      <c r="P57" s="261">
        <v>33.996002197265625</v>
      </c>
      <c r="Q57" s="248"/>
      <c r="R57" s="261">
        <v>22.496501922607422</v>
      </c>
      <c r="S57" s="261">
        <v>23.996501922607422</v>
      </c>
      <c r="T57" s="261">
        <v>25.496501922607422</v>
      </c>
      <c r="U57" s="248"/>
      <c r="V57" s="261">
        <v>0</v>
      </c>
      <c r="W57" s="261">
        <v>0</v>
      </c>
      <c r="X57" s="261">
        <v>0</v>
      </c>
      <c r="Y57" s="248"/>
      <c r="Z57" s="261">
        <v>0.19275</v>
      </c>
      <c r="AA57" s="261">
        <v>0.25700000000000001</v>
      </c>
      <c r="AB57" s="261">
        <v>0.38550000000000001</v>
      </c>
      <c r="AC57" s="248"/>
      <c r="AD57" s="261">
        <v>0.10125000000000001</v>
      </c>
      <c r="AE57" s="261">
        <v>0.13500000000000001</v>
      </c>
      <c r="AF57" s="261">
        <v>0.20250000000000001</v>
      </c>
      <c r="AG57" s="248"/>
      <c r="AH57" s="261">
        <v>-0.4</v>
      </c>
      <c r="AI57" s="261">
        <v>2.3220000000000001</v>
      </c>
      <c r="AJ57" s="261">
        <v>0.6</v>
      </c>
      <c r="AK57" s="248"/>
      <c r="AL57" s="261">
        <v>-0.1</v>
      </c>
      <c r="AM57" s="261">
        <v>1</v>
      </c>
      <c r="AN57" s="261">
        <v>0.1</v>
      </c>
      <c r="AO57" s="248"/>
      <c r="AP57" s="7">
        <v>17</v>
      </c>
      <c r="AQ57" s="9">
        <v>0.4</v>
      </c>
      <c r="AR57" s="248"/>
      <c r="AS57" s="9">
        <v>10</v>
      </c>
      <c r="AT57" s="262">
        <v>0.06</v>
      </c>
      <c r="AU57" s="248"/>
      <c r="AV57" s="248"/>
      <c r="AW57" s="248"/>
      <c r="AX57" s="248"/>
      <c r="AY57" s="248"/>
      <c r="AZ57" s="248"/>
      <c r="BA57" s="248"/>
      <c r="BB57" s="248"/>
      <c r="BC57" s="248"/>
      <c r="BD57" s="248"/>
      <c r="BE57" s="248"/>
      <c r="BF57" s="248"/>
      <c r="BG57" s="248"/>
      <c r="BH57" s="249">
        <v>38384</v>
      </c>
      <c r="BI57" s="262">
        <v>0.75</v>
      </c>
      <c r="BJ57" s="248"/>
      <c r="BK57" s="248"/>
      <c r="BL57" s="248"/>
      <c r="BM57" s="248"/>
      <c r="BN57" s="248"/>
      <c r="BO57"/>
      <c r="BP57"/>
      <c r="BQ57"/>
      <c r="BR57"/>
      <c r="BS57"/>
      <c r="BT57" s="248"/>
      <c r="BU57" s="248"/>
      <c r="BV57" s="248"/>
      <c r="BW57" s="248"/>
      <c r="BX57" s="248"/>
      <c r="BY57" s="248"/>
      <c r="BZ57" s="248"/>
      <c r="CA57" s="248"/>
      <c r="CB57" s="248"/>
      <c r="CC57" s="248"/>
      <c r="CD57" s="248"/>
      <c r="CE57" s="248"/>
      <c r="CF57" s="248"/>
      <c r="CG57" s="248"/>
    </row>
    <row r="58" spans="1:85" ht="12.75" x14ac:dyDescent="0.2">
      <c r="A58" s="29">
        <v>38596</v>
      </c>
      <c r="B58" s="243">
        <v>5.8623790159179026E-2</v>
      </c>
      <c r="D58" s="260">
        <v>37530</v>
      </c>
      <c r="E58" s="9">
        <v>35.104998779296878</v>
      </c>
      <c r="F58" s="9">
        <v>35.904998779296875</v>
      </c>
      <c r="G58" s="9">
        <v>36.704998779296872</v>
      </c>
      <c r="H58" s="8"/>
      <c r="I58" s="9">
        <v>16.000001907348633</v>
      </c>
      <c r="J58" s="9">
        <v>16.250001907348633</v>
      </c>
      <c r="K58" s="9">
        <v>17.000001907348633</v>
      </c>
      <c r="L58" s="7"/>
      <c r="M58" s="249">
        <v>38412</v>
      </c>
      <c r="N58" s="261">
        <v>26</v>
      </c>
      <c r="O58" s="261">
        <v>27.5</v>
      </c>
      <c r="P58" s="261">
        <v>29</v>
      </c>
      <c r="Q58" s="248"/>
      <c r="R58" s="261">
        <v>20.5</v>
      </c>
      <c r="S58" s="261">
        <v>22</v>
      </c>
      <c r="T58" s="261">
        <v>23.5</v>
      </c>
      <c r="U58" s="248"/>
      <c r="V58" s="261">
        <v>0</v>
      </c>
      <c r="W58" s="261">
        <v>0</v>
      </c>
      <c r="X58" s="261">
        <v>0</v>
      </c>
      <c r="Y58" s="248"/>
      <c r="Z58" s="261">
        <v>0.18525</v>
      </c>
      <c r="AA58" s="261">
        <v>0.247</v>
      </c>
      <c r="AB58" s="261">
        <v>0.3705</v>
      </c>
      <c r="AC58" s="248"/>
      <c r="AD58" s="261">
        <v>0.09</v>
      </c>
      <c r="AE58" s="261">
        <v>0.12</v>
      </c>
      <c r="AF58" s="261">
        <v>0.18</v>
      </c>
      <c r="AG58" s="248"/>
      <c r="AH58" s="261">
        <v>-0.5</v>
      </c>
      <c r="AI58" s="261">
        <v>2.052</v>
      </c>
      <c r="AJ58" s="261">
        <v>1</v>
      </c>
      <c r="AK58" s="248"/>
      <c r="AL58" s="261">
        <v>-0.1</v>
      </c>
      <c r="AM58" s="261">
        <v>1</v>
      </c>
      <c r="AN58" s="261">
        <v>0.1</v>
      </c>
      <c r="AO58" s="248"/>
      <c r="AP58" s="7">
        <v>17</v>
      </c>
      <c r="AQ58" s="9">
        <v>0.4</v>
      </c>
      <c r="AR58" s="248"/>
      <c r="AS58" s="248"/>
      <c r="AT58" s="248"/>
      <c r="AU58" s="248"/>
      <c r="AV58" s="248"/>
      <c r="AW58" s="248"/>
      <c r="AX58" s="248"/>
      <c r="AY58" s="248"/>
      <c r="AZ58" s="248"/>
      <c r="BA58" s="248"/>
      <c r="BB58" s="248"/>
      <c r="BC58" s="248"/>
      <c r="BD58" s="248"/>
      <c r="BE58" s="248"/>
      <c r="BF58" s="248"/>
      <c r="BG58" s="248"/>
      <c r="BH58" s="249">
        <v>38412</v>
      </c>
      <c r="BI58" s="262">
        <v>0.75</v>
      </c>
      <c r="BJ58" s="248"/>
      <c r="BK58" s="248"/>
      <c r="BL58" s="248"/>
      <c r="BM58" s="248"/>
      <c r="BN58" s="248"/>
      <c r="BO58"/>
      <c r="BP58"/>
      <c r="BQ58"/>
      <c r="BR58"/>
      <c r="BS58"/>
      <c r="BT58" s="248"/>
      <c r="BU58" s="248"/>
      <c r="BV58" s="248"/>
      <c r="BW58" s="248"/>
      <c r="BX58" s="248"/>
      <c r="BY58" s="248"/>
      <c r="BZ58" s="248"/>
      <c r="CA58" s="248"/>
      <c r="CB58" s="248"/>
      <c r="CC58" s="248"/>
      <c r="CD58" s="248"/>
      <c r="CE58" s="248"/>
      <c r="CF58" s="248"/>
      <c r="CG58" s="248"/>
    </row>
    <row r="59" spans="1:85" ht="12.75" x14ac:dyDescent="0.2">
      <c r="A59" s="29">
        <v>38626</v>
      </c>
      <c r="B59" s="243">
        <v>5.8711381550158002E-2</v>
      </c>
      <c r="D59" s="260">
        <v>37561</v>
      </c>
      <c r="E59" s="9">
        <v>35.204997253417972</v>
      </c>
      <c r="F59" s="9">
        <v>36.004997253417969</v>
      </c>
      <c r="G59" s="9">
        <v>36.804997253417966</v>
      </c>
      <c r="H59" s="8"/>
      <c r="I59" s="9">
        <v>18</v>
      </c>
      <c r="J59" s="9">
        <v>18.25</v>
      </c>
      <c r="K59" s="9">
        <v>19</v>
      </c>
      <c r="L59" s="7"/>
      <c r="M59" s="249">
        <v>38443</v>
      </c>
      <c r="N59" s="261">
        <v>26</v>
      </c>
      <c r="O59" s="261">
        <v>27.5</v>
      </c>
      <c r="P59" s="261">
        <v>29</v>
      </c>
      <c r="Q59" s="248"/>
      <c r="R59" s="261">
        <v>20.495000839233398</v>
      </c>
      <c r="S59" s="261">
        <v>21.995000839233398</v>
      </c>
      <c r="T59" s="261">
        <v>23.495000839233398</v>
      </c>
      <c r="U59" s="248"/>
      <c r="V59" s="261">
        <v>0</v>
      </c>
      <c r="W59" s="261">
        <v>0</v>
      </c>
      <c r="X59" s="261">
        <v>0</v>
      </c>
      <c r="Y59" s="248"/>
      <c r="Z59" s="261">
        <v>0.18525</v>
      </c>
      <c r="AA59" s="261">
        <v>0.247</v>
      </c>
      <c r="AB59" s="261">
        <v>0.3705</v>
      </c>
      <c r="AC59" s="248"/>
      <c r="AD59" s="261">
        <v>0.09</v>
      </c>
      <c r="AE59" s="261">
        <v>0.12</v>
      </c>
      <c r="AF59" s="261">
        <v>0.18</v>
      </c>
      <c r="AG59" s="248"/>
      <c r="AH59" s="261">
        <v>-0.5</v>
      </c>
      <c r="AI59" s="261">
        <v>1.9980000000000004</v>
      </c>
      <c r="AJ59" s="261">
        <v>1</v>
      </c>
      <c r="AK59" s="248"/>
      <c r="AL59" s="261">
        <v>-0.1</v>
      </c>
      <c r="AM59" s="261">
        <v>1</v>
      </c>
      <c r="AN59" s="261">
        <v>0.1</v>
      </c>
      <c r="AO59" s="248"/>
      <c r="AP59" s="7">
        <v>17</v>
      </c>
      <c r="AQ59" s="9">
        <v>0.4</v>
      </c>
      <c r="AR59" s="248"/>
      <c r="AS59" s="248"/>
      <c r="AT59" s="248"/>
      <c r="AU59" s="248"/>
      <c r="AV59" s="248"/>
      <c r="AW59" s="248"/>
      <c r="AX59" s="248"/>
      <c r="AY59" s="248"/>
      <c r="AZ59" s="248"/>
      <c r="BA59" s="248"/>
      <c r="BB59" s="248"/>
      <c r="BC59" s="248"/>
      <c r="BD59" s="248"/>
      <c r="BE59" s="248"/>
      <c r="BF59" s="248"/>
      <c r="BG59" s="248"/>
      <c r="BH59" s="249">
        <v>38443</v>
      </c>
      <c r="BI59" s="262">
        <v>0.75</v>
      </c>
      <c r="BJ59" s="248"/>
      <c r="BK59" s="248"/>
      <c r="BL59" s="248"/>
      <c r="BM59" s="248"/>
      <c r="BN59" s="248"/>
      <c r="BO59"/>
      <c r="BP59"/>
      <c r="BQ59"/>
      <c r="BR59"/>
      <c r="BS59"/>
      <c r="BT59" s="248"/>
      <c r="BU59" s="248"/>
      <c r="BV59" s="248"/>
      <c r="BW59" s="248"/>
      <c r="BX59" s="248"/>
      <c r="BY59" s="248"/>
      <c r="BZ59" s="248"/>
      <c r="CA59" s="248"/>
      <c r="CB59" s="248"/>
      <c r="CC59" s="248"/>
      <c r="CD59" s="248"/>
      <c r="CE59" s="248"/>
      <c r="CF59" s="248"/>
      <c r="CG59" s="248"/>
    </row>
    <row r="60" spans="1:85" ht="12.75" x14ac:dyDescent="0.2">
      <c r="A60" s="29">
        <v>38657</v>
      </c>
      <c r="B60" s="243">
        <v>5.8796147414825015E-2</v>
      </c>
      <c r="D60" s="260">
        <v>37591</v>
      </c>
      <c r="E60" s="9">
        <v>35.304995727539065</v>
      </c>
      <c r="F60" s="9">
        <v>36.104995727539063</v>
      </c>
      <c r="G60" s="9">
        <v>36.90499572753906</v>
      </c>
      <c r="H60" s="8"/>
      <c r="I60" s="9">
        <v>17.110000610351563</v>
      </c>
      <c r="J60" s="9">
        <v>17.360000610351562</v>
      </c>
      <c r="K60" s="9">
        <v>18.110000610351563</v>
      </c>
      <c r="L60" s="7"/>
      <c r="M60" s="249">
        <v>38473</v>
      </c>
      <c r="N60" s="261">
        <v>28</v>
      </c>
      <c r="O60" s="261">
        <v>29.5</v>
      </c>
      <c r="P60" s="261">
        <v>31</v>
      </c>
      <c r="Q60" s="248"/>
      <c r="R60" s="261">
        <v>21.504999160766602</v>
      </c>
      <c r="S60" s="261">
        <v>23.004999160766602</v>
      </c>
      <c r="T60" s="261">
        <v>24.504999160766602</v>
      </c>
      <c r="U60" s="248"/>
      <c r="V60" s="261">
        <v>0</v>
      </c>
      <c r="W60" s="261">
        <v>0</v>
      </c>
      <c r="X60" s="261">
        <v>0</v>
      </c>
      <c r="Y60" s="248"/>
      <c r="Z60" s="261">
        <v>0.19275</v>
      </c>
      <c r="AA60" s="261">
        <v>0.25700000000000001</v>
      </c>
      <c r="AB60" s="261">
        <v>0.38550000000000001</v>
      </c>
      <c r="AC60" s="248"/>
      <c r="AD60" s="261">
        <v>0.11625000000000001</v>
      </c>
      <c r="AE60" s="261">
        <v>0.155</v>
      </c>
      <c r="AF60" s="261">
        <v>0.23250000000000001</v>
      </c>
      <c r="AG60" s="248"/>
      <c r="AH60" s="261">
        <v>-0.4</v>
      </c>
      <c r="AI60" s="261">
        <v>2.4300000000000002</v>
      </c>
      <c r="AJ60" s="261">
        <v>0.5</v>
      </c>
      <c r="AK60" s="248"/>
      <c r="AL60" s="261">
        <v>-0.1</v>
      </c>
      <c r="AM60" s="261">
        <v>1.05</v>
      </c>
      <c r="AN60" s="261">
        <v>0.1</v>
      </c>
      <c r="AO60" s="248"/>
      <c r="AP60" s="7">
        <v>18</v>
      </c>
      <c r="AQ60" s="9">
        <v>0.4</v>
      </c>
      <c r="AR60" s="248"/>
      <c r="AS60" s="248"/>
      <c r="AT60" s="248"/>
      <c r="AU60" s="248"/>
      <c r="AV60" s="248"/>
      <c r="AW60" s="248"/>
      <c r="AX60" s="248"/>
      <c r="AY60" s="248"/>
      <c r="AZ60" s="248"/>
      <c r="BA60" s="248"/>
      <c r="BB60" s="248"/>
      <c r="BC60" s="248"/>
      <c r="BD60" s="248"/>
      <c r="BE60" s="248"/>
      <c r="BF60" s="248"/>
      <c r="BG60" s="248"/>
      <c r="BH60" s="249">
        <v>38473</v>
      </c>
      <c r="BI60" s="262">
        <v>0.75</v>
      </c>
      <c r="BJ60" s="248"/>
      <c r="BK60" s="248"/>
      <c r="BL60" s="248"/>
      <c r="BM60" s="248"/>
      <c r="BN60" s="248"/>
      <c r="BO60"/>
      <c r="BP60"/>
      <c r="BQ60"/>
      <c r="BR60"/>
      <c r="BS60"/>
      <c r="BT60" s="248"/>
      <c r="BU60" s="248"/>
      <c r="BV60" s="248"/>
      <c r="BW60" s="248"/>
      <c r="BX60" s="248"/>
      <c r="BY60" s="248"/>
      <c r="BZ60" s="248"/>
      <c r="CA60" s="248"/>
      <c r="CB60" s="248"/>
      <c r="CC60" s="248"/>
      <c r="CD60" s="248"/>
      <c r="CE60" s="248"/>
      <c r="CF60" s="248"/>
      <c r="CG60" s="248"/>
    </row>
    <row r="61" spans="1:85" ht="12.75" x14ac:dyDescent="0.2">
      <c r="A61" s="29">
        <v>38687</v>
      </c>
      <c r="B61" s="243">
        <v>5.8883738810824003E-2</v>
      </c>
      <c r="D61" s="260">
        <v>37622</v>
      </c>
      <c r="E61" s="9">
        <v>39.937864685058592</v>
      </c>
      <c r="F61" s="9">
        <v>40.287864685058594</v>
      </c>
      <c r="G61" s="9">
        <v>40.637864685058595</v>
      </c>
      <c r="H61" s="8"/>
      <c r="I61" s="9">
        <v>20.5</v>
      </c>
      <c r="J61" s="9">
        <v>20.75</v>
      </c>
      <c r="K61" s="9">
        <v>21.5</v>
      </c>
      <c r="L61" s="7"/>
      <c r="M61" s="249">
        <v>38504</v>
      </c>
      <c r="N61" s="261">
        <v>35</v>
      </c>
      <c r="O61" s="261">
        <v>36.5</v>
      </c>
      <c r="P61" s="261">
        <v>38</v>
      </c>
      <c r="Q61" s="248"/>
      <c r="R61" s="261">
        <v>25.5</v>
      </c>
      <c r="S61" s="261">
        <v>27</v>
      </c>
      <c r="T61" s="261">
        <v>28.5</v>
      </c>
      <c r="U61" s="248"/>
      <c r="V61" s="261">
        <v>0</v>
      </c>
      <c r="W61" s="261">
        <v>0</v>
      </c>
      <c r="X61" s="261">
        <v>0</v>
      </c>
      <c r="Y61" s="248"/>
      <c r="Z61" s="261">
        <v>0.19537500000000002</v>
      </c>
      <c r="AA61" s="261">
        <v>0.26050000000000001</v>
      </c>
      <c r="AB61" s="261">
        <v>0.39075000000000004</v>
      </c>
      <c r="AC61" s="248"/>
      <c r="AD61" s="261">
        <v>0.13125000000000001</v>
      </c>
      <c r="AE61" s="261">
        <v>0.17499999999999999</v>
      </c>
      <c r="AF61" s="261">
        <v>0.26250000000000001</v>
      </c>
      <c r="AG61" s="248"/>
      <c r="AH61" s="261">
        <v>-0.4</v>
      </c>
      <c r="AI61" s="261">
        <v>3.4020000000000001</v>
      </c>
      <c r="AJ61" s="261">
        <v>0.5</v>
      </c>
      <c r="AK61" s="248"/>
      <c r="AL61" s="261">
        <v>-0.1</v>
      </c>
      <c r="AM61" s="261">
        <v>1.1499999999999999</v>
      </c>
      <c r="AN61" s="261">
        <v>0.1</v>
      </c>
      <c r="AO61" s="248"/>
      <c r="AP61" s="7">
        <v>18</v>
      </c>
      <c r="AQ61" s="9">
        <v>0.4</v>
      </c>
      <c r="AR61" s="248"/>
      <c r="AS61" s="248"/>
      <c r="AT61" s="248"/>
      <c r="AU61" s="248"/>
      <c r="AV61" s="248"/>
      <c r="AW61" s="248"/>
      <c r="AX61" s="248"/>
      <c r="AY61" s="248"/>
      <c r="AZ61" s="248"/>
      <c r="BA61" s="248"/>
      <c r="BB61" s="248"/>
      <c r="BC61" s="248"/>
      <c r="BD61" s="248"/>
      <c r="BE61" s="248"/>
      <c r="BF61" s="248"/>
      <c r="BG61" s="248"/>
      <c r="BH61" s="249">
        <v>38504</v>
      </c>
      <c r="BI61" s="262">
        <v>0.75</v>
      </c>
      <c r="BJ61" s="248"/>
      <c r="BK61" s="248"/>
      <c r="BL61" s="248"/>
      <c r="BM61" s="248"/>
      <c r="BN61" s="248"/>
      <c r="BO61"/>
      <c r="BP61"/>
      <c r="BQ61"/>
      <c r="BR61"/>
      <c r="BS61"/>
      <c r="BT61" s="248"/>
      <c r="BU61" s="248"/>
      <c r="BV61" s="248"/>
      <c r="BW61" s="248"/>
      <c r="BX61" s="248"/>
      <c r="BY61" s="248"/>
      <c r="BZ61" s="248"/>
      <c r="CA61" s="248"/>
      <c r="CB61" s="248"/>
      <c r="CC61" s="248"/>
      <c r="CD61" s="248"/>
      <c r="CE61" s="248"/>
      <c r="CF61" s="248"/>
      <c r="CG61" s="248"/>
    </row>
    <row r="62" spans="1:85" ht="12.75" x14ac:dyDescent="0.2">
      <c r="A62" s="29">
        <v>38718</v>
      </c>
      <c r="B62" s="243">
        <v>5.8968087742612009E-2</v>
      </c>
      <c r="D62" s="260">
        <v>37653</v>
      </c>
      <c r="E62" s="9">
        <v>39.337862396240233</v>
      </c>
      <c r="F62" s="9">
        <v>39.687862396240234</v>
      </c>
      <c r="G62" s="9">
        <v>40.037862396240236</v>
      </c>
      <c r="H62" s="8"/>
      <c r="I62" s="9">
        <v>19</v>
      </c>
      <c r="J62" s="9">
        <v>19.25</v>
      </c>
      <c r="K62" s="9">
        <v>20</v>
      </c>
      <c r="L62" s="7"/>
      <c r="M62" s="249">
        <v>38534</v>
      </c>
      <c r="N62" s="261">
        <v>41</v>
      </c>
      <c r="O62" s="261">
        <v>42.5</v>
      </c>
      <c r="P62" s="261">
        <v>44</v>
      </c>
      <c r="Q62" s="248"/>
      <c r="R62" s="261">
        <v>31.5</v>
      </c>
      <c r="S62" s="261">
        <v>33</v>
      </c>
      <c r="T62" s="261">
        <v>34.5</v>
      </c>
      <c r="U62" s="248"/>
      <c r="V62" s="261">
        <v>0</v>
      </c>
      <c r="W62" s="261">
        <v>0</v>
      </c>
      <c r="X62" s="261">
        <v>0</v>
      </c>
      <c r="Y62" s="248"/>
      <c r="Z62" s="261">
        <v>0.19537500000000002</v>
      </c>
      <c r="AA62" s="261">
        <v>0.26050000000000001</v>
      </c>
      <c r="AB62" s="261">
        <v>0.39075000000000004</v>
      </c>
      <c r="AC62" s="248"/>
      <c r="AD62" s="261">
        <v>0.16125</v>
      </c>
      <c r="AE62" s="261">
        <v>0.215</v>
      </c>
      <c r="AF62" s="261">
        <v>0.32250000000000001</v>
      </c>
      <c r="AG62" s="248"/>
      <c r="AH62" s="261">
        <v>-0.4</v>
      </c>
      <c r="AI62" s="261">
        <v>4.4820000000000011</v>
      </c>
      <c r="AJ62" s="261">
        <v>0.5</v>
      </c>
      <c r="AK62" s="248"/>
      <c r="AL62" s="261">
        <v>-0.1</v>
      </c>
      <c r="AM62" s="261">
        <v>1.1499999999999999</v>
      </c>
      <c r="AN62" s="261">
        <v>0.1</v>
      </c>
      <c r="AO62" s="248"/>
      <c r="AP62" s="7">
        <v>18</v>
      </c>
      <c r="AQ62" s="9">
        <v>0.4</v>
      </c>
      <c r="AR62" s="248"/>
      <c r="AS62" s="248"/>
      <c r="AT62" s="248"/>
      <c r="AU62" s="248"/>
      <c r="AV62" s="248"/>
      <c r="AW62" s="248"/>
      <c r="AX62" s="248"/>
      <c r="AY62" s="248"/>
      <c r="AZ62" s="248"/>
      <c r="BA62" s="248"/>
      <c r="BB62" s="248"/>
      <c r="BC62" s="248"/>
      <c r="BD62" s="248"/>
      <c r="BE62" s="248"/>
      <c r="BF62" s="248"/>
      <c r="BG62" s="248"/>
      <c r="BH62" s="249">
        <v>38534</v>
      </c>
      <c r="BI62" s="262">
        <v>0.75</v>
      </c>
      <c r="BJ62" s="248"/>
      <c r="BK62" s="248"/>
      <c r="BL62" s="248"/>
      <c r="BM62" s="248"/>
      <c r="BN62" s="248"/>
      <c r="BO62"/>
      <c r="BP62"/>
      <c r="BQ62"/>
      <c r="BR62"/>
      <c r="BS62"/>
      <c r="BT62" s="248"/>
      <c r="BU62" s="248"/>
      <c r="BV62" s="248"/>
      <c r="BW62" s="248"/>
      <c r="BX62" s="248"/>
      <c r="BY62" s="248"/>
      <c r="BZ62" s="248"/>
      <c r="CA62" s="248"/>
      <c r="CB62" s="248"/>
      <c r="CC62" s="248"/>
      <c r="CD62" s="248"/>
      <c r="CE62" s="248"/>
      <c r="CF62" s="248"/>
      <c r="CG62" s="248"/>
    </row>
    <row r="63" spans="1:85" ht="12.75" x14ac:dyDescent="0.2">
      <c r="A63" s="29">
        <v>38749</v>
      </c>
      <c r="B63" s="243">
        <v>5.9034232688957008E-2</v>
      </c>
      <c r="D63" s="260">
        <v>37681</v>
      </c>
      <c r="E63" s="9">
        <v>33.34854431152344</v>
      </c>
      <c r="F63" s="9">
        <v>33.898544311523438</v>
      </c>
      <c r="G63" s="9">
        <v>34.448544311523435</v>
      </c>
      <c r="H63" s="8"/>
      <c r="I63" s="9">
        <v>20</v>
      </c>
      <c r="J63" s="9">
        <v>20.25</v>
      </c>
      <c r="K63" s="9">
        <v>21</v>
      </c>
      <c r="L63" s="7"/>
      <c r="M63" s="249">
        <v>38565</v>
      </c>
      <c r="N63" s="261">
        <v>39.000003814697266</v>
      </c>
      <c r="O63" s="261">
        <v>40.500003814697266</v>
      </c>
      <c r="P63" s="261">
        <v>42.000003814697266</v>
      </c>
      <c r="Q63" s="248"/>
      <c r="R63" s="261">
        <v>31.5</v>
      </c>
      <c r="S63" s="261">
        <v>33</v>
      </c>
      <c r="T63" s="261">
        <v>34.5</v>
      </c>
      <c r="U63" s="248"/>
      <c r="V63" s="261">
        <v>0</v>
      </c>
      <c r="W63" s="261">
        <v>0</v>
      </c>
      <c r="X63" s="261">
        <v>0</v>
      </c>
      <c r="Y63" s="248"/>
      <c r="Z63" s="261">
        <v>0.19537500000000002</v>
      </c>
      <c r="AA63" s="261">
        <v>0.26050000000000001</v>
      </c>
      <c r="AB63" s="261">
        <v>0.39075000000000004</v>
      </c>
      <c r="AC63" s="248"/>
      <c r="AD63" s="261">
        <v>0.16125</v>
      </c>
      <c r="AE63" s="261">
        <v>0.215</v>
      </c>
      <c r="AF63" s="261">
        <v>0.32250000000000001</v>
      </c>
      <c r="AG63" s="248"/>
      <c r="AH63" s="261">
        <v>-0.5</v>
      </c>
      <c r="AI63" s="261">
        <v>4.4820000000000011</v>
      </c>
      <c r="AJ63" s="261">
        <v>1.75</v>
      </c>
      <c r="AK63" s="248"/>
      <c r="AL63" s="261">
        <v>-0.1</v>
      </c>
      <c r="AM63" s="261">
        <v>1.1499999999999999</v>
      </c>
      <c r="AN63" s="261">
        <v>0.1</v>
      </c>
      <c r="AO63" s="248"/>
      <c r="AP63" s="7">
        <v>19</v>
      </c>
      <c r="AQ63" s="9">
        <v>0.4</v>
      </c>
      <c r="AR63" s="248"/>
      <c r="AS63" s="248"/>
      <c r="AT63" s="248"/>
      <c r="AU63" s="248"/>
      <c r="AV63" s="248"/>
      <c r="AW63" s="248"/>
      <c r="AX63" s="248"/>
      <c r="AY63" s="248"/>
      <c r="AZ63" s="248"/>
      <c r="BA63" s="248"/>
      <c r="BB63" s="248"/>
      <c r="BC63" s="248"/>
      <c r="BD63" s="248"/>
      <c r="BE63" s="248"/>
      <c r="BF63" s="248"/>
      <c r="BG63" s="248"/>
      <c r="BH63" s="249">
        <v>38565</v>
      </c>
      <c r="BI63" s="262">
        <v>0.75</v>
      </c>
      <c r="BJ63" s="248"/>
      <c r="BK63" s="248"/>
      <c r="BL63" s="248"/>
      <c r="BM63" s="248"/>
      <c r="BN63" s="248"/>
      <c r="BO63"/>
      <c r="BP63"/>
      <c r="BQ63"/>
      <c r="BR63"/>
      <c r="BS63"/>
      <c r="BT63" s="248"/>
      <c r="BU63" s="248"/>
      <c r="BV63" s="248"/>
      <c r="BW63" s="248"/>
      <c r="BX63" s="248"/>
      <c r="BY63" s="248"/>
      <c r="BZ63" s="248"/>
      <c r="CA63" s="248"/>
      <c r="CB63" s="248"/>
      <c r="CC63" s="248"/>
      <c r="CD63" s="248"/>
      <c r="CE63" s="248"/>
      <c r="CF63" s="248"/>
      <c r="CG63" s="248"/>
    </row>
    <row r="64" spans="1:85" ht="12.75" x14ac:dyDescent="0.2">
      <c r="A64" s="29">
        <v>38777</v>
      </c>
      <c r="B64" s="243">
        <v>5.9107464595537014E-2</v>
      </c>
      <c r="D64" s="260">
        <v>37712</v>
      </c>
      <c r="E64" s="9">
        <v>33.048545074462893</v>
      </c>
      <c r="F64" s="9">
        <v>34.098545074462891</v>
      </c>
      <c r="G64" s="9">
        <v>35.148545074462888</v>
      </c>
      <c r="H64" s="8"/>
      <c r="I64" s="9">
        <v>18</v>
      </c>
      <c r="J64" s="9">
        <v>18.25</v>
      </c>
      <c r="K64" s="9">
        <v>19</v>
      </c>
      <c r="L64" s="7"/>
      <c r="M64" s="249">
        <v>38596</v>
      </c>
      <c r="N64" s="261">
        <v>31</v>
      </c>
      <c r="O64" s="261">
        <v>32.5</v>
      </c>
      <c r="P64" s="261">
        <v>34</v>
      </c>
      <c r="Q64" s="248"/>
      <c r="R64" s="261">
        <v>25.5</v>
      </c>
      <c r="S64" s="261">
        <v>27</v>
      </c>
      <c r="T64" s="261">
        <v>28.5</v>
      </c>
      <c r="U64" s="248"/>
      <c r="V64" s="261">
        <v>0</v>
      </c>
      <c r="W64" s="261">
        <v>0</v>
      </c>
      <c r="X64" s="261">
        <v>0</v>
      </c>
      <c r="Y64" s="248"/>
      <c r="Z64" s="261">
        <v>0.19275</v>
      </c>
      <c r="AA64" s="261">
        <v>0.25700000000000001</v>
      </c>
      <c r="AB64" s="261">
        <v>0.38550000000000001</v>
      </c>
      <c r="AC64" s="248"/>
      <c r="AD64" s="261">
        <v>0.10125000000000001</v>
      </c>
      <c r="AE64" s="261">
        <v>0.13500000000000001</v>
      </c>
      <c r="AF64" s="261">
        <v>0.20250000000000001</v>
      </c>
      <c r="AG64" s="248"/>
      <c r="AH64" s="261">
        <v>-1</v>
      </c>
      <c r="AI64" s="261">
        <v>2.4300000000000002</v>
      </c>
      <c r="AJ64" s="261">
        <v>2.5</v>
      </c>
      <c r="AK64" s="248"/>
      <c r="AL64" s="261">
        <v>-0.1</v>
      </c>
      <c r="AM64" s="261">
        <v>1.05</v>
      </c>
      <c r="AN64" s="261">
        <v>0.1</v>
      </c>
      <c r="AO64" s="248"/>
      <c r="AP64" s="7">
        <v>19</v>
      </c>
      <c r="AQ64" s="9">
        <v>0.4</v>
      </c>
      <c r="AR64" s="248"/>
      <c r="AS64" s="248"/>
      <c r="AT64" s="248"/>
      <c r="AU64" s="248"/>
      <c r="AV64" s="248"/>
      <c r="AW64" s="248"/>
      <c r="AX64" s="248"/>
      <c r="AY64" s="248"/>
      <c r="AZ64" s="248"/>
      <c r="BA64" s="248"/>
      <c r="BB64" s="248"/>
      <c r="BC64" s="248"/>
      <c r="BD64" s="248"/>
      <c r="BE64" s="248"/>
      <c r="BF64" s="248"/>
      <c r="BG64" s="248"/>
      <c r="BH64" s="249">
        <v>38596</v>
      </c>
      <c r="BI64" s="262">
        <v>0.75</v>
      </c>
      <c r="BJ64" s="248"/>
      <c r="BK64" s="248"/>
      <c r="BL64" s="248"/>
      <c r="BM64" s="248"/>
      <c r="BN64" s="248"/>
      <c r="BO64"/>
      <c r="BP64"/>
      <c r="BQ64"/>
      <c r="BR64"/>
      <c r="BS64"/>
      <c r="BT64" s="248"/>
      <c r="BU64" s="248"/>
      <c r="BV64" s="248"/>
      <c r="BW64" s="248"/>
      <c r="BX64" s="248"/>
      <c r="BY64" s="248"/>
      <c r="BZ64" s="248"/>
      <c r="CA64" s="248"/>
      <c r="CB64" s="248"/>
      <c r="CC64" s="248"/>
      <c r="CD64" s="248"/>
      <c r="CE64" s="248"/>
      <c r="CF64" s="248"/>
      <c r="CG64" s="248"/>
    </row>
    <row r="65" spans="1:85" ht="12.75" x14ac:dyDescent="0.2">
      <c r="A65" s="29">
        <v>38808</v>
      </c>
      <c r="B65" s="243">
        <v>5.9178334184247006E-2</v>
      </c>
      <c r="D65" s="260">
        <v>37742</v>
      </c>
      <c r="E65" s="9">
        <v>33.203566741943362</v>
      </c>
      <c r="F65" s="9">
        <v>35.003566741943359</v>
      </c>
      <c r="G65" s="9">
        <v>36.803566741943357</v>
      </c>
      <c r="H65" s="8"/>
      <c r="I65" s="9">
        <v>20</v>
      </c>
      <c r="J65" s="9">
        <v>20.25</v>
      </c>
      <c r="K65" s="9">
        <v>21</v>
      </c>
      <c r="L65" s="7"/>
      <c r="M65" s="249">
        <v>38626</v>
      </c>
      <c r="N65" s="261">
        <v>25.996000289916992</v>
      </c>
      <c r="O65" s="261">
        <v>27.496000289916992</v>
      </c>
      <c r="P65" s="261">
        <v>28.996000289916992</v>
      </c>
      <c r="Q65" s="248"/>
      <c r="R65" s="261">
        <v>20.496500015258789</v>
      </c>
      <c r="S65" s="261">
        <v>21.996500015258789</v>
      </c>
      <c r="T65" s="261">
        <v>23.496500015258789</v>
      </c>
      <c r="U65" s="248"/>
      <c r="V65" s="261">
        <v>0</v>
      </c>
      <c r="W65" s="261">
        <v>0</v>
      </c>
      <c r="X65" s="261">
        <v>0</v>
      </c>
      <c r="Y65" s="248"/>
      <c r="Z65" s="261">
        <v>0.18525</v>
      </c>
      <c r="AA65" s="261">
        <v>0.247</v>
      </c>
      <c r="AB65" s="261">
        <v>0.3705</v>
      </c>
      <c r="AC65" s="248"/>
      <c r="AD65" s="261">
        <v>7.8750000000000001E-2</v>
      </c>
      <c r="AE65" s="261">
        <v>0.105</v>
      </c>
      <c r="AF65" s="261">
        <v>0.1575</v>
      </c>
      <c r="AG65" s="248"/>
      <c r="AH65" s="261">
        <v>-1</v>
      </c>
      <c r="AI65" s="261">
        <v>2.16</v>
      </c>
      <c r="AJ65" s="261">
        <v>2.5</v>
      </c>
      <c r="AK65" s="248"/>
      <c r="AL65" s="261">
        <v>-0.1</v>
      </c>
      <c r="AM65" s="261">
        <v>1</v>
      </c>
      <c r="AN65" s="261">
        <v>0.1</v>
      </c>
      <c r="AO65" s="248"/>
      <c r="AP65" s="7">
        <v>19</v>
      </c>
      <c r="AQ65" s="9">
        <v>0.4</v>
      </c>
      <c r="AR65" s="248"/>
      <c r="AS65" s="248"/>
      <c r="AT65" s="248"/>
      <c r="AU65" s="248"/>
      <c r="AV65" s="248"/>
      <c r="AW65" s="248"/>
      <c r="AX65" s="248"/>
      <c r="AY65" s="248"/>
      <c r="AZ65" s="248"/>
      <c r="BA65" s="248"/>
      <c r="BB65" s="248"/>
      <c r="BC65" s="248"/>
      <c r="BD65" s="248"/>
      <c r="BE65" s="248"/>
      <c r="BF65" s="248"/>
      <c r="BG65" s="248"/>
      <c r="BH65" s="249">
        <v>38626</v>
      </c>
      <c r="BI65" s="262">
        <v>0.75</v>
      </c>
      <c r="BJ65" s="248"/>
      <c r="BK65" s="248"/>
      <c r="BL65" s="248"/>
      <c r="BM65" s="248"/>
      <c r="BN65" s="248"/>
      <c r="BO65"/>
      <c r="BP65"/>
      <c r="BQ65"/>
      <c r="BR65"/>
      <c r="BS65"/>
      <c r="BT65" s="248"/>
      <c r="BU65" s="248"/>
      <c r="BV65" s="248"/>
      <c r="BW65" s="248"/>
      <c r="BX65" s="248"/>
      <c r="BY65" s="248"/>
      <c r="BZ65" s="248"/>
      <c r="CA65" s="248"/>
      <c r="CB65" s="248"/>
      <c r="CC65" s="248"/>
      <c r="CD65" s="248"/>
      <c r="CE65" s="248"/>
      <c r="CF65" s="248"/>
      <c r="CG65" s="248"/>
    </row>
    <row r="66" spans="1:85" ht="12.75" x14ac:dyDescent="0.2">
      <c r="A66" s="29">
        <v>38838</v>
      </c>
      <c r="B66" s="243">
        <v>5.9251566094334011E-2</v>
      </c>
      <c r="D66" s="260">
        <v>37773</v>
      </c>
      <c r="E66" s="9">
        <v>47.747856140136719</v>
      </c>
      <c r="F66" s="9">
        <v>51.747856140136719</v>
      </c>
      <c r="G66" s="9">
        <v>55.747856140136719</v>
      </c>
      <c r="H66" s="8"/>
      <c r="I66" s="9">
        <v>23</v>
      </c>
      <c r="J66" s="9">
        <v>23.25</v>
      </c>
      <c r="K66" s="9">
        <v>24</v>
      </c>
      <c r="L66" s="7"/>
      <c r="M66" s="249">
        <v>38657</v>
      </c>
      <c r="N66" s="261">
        <v>28</v>
      </c>
      <c r="O66" s="261">
        <v>29.5</v>
      </c>
      <c r="P66" s="261">
        <v>31</v>
      </c>
      <c r="Q66" s="248"/>
      <c r="R66" s="261">
        <v>20.5</v>
      </c>
      <c r="S66" s="261">
        <v>22</v>
      </c>
      <c r="T66" s="261">
        <v>23.5</v>
      </c>
      <c r="U66" s="248"/>
      <c r="V66" s="261">
        <v>0</v>
      </c>
      <c r="W66" s="261">
        <v>0</v>
      </c>
      <c r="X66" s="261">
        <v>0</v>
      </c>
      <c r="Y66" s="248"/>
      <c r="Z66" s="261">
        <v>0.18525</v>
      </c>
      <c r="AA66" s="261">
        <v>0.247</v>
      </c>
      <c r="AB66" s="261">
        <v>0.3705</v>
      </c>
      <c r="AC66" s="248"/>
      <c r="AD66" s="261">
        <v>7.8750000000000001E-2</v>
      </c>
      <c r="AE66" s="261">
        <v>0.105</v>
      </c>
      <c r="AF66" s="261">
        <v>0.1575</v>
      </c>
      <c r="AG66" s="248"/>
      <c r="AH66" s="261">
        <v>-0.5</v>
      </c>
      <c r="AI66" s="261">
        <v>2.052</v>
      </c>
      <c r="AJ66" s="261">
        <v>1</v>
      </c>
      <c r="AK66" s="248"/>
      <c r="AL66" s="261">
        <v>-0.1</v>
      </c>
      <c r="AM66" s="261">
        <v>1</v>
      </c>
      <c r="AN66" s="261">
        <v>0.1</v>
      </c>
      <c r="AO66" s="248"/>
      <c r="AP66" s="7">
        <v>20</v>
      </c>
      <c r="AQ66" s="9">
        <v>0.4</v>
      </c>
      <c r="AR66" s="248"/>
      <c r="AS66" s="248"/>
      <c r="AT66" s="248"/>
      <c r="AU66" s="248"/>
      <c r="AV66" s="248"/>
      <c r="AW66" s="248"/>
      <c r="AX66" s="248"/>
      <c r="AY66" s="248"/>
      <c r="AZ66" s="248"/>
      <c r="BA66" s="248"/>
      <c r="BB66" s="248"/>
      <c r="BC66" s="248"/>
      <c r="BD66" s="248"/>
      <c r="BE66" s="248"/>
      <c r="BF66" s="248"/>
      <c r="BG66" s="248"/>
      <c r="BH66" s="249">
        <v>38657</v>
      </c>
      <c r="BI66" s="262">
        <v>0.75</v>
      </c>
      <c r="BJ66" s="248"/>
      <c r="BK66" s="248"/>
      <c r="BL66" s="248"/>
      <c r="BM66" s="248"/>
      <c r="BN66" s="248"/>
      <c r="BO66"/>
      <c r="BP66"/>
      <c r="BQ66"/>
      <c r="BR66"/>
      <c r="BS66"/>
      <c r="BT66" s="248"/>
      <c r="BU66" s="248"/>
      <c r="BV66" s="248"/>
      <c r="BW66" s="248"/>
      <c r="BX66" s="248"/>
      <c r="BY66" s="248"/>
      <c r="BZ66" s="248"/>
      <c r="CA66" s="248"/>
      <c r="CB66" s="248"/>
      <c r="CC66" s="248"/>
      <c r="CD66" s="248"/>
      <c r="CE66" s="248"/>
      <c r="CF66" s="248"/>
      <c r="CG66" s="248"/>
    </row>
    <row r="67" spans="1:85" ht="12.75" x14ac:dyDescent="0.2">
      <c r="A67" s="29">
        <v>38869</v>
      </c>
      <c r="B67" s="243">
        <v>5.932243568643801E-2</v>
      </c>
      <c r="D67" s="260">
        <v>37803</v>
      </c>
      <c r="E67" s="9">
        <v>70.997146606445312</v>
      </c>
      <c r="F67" s="9">
        <v>76.997146606445313</v>
      </c>
      <c r="G67" s="9">
        <v>82.997146606445312</v>
      </c>
      <c r="H67" s="8"/>
      <c r="I67" s="9">
        <v>23.5</v>
      </c>
      <c r="J67" s="9">
        <v>23.75</v>
      </c>
      <c r="K67" s="9">
        <v>24.5</v>
      </c>
      <c r="L67" s="7"/>
      <c r="M67" s="249">
        <v>38687</v>
      </c>
      <c r="N67" s="261">
        <v>33</v>
      </c>
      <c r="O67" s="261">
        <v>34.5</v>
      </c>
      <c r="P67" s="261">
        <v>36</v>
      </c>
      <c r="Q67" s="248"/>
      <c r="R67" s="261">
        <v>27.5</v>
      </c>
      <c r="S67" s="261">
        <v>29</v>
      </c>
      <c r="T67" s="261">
        <v>30.5</v>
      </c>
      <c r="U67" s="248"/>
      <c r="V67" s="261">
        <v>0</v>
      </c>
      <c r="W67" s="261">
        <v>0</v>
      </c>
      <c r="X67" s="261">
        <v>0</v>
      </c>
      <c r="Y67" s="248"/>
      <c r="Z67" s="261">
        <v>0.18525</v>
      </c>
      <c r="AA67" s="261">
        <v>0.247</v>
      </c>
      <c r="AB67" s="261">
        <v>0.3705</v>
      </c>
      <c r="AC67" s="248"/>
      <c r="AD67" s="261">
        <v>0.10875</v>
      </c>
      <c r="AE67" s="261">
        <v>0.14499999999999999</v>
      </c>
      <c r="AF67" s="261">
        <v>0.2175</v>
      </c>
      <c r="AG67" s="248"/>
      <c r="AH67" s="261">
        <v>-0.4</v>
      </c>
      <c r="AI67" s="261">
        <v>1.89</v>
      </c>
      <c r="AJ67" s="261">
        <v>0.5</v>
      </c>
      <c r="AK67" s="248"/>
      <c r="AL67" s="261">
        <v>-0.1</v>
      </c>
      <c r="AM67" s="261">
        <v>1</v>
      </c>
      <c r="AN67" s="261">
        <v>0.1</v>
      </c>
      <c r="AO67" s="248"/>
      <c r="AP67" s="7">
        <v>20</v>
      </c>
      <c r="AQ67" s="9">
        <v>0.4</v>
      </c>
      <c r="AR67" s="248"/>
      <c r="AS67" s="248"/>
      <c r="AT67" s="248"/>
      <c r="AU67" s="248"/>
      <c r="AV67" s="248"/>
      <c r="AW67" s="248"/>
      <c r="AX67" s="248"/>
      <c r="AY67" s="248"/>
      <c r="AZ67" s="248"/>
      <c r="BA67" s="248"/>
      <c r="BB67" s="248"/>
      <c r="BC67" s="248"/>
      <c r="BD67" s="248"/>
      <c r="BE67" s="248"/>
      <c r="BF67" s="248"/>
      <c r="BG67" s="248"/>
      <c r="BH67" s="249">
        <v>38687</v>
      </c>
      <c r="BI67" s="262">
        <v>0.75</v>
      </c>
      <c r="BJ67" s="248"/>
      <c r="BK67" s="248"/>
      <c r="BL67" s="248"/>
      <c r="BM67" s="248"/>
      <c r="BN67" s="248"/>
      <c r="BO67"/>
      <c r="BP67"/>
      <c r="BQ67"/>
      <c r="BR67"/>
      <c r="BS67"/>
      <c r="BT67" s="248"/>
      <c r="BU67" s="248"/>
      <c r="BV67" s="248"/>
      <c r="BW67" s="248"/>
      <c r="BX67" s="248"/>
      <c r="BY67" s="248"/>
      <c r="BZ67" s="248"/>
      <c r="CA67" s="248"/>
      <c r="CB67" s="248"/>
      <c r="CC67" s="248"/>
      <c r="CD67" s="248"/>
      <c r="CE67" s="248"/>
      <c r="CF67" s="248"/>
      <c r="CG67" s="248"/>
    </row>
    <row r="68" spans="1:85" ht="12.75" x14ac:dyDescent="0.2">
      <c r="A68" s="29">
        <v>38899</v>
      </c>
      <c r="B68" s="243">
        <v>5.9395667600034008E-2</v>
      </c>
      <c r="D68" s="260">
        <v>37834</v>
      </c>
      <c r="E68" s="9">
        <v>70.997146606445312</v>
      </c>
      <c r="F68" s="9">
        <v>76.997146606445313</v>
      </c>
      <c r="G68" s="9">
        <v>82.997146606445312</v>
      </c>
      <c r="H68" s="8"/>
      <c r="I68" s="9">
        <v>24.5</v>
      </c>
      <c r="J68" s="9">
        <v>24.75</v>
      </c>
      <c r="K68" s="9">
        <v>25.5</v>
      </c>
      <c r="L68" s="7"/>
      <c r="M68" s="249">
        <v>38718</v>
      </c>
      <c r="N68" s="261">
        <v>35.5</v>
      </c>
      <c r="O68" s="261">
        <v>37</v>
      </c>
      <c r="P68" s="261">
        <v>38.5</v>
      </c>
      <c r="Q68" s="248"/>
      <c r="R68" s="261">
        <v>25</v>
      </c>
      <c r="S68" s="261">
        <v>26.5</v>
      </c>
      <c r="T68" s="261">
        <v>28</v>
      </c>
      <c r="U68" s="248"/>
      <c r="V68" s="261">
        <v>0</v>
      </c>
      <c r="W68" s="261">
        <v>0</v>
      </c>
      <c r="X68" s="261">
        <v>0</v>
      </c>
      <c r="Y68" s="248"/>
      <c r="Z68" s="261">
        <v>0.18862499999999999</v>
      </c>
      <c r="AA68" s="261">
        <v>0.2515</v>
      </c>
      <c r="AB68" s="261">
        <v>0.37724999999999997</v>
      </c>
      <c r="AC68" s="248"/>
      <c r="AD68" s="261">
        <v>0.10125000000000001</v>
      </c>
      <c r="AE68" s="261">
        <v>0.13500000000000001</v>
      </c>
      <c r="AF68" s="261">
        <v>0.20250000000000001</v>
      </c>
      <c r="AG68" s="248"/>
      <c r="AH68" s="261">
        <v>-0.4</v>
      </c>
      <c r="AI68" s="261">
        <v>2.3220000000000001</v>
      </c>
      <c r="AJ68" s="261">
        <v>0.5</v>
      </c>
      <c r="AK68" s="248"/>
      <c r="AL68" s="261">
        <v>-0.1</v>
      </c>
      <c r="AM68" s="261">
        <v>1</v>
      </c>
      <c r="AN68" s="261">
        <v>0.1</v>
      </c>
      <c r="AO68" s="248"/>
      <c r="AP68" s="7">
        <v>20</v>
      </c>
      <c r="AQ68" s="9">
        <v>0.4</v>
      </c>
      <c r="AR68" s="248"/>
      <c r="AS68" s="248"/>
      <c r="AT68" s="248"/>
      <c r="AU68" s="248"/>
      <c r="AV68" s="248"/>
      <c r="AW68" s="248"/>
      <c r="AX68" s="248"/>
      <c r="AY68" s="248"/>
      <c r="AZ68" s="248"/>
      <c r="BA68" s="248"/>
      <c r="BB68" s="248"/>
      <c r="BC68" s="248"/>
      <c r="BD68" s="248"/>
      <c r="BE68" s="248"/>
      <c r="BF68" s="248"/>
      <c r="BG68" s="248"/>
      <c r="BH68" s="249">
        <v>38718</v>
      </c>
      <c r="BI68" s="262">
        <v>0.75</v>
      </c>
      <c r="BJ68" s="248"/>
      <c r="BK68" s="248"/>
      <c r="BL68" s="248"/>
      <c r="BM68" s="248"/>
      <c r="BN68" s="248"/>
      <c r="BO68"/>
      <c r="BP68"/>
      <c r="BQ68"/>
      <c r="BR68"/>
      <c r="BS68"/>
      <c r="BT68" s="248"/>
      <c r="BU68" s="248"/>
      <c r="BV68" s="248"/>
      <c r="BW68" s="248"/>
      <c r="BX68" s="248"/>
      <c r="BY68" s="248"/>
      <c r="BZ68" s="248"/>
      <c r="CA68" s="248"/>
      <c r="CB68" s="248"/>
      <c r="CC68" s="248"/>
      <c r="CD68" s="248"/>
      <c r="CE68" s="248"/>
      <c r="CF68" s="248"/>
      <c r="CG68" s="248"/>
    </row>
    <row r="69" spans="1:85" ht="12.75" x14ac:dyDescent="0.2">
      <c r="A69" s="29">
        <v>38930</v>
      </c>
      <c r="B69" s="243">
        <v>5.9468899515411018E-2</v>
      </c>
      <c r="D69" s="260">
        <v>37865</v>
      </c>
      <c r="E69" s="9">
        <v>31.90214385986328</v>
      </c>
      <c r="F69" s="9">
        <v>34.502143859863281</v>
      </c>
      <c r="G69" s="9">
        <v>37.102143859863283</v>
      </c>
      <c r="H69" s="8"/>
      <c r="I69" s="9">
        <v>17.5</v>
      </c>
      <c r="J69" s="9">
        <v>17.75</v>
      </c>
      <c r="K69" s="9">
        <v>18.5</v>
      </c>
      <c r="L69" s="7"/>
      <c r="M69" s="249">
        <v>38749</v>
      </c>
      <c r="N69" s="261">
        <v>30.996002197265625</v>
      </c>
      <c r="O69" s="261">
        <v>32.496002197265625</v>
      </c>
      <c r="P69" s="261">
        <v>33.996002197265625</v>
      </c>
      <c r="Q69" s="248"/>
      <c r="R69" s="261">
        <v>22.496501922607422</v>
      </c>
      <c r="S69" s="261">
        <v>23.996501922607422</v>
      </c>
      <c r="T69" s="261">
        <v>25.496501922607422</v>
      </c>
      <c r="U69" s="248"/>
      <c r="V69" s="261">
        <v>0</v>
      </c>
      <c r="W69" s="261">
        <v>0</v>
      </c>
      <c r="X69" s="261">
        <v>0</v>
      </c>
      <c r="Y69" s="248"/>
      <c r="Z69" s="261">
        <v>0.18862499999999999</v>
      </c>
      <c r="AA69" s="261">
        <v>0.2515</v>
      </c>
      <c r="AB69" s="261">
        <v>0.37724999999999997</v>
      </c>
      <c r="AC69" s="248"/>
      <c r="AD69" s="261">
        <v>0.10125000000000001</v>
      </c>
      <c r="AE69" s="261">
        <v>0.13500000000000001</v>
      </c>
      <c r="AF69" s="261">
        <v>0.20250000000000001</v>
      </c>
      <c r="AG69" s="248"/>
      <c r="AH69" s="261">
        <v>-0.4</v>
      </c>
      <c r="AI69" s="261">
        <v>2.3220000000000001</v>
      </c>
      <c r="AJ69" s="261">
        <v>0.6</v>
      </c>
      <c r="AK69" s="248"/>
      <c r="AL69" s="261">
        <v>-0.1</v>
      </c>
      <c r="AM69" s="261">
        <v>1</v>
      </c>
      <c r="AN69" s="261">
        <v>0.1</v>
      </c>
      <c r="AO69" s="248"/>
      <c r="AP69" s="7">
        <v>21</v>
      </c>
      <c r="AQ69" s="9">
        <v>0.4</v>
      </c>
      <c r="AR69" s="248"/>
      <c r="AS69" s="248"/>
      <c r="AT69" s="248"/>
      <c r="AU69" s="248"/>
      <c r="AV69" s="248"/>
      <c r="AW69" s="248"/>
      <c r="AX69" s="248"/>
      <c r="AY69" s="248"/>
      <c r="AZ69" s="248"/>
      <c r="BA69" s="248"/>
      <c r="BB69" s="248"/>
      <c r="BC69" s="248"/>
      <c r="BD69" s="248"/>
      <c r="BE69" s="248"/>
      <c r="BF69" s="248"/>
      <c r="BG69" s="248"/>
      <c r="BH69" s="249">
        <v>38749</v>
      </c>
      <c r="BI69" s="262">
        <v>0.75</v>
      </c>
      <c r="BJ69" s="248"/>
      <c r="BK69" s="248"/>
      <c r="BL69" s="248"/>
      <c r="BM69" s="248"/>
      <c r="BN69" s="248"/>
      <c r="BO69"/>
      <c r="BP69"/>
      <c r="BQ69"/>
      <c r="BR69"/>
      <c r="BS69"/>
      <c r="BT69" s="248"/>
      <c r="BU69" s="248"/>
      <c r="BV69" s="248"/>
      <c r="BW69" s="248"/>
      <c r="BX69" s="248"/>
      <c r="BY69" s="248"/>
      <c r="BZ69" s="248"/>
      <c r="CA69" s="248"/>
      <c r="CB69" s="248"/>
      <c r="CC69" s="248"/>
      <c r="CD69" s="248"/>
      <c r="CE69" s="248"/>
      <c r="CF69" s="248"/>
      <c r="CG69" s="248"/>
    </row>
    <row r="70" spans="1:85" ht="12.75" x14ac:dyDescent="0.2">
      <c r="A70" s="29">
        <v>38961</v>
      </c>
      <c r="B70" s="243">
        <v>5.9539769112634006E-2</v>
      </c>
      <c r="D70" s="260">
        <v>37895</v>
      </c>
      <c r="E70" s="9">
        <v>31.79893341064453</v>
      </c>
      <c r="F70" s="9">
        <v>32.648933410644531</v>
      </c>
      <c r="G70" s="9">
        <v>33.498933410644533</v>
      </c>
      <c r="H70" s="8"/>
      <c r="I70" s="9">
        <v>15.000001907348633</v>
      </c>
      <c r="J70" s="9">
        <v>15.250001907348633</v>
      </c>
      <c r="K70" s="9">
        <v>16.000001907348633</v>
      </c>
      <c r="L70" s="7"/>
      <c r="M70" s="249">
        <v>38777</v>
      </c>
      <c r="N70" s="261">
        <v>26</v>
      </c>
      <c r="O70" s="261">
        <v>27.5</v>
      </c>
      <c r="P70" s="261">
        <v>29</v>
      </c>
      <c r="Q70" s="248"/>
      <c r="R70" s="261">
        <v>20.5</v>
      </c>
      <c r="S70" s="261">
        <v>22</v>
      </c>
      <c r="T70" s="261">
        <v>23.5</v>
      </c>
      <c r="U70" s="248"/>
      <c r="V70" s="261">
        <v>0</v>
      </c>
      <c r="W70" s="261">
        <v>0</v>
      </c>
      <c r="X70" s="261">
        <v>0</v>
      </c>
      <c r="Y70" s="248"/>
      <c r="Z70" s="261">
        <v>0.18112500000000001</v>
      </c>
      <c r="AA70" s="261">
        <v>0.24150000000000002</v>
      </c>
      <c r="AB70" s="261">
        <v>0.36225000000000002</v>
      </c>
      <c r="AC70" s="248"/>
      <c r="AD70" s="261">
        <v>0.09</v>
      </c>
      <c r="AE70" s="261">
        <v>0.12</v>
      </c>
      <c r="AF70" s="261">
        <v>0.18</v>
      </c>
      <c r="AG70" s="248"/>
      <c r="AH70" s="261">
        <v>-0.5</v>
      </c>
      <c r="AI70" s="261">
        <v>2.052</v>
      </c>
      <c r="AJ70" s="261">
        <v>1</v>
      </c>
      <c r="AK70" s="248"/>
      <c r="AL70" s="261">
        <v>-0.1</v>
      </c>
      <c r="AM70" s="261">
        <v>1</v>
      </c>
      <c r="AN70" s="261">
        <v>0.1</v>
      </c>
      <c r="AO70" s="248"/>
      <c r="AP70" s="7">
        <v>21</v>
      </c>
      <c r="AQ70" s="9">
        <v>0.4</v>
      </c>
      <c r="AR70" s="248"/>
      <c r="AS70" s="248"/>
      <c r="AT70" s="248"/>
      <c r="AU70" s="248"/>
      <c r="AV70" s="248"/>
      <c r="AW70" s="248"/>
      <c r="AX70" s="248"/>
      <c r="AY70" s="248"/>
      <c r="AZ70" s="248"/>
      <c r="BA70" s="248"/>
      <c r="BB70" s="248"/>
      <c r="BC70" s="248"/>
      <c r="BD70" s="248"/>
      <c r="BE70" s="248"/>
      <c r="BF70" s="248"/>
      <c r="BG70" s="248"/>
      <c r="BH70" s="249">
        <v>38777</v>
      </c>
      <c r="BI70" s="262">
        <v>0.75</v>
      </c>
      <c r="BJ70" s="248"/>
      <c r="BK70" s="248"/>
      <c r="BL70" s="248"/>
      <c r="BM70" s="248"/>
      <c r="BN70" s="248"/>
      <c r="BO70"/>
      <c r="BP70"/>
      <c r="BQ70"/>
      <c r="BR70"/>
      <c r="BS70"/>
      <c r="BT70" s="248"/>
      <c r="BU70" s="248"/>
      <c r="BV70" s="248"/>
      <c r="BW70" s="248"/>
      <c r="BX70" s="248"/>
      <c r="BY70" s="248"/>
      <c r="BZ70" s="248"/>
      <c r="CA70" s="248"/>
      <c r="CB70" s="248"/>
      <c r="CC70" s="248"/>
      <c r="CD70" s="248"/>
      <c r="CE70" s="248"/>
      <c r="CF70" s="248"/>
      <c r="CG70" s="248"/>
    </row>
    <row r="71" spans="1:85" ht="12.75" x14ac:dyDescent="0.2">
      <c r="A71" s="29">
        <v>38991</v>
      </c>
      <c r="B71" s="243">
        <v>5.9613001031519015E-2</v>
      </c>
      <c r="D71" s="260">
        <v>37926</v>
      </c>
      <c r="E71" s="9">
        <v>31.898931884765624</v>
      </c>
      <c r="F71" s="9">
        <v>32.748931884765625</v>
      </c>
      <c r="G71" s="9">
        <v>33.598931884765626</v>
      </c>
      <c r="H71" s="8"/>
      <c r="I71" s="9">
        <v>17</v>
      </c>
      <c r="J71" s="9">
        <v>17.25</v>
      </c>
      <c r="K71" s="9">
        <v>18</v>
      </c>
      <c r="L71" s="7"/>
      <c r="M71" s="249">
        <v>38808</v>
      </c>
      <c r="N71" s="261">
        <v>26</v>
      </c>
      <c r="O71" s="261">
        <v>27.5</v>
      </c>
      <c r="P71" s="261">
        <v>29</v>
      </c>
      <c r="Q71" s="248"/>
      <c r="R71" s="261">
        <v>20.495000839233398</v>
      </c>
      <c r="S71" s="261">
        <v>21.995000839233398</v>
      </c>
      <c r="T71" s="261">
        <v>23.495000839233398</v>
      </c>
      <c r="U71" s="248"/>
      <c r="V71" s="261">
        <v>0</v>
      </c>
      <c r="W71" s="261">
        <v>0</v>
      </c>
      <c r="X71" s="261">
        <v>0</v>
      </c>
      <c r="Y71" s="248"/>
      <c r="Z71" s="261">
        <v>0.18112500000000001</v>
      </c>
      <c r="AA71" s="261">
        <v>0.24150000000000002</v>
      </c>
      <c r="AB71" s="261">
        <v>0.36225000000000002</v>
      </c>
      <c r="AC71" s="248"/>
      <c r="AD71" s="261">
        <v>0.09</v>
      </c>
      <c r="AE71" s="261">
        <v>0.12</v>
      </c>
      <c r="AF71" s="261">
        <v>0.18</v>
      </c>
      <c r="AG71" s="248"/>
      <c r="AH71" s="261">
        <v>-0.5</v>
      </c>
      <c r="AI71" s="261">
        <v>1.9980000000000004</v>
      </c>
      <c r="AJ71" s="261">
        <v>1</v>
      </c>
      <c r="AK71" s="248"/>
      <c r="AL71" s="261">
        <v>-0.1</v>
      </c>
      <c r="AM71" s="261">
        <v>1</v>
      </c>
      <c r="AN71" s="261">
        <v>0.1</v>
      </c>
      <c r="AO71" s="248"/>
      <c r="AP71" s="7">
        <v>21</v>
      </c>
      <c r="AQ71" s="9">
        <v>0.4</v>
      </c>
      <c r="AR71" s="248"/>
      <c r="AS71" s="248"/>
      <c r="AT71" s="248"/>
      <c r="AU71" s="248"/>
      <c r="AV71" s="248"/>
      <c r="AW71" s="248"/>
      <c r="AX71" s="248"/>
      <c r="AY71" s="248"/>
      <c r="AZ71" s="248"/>
      <c r="BA71" s="248"/>
      <c r="BB71" s="248"/>
      <c r="BC71" s="248"/>
      <c r="BD71" s="248"/>
      <c r="BE71" s="248"/>
      <c r="BF71" s="248"/>
      <c r="BG71" s="248"/>
      <c r="BH71" s="249">
        <v>38808</v>
      </c>
      <c r="BI71" s="262">
        <v>0.75</v>
      </c>
      <c r="BJ71" s="248"/>
      <c r="BK71" s="248"/>
      <c r="BL71" s="248"/>
      <c r="BM71" s="248"/>
      <c r="BN71" s="248"/>
      <c r="BO71"/>
      <c r="BP71"/>
      <c r="BQ71"/>
      <c r="BR71"/>
      <c r="BS71"/>
      <c r="BT71" s="248"/>
      <c r="BU71" s="248"/>
      <c r="BV71" s="248"/>
      <c r="BW71" s="248"/>
      <c r="BX71" s="248"/>
      <c r="BY71" s="248"/>
      <c r="BZ71" s="248"/>
      <c r="CA71" s="248"/>
      <c r="CB71" s="248"/>
      <c r="CC71" s="248"/>
      <c r="CD71" s="248"/>
      <c r="CE71" s="248"/>
      <c r="CF71" s="248"/>
      <c r="CG71" s="248"/>
    </row>
    <row r="72" spans="1:85" ht="12.75" x14ac:dyDescent="0.2">
      <c r="A72" s="29">
        <v>39022</v>
      </c>
      <c r="B72" s="243">
        <v>5.9683870632136003E-2</v>
      </c>
      <c r="D72" s="260">
        <v>37956</v>
      </c>
      <c r="E72" s="9">
        <v>31.998930358886717</v>
      </c>
      <c r="F72" s="9">
        <v>32.848930358886719</v>
      </c>
      <c r="G72" s="9">
        <v>33.69893035888672</v>
      </c>
      <c r="H72" s="8"/>
      <c r="I72" s="9">
        <v>16.110000610351563</v>
      </c>
      <c r="J72" s="9">
        <v>16.360000610351562</v>
      </c>
      <c r="K72" s="9">
        <v>17.110000610351563</v>
      </c>
      <c r="L72" s="7"/>
      <c r="M72" s="249">
        <v>38838</v>
      </c>
      <c r="N72" s="261">
        <v>28</v>
      </c>
      <c r="O72" s="261">
        <v>29.5</v>
      </c>
      <c r="P72" s="261">
        <v>31</v>
      </c>
      <c r="Q72" s="248"/>
      <c r="R72" s="261">
        <v>21.504999160766602</v>
      </c>
      <c r="S72" s="261">
        <v>23.004999160766602</v>
      </c>
      <c r="T72" s="261">
        <v>24.504999160766602</v>
      </c>
      <c r="U72" s="248"/>
      <c r="V72" s="261">
        <v>0</v>
      </c>
      <c r="W72" s="261">
        <v>0</v>
      </c>
      <c r="X72" s="261">
        <v>0</v>
      </c>
      <c r="Y72" s="248"/>
      <c r="Z72" s="261">
        <v>0.18862499999999999</v>
      </c>
      <c r="AA72" s="261">
        <v>0.2515</v>
      </c>
      <c r="AB72" s="261">
        <v>0.37724999999999997</v>
      </c>
      <c r="AC72" s="248"/>
      <c r="AD72" s="261">
        <v>0.11625000000000001</v>
      </c>
      <c r="AE72" s="261">
        <v>0.155</v>
      </c>
      <c r="AF72" s="261">
        <v>0.23250000000000001</v>
      </c>
      <c r="AG72" s="248"/>
      <c r="AH72" s="261">
        <v>-0.4</v>
      </c>
      <c r="AI72" s="261">
        <v>2.15</v>
      </c>
      <c r="AJ72" s="261">
        <v>0.5</v>
      </c>
      <c r="AK72" s="248"/>
      <c r="AL72" s="261">
        <v>-0.1</v>
      </c>
      <c r="AM72" s="261">
        <v>1.05</v>
      </c>
      <c r="AN72" s="261">
        <v>0.1</v>
      </c>
      <c r="AO72" s="248"/>
      <c r="AP72" s="7">
        <v>22</v>
      </c>
      <c r="AQ72" s="9">
        <v>0.4</v>
      </c>
      <c r="AR72" s="248"/>
      <c r="AS72" s="248"/>
      <c r="AT72" s="248"/>
      <c r="AU72" s="248"/>
      <c r="AV72" s="248"/>
      <c r="AW72" s="248"/>
      <c r="AX72" s="248"/>
      <c r="AY72" s="248"/>
      <c r="AZ72" s="248"/>
      <c r="BA72" s="248"/>
      <c r="BB72" s="248"/>
      <c r="BC72" s="248"/>
      <c r="BD72" s="248"/>
      <c r="BE72" s="248"/>
      <c r="BF72" s="248"/>
      <c r="BG72" s="248"/>
      <c r="BH72" s="249">
        <v>38838</v>
      </c>
      <c r="BI72" s="262">
        <v>0.75</v>
      </c>
      <c r="BJ72" s="248"/>
      <c r="BK72" s="248"/>
      <c r="BL72" s="248"/>
      <c r="BM72" s="248"/>
      <c r="BN72" s="248"/>
      <c r="BO72"/>
      <c r="BP72"/>
      <c r="BQ72"/>
      <c r="BR72"/>
      <c r="BS72"/>
      <c r="BT72" s="248"/>
      <c r="BU72" s="248"/>
      <c r="BV72" s="248"/>
      <c r="BW72" s="248"/>
      <c r="BX72" s="248"/>
      <c r="BY72" s="248"/>
      <c r="BZ72" s="248"/>
      <c r="CA72" s="248"/>
      <c r="CB72" s="248"/>
      <c r="CC72" s="248"/>
      <c r="CD72" s="248"/>
      <c r="CE72" s="248"/>
      <c r="CF72" s="248"/>
      <c r="CG72" s="248"/>
    </row>
    <row r="73" spans="1:85" ht="12.75" x14ac:dyDescent="0.2">
      <c r="A73" s="29">
        <v>39052</v>
      </c>
      <c r="B73" s="243">
        <v>5.9757102554528006E-2</v>
      </c>
      <c r="D73" s="260">
        <v>37987</v>
      </c>
      <c r="E73" s="9">
        <v>41.887864685058595</v>
      </c>
      <c r="F73" s="9">
        <v>42.287864685058594</v>
      </c>
      <c r="G73" s="9">
        <v>42.687864685058592</v>
      </c>
      <c r="H73" s="8"/>
      <c r="I73" s="9">
        <v>20.25</v>
      </c>
      <c r="J73" s="9">
        <v>20.5</v>
      </c>
      <c r="K73" s="9">
        <v>21.25</v>
      </c>
      <c r="L73" s="7"/>
      <c r="M73" s="249">
        <v>38869</v>
      </c>
      <c r="N73" s="261">
        <v>35</v>
      </c>
      <c r="O73" s="261">
        <v>36.5</v>
      </c>
      <c r="P73" s="261">
        <v>38</v>
      </c>
      <c r="Q73" s="248"/>
      <c r="R73" s="261">
        <v>25.5</v>
      </c>
      <c r="S73" s="261">
        <v>27</v>
      </c>
      <c r="T73" s="261">
        <v>28.5</v>
      </c>
      <c r="U73" s="248"/>
      <c r="V73" s="261">
        <v>0</v>
      </c>
      <c r="W73" s="261">
        <v>0</v>
      </c>
      <c r="X73" s="261">
        <v>0</v>
      </c>
      <c r="Y73" s="248"/>
      <c r="Z73" s="261">
        <v>0.18937499999999999</v>
      </c>
      <c r="AA73" s="261">
        <v>0.2525</v>
      </c>
      <c r="AB73" s="261">
        <v>0.37874999999999998</v>
      </c>
      <c r="AC73" s="248"/>
      <c r="AD73" s="261">
        <v>0.13125000000000001</v>
      </c>
      <c r="AE73" s="261">
        <v>0.17499999999999999</v>
      </c>
      <c r="AF73" s="261">
        <v>0.26250000000000001</v>
      </c>
      <c r="AG73" s="248"/>
      <c r="AH73" s="261">
        <v>-0.4</v>
      </c>
      <c r="AI73" s="261">
        <v>3</v>
      </c>
      <c r="AJ73" s="261">
        <v>0.5</v>
      </c>
      <c r="AK73" s="248"/>
      <c r="AL73" s="261">
        <v>-0.1</v>
      </c>
      <c r="AM73" s="261">
        <v>1.1499999999999999</v>
      </c>
      <c r="AN73" s="261">
        <v>0.1</v>
      </c>
      <c r="AO73" s="248"/>
      <c r="AP73" s="7">
        <v>22</v>
      </c>
      <c r="AQ73" s="9">
        <v>0.4</v>
      </c>
      <c r="AR73" s="248"/>
      <c r="AS73" s="248"/>
      <c r="AT73" s="248"/>
      <c r="AU73" s="248"/>
      <c r="AV73" s="248"/>
      <c r="AW73" s="248"/>
      <c r="AX73" s="248"/>
      <c r="AY73" s="248"/>
      <c r="AZ73" s="248"/>
      <c r="BA73" s="248"/>
      <c r="BB73" s="248"/>
      <c r="BC73" s="248"/>
      <c r="BD73" s="248"/>
      <c r="BE73" s="248"/>
      <c r="BF73" s="248"/>
      <c r="BG73" s="248"/>
      <c r="BH73" s="249">
        <v>38869</v>
      </c>
      <c r="BI73" s="262">
        <v>0.75</v>
      </c>
      <c r="BJ73" s="248"/>
      <c r="BK73" s="248"/>
      <c r="BL73" s="248"/>
      <c r="BM73" s="248"/>
      <c r="BN73" s="248"/>
      <c r="BO73"/>
      <c r="BP73"/>
      <c r="BQ73"/>
      <c r="BR73"/>
      <c r="BS73"/>
      <c r="BT73" s="248"/>
      <c r="BU73" s="248"/>
      <c r="BV73" s="248"/>
      <c r="BW73" s="248"/>
      <c r="BX73" s="248"/>
      <c r="BY73" s="248"/>
      <c r="BZ73" s="248"/>
      <c r="CA73" s="248"/>
      <c r="CB73" s="248"/>
      <c r="CC73" s="248"/>
      <c r="CD73" s="248"/>
      <c r="CE73" s="248"/>
      <c r="CF73" s="248"/>
      <c r="CG73" s="248"/>
    </row>
    <row r="74" spans="1:85" ht="12.75" x14ac:dyDescent="0.2">
      <c r="A74" s="29">
        <v>39083</v>
      </c>
      <c r="B74" s="243">
        <v>5.9830334478701015E-2</v>
      </c>
      <c r="D74" s="260">
        <v>38018</v>
      </c>
      <c r="E74" s="9">
        <v>41.037862396240236</v>
      </c>
      <c r="F74" s="9">
        <v>41.437862396240234</v>
      </c>
      <c r="G74" s="9">
        <v>41.837862396240233</v>
      </c>
      <c r="H74" s="8"/>
      <c r="I74" s="9">
        <v>18.75</v>
      </c>
      <c r="J74" s="9">
        <v>19</v>
      </c>
      <c r="K74" s="9">
        <v>19.75</v>
      </c>
      <c r="L74" s="7"/>
      <c r="M74" s="249">
        <v>38899</v>
      </c>
      <c r="N74" s="261">
        <v>41</v>
      </c>
      <c r="O74" s="261">
        <v>42.5</v>
      </c>
      <c r="P74" s="261">
        <v>44</v>
      </c>
      <c r="Q74" s="248"/>
      <c r="R74" s="261">
        <v>31.5</v>
      </c>
      <c r="S74" s="261">
        <v>33</v>
      </c>
      <c r="T74" s="261">
        <v>34.5</v>
      </c>
      <c r="U74" s="248"/>
      <c r="V74" s="261">
        <v>0</v>
      </c>
      <c r="W74" s="261">
        <v>0</v>
      </c>
      <c r="X74" s="261">
        <v>0</v>
      </c>
      <c r="Y74" s="248"/>
      <c r="Z74" s="261">
        <v>0.19012499999999999</v>
      </c>
      <c r="AA74" s="261">
        <v>0.2535</v>
      </c>
      <c r="AB74" s="261">
        <v>0.38024999999999998</v>
      </c>
      <c r="AC74" s="248"/>
      <c r="AD74" s="261">
        <v>0.16125</v>
      </c>
      <c r="AE74" s="261">
        <v>0.215</v>
      </c>
      <c r="AF74" s="261">
        <v>0.32250000000000001</v>
      </c>
      <c r="AG74" s="248"/>
      <c r="AH74" s="261">
        <v>-0.4</v>
      </c>
      <c r="AI74" s="261">
        <v>4</v>
      </c>
      <c r="AJ74" s="261">
        <v>0.5</v>
      </c>
      <c r="AK74" s="248"/>
      <c r="AL74" s="261">
        <v>-0.1</v>
      </c>
      <c r="AM74" s="261">
        <v>1.1499999999999999</v>
      </c>
      <c r="AN74" s="261">
        <v>0.1</v>
      </c>
      <c r="AO74" s="248"/>
      <c r="AP74" s="7">
        <v>22</v>
      </c>
      <c r="AQ74" s="9">
        <v>0.4</v>
      </c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C74" s="248"/>
      <c r="BD74" s="248"/>
      <c r="BE74" s="248"/>
      <c r="BF74" s="248"/>
      <c r="BG74" s="248"/>
      <c r="BH74" s="249">
        <v>38899</v>
      </c>
      <c r="BI74" s="262">
        <v>0.75</v>
      </c>
      <c r="BJ74" s="248"/>
      <c r="BK74" s="248"/>
      <c r="BL74" s="248"/>
      <c r="BM74" s="248"/>
      <c r="BN74" s="248"/>
      <c r="BO74"/>
      <c r="BP74"/>
      <c r="BQ74"/>
      <c r="BR74"/>
      <c r="BS74"/>
      <c r="BT74" s="248"/>
      <c r="BU74" s="248"/>
      <c r="BV74" s="248"/>
      <c r="BW74" s="248"/>
      <c r="BX74" s="248"/>
      <c r="BY74" s="248"/>
      <c r="BZ74" s="248"/>
      <c r="CA74" s="248"/>
      <c r="CB74" s="248"/>
      <c r="CC74" s="248"/>
      <c r="CD74" s="248"/>
      <c r="CE74" s="248"/>
      <c r="CF74" s="248"/>
      <c r="CG74" s="248"/>
    </row>
    <row r="75" spans="1:85" ht="12.75" x14ac:dyDescent="0.2">
      <c r="A75" s="29">
        <v>39114</v>
      </c>
      <c r="B75" s="243">
        <v>5.9896479444003004E-2</v>
      </c>
      <c r="D75" s="260">
        <v>38047</v>
      </c>
      <c r="E75" s="9">
        <v>32.048544311523436</v>
      </c>
      <c r="F75" s="9">
        <v>32.648544311523438</v>
      </c>
      <c r="G75" s="9">
        <v>33.248544311523439</v>
      </c>
      <c r="H75" s="8"/>
      <c r="I75" s="9">
        <v>19.75</v>
      </c>
      <c r="J75" s="9">
        <v>20</v>
      </c>
      <c r="K75" s="9">
        <v>20.75</v>
      </c>
      <c r="L75" s="7"/>
      <c r="M75" s="249">
        <v>38930</v>
      </c>
      <c r="N75" s="261">
        <v>39.000003814697266</v>
      </c>
      <c r="O75" s="261">
        <v>40.500003814697266</v>
      </c>
      <c r="P75" s="261">
        <v>42.000003814697266</v>
      </c>
      <c r="Q75" s="248"/>
      <c r="R75" s="261">
        <v>31.5</v>
      </c>
      <c r="S75" s="261">
        <v>33</v>
      </c>
      <c r="T75" s="261">
        <v>34.5</v>
      </c>
      <c r="U75" s="248"/>
      <c r="V75" s="261">
        <v>0</v>
      </c>
      <c r="W75" s="261">
        <v>0</v>
      </c>
      <c r="X75" s="261">
        <v>0</v>
      </c>
      <c r="Y75" s="248"/>
      <c r="Z75" s="261">
        <v>0.19012499999999999</v>
      </c>
      <c r="AA75" s="261">
        <v>0.2535</v>
      </c>
      <c r="AB75" s="261">
        <v>0.38024999999999998</v>
      </c>
      <c r="AC75" s="248"/>
      <c r="AD75" s="261">
        <v>0.16125</v>
      </c>
      <c r="AE75" s="261">
        <v>0.215</v>
      </c>
      <c r="AF75" s="261">
        <v>0.32250000000000001</v>
      </c>
      <c r="AG75" s="248"/>
      <c r="AH75" s="261">
        <v>-0.5</v>
      </c>
      <c r="AI75" s="261">
        <v>4</v>
      </c>
      <c r="AJ75" s="261">
        <v>1.75</v>
      </c>
      <c r="AK75" s="248"/>
      <c r="AL75" s="261">
        <v>-0.1</v>
      </c>
      <c r="AM75" s="261">
        <v>1.1499999999999999</v>
      </c>
      <c r="AN75" s="261">
        <v>0.1</v>
      </c>
      <c r="AO75" s="248"/>
      <c r="AP75" s="7">
        <v>23</v>
      </c>
      <c r="AQ75" s="9">
        <v>0.4</v>
      </c>
      <c r="AR75" s="248"/>
      <c r="AS75" s="248"/>
      <c r="AT75" s="248"/>
      <c r="AU75" s="248"/>
      <c r="AV75" s="248"/>
      <c r="AW75" s="248"/>
      <c r="AX75" s="248"/>
      <c r="AY75" s="248"/>
      <c r="AZ75" s="248"/>
      <c r="BA75" s="248"/>
      <c r="BB75" s="248"/>
      <c r="BC75" s="248"/>
      <c r="BD75" s="248"/>
      <c r="BE75" s="248"/>
      <c r="BF75" s="248"/>
      <c r="BG75" s="248"/>
      <c r="BH75" s="249">
        <v>38930</v>
      </c>
      <c r="BI75" s="262">
        <v>0.75</v>
      </c>
      <c r="BJ75" s="248"/>
      <c r="BK75" s="248"/>
      <c r="BL75" s="248"/>
      <c r="BM75" s="248"/>
      <c r="BN75" s="248"/>
      <c r="BO75"/>
      <c r="BP75"/>
      <c r="BQ75"/>
      <c r="BR75"/>
      <c r="BS75"/>
      <c r="BT75" s="248"/>
      <c r="BU75" s="248"/>
      <c r="BV75" s="248"/>
      <c r="BW75" s="248"/>
      <c r="BX75" s="248"/>
      <c r="BY75" s="248"/>
      <c r="BZ75" s="248"/>
      <c r="CA75" s="248"/>
      <c r="CB75" s="248"/>
      <c r="CC75" s="248"/>
      <c r="CD75" s="248"/>
      <c r="CE75" s="248"/>
      <c r="CF75" s="248"/>
      <c r="CG75" s="248"/>
    </row>
    <row r="76" spans="1:85" ht="12.75" x14ac:dyDescent="0.2">
      <c r="A76" s="29">
        <v>39142</v>
      </c>
      <c r="B76" s="243">
        <v>5.9969711371568007E-2</v>
      </c>
      <c r="D76" s="260">
        <v>38078</v>
      </c>
      <c r="E76" s="9">
        <v>31.998545074462889</v>
      </c>
      <c r="F76" s="9">
        <v>33.098545074462891</v>
      </c>
      <c r="G76" s="9">
        <v>34.198545074462892</v>
      </c>
      <c r="H76" s="8"/>
      <c r="I76" s="9">
        <v>17.75</v>
      </c>
      <c r="J76" s="9">
        <v>18</v>
      </c>
      <c r="K76" s="9">
        <v>18.75</v>
      </c>
      <c r="L76" s="7"/>
      <c r="M76" s="249">
        <v>38961</v>
      </c>
      <c r="N76" s="261">
        <v>31</v>
      </c>
      <c r="O76" s="261">
        <v>32.5</v>
      </c>
      <c r="P76" s="261">
        <v>34</v>
      </c>
      <c r="Q76" s="248"/>
      <c r="R76" s="261">
        <v>25.5</v>
      </c>
      <c r="S76" s="261">
        <v>27</v>
      </c>
      <c r="T76" s="261">
        <v>28.5</v>
      </c>
      <c r="U76" s="248"/>
      <c r="V76" s="261">
        <v>0</v>
      </c>
      <c r="W76" s="261">
        <v>0</v>
      </c>
      <c r="X76" s="261">
        <v>0</v>
      </c>
      <c r="Y76" s="248"/>
      <c r="Z76" s="261">
        <v>0.18862499999999999</v>
      </c>
      <c r="AA76" s="261">
        <v>0.2515</v>
      </c>
      <c r="AB76" s="261">
        <v>0.37724999999999997</v>
      </c>
      <c r="AC76" s="248"/>
      <c r="AD76" s="261">
        <v>0.10125000000000001</v>
      </c>
      <c r="AE76" s="261">
        <v>0.13500000000000001</v>
      </c>
      <c r="AF76" s="261">
        <v>0.20250000000000001</v>
      </c>
      <c r="AG76" s="248"/>
      <c r="AH76" s="261">
        <v>-1</v>
      </c>
      <c r="AI76" s="261">
        <v>2.33</v>
      </c>
      <c r="AJ76" s="261">
        <v>2.5</v>
      </c>
      <c r="AK76" s="248"/>
      <c r="AL76" s="261">
        <v>-0.1</v>
      </c>
      <c r="AM76" s="261">
        <v>1.05</v>
      </c>
      <c r="AN76" s="261">
        <v>0.1</v>
      </c>
      <c r="AO76" s="248"/>
      <c r="AP76" s="7">
        <v>23</v>
      </c>
      <c r="AQ76" s="9">
        <v>0.4</v>
      </c>
      <c r="AR76" s="248"/>
      <c r="AS76" s="248"/>
      <c r="AT76" s="248"/>
      <c r="AU76" s="248"/>
      <c r="AV76" s="248"/>
      <c r="AW76" s="248"/>
      <c r="AX76" s="248"/>
      <c r="AY76" s="248"/>
      <c r="AZ76" s="248"/>
      <c r="BA76" s="248"/>
      <c r="BB76" s="248"/>
      <c r="BC76" s="248"/>
      <c r="BD76" s="248"/>
      <c r="BE76" s="248"/>
      <c r="BF76" s="248"/>
      <c r="BG76" s="248"/>
      <c r="BH76" s="249">
        <v>38961</v>
      </c>
      <c r="BI76" s="262">
        <v>0.75</v>
      </c>
      <c r="BJ76" s="248"/>
      <c r="BK76" s="248"/>
      <c r="BL76" s="248"/>
      <c r="BM76" s="248"/>
      <c r="BN76" s="248"/>
      <c r="BO76"/>
      <c r="BP76"/>
      <c r="BQ76"/>
      <c r="BR76"/>
      <c r="BS76"/>
      <c r="BT76" s="248"/>
      <c r="BU76" s="248"/>
      <c r="BV76" s="248"/>
      <c r="BW76" s="248"/>
      <c r="BX76" s="248"/>
      <c r="BY76" s="248"/>
      <c r="BZ76" s="248"/>
      <c r="CA76" s="248"/>
      <c r="CB76" s="248"/>
      <c r="CC76" s="248"/>
      <c r="CD76" s="248"/>
      <c r="CE76" s="248"/>
      <c r="CF76" s="248"/>
      <c r="CG76" s="248"/>
    </row>
    <row r="77" spans="1:85" ht="12.75" x14ac:dyDescent="0.2">
      <c r="A77" s="29">
        <v>39173</v>
      </c>
      <c r="B77" s="243">
        <v>6.0040580980586018E-2</v>
      </c>
      <c r="D77" s="260">
        <v>38108</v>
      </c>
      <c r="E77" s="9">
        <v>32.903566741943358</v>
      </c>
      <c r="F77" s="9">
        <v>34.753566741943359</v>
      </c>
      <c r="G77" s="9">
        <v>36.603566741943361</v>
      </c>
      <c r="H77" s="8"/>
      <c r="I77" s="9">
        <v>19.75</v>
      </c>
      <c r="J77" s="9">
        <v>20</v>
      </c>
      <c r="K77" s="9">
        <v>20.75</v>
      </c>
      <c r="L77" s="7"/>
      <c r="M77" s="249">
        <v>38991</v>
      </c>
      <c r="N77" s="261">
        <v>25.996000289916992</v>
      </c>
      <c r="O77" s="261">
        <v>27.496000289916992</v>
      </c>
      <c r="P77" s="261">
        <v>28.996000289916992</v>
      </c>
      <c r="Q77" s="248"/>
      <c r="R77" s="261">
        <v>20.496500015258789</v>
      </c>
      <c r="S77" s="261">
        <v>21.996500015258789</v>
      </c>
      <c r="T77" s="261">
        <v>23.496500015258789</v>
      </c>
      <c r="U77" s="248"/>
      <c r="V77" s="261">
        <v>0</v>
      </c>
      <c r="W77" s="261">
        <v>0</v>
      </c>
      <c r="X77" s="261">
        <v>0</v>
      </c>
      <c r="Y77" s="248"/>
      <c r="Z77" s="261">
        <v>0.18112500000000001</v>
      </c>
      <c r="AA77" s="261">
        <v>0.24150000000000002</v>
      </c>
      <c r="AB77" s="261">
        <v>0.36225000000000002</v>
      </c>
      <c r="AC77" s="248"/>
      <c r="AD77" s="261">
        <v>7.8750000000000001E-2</v>
      </c>
      <c r="AE77" s="261">
        <v>0.105</v>
      </c>
      <c r="AF77" s="261">
        <v>0.1575</v>
      </c>
      <c r="AG77" s="248"/>
      <c r="AH77" s="261">
        <v>-1</v>
      </c>
      <c r="AI77" s="261">
        <v>2.06</v>
      </c>
      <c r="AJ77" s="261">
        <v>2.5</v>
      </c>
      <c r="AK77" s="248"/>
      <c r="AL77" s="261">
        <v>-0.1</v>
      </c>
      <c r="AM77" s="261">
        <v>1</v>
      </c>
      <c r="AN77" s="261">
        <v>0.1</v>
      </c>
      <c r="AO77" s="248"/>
      <c r="AP77" s="7">
        <v>23</v>
      </c>
      <c r="AQ77" s="9">
        <v>0.4</v>
      </c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8"/>
      <c r="BG77" s="248"/>
      <c r="BH77" s="249">
        <v>38991</v>
      </c>
      <c r="BI77" s="262">
        <v>0.75</v>
      </c>
      <c r="BJ77" s="248"/>
      <c r="BK77" s="248"/>
      <c r="BL77" s="248"/>
      <c r="BM77" s="248"/>
      <c r="BN77" s="248"/>
      <c r="BO77"/>
      <c r="BP77"/>
      <c r="BQ77"/>
      <c r="BR77"/>
      <c r="BS77"/>
      <c r="BT77" s="248"/>
      <c r="BU77" s="248"/>
      <c r="BV77" s="248"/>
      <c r="BW77" s="248"/>
      <c r="BX77" s="248"/>
      <c r="BY77" s="248"/>
      <c r="BZ77" s="248"/>
      <c r="CA77" s="248"/>
      <c r="CB77" s="248"/>
      <c r="CC77" s="248"/>
      <c r="CD77" s="248"/>
      <c r="CE77" s="248"/>
      <c r="CF77" s="248"/>
      <c r="CG77" s="248"/>
    </row>
    <row r="78" spans="1:85" ht="12.75" x14ac:dyDescent="0.2">
      <c r="A78" s="29">
        <v>39203</v>
      </c>
      <c r="B78" s="243">
        <v>6.0113812911657016E-2</v>
      </c>
      <c r="D78" s="260">
        <v>38139</v>
      </c>
      <c r="E78" s="9">
        <v>43.497856140136719</v>
      </c>
      <c r="F78" s="9">
        <v>47.747856140136719</v>
      </c>
      <c r="G78" s="9">
        <v>51.997856140136719</v>
      </c>
      <c r="H78" s="8"/>
      <c r="I78" s="9">
        <v>22.75</v>
      </c>
      <c r="J78" s="9">
        <v>23</v>
      </c>
      <c r="K78" s="9">
        <v>23.75</v>
      </c>
      <c r="L78" s="7"/>
      <c r="M78" s="249">
        <v>39022</v>
      </c>
      <c r="N78" s="261">
        <v>28</v>
      </c>
      <c r="O78" s="261">
        <v>29.5</v>
      </c>
      <c r="P78" s="261">
        <v>31</v>
      </c>
      <c r="Q78" s="248"/>
      <c r="R78" s="261">
        <v>20.5</v>
      </c>
      <c r="S78" s="261">
        <v>22</v>
      </c>
      <c r="T78" s="261">
        <v>23.5</v>
      </c>
      <c r="U78" s="248"/>
      <c r="V78" s="261">
        <v>0</v>
      </c>
      <c r="W78" s="261">
        <v>0</v>
      </c>
      <c r="X78" s="261">
        <v>0</v>
      </c>
      <c r="Y78" s="248"/>
      <c r="Z78" s="261">
        <v>0.18112500000000001</v>
      </c>
      <c r="AA78" s="261">
        <v>0.24150000000000002</v>
      </c>
      <c r="AB78" s="261">
        <v>0.36225000000000002</v>
      </c>
      <c r="AC78" s="248"/>
      <c r="AD78" s="261">
        <v>7.8750000000000001E-2</v>
      </c>
      <c r="AE78" s="261">
        <v>0.105</v>
      </c>
      <c r="AF78" s="261">
        <v>0.1575</v>
      </c>
      <c r="AG78" s="248"/>
      <c r="AH78" s="261">
        <v>-0.5</v>
      </c>
      <c r="AI78" s="261">
        <v>2.052</v>
      </c>
      <c r="AJ78" s="261">
        <v>1</v>
      </c>
      <c r="AK78" s="248"/>
      <c r="AL78" s="261">
        <v>-0.1</v>
      </c>
      <c r="AM78" s="261">
        <v>1</v>
      </c>
      <c r="AN78" s="261">
        <v>0.1</v>
      </c>
      <c r="AO78" s="248"/>
      <c r="AP78" s="7">
        <v>24</v>
      </c>
      <c r="AQ78" s="9">
        <v>0.4</v>
      </c>
      <c r="AR78" s="248"/>
      <c r="AS78" s="248"/>
      <c r="AT78" s="248"/>
      <c r="AU78" s="248"/>
      <c r="AV78" s="248"/>
      <c r="AW78" s="248"/>
      <c r="AX78" s="248"/>
      <c r="AY78" s="248"/>
      <c r="AZ78" s="248"/>
      <c r="BA78" s="248"/>
      <c r="BB78" s="248"/>
      <c r="BC78" s="248"/>
      <c r="BD78" s="248"/>
      <c r="BE78" s="248"/>
      <c r="BF78" s="248"/>
      <c r="BG78" s="248"/>
      <c r="BH78" s="249">
        <v>39022</v>
      </c>
      <c r="BI78" s="262">
        <v>0.75</v>
      </c>
      <c r="BJ78" s="248"/>
      <c r="BK78" s="248"/>
      <c r="BL78" s="248"/>
      <c r="BM78" s="248"/>
      <c r="BN78" s="248"/>
      <c r="BO78"/>
      <c r="BP78"/>
      <c r="BQ78"/>
      <c r="BR78"/>
      <c r="BS78"/>
      <c r="BT78" s="248"/>
      <c r="BU78" s="248"/>
      <c r="BV78" s="248"/>
      <c r="BW78" s="248"/>
      <c r="BX78" s="248"/>
      <c r="BY78" s="248"/>
      <c r="BZ78" s="248"/>
      <c r="CA78" s="248"/>
      <c r="CB78" s="248"/>
      <c r="CC78" s="248"/>
      <c r="CD78" s="248"/>
      <c r="CE78" s="248"/>
      <c r="CF78" s="248"/>
      <c r="CG78" s="248"/>
    </row>
    <row r="79" spans="1:85" ht="12.75" x14ac:dyDescent="0.2">
      <c r="A79" s="29">
        <v>39234</v>
      </c>
      <c r="B79" s="243">
        <v>6.0184682524068001E-2</v>
      </c>
      <c r="D79" s="260">
        <v>38169</v>
      </c>
      <c r="E79" s="9">
        <v>65.747146606445313</v>
      </c>
      <c r="F79" s="9">
        <v>72.747146606445312</v>
      </c>
      <c r="G79" s="9">
        <v>79.747146606445313</v>
      </c>
      <c r="H79" s="8"/>
      <c r="I79" s="9">
        <v>23.25</v>
      </c>
      <c r="J79" s="9">
        <v>23.5</v>
      </c>
      <c r="K79" s="9">
        <v>24.25</v>
      </c>
      <c r="L79" s="7"/>
      <c r="M79" s="249">
        <v>39052</v>
      </c>
      <c r="N79" s="261">
        <v>33</v>
      </c>
      <c r="O79" s="261">
        <v>34.5</v>
      </c>
      <c r="P79" s="261">
        <v>36</v>
      </c>
      <c r="Q79" s="248"/>
      <c r="R79" s="261">
        <v>27.5</v>
      </c>
      <c r="S79" s="261">
        <v>29</v>
      </c>
      <c r="T79" s="261">
        <v>30.5</v>
      </c>
      <c r="U79" s="248"/>
      <c r="V79" s="261">
        <v>0</v>
      </c>
      <c r="W79" s="261">
        <v>0</v>
      </c>
      <c r="X79" s="261">
        <v>0</v>
      </c>
      <c r="Y79" s="248"/>
      <c r="Z79" s="261">
        <v>0.18112500000000001</v>
      </c>
      <c r="AA79" s="261">
        <v>0.24150000000000002</v>
      </c>
      <c r="AB79" s="261">
        <v>0.36225000000000002</v>
      </c>
      <c r="AC79" s="248"/>
      <c r="AD79" s="261">
        <v>0.10875</v>
      </c>
      <c r="AE79" s="261">
        <v>0.14499999999999999</v>
      </c>
      <c r="AF79" s="261">
        <v>0.2175</v>
      </c>
      <c r="AG79" s="248"/>
      <c r="AH79" s="261">
        <v>-0.4</v>
      </c>
      <c r="AI79" s="261">
        <v>1.89</v>
      </c>
      <c r="AJ79" s="261">
        <v>0.5</v>
      </c>
      <c r="AK79" s="248"/>
      <c r="AL79" s="261">
        <v>-0.1</v>
      </c>
      <c r="AM79" s="261">
        <v>1</v>
      </c>
      <c r="AN79" s="261">
        <v>0.1</v>
      </c>
      <c r="AO79" s="248"/>
      <c r="AP79" s="7">
        <v>24</v>
      </c>
      <c r="AQ79" s="9">
        <v>0.4</v>
      </c>
      <c r="AR79" s="248"/>
      <c r="AS79" s="248"/>
      <c r="AT79" s="248"/>
      <c r="AU79" s="248"/>
      <c r="AV79" s="248"/>
      <c r="AW79" s="248"/>
      <c r="AX79" s="248"/>
      <c r="AY79" s="248"/>
      <c r="AZ79" s="248"/>
      <c r="BA79" s="248"/>
      <c r="BB79" s="248"/>
      <c r="BC79" s="248"/>
      <c r="BD79" s="248"/>
      <c r="BE79" s="248"/>
      <c r="BF79" s="248"/>
      <c r="BG79" s="248"/>
      <c r="BH79" s="249">
        <v>39052</v>
      </c>
      <c r="BI79" s="262">
        <v>0.75</v>
      </c>
      <c r="BJ79" s="248"/>
      <c r="BK79" s="248"/>
      <c r="BL79" s="248"/>
      <c r="BM79" s="248"/>
      <c r="BN79" s="248"/>
      <c r="BO79"/>
      <c r="BP79"/>
      <c r="BQ79"/>
      <c r="BR79"/>
      <c r="BS79"/>
      <c r="BT79" s="248"/>
      <c r="BU79" s="248"/>
      <c r="BV79" s="248"/>
      <c r="BW79" s="248"/>
      <c r="BX79" s="248"/>
      <c r="BY79" s="248"/>
      <c r="BZ79" s="248"/>
      <c r="CA79" s="248"/>
      <c r="CB79" s="248"/>
      <c r="CC79" s="248"/>
      <c r="CD79" s="248"/>
      <c r="CE79" s="248"/>
      <c r="CF79" s="248"/>
      <c r="CG79" s="248"/>
    </row>
    <row r="80" spans="1:85" ht="12.75" x14ac:dyDescent="0.2">
      <c r="A80" s="29">
        <v>39264</v>
      </c>
      <c r="B80" s="243">
        <v>6.0257914458646013E-2</v>
      </c>
      <c r="D80" s="260">
        <v>38200</v>
      </c>
      <c r="E80" s="9">
        <v>65.747146606445313</v>
      </c>
      <c r="F80" s="9">
        <v>72.747146606445312</v>
      </c>
      <c r="G80" s="9">
        <v>79.747146606445313</v>
      </c>
      <c r="H80" s="8"/>
      <c r="I80" s="9">
        <v>24.25</v>
      </c>
      <c r="J80" s="9">
        <v>24.5</v>
      </c>
      <c r="K80" s="9">
        <v>25.25</v>
      </c>
      <c r="L80" s="7"/>
      <c r="M80" s="249">
        <v>39083</v>
      </c>
      <c r="N80" s="261">
        <v>35.5</v>
      </c>
      <c r="O80" s="261">
        <v>37</v>
      </c>
      <c r="P80" s="261">
        <v>38.5</v>
      </c>
      <c r="Q80" s="248"/>
      <c r="R80" s="261">
        <v>25</v>
      </c>
      <c r="S80" s="261">
        <v>26.5</v>
      </c>
      <c r="T80" s="261">
        <v>28</v>
      </c>
      <c r="U80" s="248"/>
      <c r="V80" s="261">
        <v>0</v>
      </c>
      <c r="W80" s="261">
        <v>0</v>
      </c>
      <c r="X80" s="261">
        <v>0</v>
      </c>
      <c r="Y80" s="248"/>
      <c r="Z80" s="261">
        <v>0.18675</v>
      </c>
      <c r="AA80" s="261">
        <v>0.249</v>
      </c>
      <c r="AB80" s="261">
        <v>0.3735</v>
      </c>
      <c r="AC80" s="248"/>
      <c r="AD80" s="261">
        <v>0.10125000000000001</v>
      </c>
      <c r="AE80" s="261">
        <v>0.13500000000000001</v>
      </c>
      <c r="AF80" s="261">
        <v>0.20250000000000001</v>
      </c>
      <c r="AG80" s="248"/>
      <c r="AH80" s="261">
        <v>-0.4</v>
      </c>
      <c r="AI80" s="261">
        <v>2.3220000000000001</v>
      </c>
      <c r="AJ80" s="261">
        <v>0.5</v>
      </c>
      <c r="AK80" s="248"/>
      <c r="AL80" s="261">
        <v>-0.1</v>
      </c>
      <c r="AM80" s="261">
        <v>1</v>
      </c>
      <c r="AN80" s="261">
        <v>0.1</v>
      </c>
      <c r="AO80" s="248"/>
      <c r="AP80" s="7">
        <v>24</v>
      </c>
      <c r="AQ80" s="9">
        <v>0.4</v>
      </c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8"/>
      <c r="BG80" s="248"/>
      <c r="BH80" s="249">
        <v>39083</v>
      </c>
      <c r="BI80" s="262">
        <v>0.75</v>
      </c>
      <c r="BJ80" s="248"/>
      <c r="BK80" s="248"/>
      <c r="BL80" s="248"/>
      <c r="BM80" s="248"/>
      <c r="BN80" s="248"/>
      <c r="BO80"/>
      <c r="BP80"/>
      <c r="BQ80"/>
      <c r="BR80"/>
      <c r="BS80"/>
      <c r="BT80" s="248"/>
      <c r="BU80" s="248"/>
      <c r="BV80" s="248"/>
      <c r="BW80" s="248"/>
      <c r="BX80" s="248"/>
      <c r="BY80" s="248"/>
      <c r="BZ80" s="248"/>
      <c r="CA80" s="248"/>
      <c r="CB80" s="248"/>
      <c r="CC80" s="248"/>
      <c r="CD80" s="248"/>
      <c r="CE80" s="248"/>
      <c r="CF80" s="248"/>
      <c r="CG80" s="248"/>
    </row>
    <row r="81" spans="1:85" ht="12.75" x14ac:dyDescent="0.2">
      <c r="A81" s="29">
        <v>39295</v>
      </c>
      <c r="B81" s="243">
        <v>6.0331146395005031E-2</v>
      </c>
      <c r="D81" s="260">
        <v>38231</v>
      </c>
      <c r="E81" s="9">
        <v>32.352143859863283</v>
      </c>
      <c r="F81" s="9">
        <v>35.002143859863281</v>
      </c>
      <c r="G81" s="9">
        <v>37.65214385986328</v>
      </c>
      <c r="H81" s="8"/>
      <c r="I81" s="9">
        <v>17.25</v>
      </c>
      <c r="J81" s="9">
        <v>17.5</v>
      </c>
      <c r="K81" s="9">
        <v>18.25</v>
      </c>
      <c r="L81" s="7"/>
      <c r="M81" s="249">
        <v>39114</v>
      </c>
      <c r="N81" s="261">
        <v>30.996002197265625</v>
      </c>
      <c r="O81" s="261">
        <v>32.496002197265625</v>
      </c>
      <c r="P81" s="261">
        <v>33.996002197265625</v>
      </c>
      <c r="Q81" s="248"/>
      <c r="R81" s="261">
        <v>22.496501922607422</v>
      </c>
      <c r="S81" s="261">
        <v>23.996501922607422</v>
      </c>
      <c r="T81" s="261">
        <v>25.496501922607422</v>
      </c>
      <c r="U81" s="248"/>
      <c r="V81" s="261">
        <v>0</v>
      </c>
      <c r="W81" s="261">
        <v>0</v>
      </c>
      <c r="X81" s="261">
        <v>0</v>
      </c>
      <c r="Y81" s="248"/>
      <c r="Z81" s="261">
        <v>0.18675</v>
      </c>
      <c r="AA81" s="261">
        <v>0.249</v>
      </c>
      <c r="AB81" s="261">
        <v>0.3735</v>
      </c>
      <c r="AC81" s="248"/>
      <c r="AD81" s="261">
        <v>0.10125000000000001</v>
      </c>
      <c r="AE81" s="261">
        <v>0.13500000000000001</v>
      </c>
      <c r="AF81" s="261">
        <v>0.20250000000000001</v>
      </c>
      <c r="AG81" s="248"/>
      <c r="AH81" s="261">
        <v>-0.4</v>
      </c>
      <c r="AI81" s="261">
        <v>2.3220000000000001</v>
      </c>
      <c r="AJ81" s="261">
        <v>0.6</v>
      </c>
      <c r="AK81" s="248"/>
      <c r="AL81" s="261">
        <v>-0.1</v>
      </c>
      <c r="AM81" s="261">
        <v>1</v>
      </c>
      <c r="AN81" s="261">
        <v>0.1</v>
      </c>
      <c r="AO81" s="248"/>
      <c r="AP81" s="7">
        <v>25</v>
      </c>
      <c r="AQ81" s="9">
        <v>0.4</v>
      </c>
      <c r="AR81" s="248"/>
      <c r="AS81" s="248"/>
      <c r="AT81" s="248"/>
      <c r="AU81" s="248"/>
      <c r="AV81" s="248"/>
      <c r="AW81" s="248"/>
      <c r="AX81" s="248"/>
      <c r="AY81" s="248"/>
      <c r="AZ81" s="248"/>
      <c r="BA81" s="248"/>
      <c r="BB81" s="248"/>
      <c r="BC81" s="248"/>
      <c r="BD81" s="248"/>
      <c r="BE81" s="248"/>
      <c r="BF81" s="248"/>
      <c r="BG81" s="248"/>
      <c r="BH81" s="249">
        <v>39114</v>
      </c>
      <c r="BI81" s="262">
        <v>0.75</v>
      </c>
      <c r="BJ81" s="248"/>
      <c r="BK81" s="248"/>
      <c r="BL81" s="248"/>
      <c r="BM81" s="248"/>
      <c r="BN81" s="248"/>
      <c r="BO81"/>
      <c r="BP81"/>
      <c r="BQ81"/>
      <c r="BR81"/>
      <c r="BS81"/>
      <c r="BT81" s="248"/>
      <c r="BU81" s="248"/>
      <c r="BV81" s="248"/>
      <c r="BW81" s="248"/>
      <c r="BX81" s="248"/>
      <c r="BY81" s="248"/>
      <c r="BZ81" s="248"/>
      <c r="CA81" s="248"/>
      <c r="CB81" s="248"/>
      <c r="CC81" s="248"/>
      <c r="CD81" s="248"/>
      <c r="CE81" s="248"/>
      <c r="CF81" s="248"/>
      <c r="CG81" s="248"/>
    </row>
    <row r="82" spans="1:85" ht="12.75" x14ac:dyDescent="0.2">
      <c r="A82" s="29">
        <v>39326</v>
      </c>
      <c r="B82" s="243">
        <v>6.040201601253202E-2</v>
      </c>
      <c r="D82" s="260">
        <v>38261</v>
      </c>
      <c r="E82" s="9">
        <v>31.998933410644533</v>
      </c>
      <c r="F82" s="9">
        <v>32.898933410644531</v>
      </c>
      <c r="G82" s="9">
        <v>33.79893341064453</v>
      </c>
      <c r="H82" s="8"/>
      <c r="I82" s="9">
        <v>14.750001907348633</v>
      </c>
      <c r="J82" s="9">
        <v>15.000001907348633</v>
      </c>
      <c r="K82" s="9">
        <v>15.750001907348633</v>
      </c>
      <c r="L82" s="7"/>
      <c r="M82" s="249">
        <v>39142</v>
      </c>
      <c r="N82" s="261">
        <v>26</v>
      </c>
      <c r="O82" s="261">
        <v>27.5</v>
      </c>
      <c r="P82" s="261">
        <v>29</v>
      </c>
      <c r="Q82" s="248"/>
      <c r="R82" s="261">
        <v>20.5</v>
      </c>
      <c r="S82" s="261">
        <v>22</v>
      </c>
      <c r="T82" s="261">
        <v>23.5</v>
      </c>
      <c r="U82" s="248"/>
      <c r="V82" s="261">
        <v>0</v>
      </c>
      <c r="W82" s="261">
        <v>0</v>
      </c>
      <c r="X82" s="261">
        <v>0</v>
      </c>
      <c r="Y82" s="248"/>
      <c r="Z82" s="261">
        <v>0.18675</v>
      </c>
      <c r="AA82" s="261">
        <v>0.249</v>
      </c>
      <c r="AB82" s="261">
        <v>0.3735</v>
      </c>
      <c r="AC82" s="248"/>
      <c r="AD82" s="261">
        <v>0.09</v>
      </c>
      <c r="AE82" s="261">
        <v>0.12</v>
      </c>
      <c r="AF82" s="261">
        <v>0.18</v>
      </c>
      <c r="AG82" s="248"/>
      <c r="AH82" s="261">
        <v>-0.5</v>
      </c>
      <c r="AI82" s="261">
        <v>2.052</v>
      </c>
      <c r="AJ82" s="261">
        <v>1</v>
      </c>
      <c r="AK82" s="248"/>
      <c r="AL82" s="261">
        <v>-0.1</v>
      </c>
      <c r="AM82" s="261">
        <v>1</v>
      </c>
      <c r="AN82" s="261">
        <v>0.1</v>
      </c>
      <c r="AO82" s="248"/>
      <c r="AP82" s="7">
        <v>25</v>
      </c>
      <c r="AQ82" s="9">
        <v>0.4</v>
      </c>
      <c r="AR82" s="248"/>
      <c r="AS82" s="248"/>
      <c r="AT82" s="248"/>
      <c r="AU82" s="248"/>
      <c r="AV82" s="248"/>
      <c r="AW82" s="248"/>
      <c r="AX82" s="248"/>
      <c r="AY82" s="248"/>
      <c r="AZ82" s="248"/>
      <c r="BA82" s="248"/>
      <c r="BB82" s="248"/>
      <c r="BC82" s="248"/>
      <c r="BD82" s="248"/>
      <c r="BE82" s="248"/>
      <c r="BF82" s="248"/>
      <c r="BG82" s="248"/>
      <c r="BH82" s="249">
        <v>39142</v>
      </c>
      <c r="BI82" s="262">
        <v>0.75</v>
      </c>
      <c r="BJ82" s="248"/>
      <c r="BK82" s="248"/>
      <c r="BL82" s="248"/>
      <c r="BM82" s="248"/>
      <c r="BN82" s="248"/>
      <c r="BO82"/>
      <c r="BP82"/>
      <c r="BQ82"/>
      <c r="BR82"/>
      <c r="BS82"/>
      <c r="BT82" s="248"/>
      <c r="BU82" s="248"/>
      <c r="BV82" s="248"/>
      <c r="BW82" s="248"/>
      <c r="BX82" s="248"/>
      <c r="BY82" s="248"/>
      <c r="BZ82" s="248"/>
      <c r="CA82" s="248"/>
      <c r="CB82" s="248"/>
      <c r="CC82" s="248"/>
      <c r="CD82" s="248"/>
      <c r="CE82" s="248"/>
      <c r="CF82" s="248"/>
      <c r="CG82" s="248"/>
    </row>
    <row r="83" spans="1:85" ht="12.75" x14ac:dyDescent="0.2">
      <c r="A83" s="29">
        <v>39356</v>
      </c>
      <c r="B83" s="243">
        <v>6.0475247952397004E-2</v>
      </c>
      <c r="D83" s="260">
        <v>38292</v>
      </c>
      <c r="E83" s="9">
        <v>32.098931884765626</v>
      </c>
      <c r="F83" s="9">
        <v>32.998931884765625</v>
      </c>
      <c r="G83" s="9">
        <v>33.898931884765624</v>
      </c>
      <c r="H83" s="8"/>
      <c r="I83" s="9">
        <v>16.75</v>
      </c>
      <c r="J83" s="9">
        <v>17</v>
      </c>
      <c r="K83" s="9">
        <v>17.75</v>
      </c>
      <c r="L83" s="7"/>
      <c r="M83" s="249">
        <v>39173</v>
      </c>
      <c r="N83" s="261">
        <v>26</v>
      </c>
      <c r="O83" s="261">
        <v>27.5</v>
      </c>
      <c r="P83" s="261">
        <v>29</v>
      </c>
      <c r="Q83" s="248"/>
      <c r="R83" s="261">
        <v>20.495000839233398</v>
      </c>
      <c r="S83" s="261">
        <v>21.995000839233398</v>
      </c>
      <c r="T83" s="261">
        <v>23.495000839233398</v>
      </c>
      <c r="U83" s="248"/>
      <c r="V83" s="261">
        <v>0</v>
      </c>
      <c r="W83" s="261">
        <v>0</v>
      </c>
      <c r="X83" s="261">
        <v>0</v>
      </c>
      <c r="Y83" s="248"/>
      <c r="Z83" s="261">
        <v>0.18675</v>
      </c>
      <c r="AA83" s="261">
        <v>0.249</v>
      </c>
      <c r="AB83" s="261">
        <v>0.3735</v>
      </c>
      <c r="AC83" s="248"/>
      <c r="AD83" s="261">
        <v>0.09</v>
      </c>
      <c r="AE83" s="261">
        <v>0.12</v>
      </c>
      <c r="AF83" s="261">
        <v>0.18</v>
      </c>
      <c r="AG83" s="248"/>
      <c r="AH83" s="261">
        <v>-0.5</v>
      </c>
      <c r="AI83" s="261">
        <v>1.9980000000000004</v>
      </c>
      <c r="AJ83" s="261">
        <v>1</v>
      </c>
      <c r="AK83" s="248"/>
      <c r="AL83" s="261">
        <v>-0.1</v>
      </c>
      <c r="AM83" s="261">
        <v>1</v>
      </c>
      <c r="AN83" s="261">
        <v>0.1</v>
      </c>
      <c r="AO83" s="248"/>
      <c r="AP83" s="7">
        <v>25</v>
      </c>
      <c r="AQ83" s="9">
        <v>0.4</v>
      </c>
      <c r="AR83" s="248"/>
      <c r="AS83" s="248"/>
      <c r="AT83" s="248"/>
      <c r="AU83" s="248"/>
      <c r="AV83" s="248"/>
      <c r="AW83" s="248"/>
      <c r="AX83" s="248"/>
      <c r="AY83" s="248"/>
      <c r="AZ83" s="248"/>
      <c r="BA83" s="248"/>
      <c r="BB83" s="248"/>
      <c r="BC83" s="248"/>
      <c r="BD83" s="248"/>
      <c r="BE83" s="248"/>
      <c r="BF83" s="248"/>
      <c r="BG83" s="248"/>
      <c r="BH83" s="249">
        <v>39173</v>
      </c>
      <c r="BI83" s="262">
        <v>0.75</v>
      </c>
      <c r="BJ83" s="248"/>
      <c r="BK83" s="248"/>
      <c r="BL83" s="248"/>
      <c r="BM83" s="248"/>
      <c r="BN83" s="248"/>
      <c r="BO83"/>
      <c r="BP83"/>
      <c r="BQ83"/>
      <c r="BR83"/>
      <c r="BS83"/>
      <c r="BT83" s="248"/>
      <c r="BU83" s="248"/>
      <c r="BV83" s="248"/>
      <c r="BW83" s="248"/>
      <c r="BX83" s="248"/>
      <c r="BY83" s="248"/>
      <c r="BZ83" s="248"/>
      <c r="CA83" s="248"/>
      <c r="CB83" s="248"/>
      <c r="CC83" s="248"/>
      <c r="CD83" s="248"/>
      <c r="CE83" s="248"/>
      <c r="CF83" s="248"/>
      <c r="CG83" s="248"/>
    </row>
    <row r="84" spans="1:85" ht="12.75" x14ac:dyDescent="0.2">
      <c r="A84" s="29">
        <v>39387</v>
      </c>
      <c r="B84" s="243">
        <v>6.0546117573318015E-2</v>
      </c>
      <c r="D84" s="260">
        <v>38322</v>
      </c>
      <c r="E84" s="9">
        <v>32.19893035888672</v>
      </c>
      <c r="F84" s="9">
        <v>33.098930358886719</v>
      </c>
      <c r="G84" s="9">
        <v>33.998930358886717</v>
      </c>
      <c r="H84" s="8"/>
      <c r="I84" s="9">
        <v>15.860000610351563</v>
      </c>
      <c r="J84" s="9">
        <v>16.110000610351563</v>
      </c>
      <c r="K84" s="9">
        <v>16.860000610351563</v>
      </c>
      <c r="L84" s="7"/>
      <c r="M84" s="249">
        <v>39203</v>
      </c>
      <c r="N84" s="261">
        <v>28</v>
      </c>
      <c r="O84" s="261">
        <v>29.5</v>
      </c>
      <c r="P84" s="261">
        <v>31</v>
      </c>
      <c r="Q84" s="248"/>
      <c r="R84" s="261">
        <v>21.504999160766602</v>
      </c>
      <c r="S84" s="261">
        <v>23.004999160766602</v>
      </c>
      <c r="T84" s="261">
        <v>24.504999160766602</v>
      </c>
      <c r="U84" s="248"/>
      <c r="V84" s="261">
        <v>0</v>
      </c>
      <c r="W84" s="261">
        <v>0</v>
      </c>
      <c r="X84" s="261">
        <v>0</v>
      </c>
      <c r="Y84" s="248"/>
      <c r="Z84" s="261">
        <v>0.18675</v>
      </c>
      <c r="AA84" s="261">
        <v>0.249</v>
      </c>
      <c r="AB84" s="261">
        <v>0.3735</v>
      </c>
      <c r="AC84" s="248"/>
      <c r="AD84" s="261">
        <v>0.11625000000000001</v>
      </c>
      <c r="AE84" s="261">
        <v>0.155</v>
      </c>
      <c r="AF84" s="261">
        <v>0.23250000000000001</v>
      </c>
      <c r="AG84" s="248"/>
      <c r="AH84" s="261">
        <v>-0.4</v>
      </c>
      <c r="AI84" s="261">
        <v>2.15</v>
      </c>
      <c r="AJ84" s="261">
        <v>0.5</v>
      </c>
      <c r="AK84" s="248"/>
      <c r="AL84" s="261">
        <v>-0.1</v>
      </c>
      <c r="AM84" s="261">
        <v>1.05</v>
      </c>
      <c r="AN84" s="261">
        <v>0.1</v>
      </c>
      <c r="AO84" s="248"/>
      <c r="AP84" s="7">
        <v>26</v>
      </c>
      <c r="AQ84" s="9">
        <v>0.4</v>
      </c>
      <c r="AR84" s="248"/>
      <c r="AS84" s="248"/>
      <c r="AT84" s="248"/>
      <c r="AU84" s="248"/>
      <c r="AV84" s="248"/>
      <c r="AW84" s="248"/>
      <c r="AX84" s="248"/>
      <c r="AY84" s="248"/>
      <c r="AZ84" s="248"/>
      <c r="BA84" s="248"/>
      <c r="BB84" s="248"/>
      <c r="BC84" s="248"/>
      <c r="BD84" s="248"/>
      <c r="BE84" s="248"/>
      <c r="BF84" s="248"/>
      <c r="BG84" s="248"/>
      <c r="BH84" s="249">
        <v>39203</v>
      </c>
      <c r="BI84" s="262">
        <v>0.75</v>
      </c>
      <c r="BJ84" s="248"/>
      <c r="BK84" s="248"/>
      <c r="BL84" s="248"/>
      <c r="BM84" s="248"/>
      <c r="BN84" s="248"/>
      <c r="BO84"/>
      <c r="BP84"/>
      <c r="BQ84"/>
      <c r="BR84"/>
      <c r="BS84"/>
      <c r="BT84" s="248"/>
      <c r="BU84" s="248"/>
      <c r="BV84" s="248"/>
      <c r="BW84" s="248"/>
      <c r="BX84" s="248"/>
      <c r="BY84" s="248"/>
      <c r="BZ84" s="248"/>
      <c r="CA84" s="248"/>
      <c r="CB84" s="248"/>
      <c r="CC84" s="248"/>
      <c r="CD84" s="248"/>
      <c r="CE84" s="248"/>
      <c r="CF84" s="248"/>
      <c r="CG84" s="248"/>
    </row>
    <row r="85" spans="1:85" ht="12.75" x14ac:dyDescent="0.2">
      <c r="A85" s="29">
        <v>39417</v>
      </c>
      <c r="B85" s="243">
        <v>6.0619349516688001E-2</v>
      </c>
      <c r="D85" s="260">
        <v>38353</v>
      </c>
      <c r="E85" s="9">
        <v>41.587864685058591</v>
      </c>
      <c r="F85" s="9">
        <v>42.037864685058594</v>
      </c>
      <c r="G85" s="9">
        <v>42.487864685058597</v>
      </c>
      <c r="H85" s="8"/>
      <c r="I85" s="9">
        <v>20.75</v>
      </c>
      <c r="J85" s="9">
        <v>21</v>
      </c>
      <c r="K85" s="9">
        <v>21.75</v>
      </c>
      <c r="L85" s="7"/>
      <c r="M85" s="249">
        <v>39234</v>
      </c>
      <c r="N85" s="261">
        <v>35</v>
      </c>
      <c r="O85" s="261">
        <v>36.5</v>
      </c>
      <c r="P85" s="261">
        <v>38</v>
      </c>
      <c r="Q85" s="248"/>
      <c r="R85" s="261">
        <v>25.5</v>
      </c>
      <c r="S85" s="261">
        <v>27</v>
      </c>
      <c r="T85" s="261">
        <v>28.5</v>
      </c>
      <c r="U85" s="248"/>
      <c r="V85" s="261">
        <v>0</v>
      </c>
      <c r="W85" s="261">
        <v>0</v>
      </c>
      <c r="X85" s="261">
        <v>0</v>
      </c>
      <c r="Y85" s="248"/>
      <c r="Z85" s="261">
        <v>0.18675</v>
      </c>
      <c r="AA85" s="261">
        <v>0.249</v>
      </c>
      <c r="AB85" s="261">
        <v>0.3735</v>
      </c>
      <c r="AC85" s="248"/>
      <c r="AD85" s="261">
        <v>0.13125000000000001</v>
      </c>
      <c r="AE85" s="261">
        <v>0.17499999999999999</v>
      </c>
      <c r="AF85" s="261">
        <v>0.26250000000000001</v>
      </c>
      <c r="AG85" s="248"/>
      <c r="AH85" s="261">
        <v>-0.4</v>
      </c>
      <c r="AI85" s="261">
        <v>2.9</v>
      </c>
      <c r="AJ85" s="261">
        <v>0.5</v>
      </c>
      <c r="AK85" s="248"/>
      <c r="AL85" s="261">
        <v>-0.1</v>
      </c>
      <c r="AM85" s="261">
        <v>1.1499999999999999</v>
      </c>
      <c r="AN85" s="261">
        <v>0.1</v>
      </c>
      <c r="AO85" s="248"/>
      <c r="AP85" s="7">
        <v>26</v>
      </c>
      <c r="AQ85" s="9">
        <v>0.4</v>
      </c>
      <c r="AR85" s="248"/>
      <c r="AS85" s="248"/>
      <c r="AT85" s="248"/>
      <c r="AU85" s="248"/>
      <c r="AV85" s="248"/>
      <c r="AW85" s="248"/>
      <c r="AX85" s="248"/>
      <c r="AY85" s="248"/>
      <c r="AZ85" s="248"/>
      <c r="BA85" s="248"/>
      <c r="BB85" s="248"/>
      <c r="BC85" s="248"/>
      <c r="BD85" s="248"/>
      <c r="BE85" s="248"/>
      <c r="BF85" s="248"/>
      <c r="BG85" s="248"/>
      <c r="BH85" s="249">
        <v>39234</v>
      </c>
      <c r="BI85" s="262">
        <v>0.75</v>
      </c>
      <c r="BJ85" s="248"/>
      <c r="BK85" s="248"/>
      <c r="BL85" s="248"/>
      <c r="BM85" s="248"/>
      <c r="BN85" s="248"/>
      <c r="BO85"/>
      <c r="BP85"/>
      <c r="BQ85"/>
      <c r="BR85"/>
      <c r="BS85"/>
      <c r="BT85" s="248"/>
      <c r="BU85" s="248"/>
      <c r="BV85" s="248"/>
      <c r="BW85" s="248"/>
      <c r="BX85" s="248"/>
      <c r="BY85" s="248"/>
      <c r="BZ85" s="248"/>
      <c r="CA85" s="248"/>
      <c r="CB85" s="248"/>
      <c r="CC85" s="248"/>
      <c r="CD85" s="248"/>
      <c r="CE85" s="248"/>
      <c r="CF85" s="248"/>
      <c r="CG85" s="248"/>
    </row>
    <row r="86" spans="1:85" ht="12.75" x14ac:dyDescent="0.2">
      <c r="A86" s="29">
        <v>39448</v>
      </c>
      <c r="B86" s="243">
        <v>6.068946497446602E-2</v>
      </c>
      <c r="D86" s="260">
        <v>38384</v>
      </c>
      <c r="E86" s="9">
        <v>41.237862396240232</v>
      </c>
      <c r="F86" s="9">
        <v>41.687862396240234</v>
      </c>
      <c r="G86" s="9">
        <v>42.137862396240237</v>
      </c>
      <c r="H86" s="8"/>
      <c r="I86" s="9">
        <v>19.25</v>
      </c>
      <c r="J86" s="9">
        <v>19.5</v>
      </c>
      <c r="K86" s="9">
        <v>20.25</v>
      </c>
      <c r="L86" s="7"/>
      <c r="M86" s="249">
        <v>39264</v>
      </c>
      <c r="N86" s="261">
        <v>41</v>
      </c>
      <c r="O86" s="261">
        <v>42.5</v>
      </c>
      <c r="P86" s="261">
        <v>44</v>
      </c>
      <c r="Q86" s="248"/>
      <c r="R86" s="261">
        <v>31.5</v>
      </c>
      <c r="S86" s="261">
        <v>33</v>
      </c>
      <c r="T86" s="261">
        <v>34.5</v>
      </c>
      <c r="U86" s="248"/>
      <c r="V86" s="261">
        <v>0</v>
      </c>
      <c r="W86" s="261">
        <v>0</v>
      </c>
      <c r="X86" s="261">
        <v>0</v>
      </c>
      <c r="Y86" s="248"/>
      <c r="Z86" s="261">
        <v>0.18675</v>
      </c>
      <c r="AA86" s="261">
        <v>0.249</v>
      </c>
      <c r="AB86" s="261">
        <v>0.3735</v>
      </c>
      <c r="AC86" s="248"/>
      <c r="AD86" s="261">
        <v>0.16125</v>
      </c>
      <c r="AE86" s="261">
        <v>0.215</v>
      </c>
      <c r="AF86" s="261">
        <v>0.32250000000000001</v>
      </c>
      <c r="AG86" s="248"/>
      <c r="AH86" s="261">
        <v>-0.4</v>
      </c>
      <c r="AI86" s="261">
        <v>3.9</v>
      </c>
      <c r="AJ86" s="261">
        <v>0.5</v>
      </c>
      <c r="AK86" s="248"/>
      <c r="AL86" s="261">
        <v>-0.1</v>
      </c>
      <c r="AM86" s="261">
        <v>1.1499999999999999</v>
      </c>
      <c r="AN86" s="261">
        <v>0.1</v>
      </c>
      <c r="AO86" s="248"/>
      <c r="AP86" s="7">
        <v>26</v>
      </c>
      <c r="AQ86" s="9">
        <v>0.4</v>
      </c>
      <c r="AR86" s="248"/>
      <c r="AS86" s="248"/>
      <c r="AT86" s="248"/>
      <c r="AU86" s="248"/>
      <c r="AV86" s="248"/>
      <c r="AW86" s="248"/>
      <c r="AX86" s="248"/>
      <c r="AY86" s="248"/>
      <c r="AZ86" s="248"/>
      <c r="BA86" s="248"/>
      <c r="BB86" s="248"/>
      <c r="BC86" s="248"/>
      <c r="BD86" s="248"/>
      <c r="BE86" s="248"/>
      <c r="BF86" s="248"/>
      <c r="BG86" s="248"/>
      <c r="BH86" s="249">
        <v>39264</v>
      </c>
      <c r="BI86" s="262">
        <v>0.75</v>
      </c>
      <c r="BJ86" s="248"/>
      <c r="BK86" s="248"/>
      <c r="BL86" s="248"/>
      <c r="BM86" s="248"/>
      <c r="BN86" s="248"/>
      <c r="BO86"/>
      <c r="BP86"/>
      <c r="BQ86"/>
      <c r="BR86"/>
      <c r="BS86"/>
      <c r="BT86" s="248"/>
      <c r="BU86" s="248"/>
      <c r="BV86" s="248"/>
      <c r="BW86" s="248"/>
      <c r="BX86" s="248"/>
      <c r="BY86" s="248"/>
      <c r="BZ86" s="248"/>
      <c r="CA86" s="248"/>
      <c r="CB86" s="248"/>
      <c r="CC86" s="248"/>
      <c r="CD86" s="248"/>
      <c r="CE86" s="248"/>
      <c r="CF86" s="248"/>
      <c r="CG86" s="248"/>
    </row>
    <row r="87" spans="1:85" ht="12.75" x14ac:dyDescent="0.2">
      <c r="A87" s="29">
        <v>39479</v>
      </c>
      <c r="B87" s="243">
        <v>6.0745061117301997E-2</v>
      </c>
      <c r="D87" s="260">
        <v>38412</v>
      </c>
      <c r="E87" s="9">
        <v>32.248544311523439</v>
      </c>
      <c r="F87" s="9">
        <v>32.898544311523438</v>
      </c>
      <c r="G87" s="9">
        <v>33.548544311523436</v>
      </c>
      <c r="H87" s="8"/>
      <c r="I87" s="9">
        <v>20.25</v>
      </c>
      <c r="J87" s="9">
        <v>20.5</v>
      </c>
      <c r="K87" s="9">
        <v>21.25</v>
      </c>
      <c r="L87" s="7"/>
      <c r="M87" s="249">
        <v>39295</v>
      </c>
      <c r="N87" s="261">
        <v>39.000003814697266</v>
      </c>
      <c r="O87" s="261">
        <v>40.500003814697266</v>
      </c>
      <c r="P87" s="261">
        <v>42.000003814697266</v>
      </c>
      <c r="Q87" s="248"/>
      <c r="R87" s="261">
        <v>31.5</v>
      </c>
      <c r="S87" s="261">
        <v>33</v>
      </c>
      <c r="T87" s="261">
        <v>34.5</v>
      </c>
      <c r="U87" s="248"/>
      <c r="V87" s="261">
        <v>0</v>
      </c>
      <c r="W87" s="261">
        <v>0</v>
      </c>
      <c r="X87" s="261">
        <v>0</v>
      </c>
      <c r="Y87" s="248"/>
      <c r="Z87" s="261">
        <v>0.18675</v>
      </c>
      <c r="AA87" s="261">
        <v>0.249</v>
      </c>
      <c r="AB87" s="261">
        <v>0.3735</v>
      </c>
      <c r="AC87" s="248"/>
      <c r="AD87" s="261">
        <v>0.16125</v>
      </c>
      <c r="AE87" s="261">
        <v>0.215</v>
      </c>
      <c r="AF87" s="261">
        <v>0.32250000000000001</v>
      </c>
      <c r="AG87" s="248"/>
      <c r="AH87" s="261">
        <v>-0.5</v>
      </c>
      <c r="AI87" s="261">
        <v>3.9</v>
      </c>
      <c r="AJ87" s="261">
        <v>1.75</v>
      </c>
      <c r="AK87" s="248"/>
      <c r="AL87" s="261">
        <v>-0.1</v>
      </c>
      <c r="AM87" s="261">
        <v>1.1499999999999999</v>
      </c>
      <c r="AN87" s="261">
        <v>0.1</v>
      </c>
      <c r="AO87" s="248"/>
      <c r="AP87" s="7">
        <v>27</v>
      </c>
      <c r="AQ87" s="9">
        <v>0.4</v>
      </c>
      <c r="AR87" s="248"/>
      <c r="AS87" s="248"/>
      <c r="AT87" s="248"/>
      <c r="AU87" s="248"/>
      <c r="AV87" s="248"/>
      <c r="AW87" s="248"/>
      <c r="AX87" s="248"/>
      <c r="AY87" s="248"/>
      <c r="AZ87" s="248"/>
      <c r="BA87" s="248"/>
      <c r="BB87" s="248"/>
      <c r="BC87" s="248"/>
      <c r="BD87" s="248"/>
      <c r="BE87" s="248"/>
      <c r="BF87" s="248"/>
      <c r="BG87" s="248"/>
      <c r="BH87" s="249">
        <v>39295</v>
      </c>
      <c r="BI87" s="262">
        <v>0.75</v>
      </c>
      <c r="BJ87" s="248"/>
      <c r="BK87" s="248"/>
      <c r="BL87" s="248"/>
      <c r="BM87" s="248"/>
      <c r="BN87" s="248"/>
      <c r="BO87"/>
      <c r="BP87"/>
      <c r="BQ87"/>
      <c r="BR87"/>
      <c r="BS87"/>
      <c r="BT87" s="248"/>
      <c r="BU87" s="248"/>
      <c r="BV87" s="248"/>
      <c r="BW87" s="248"/>
      <c r="BX87" s="248"/>
      <c r="BY87" s="248"/>
      <c r="BZ87" s="248"/>
      <c r="CA87" s="248"/>
      <c r="CB87" s="248"/>
      <c r="CC87" s="248"/>
      <c r="CD87" s="248"/>
      <c r="CE87" s="248"/>
      <c r="CF87" s="248"/>
      <c r="CG87" s="248"/>
    </row>
    <row r="88" spans="1:85" ht="12.75" x14ac:dyDescent="0.2">
      <c r="A88" s="29">
        <v>39508</v>
      </c>
      <c r="B88" s="243">
        <v>6.0804491478020001E-2</v>
      </c>
      <c r="D88" s="260">
        <v>38443</v>
      </c>
      <c r="E88" s="9">
        <v>32.198545074462892</v>
      </c>
      <c r="F88" s="9">
        <v>33.348545074462891</v>
      </c>
      <c r="G88" s="9">
        <v>34.498545074462889</v>
      </c>
      <c r="H88" s="8"/>
      <c r="I88" s="9">
        <v>18.25</v>
      </c>
      <c r="J88" s="9">
        <v>18.5</v>
      </c>
      <c r="K88" s="9">
        <v>19.25</v>
      </c>
      <c r="L88" s="7"/>
      <c r="M88" s="249">
        <v>39326</v>
      </c>
      <c r="N88" s="261">
        <v>31</v>
      </c>
      <c r="O88" s="261">
        <v>32.5</v>
      </c>
      <c r="P88" s="261">
        <v>34</v>
      </c>
      <c r="Q88" s="248"/>
      <c r="R88" s="261">
        <v>25.5</v>
      </c>
      <c r="S88" s="261">
        <v>27</v>
      </c>
      <c r="T88" s="261">
        <v>28.5</v>
      </c>
      <c r="U88" s="248"/>
      <c r="V88" s="261">
        <v>0</v>
      </c>
      <c r="W88" s="261">
        <v>0</v>
      </c>
      <c r="X88" s="261">
        <v>0</v>
      </c>
      <c r="Y88" s="248"/>
      <c r="Z88" s="261">
        <v>0.18675</v>
      </c>
      <c r="AA88" s="261">
        <v>0.249</v>
      </c>
      <c r="AB88" s="261">
        <v>0.3735</v>
      </c>
      <c r="AC88" s="248"/>
      <c r="AD88" s="261">
        <v>0.10125000000000001</v>
      </c>
      <c r="AE88" s="261">
        <v>0.13500000000000001</v>
      </c>
      <c r="AF88" s="261">
        <v>0.20250000000000001</v>
      </c>
      <c r="AG88" s="248"/>
      <c r="AH88" s="261">
        <v>-1</v>
      </c>
      <c r="AI88" s="261">
        <v>2.33</v>
      </c>
      <c r="AJ88" s="261">
        <v>2.5</v>
      </c>
      <c r="AK88" s="248"/>
      <c r="AL88" s="261">
        <v>-0.1</v>
      </c>
      <c r="AM88" s="261">
        <v>1.05</v>
      </c>
      <c r="AN88" s="261">
        <v>0.1</v>
      </c>
      <c r="AO88" s="248"/>
      <c r="AP88" s="7">
        <v>27</v>
      </c>
      <c r="AQ88" s="9">
        <v>0.4</v>
      </c>
      <c r="AR88" s="248"/>
      <c r="AS88" s="248"/>
      <c r="AT88" s="248"/>
      <c r="AU88" s="248"/>
      <c r="AV88" s="248"/>
      <c r="AW88" s="248"/>
      <c r="AX88" s="248"/>
      <c r="AY88" s="248"/>
      <c r="AZ88" s="248"/>
      <c r="BA88" s="248"/>
      <c r="BB88" s="248"/>
      <c r="BC88" s="248"/>
      <c r="BD88" s="248"/>
      <c r="BE88" s="248"/>
      <c r="BF88" s="248"/>
      <c r="BG88" s="248"/>
      <c r="BH88" s="249">
        <v>39326</v>
      </c>
      <c r="BI88" s="262">
        <v>0.75</v>
      </c>
      <c r="BJ88" s="248"/>
      <c r="BK88" s="248"/>
      <c r="BL88" s="248"/>
      <c r="BM88" s="248"/>
      <c r="BN88" s="248"/>
      <c r="BO88"/>
      <c r="BP88"/>
      <c r="BQ88"/>
      <c r="BR88"/>
      <c r="BS88"/>
      <c r="BT88" s="248"/>
      <c r="BU88" s="248"/>
      <c r="BV88" s="248"/>
      <c r="BW88" s="248"/>
      <c r="BX88" s="248"/>
      <c r="BY88" s="248"/>
      <c r="BZ88" s="248"/>
      <c r="CA88" s="248"/>
      <c r="CB88" s="248"/>
      <c r="CC88" s="248"/>
      <c r="CD88" s="248"/>
      <c r="CE88" s="248"/>
      <c r="CF88" s="248"/>
      <c r="CG88" s="248"/>
    </row>
    <row r="89" spans="1:85" ht="12.75" x14ac:dyDescent="0.2">
      <c r="A89" s="29">
        <v>39539</v>
      </c>
      <c r="B89" s="243">
        <v>6.0862004731444021E-2</v>
      </c>
      <c r="D89" s="260">
        <v>38473</v>
      </c>
      <c r="E89" s="9">
        <v>33.103566741943361</v>
      </c>
      <c r="F89" s="9">
        <v>35.003566741943359</v>
      </c>
      <c r="G89" s="9">
        <v>36.903566741943358</v>
      </c>
      <c r="H89" s="8"/>
      <c r="I89" s="9">
        <v>20.25</v>
      </c>
      <c r="J89" s="9">
        <v>20.5</v>
      </c>
      <c r="K89" s="9">
        <v>21.25</v>
      </c>
      <c r="L89" s="7"/>
      <c r="M89" s="249">
        <v>39356</v>
      </c>
      <c r="N89" s="261">
        <v>25.996000289916992</v>
      </c>
      <c r="O89" s="261">
        <v>27.496000289916992</v>
      </c>
      <c r="P89" s="261">
        <v>28.996000289916992</v>
      </c>
      <c r="Q89" s="248"/>
      <c r="R89" s="261">
        <v>20.496500015258789</v>
      </c>
      <c r="S89" s="261">
        <v>21.996500015258789</v>
      </c>
      <c r="T89" s="261">
        <v>23.496500015258789</v>
      </c>
      <c r="U89" s="248"/>
      <c r="V89" s="261">
        <v>0</v>
      </c>
      <c r="W89" s="261">
        <v>0</v>
      </c>
      <c r="X89" s="261">
        <v>0</v>
      </c>
      <c r="Y89" s="248"/>
      <c r="Z89" s="261">
        <v>0.18675</v>
      </c>
      <c r="AA89" s="261">
        <v>0.249</v>
      </c>
      <c r="AB89" s="261">
        <v>0.3735</v>
      </c>
      <c r="AC89" s="248"/>
      <c r="AD89" s="261">
        <v>7.8750000000000001E-2</v>
      </c>
      <c r="AE89" s="261">
        <v>0.105</v>
      </c>
      <c r="AF89" s="261">
        <v>0.1575</v>
      </c>
      <c r="AG89" s="248"/>
      <c r="AH89" s="261">
        <v>-1</v>
      </c>
      <c r="AI89" s="261">
        <v>2.06</v>
      </c>
      <c r="AJ89" s="261">
        <v>2.5</v>
      </c>
      <c r="AK89" s="248"/>
      <c r="AL89" s="261">
        <v>-0.1</v>
      </c>
      <c r="AM89" s="261">
        <v>1</v>
      </c>
      <c r="AN89" s="261">
        <v>0.1</v>
      </c>
      <c r="AO89" s="248"/>
      <c r="AP89" s="7">
        <v>27</v>
      </c>
      <c r="AQ89" s="9">
        <v>0.4</v>
      </c>
      <c r="AR89" s="248"/>
      <c r="AS89" s="248"/>
      <c r="AT89" s="248"/>
      <c r="AU89" s="248"/>
      <c r="AV89" s="248"/>
      <c r="AW89" s="248"/>
      <c r="AX89" s="248"/>
      <c r="AY89" s="248"/>
      <c r="AZ89" s="248"/>
      <c r="BA89" s="248"/>
      <c r="BB89" s="248"/>
      <c r="BC89" s="248"/>
      <c r="BD89" s="248"/>
      <c r="BE89" s="248"/>
      <c r="BF89" s="248"/>
      <c r="BG89" s="248"/>
      <c r="BH89" s="249">
        <v>39356</v>
      </c>
      <c r="BI89" s="262">
        <v>0.75</v>
      </c>
      <c r="BJ89" s="248"/>
      <c r="BK89" s="248"/>
      <c r="BL89" s="248"/>
      <c r="BM89" s="248"/>
      <c r="BN89" s="248"/>
      <c r="BO89"/>
      <c r="BP89"/>
      <c r="BQ89"/>
      <c r="BR89"/>
      <c r="BS89"/>
      <c r="BT89" s="248"/>
      <c r="BU89" s="248"/>
      <c r="BV89" s="248"/>
      <c r="BW89" s="248"/>
      <c r="BX89" s="248"/>
      <c r="BY89" s="248"/>
      <c r="BZ89" s="248"/>
      <c r="CA89" s="248"/>
      <c r="CB89" s="248"/>
      <c r="CC89" s="248"/>
      <c r="CD89" s="248"/>
      <c r="CE89" s="248"/>
      <c r="CF89" s="248"/>
      <c r="CG89" s="248"/>
    </row>
    <row r="90" spans="1:85" ht="12.75" x14ac:dyDescent="0.2">
      <c r="A90" s="29">
        <v>39569</v>
      </c>
      <c r="B90" s="243">
        <v>6.0921435094471024E-2</v>
      </c>
      <c r="D90" s="260">
        <v>38504</v>
      </c>
      <c r="E90" s="9">
        <v>39.997856140136719</v>
      </c>
      <c r="F90" s="9">
        <v>44.497856140136719</v>
      </c>
      <c r="G90" s="9">
        <v>48.997856140136719</v>
      </c>
      <c r="H90" s="8"/>
      <c r="I90" s="9">
        <v>23.25</v>
      </c>
      <c r="J90" s="9">
        <v>23.5</v>
      </c>
      <c r="K90" s="9">
        <v>24.25</v>
      </c>
      <c r="L90" s="7"/>
      <c r="M90" s="249">
        <v>39387</v>
      </c>
      <c r="N90" s="261">
        <v>28</v>
      </c>
      <c r="O90" s="261">
        <v>29.5</v>
      </c>
      <c r="P90" s="261">
        <v>31</v>
      </c>
      <c r="Q90" s="248"/>
      <c r="R90" s="261">
        <v>20.5</v>
      </c>
      <c r="S90" s="261">
        <v>22</v>
      </c>
      <c r="T90" s="261">
        <v>23.5</v>
      </c>
      <c r="U90" s="248"/>
      <c r="V90" s="261">
        <v>0</v>
      </c>
      <c r="W90" s="261">
        <v>0</v>
      </c>
      <c r="X90" s="261">
        <v>0</v>
      </c>
      <c r="Y90" s="248"/>
      <c r="Z90" s="261">
        <v>0.18675</v>
      </c>
      <c r="AA90" s="261">
        <v>0.249</v>
      </c>
      <c r="AB90" s="261">
        <v>0.3735</v>
      </c>
      <c r="AC90" s="248"/>
      <c r="AD90" s="261">
        <v>7.8750000000000001E-2</v>
      </c>
      <c r="AE90" s="261">
        <v>0.105</v>
      </c>
      <c r="AF90" s="261">
        <v>0.1575</v>
      </c>
      <c r="AG90" s="248"/>
      <c r="AH90" s="261">
        <v>-0.5</v>
      </c>
      <c r="AI90" s="261">
        <v>2.052</v>
      </c>
      <c r="AJ90" s="261">
        <v>1</v>
      </c>
      <c r="AK90" s="248"/>
      <c r="AL90" s="261">
        <v>-0.1</v>
      </c>
      <c r="AM90" s="261">
        <v>1</v>
      </c>
      <c r="AN90" s="261">
        <v>0.1</v>
      </c>
      <c r="AO90" s="248"/>
      <c r="AP90" s="7">
        <v>28</v>
      </c>
      <c r="AQ90" s="9">
        <v>0.4</v>
      </c>
      <c r="AR90" s="248"/>
      <c r="AS90" s="248"/>
      <c r="AT90" s="248"/>
      <c r="AU90" s="248"/>
      <c r="AV90" s="248"/>
      <c r="AW90" s="248"/>
      <c r="AX90" s="248"/>
      <c r="AY90" s="248"/>
      <c r="AZ90" s="248"/>
      <c r="BA90" s="248"/>
      <c r="BB90" s="248"/>
      <c r="BC90" s="248"/>
      <c r="BD90" s="248"/>
      <c r="BE90" s="248"/>
      <c r="BF90" s="248"/>
      <c r="BG90" s="248"/>
      <c r="BH90" s="249">
        <v>39387</v>
      </c>
      <c r="BI90" s="262">
        <v>0.75</v>
      </c>
      <c r="BJ90" s="248"/>
      <c r="BK90" s="248"/>
      <c r="BL90" s="248"/>
      <c r="BM90" s="248"/>
      <c r="BN90" s="248"/>
      <c r="BO90"/>
      <c r="BP90"/>
      <c r="BQ90"/>
      <c r="BR90"/>
      <c r="BS90"/>
      <c r="BT90" s="248"/>
      <c r="BU90" s="248"/>
      <c r="BV90" s="248"/>
      <c r="BW90" s="248"/>
      <c r="BX90" s="248"/>
      <c r="BY90" s="248"/>
      <c r="BZ90" s="248"/>
      <c r="CA90" s="248"/>
      <c r="CB90" s="248"/>
      <c r="CC90" s="248"/>
      <c r="CD90" s="248"/>
      <c r="CE90" s="248"/>
      <c r="CF90" s="248"/>
      <c r="CG90" s="248"/>
    </row>
    <row r="91" spans="1:85" ht="12.75" x14ac:dyDescent="0.2">
      <c r="A91" s="29">
        <v>39600</v>
      </c>
      <c r="B91" s="243">
        <v>6.0978948350129007E-2</v>
      </c>
      <c r="D91" s="260">
        <v>38534</v>
      </c>
      <c r="E91" s="9">
        <v>59.997146606445313</v>
      </c>
      <c r="F91" s="9">
        <v>67.997146606445313</v>
      </c>
      <c r="G91" s="9">
        <v>75.997146606445313</v>
      </c>
      <c r="H91" s="8"/>
      <c r="I91" s="9">
        <v>23.75</v>
      </c>
      <c r="J91" s="9">
        <v>24</v>
      </c>
      <c r="K91" s="9">
        <v>24.75</v>
      </c>
      <c r="L91" s="7"/>
      <c r="M91" s="249">
        <v>39417</v>
      </c>
      <c r="N91" s="261">
        <v>33</v>
      </c>
      <c r="O91" s="261">
        <v>34.5</v>
      </c>
      <c r="P91" s="261">
        <v>36</v>
      </c>
      <c r="Q91" s="248"/>
      <c r="R91" s="261">
        <v>27.5</v>
      </c>
      <c r="S91" s="261">
        <v>29</v>
      </c>
      <c r="T91" s="261">
        <v>30.5</v>
      </c>
      <c r="U91" s="248"/>
      <c r="V91" s="261">
        <v>0</v>
      </c>
      <c r="W91" s="261">
        <v>0</v>
      </c>
      <c r="X91" s="261">
        <v>0</v>
      </c>
      <c r="Y91" s="248"/>
      <c r="Z91" s="261">
        <v>0.18675</v>
      </c>
      <c r="AA91" s="261">
        <v>0.249</v>
      </c>
      <c r="AB91" s="261">
        <v>0.3735</v>
      </c>
      <c r="AC91" s="248"/>
      <c r="AD91" s="261">
        <v>0.10875</v>
      </c>
      <c r="AE91" s="261">
        <v>0.14499999999999999</v>
      </c>
      <c r="AF91" s="261">
        <v>0.2175</v>
      </c>
      <c r="AG91" s="248"/>
      <c r="AH91" s="261">
        <v>-0.4</v>
      </c>
      <c r="AI91" s="261">
        <v>1.89</v>
      </c>
      <c r="AJ91" s="261">
        <v>0.5</v>
      </c>
      <c r="AK91" s="248"/>
      <c r="AL91" s="261">
        <v>-0.1</v>
      </c>
      <c r="AM91" s="261">
        <v>1</v>
      </c>
      <c r="AN91" s="261">
        <v>0.1</v>
      </c>
      <c r="AO91" s="248"/>
      <c r="AP91" s="7">
        <v>28</v>
      </c>
      <c r="AQ91" s="9">
        <v>0.4</v>
      </c>
      <c r="AR91" s="248"/>
      <c r="AS91" s="248"/>
      <c r="AT91" s="248"/>
      <c r="AU91" s="248"/>
      <c r="AV91" s="248"/>
      <c r="AW91" s="248"/>
      <c r="AX91" s="248"/>
      <c r="AY91" s="248"/>
      <c r="AZ91" s="248"/>
      <c r="BA91" s="248"/>
      <c r="BB91" s="248"/>
      <c r="BC91" s="248"/>
      <c r="BD91" s="248"/>
      <c r="BE91" s="248"/>
      <c r="BF91" s="248"/>
      <c r="BG91" s="248"/>
      <c r="BH91" s="249">
        <v>39417</v>
      </c>
      <c r="BI91" s="262">
        <v>0.75</v>
      </c>
      <c r="BJ91" s="248"/>
      <c r="BK91" s="248"/>
      <c r="BL91" s="248"/>
      <c r="BM91" s="248"/>
      <c r="BN91" s="248"/>
      <c r="BO91"/>
      <c r="BP91"/>
      <c r="BQ91"/>
      <c r="BR91"/>
      <c r="BS91"/>
      <c r="BT91" s="248"/>
      <c r="BU91" s="248"/>
      <c r="BV91" s="248"/>
      <c r="BW91" s="248"/>
      <c r="BX91" s="248"/>
      <c r="BY91" s="248"/>
      <c r="BZ91" s="248"/>
      <c r="CA91" s="248"/>
      <c r="CB91" s="248"/>
      <c r="CC91" s="248"/>
      <c r="CD91" s="248"/>
      <c r="CE91" s="248"/>
      <c r="CF91" s="248"/>
      <c r="CG91" s="248"/>
    </row>
    <row r="92" spans="1:85" ht="12.75" x14ac:dyDescent="0.2">
      <c r="A92" s="29">
        <v>39630</v>
      </c>
      <c r="B92" s="243">
        <v>6.1038378715462985E-2</v>
      </c>
      <c r="D92" s="260">
        <v>38565</v>
      </c>
      <c r="E92" s="9">
        <v>59.997146606445313</v>
      </c>
      <c r="F92" s="9">
        <v>67.997146606445313</v>
      </c>
      <c r="G92" s="9">
        <v>75.997146606445313</v>
      </c>
      <c r="H92" s="8"/>
      <c r="I92" s="9">
        <v>24.75</v>
      </c>
      <c r="J92" s="9">
        <v>25</v>
      </c>
      <c r="K92" s="9">
        <v>25.75</v>
      </c>
      <c r="L92" s="7"/>
      <c r="M92" s="249">
        <v>39448</v>
      </c>
      <c r="N92" s="261">
        <v>35.5</v>
      </c>
      <c r="O92" s="261">
        <v>37</v>
      </c>
      <c r="P92" s="261">
        <v>38.5</v>
      </c>
      <c r="Q92" s="248"/>
      <c r="R92" s="261">
        <v>25</v>
      </c>
      <c r="S92" s="261">
        <v>26.5</v>
      </c>
      <c r="T92" s="261">
        <v>28</v>
      </c>
      <c r="U92" s="248"/>
      <c r="V92" s="261">
        <v>0</v>
      </c>
      <c r="W92" s="261">
        <v>0</v>
      </c>
      <c r="X92" s="261">
        <v>0</v>
      </c>
      <c r="Y92" s="248"/>
      <c r="Z92" s="261">
        <v>7.3874999999999996E-2</v>
      </c>
      <c r="AA92" s="261">
        <v>9.8500000000000004E-2</v>
      </c>
      <c r="AB92" s="261">
        <v>0.14774999999999999</v>
      </c>
      <c r="AC92" s="248"/>
      <c r="AD92" s="261">
        <v>0.10125000000000001</v>
      </c>
      <c r="AE92" s="261">
        <v>0.13500000000000001</v>
      </c>
      <c r="AF92" s="261">
        <v>0.20250000000000001</v>
      </c>
      <c r="AG92" s="248"/>
      <c r="AH92" s="261">
        <v>-0.4</v>
      </c>
      <c r="AI92" s="261">
        <v>2.3220000000000001</v>
      </c>
      <c r="AJ92" s="261">
        <v>0.5</v>
      </c>
      <c r="AK92" s="248"/>
      <c r="AL92" s="261">
        <v>-0.1</v>
      </c>
      <c r="AM92" s="261">
        <v>1</v>
      </c>
      <c r="AN92" s="261">
        <v>0.1</v>
      </c>
      <c r="AO92" s="248"/>
      <c r="AP92" s="7">
        <v>28</v>
      </c>
      <c r="AQ92" s="9">
        <v>0.4</v>
      </c>
      <c r="AR92" s="248"/>
      <c r="AS92" s="248"/>
      <c r="AT92" s="248"/>
      <c r="AU92" s="248"/>
      <c r="AV92" s="248"/>
      <c r="AW92" s="248"/>
      <c r="AX92" s="248"/>
      <c r="AY92" s="248"/>
      <c r="AZ92" s="248"/>
      <c r="BA92" s="248"/>
      <c r="BB92" s="248"/>
      <c r="BC92" s="248"/>
      <c r="BD92" s="248"/>
      <c r="BE92" s="248"/>
      <c r="BF92" s="248"/>
      <c r="BG92" s="248"/>
      <c r="BH92" s="249">
        <v>39448</v>
      </c>
      <c r="BI92" s="262">
        <v>0.75</v>
      </c>
      <c r="BJ92" s="248"/>
      <c r="BK92" s="248"/>
      <c r="BL92" s="248"/>
      <c r="BM92" s="248"/>
      <c r="BN92" s="248"/>
      <c r="BO92"/>
      <c r="BP92"/>
      <c r="BQ92"/>
      <c r="BR92"/>
      <c r="BS92"/>
      <c r="BT92" s="248"/>
      <c r="BU92" s="248"/>
      <c r="BV92" s="248"/>
      <c r="BW92" s="248"/>
      <c r="BX92" s="248"/>
      <c r="BY92" s="248"/>
      <c r="BZ92" s="248"/>
      <c r="CA92" s="248"/>
      <c r="CB92" s="248"/>
      <c r="CC92" s="248"/>
      <c r="CD92" s="248"/>
      <c r="CE92" s="248"/>
      <c r="CF92" s="248"/>
      <c r="CG92" s="248"/>
    </row>
    <row r="93" spans="1:85" ht="12.75" x14ac:dyDescent="0.2">
      <c r="A93" s="29">
        <v>39661</v>
      </c>
      <c r="B93" s="243">
        <v>6.1097809081971016E-2</v>
      </c>
      <c r="D93" s="260">
        <v>38596</v>
      </c>
      <c r="E93" s="9">
        <v>32.552143859863278</v>
      </c>
      <c r="F93" s="9">
        <v>35.252143859863281</v>
      </c>
      <c r="G93" s="9">
        <v>37.952143859863284</v>
      </c>
      <c r="H93" s="8"/>
      <c r="I93" s="9">
        <v>17.75</v>
      </c>
      <c r="J93" s="9">
        <v>18</v>
      </c>
      <c r="K93" s="9">
        <v>18.75</v>
      </c>
      <c r="L93" s="7"/>
      <c r="M93" s="249">
        <v>39479</v>
      </c>
      <c r="N93" s="261">
        <v>30.996002197265625</v>
      </c>
      <c r="O93" s="261">
        <v>32.496002197265625</v>
      </c>
      <c r="P93" s="261">
        <v>33.996002197265625</v>
      </c>
      <c r="Q93" s="248"/>
      <c r="R93" s="261">
        <v>22.496501922607422</v>
      </c>
      <c r="S93" s="261">
        <v>23.996501922607422</v>
      </c>
      <c r="T93" s="261">
        <v>25.496501922607422</v>
      </c>
      <c r="U93" s="248"/>
      <c r="V93" s="261">
        <v>0</v>
      </c>
      <c r="W93" s="261">
        <v>0</v>
      </c>
      <c r="X93" s="261">
        <v>0</v>
      </c>
      <c r="Y93" s="248"/>
      <c r="Z93" s="261">
        <v>7.3874999999999996E-2</v>
      </c>
      <c r="AA93" s="261">
        <v>9.8500000000000004E-2</v>
      </c>
      <c r="AB93" s="261">
        <v>0.14774999999999999</v>
      </c>
      <c r="AC93" s="248"/>
      <c r="AD93" s="261">
        <v>0.10125000000000001</v>
      </c>
      <c r="AE93" s="261">
        <v>0.13500000000000001</v>
      </c>
      <c r="AF93" s="261">
        <v>0.20250000000000001</v>
      </c>
      <c r="AG93" s="248"/>
      <c r="AH93" s="261">
        <v>-0.4</v>
      </c>
      <c r="AI93" s="261">
        <v>2.3220000000000001</v>
      </c>
      <c r="AJ93" s="261">
        <v>0.6</v>
      </c>
      <c r="AK93" s="248"/>
      <c r="AL93" s="261">
        <v>-0.1</v>
      </c>
      <c r="AM93" s="261">
        <v>1</v>
      </c>
      <c r="AN93" s="261">
        <v>0.1</v>
      </c>
      <c r="AO93" s="248"/>
      <c r="AP93" s="7">
        <v>29</v>
      </c>
      <c r="AQ93" s="9">
        <v>0.4</v>
      </c>
      <c r="AR93" s="248"/>
      <c r="AS93" s="248"/>
      <c r="AT93" s="248"/>
      <c r="AU93" s="248"/>
      <c r="AV93" s="248"/>
      <c r="AW93" s="248"/>
      <c r="AX93" s="248"/>
      <c r="AY93" s="248"/>
      <c r="AZ93" s="248"/>
      <c r="BA93" s="248"/>
      <c r="BB93" s="248"/>
      <c r="BC93" s="248"/>
      <c r="BD93" s="248"/>
      <c r="BE93" s="248"/>
      <c r="BF93" s="248"/>
      <c r="BG93" s="248"/>
      <c r="BH93" s="249">
        <v>39479</v>
      </c>
      <c r="BI93" s="262">
        <v>0.75</v>
      </c>
      <c r="BJ93" s="248"/>
      <c r="BK93" s="248"/>
      <c r="BL93" s="248"/>
      <c r="BM93" s="248"/>
      <c r="BN93" s="248"/>
      <c r="BO93"/>
      <c r="BP93"/>
      <c r="BQ93"/>
      <c r="BR93"/>
      <c r="BS93"/>
      <c r="BT93" s="248"/>
      <c r="BU93" s="248"/>
      <c r="BV93" s="248"/>
      <c r="BW93" s="248"/>
      <c r="BX93" s="248"/>
      <c r="BY93" s="248"/>
      <c r="BZ93" s="248"/>
      <c r="CA93" s="248"/>
      <c r="CB93" s="248"/>
      <c r="CC93" s="248"/>
      <c r="CD93" s="248"/>
      <c r="CE93" s="248"/>
      <c r="CF93" s="248"/>
      <c r="CG93" s="248"/>
    </row>
    <row r="94" spans="1:85" ht="12.75" x14ac:dyDescent="0.2">
      <c r="A94" s="29">
        <v>39692</v>
      </c>
      <c r="B94" s="243">
        <v>6.1155322340999997E-2</v>
      </c>
      <c r="D94" s="260">
        <v>38626</v>
      </c>
      <c r="E94" s="9">
        <v>32.198933410644528</v>
      </c>
      <c r="F94" s="9">
        <v>33.148933410644531</v>
      </c>
      <c r="G94" s="9">
        <v>34.098933410644534</v>
      </c>
      <c r="H94" s="8"/>
      <c r="I94" s="9">
        <v>15.250001907348633</v>
      </c>
      <c r="J94" s="9">
        <v>15.500001907348633</v>
      </c>
      <c r="K94" s="9">
        <v>16.250001907348633</v>
      </c>
      <c r="L94" s="7"/>
      <c r="M94" s="249">
        <v>39508</v>
      </c>
      <c r="N94" s="261">
        <v>26</v>
      </c>
      <c r="O94" s="261">
        <v>27.5</v>
      </c>
      <c r="P94" s="261">
        <v>29</v>
      </c>
      <c r="Q94" s="248"/>
      <c r="R94" s="261">
        <v>20.5</v>
      </c>
      <c r="S94" s="261">
        <v>22</v>
      </c>
      <c r="T94" s="261">
        <v>23.5</v>
      </c>
      <c r="U94" s="248"/>
      <c r="V94" s="261">
        <v>0</v>
      </c>
      <c r="W94" s="261">
        <v>0</v>
      </c>
      <c r="X94" s="261">
        <v>0</v>
      </c>
      <c r="Y94" s="248"/>
      <c r="Z94" s="261">
        <v>7.3874999999999996E-2</v>
      </c>
      <c r="AA94" s="261">
        <v>9.8500000000000004E-2</v>
      </c>
      <c r="AB94" s="261">
        <v>0.14774999999999999</v>
      </c>
      <c r="AC94" s="248"/>
      <c r="AD94" s="261">
        <v>0.09</v>
      </c>
      <c r="AE94" s="261">
        <v>0.12</v>
      </c>
      <c r="AF94" s="261">
        <v>0.18</v>
      </c>
      <c r="AG94" s="248"/>
      <c r="AH94" s="261">
        <v>-0.5</v>
      </c>
      <c r="AI94" s="261">
        <v>2.052</v>
      </c>
      <c r="AJ94" s="261">
        <v>1</v>
      </c>
      <c r="AK94" s="248"/>
      <c r="AL94" s="261">
        <v>-0.1</v>
      </c>
      <c r="AM94" s="261">
        <v>1</v>
      </c>
      <c r="AN94" s="261">
        <v>0.1</v>
      </c>
      <c r="AO94" s="248"/>
      <c r="AP94" s="7">
        <v>29</v>
      </c>
      <c r="AQ94" s="9">
        <v>0.4</v>
      </c>
      <c r="AR94" s="248"/>
      <c r="AS94" s="248"/>
      <c r="AT94" s="248"/>
      <c r="AU94" s="248"/>
      <c r="AV94" s="248"/>
      <c r="AW94" s="248"/>
      <c r="AX94" s="248"/>
      <c r="AY94" s="248"/>
      <c r="AZ94" s="248"/>
      <c r="BA94" s="248"/>
      <c r="BB94" s="248"/>
      <c r="BC94" s="248"/>
      <c r="BD94" s="248"/>
      <c r="BE94" s="248"/>
      <c r="BF94" s="248"/>
      <c r="BG94" s="248"/>
      <c r="BH94" s="249">
        <v>39508</v>
      </c>
      <c r="BI94" s="262">
        <v>0.75</v>
      </c>
      <c r="BJ94" s="248"/>
      <c r="BK94" s="248"/>
      <c r="BL94" s="248"/>
      <c r="BM94" s="248"/>
      <c r="BN94" s="248"/>
      <c r="BO94"/>
      <c r="BP94"/>
      <c r="BQ94"/>
      <c r="BR94"/>
      <c r="BS94"/>
      <c r="BT94" s="248"/>
      <c r="BU94" s="248"/>
      <c r="BV94" s="248"/>
      <c r="BW94" s="248"/>
      <c r="BX94" s="248"/>
      <c r="BY94" s="248"/>
      <c r="BZ94" s="248"/>
      <c r="CA94" s="248"/>
      <c r="CB94" s="248"/>
      <c r="CC94" s="248"/>
      <c r="CD94" s="248"/>
      <c r="CE94" s="248"/>
      <c r="CF94" s="248"/>
      <c r="CG94" s="248"/>
    </row>
    <row r="95" spans="1:85" ht="12.75" x14ac:dyDescent="0.2">
      <c r="A95" s="29">
        <v>39722</v>
      </c>
      <c r="B95" s="243">
        <v>6.1214752709814003E-2</v>
      </c>
      <c r="D95" s="260">
        <v>38657</v>
      </c>
      <c r="E95" s="9">
        <v>32.298931884765622</v>
      </c>
      <c r="F95" s="9">
        <v>33.248931884765625</v>
      </c>
      <c r="G95" s="9">
        <v>34.198931884765628</v>
      </c>
      <c r="H95" s="8"/>
      <c r="I95" s="9">
        <v>17.25</v>
      </c>
      <c r="J95" s="9">
        <v>17.5</v>
      </c>
      <c r="K95" s="9">
        <v>18.25</v>
      </c>
      <c r="L95" s="7"/>
      <c r="M95" s="249">
        <v>39539</v>
      </c>
      <c r="N95" s="261">
        <v>26</v>
      </c>
      <c r="O95" s="261">
        <v>27.5</v>
      </c>
      <c r="P95" s="261">
        <v>29</v>
      </c>
      <c r="Q95" s="248"/>
      <c r="R95" s="261">
        <v>20.495000839233398</v>
      </c>
      <c r="S95" s="261">
        <v>21.995000839233398</v>
      </c>
      <c r="T95" s="261">
        <v>23.495000839233398</v>
      </c>
      <c r="U95" s="248"/>
      <c r="V95" s="261">
        <v>0</v>
      </c>
      <c r="W95" s="261">
        <v>0</v>
      </c>
      <c r="X95" s="261">
        <v>0</v>
      </c>
      <c r="Y95" s="248"/>
      <c r="Z95" s="261">
        <v>7.3874999999999996E-2</v>
      </c>
      <c r="AA95" s="261">
        <v>9.8500000000000004E-2</v>
      </c>
      <c r="AB95" s="261">
        <v>0.14774999999999999</v>
      </c>
      <c r="AC95" s="248"/>
      <c r="AD95" s="261">
        <v>0.09</v>
      </c>
      <c r="AE95" s="261">
        <v>0.12</v>
      </c>
      <c r="AF95" s="261">
        <v>0.18</v>
      </c>
      <c r="AG95" s="248"/>
      <c r="AH95" s="261">
        <v>-0.5</v>
      </c>
      <c r="AI95" s="261">
        <v>1.9980000000000004</v>
      </c>
      <c r="AJ95" s="261">
        <v>1</v>
      </c>
      <c r="AK95" s="248"/>
      <c r="AL95" s="261">
        <v>-0.1</v>
      </c>
      <c r="AM95" s="261">
        <v>1</v>
      </c>
      <c r="AN95" s="261">
        <v>0.1</v>
      </c>
      <c r="AO95" s="248"/>
      <c r="AP95" s="7">
        <v>29</v>
      </c>
      <c r="AQ95" s="9">
        <v>0.4</v>
      </c>
      <c r="AR95" s="248"/>
      <c r="AS95" s="248"/>
      <c r="AT95" s="248"/>
      <c r="AU95" s="248"/>
      <c r="AV95" s="248"/>
      <c r="AW95" s="248"/>
      <c r="AX95" s="248"/>
      <c r="AY95" s="248"/>
      <c r="AZ95" s="248"/>
      <c r="BA95" s="248"/>
      <c r="BB95" s="248"/>
      <c r="BC95" s="248"/>
      <c r="BD95" s="248"/>
      <c r="BE95" s="248"/>
      <c r="BF95" s="248"/>
      <c r="BG95" s="248"/>
      <c r="BH95" s="249">
        <v>39539</v>
      </c>
      <c r="BI95" s="262">
        <v>0.75</v>
      </c>
      <c r="BJ95" s="248"/>
      <c r="BK95" s="248"/>
      <c r="BL95" s="248"/>
      <c r="BM95" s="248"/>
      <c r="BN95" s="248"/>
      <c r="BO95"/>
      <c r="BP95"/>
      <c r="BQ95"/>
      <c r="BR95"/>
      <c r="BS95"/>
      <c r="BT95" s="248"/>
      <c r="BU95" s="248"/>
      <c r="BV95" s="248"/>
      <c r="BW95" s="248"/>
      <c r="BX95" s="248"/>
      <c r="BY95" s="248"/>
      <c r="BZ95" s="248"/>
      <c r="CA95" s="248"/>
      <c r="CB95" s="248"/>
      <c r="CC95" s="248"/>
      <c r="CD95" s="248"/>
      <c r="CE95" s="248"/>
      <c r="CF95" s="248"/>
      <c r="CG95" s="248"/>
    </row>
    <row r="96" spans="1:85" ht="12.75" x14ac:dyDescent="0.2">
      <c r="A96" s="29">
        <v>39753</v>
      </c>
      <c r="B96" s="243">
        <v>6.1272265971074012E-2</v>
      </c>
      <c r="D96" s="260">
        <v>38687</v>
      </c>
      <c r="E96" s="9">
        <v>32.398930358886716</v>
      </c>
      <c r="F96" s="9">
        <v>33.348930358886719</v>
      </c>
      <c r="G96" s="9">
        <v>34.298930358886722</v>
      </c>
      <c r="H96" s="8"/>
      <c r="I96" s="9">
        <v>16.360000610351562</v>
      </c>
      <c r="J96" s="9">
        <v>16.610000610351563</v>
      </c>
      <c r="K96" s="9">
        <v>17.360000610351562</v>
      </c>
      <c r="L96" s="7"/>
      <c r="M96" s="249">
        <v>39569</v>
      </c>
      <c r="N96" s="261">
        <v>28</v>
      </c>
      <c r="O96" s="261">
        <v>29.5</v>
      </c>
      <c r="P96" s="261">
        <v>31</v>
      </c>
      <c r="Q96" s="248"/>
      <c r="R96" s="261">
        <v>21.504999160766602</v>
      </c>
      <c r="S96" s="261">
        <v>23.004999160766602</v>
      </c>
      <c r="T96" s="261">
        <v>24.504999160766602</v>
      </c>
      <c r="U96" s="248"/>
      <c r="V96" s="261">
        <v>0</v>
      </c>
      <c r="W96" s="261">
        <v>0</v>
      </c>
      <c r="X96" s="261">
        <v>0</v>
      </c>
      <c r="Y96" s="248"/>
      <c r="Z96" s="261">
        <v>7.3874999999999996E-2</v>
      </c>
      <c r="AA96" s="261">
        <v>9.8500000000000004E-2</v>
      </c>
      <c r="AB96" s="261">
        <v>0.14774999999999999</v>
      </c>
      <c r="AC96" s="248"/>
      <c r="AD96" s="261">
        <v>0.11625000000000001</v>
      </c>
      <c r="AE96" s="261">
        <v>0.155</v>
      </c>
      <c r="AF96" s="261">
        <v>0.23250000000000001</v>
      </c>
      <c r="AG96" s="248"/>
      <c r="AH96" s="261">
        <v>-0.4</v>
      </c>
      <c r="AI96" s="261">
        <v>2.15</v>
      </c>
      <c r="AJ96" s="261">
        <v>0.5</v>
      </c>
      <c r="AK96" s="248"/>
      <c r="AL96" s="261">
        <v>-0.1</v>
      </c>
      <c r="AM96" s="261">
        <v>1.05</v>
      </c>
      <c r="AN96" s="261">
        <v>0.1</v>
      </c>
      <c r="AO96" s="248"/>
      <c r="AP96" s="7">
        <v>30</v>
      </c>
      <c r="AQ96" s="9">
        <v>0.4</v>
      </c>
      <c r="AR96" s="248"/>
      <c r="AS96" s="248"/>
      <c r="AT96" s="248"/>
      <c r="AU96" s="248"/>
      <c r="AV96" s="248"/>
      <c r="AW96" s="248"/>
      <c r="AX96" s="248"/>
      <c r="AY96" s="248"/>
      <c r="AZ96" s="248"/>
      <c r="BA96" s="248"/>
      <c r="BB96" s="248"/>
      <c r="BC96" s="248"/>
      <c r="BD96" s="248"/>
      <c r="BE96" s="248"/>
      <c r="BF96" s="248"/>
      <c r="BG96" s="248"/>
      <c r="BH96" s="249">
        <v>39569</v>
      </c>
      <c r="BI96" s="262">
        <v>0.75</v>
      </c>
      <c r="BJ96" s="248"/>
      <c r="BK96" s="248"/>
      <c r="BL96" s="248"/>
      <c r="BM96" s="248"/>
      <c r="BN96" s="248"/>
      <c r="BO96"/>
      <c r="BP96"/>
      <c r="BQ96"/>
      <c r="BR96"/>
      <c r="BS96"/>
      <c r="BT96" s="248"/>
      <c r="BU96" s="248"/>
      <c r="BV96" s="248"/>
      <c r="BW96" s="248"/>
      <c r="BX96" s="248"/>
      <c r="BY96" s="248"/>
      <c r="BZ96" s="248"/>
      <c r="CA96" s="248"/>
      <c r="CB96" s="248"/>
      <c r="CC96" s="248"/>
      <c r="CD96" s="248"/>
      <c r="CE96" s="248"/>
      <c r="CF96" s="248"/>
      <c r="CG96" s="248"/>
    </row>
    <row r="97" spans="1:85" ht="12.75" x14ac:dyDescent="0.2">
      <c r="A97" s="29">
        <v>39783</v>
      </c>
      <c r="B97" s="243">
        <v>6.1331696342197026E-2</v>
      </c>
      <c r="D97" s="260">
        <v>38718</v>
      </c>
      <c r="E97" s="9">
        <v>42.037864685058594</v>
      </c>
      <c r="F97" s="9">
        <v>42.537864685058594</v>
      </c>
      <c r="G97" s="9">
        <v>43.037864685058594</v>
      </c>
      <c r="H97" s="8"/>
      <c r="I97" s="9">
        <v>21.25</v>
      </c>
      <c r="J97" s="9">
        <v>21.5</v>
      </c>
      <c r="K97" s="9">
        <v>22.25</v>
      </c>
      <c r="L97" s="7"/>
      <c r="M97" s="249">
        <v>39600</v>
      </c>
      <c r="N97" s="261">
        <v>35</v>
      </c>
      <c r="O97" s="261">
        <v>36.5</v>
      </c>
      <c r="P97" s="261">
        <v>38</v>
      </c>
      <c r="Q97" s="248"/>
      <c r="R97" s="261">
        <v>25.5</v>
      </c>
      <c r="S97" s="261">
        <v>27</v>
      </c>
      <c r="T97" s="261">
        <v>28.5</v>
      </c>
      <c r="U97" s="248"/>
      <c r="V97" s="261">
        <v>0</v>
      </c>
      <c r="W97" s="261">
        <v>0</v>
      </c>
      <c r="X97" s="261">
        <v>0</v>
      </c>
      <c r="Y97" s="248"/>
      <c r="Z97" s="261">
        <v>7.3874999999999996E-2</v>
      </c>
      <c r="AA97" s="261">
        <v>9.8500000000000004E-2</v>
      </c>
      <c r="AB97" s="261">
        <v>0.14774999999999999</v>
      </c>
      <c r="AC97" s="248"/>
      <c r="AD97" s="261">
        <v>0.13125000000000001</v>
      </c>
      <c r="AE97" s="261">
        <v>0.17499999999999999</v>
      </c>
      <c r="AF97" s="261">
        <v>0.26250000000000001</v>
      </c>
      <c r="AG97" s="248"/>
      <c r="AH97" s="261">
        <v>-0.4</v>
      </c>
      <c r="AI97" s="261">
        <v>2.9</v>
      </c>
      <c r="AJ97" s="261">
        <v>0.5</v>
      </c>
      <c r="AK97" s="248"/>
      <c r="AL97" s="261">
        <v>-0.1</v>
      </c>
      <c r="AM97" s="261">
        <v>1.1499999999999999</v>
      </c>
      <c r="AN97" s="261">
        <v>0.1</v>
      </c>
      <c r="AO97" s="248"/>
      <c r="AP97" s="7">
        <v>30</v>
      </c>
      <c r="AQ97" s="9">
        <v>0.4</v>
      </c>
      <c r="AR97" s="248"/>
      <c r="AS97" s="248"/>
      <c r="AT97" s="248"/>
      <c r="AU97" s="248"/>
      <c r="AV97" s="248"/>
      <c r="AW97" s="248"/>
      <c r="AX97" s="248"/>
      <c r="AY97" s="248"/>
      <c r="AZ97" s="248"/>
      <c r="BA97" s="248"/>
      <c r="BB97" s="248"/>
      <c r="BC97" s="248"/>
      <c r="BD97" s="248"/>
      <c r="BE97" s="248"/>
      <c r="BF97" s="248"/>
      <c r="BG97" s="248"/>
      <c r="BH97" s="249">
        <v>39600</v>
      </c>
      <c r="BI97" s="262">
        <v>0.75</v>
      </c>
      <c r="BJ97" s="248"/>
      <c r="BK97" s="248"/>
      <c r="BL97" s="248"/>
      <c r="BM97" s="248"/>
      <c r="BN97" s="248"/>
      <c r="BO97"/>
      <c r="BP97"/>
      <c r="BQ97"/>
      <c r="BR97"/>
      <c r="BS97"/>
      <c r="BT97" s="248"/>
      <c r="BU97" s="248"/>
      <c r="BV97" s="248"/>
      <c r="BW97" s="248"/>
      <c r="BX97" s="248"/>
      <c r="BY97" s="248"/>
      <c r="BZ97" s="248"/>
      <c r="CA97" s="248"/>
      <c r="CB97" s="248"/>
      <c r="CC97" s="248"/>
      <c r="CD97" s="248"/>
      <c r="CE97" s="248"/>
      <c r="CF97" s="248"/>
      <c r="CG97" s="248"/>
    </row>
    <row r="98" spans="1:85" ht="12.75" x14ac:dyDescent="0.2">
      <c r="A98" s="29">
        <v>39814</v>
      </c>
      <c r="B98" s="243">
        <v>6.1391126714493018E-2</v>
      </c>
      <c r="D98" s="260">
        <v>38749</v>
      </c>
      <c r="E98" s="9">
        <v>41.687862396240234</v>
      </c>
      <c r="F98" s="9">
        <v>42.187862396240234</v>
      </c>
      <c r="G98" s="9">
        <v>42.687862396240234</v>
      </c>
      <c r="H98" s="8"/>
      <c r="I98" s="9">
        <v>19.75</v>
      </c>
      <c r="J98" s="9">
        <v>20</v>
      </c>
      <c r="K98" s="9">
        <v>20.75</v>
      </c>
      <c r="L98" s="7"/>
      <c r="M98" s="249">
        <v>39630</v>
      </c>
      <c r="N98" s="261">
        <v>41</v>
      </c>
      <c r="O98" s="261">
        <v>42.5</v>
      </c>
      <c r="P98" s="261">
        <v>44</v>
      </c>
      <c r="Q98" s="248"/>
      <c r="R98" s="261">
        <v>31.5</v>
      </c>
      <c r="S98" s="261">
        <v>33</v>
      </c>
      <c r="T98" s="261">
        <v>34.5</v>
      </c>
      <c r="U98" s="248"/>
      <c r="V98" s="261">
        <v>0</v>
      </c>
      <c r="W98" s="261">
        <v>0</v>
      </c>
      <c r="X98" s="261">
        <v>0</v>
      </c>
      <c r="Y98" s="248"/>
      <c r="Z98" s="261">
        <v>7.3874999999999996E-2</v>
      </c>
      <c r="AA98" s="261">
        <v>9.8500000000000004E-2</v>
      </c>
      <c r="AB98" s="261">
        <v>0.14774999999999999</v>
      </c>
      <c r="AC98" s="248"/>
      <c r="AD98" s="261">
        <v>0.16125</v>
      </c>
      <c r="AE98" s="261">
        <v>0.215</v>
      </c>
      <c r="AF98" s="261">
        <v>0.32250000000000001</v>
      </c>
      <c r="AG98" s="248"/>
      <c r="AH98" s="261">
        <v>-0.4</v>
      </c>
      <c r="AI98" s="261">
        <v>3.9</v>
      </c>
      <c r="AJ98" s="261">
        <v>0.5</v>
      </c>
      <c r="AK98" s="248"/>
      <c r="AL98" s="261">
        <v>-0.1</v>
      </c>
      <c r="AM98" s="261">
        <v>1.1499999999999999</v>
      </c>
      <c r="AN98" s="261">
        <v>0.1</v>
      </c>
      <c r="AO98" s="248"/>
      <c r="AP98" s="7">
        <v>30</v>
      </c>
      <c r="AQ98" s="9">
        <v>0.4</v>
      </c>
      <c r="AR98" s="248"/>
      <c r="AS98" s="248"/>
      <c r="AT98" s="248"/>
      <c r="AU98" s="248"/>
      <c r="AV98" s="248"/>
      <c r="AW98" s="248"/>
      <c r="AX98" s="248"/>
      <c r="AY98" s="248"/>
      <c r="AZ98" s="248"/>
      <c r="BA98" s="248"/>
      <c r="BB98" s="248"/>
      <c r="BC98" s="248"/>
      <c r="BD98" s="248"/>
      <c r="BE98" s="248"/>
      <c r="BF98" s="248"/>
      <c r="BG98" s="248"/>
      <c r="BH98" s="249">
        <v>39630</v>
      </c>
      <c r="BI98" s="262">
        <v>0.75</v>
      </c>
      <c r="BJ98" s="248"/>
      <c r="BK98" s="248"/>
      <c r="BL98" s="248"/>
      <c r="BM98" s="248"/>
      <c r="BN98" s="248"/>
      <c r="BO98"/>
      <c r="BP98"/>
      <c r="BQ98"/>
      <c r="BR98"/>
      <c r="BS98"/>
      <c r="BT98" s="248"/>
      <c r="BU98" s="248"/>
      <c r="BV98" s="248"/>
      <c r="BW98" s="248"/>
      <c r="BX98" s="248"/>
      <c r="BY98" s="248"/>
      <c r="BZ98" s="248"/>
      <c r="CA98" s="248"/>
      <c r="CB98" s="248"/>
      <c r="CC98" s="248"/>
      <c r="CD98" s="248"/>
      <c r="CE98" s="248"/>
      <c r="CF98" s="248"/>
      <c r="CG98" s="248"/>
    </row>
    <row r="99" spans="1:85" ht="12.75" x14ac:dyDescent="0.2">
      <c r="A99" s="29">
        <v>39845</v>
      </c>
      <c r="B99" s="243">
        <v>6.1444805761446022E-2</v>
      </c>
      <c r="D99" s="260">
        <v>38777</v>
      </c>
      <c r="E99" s="9">
        <v>32.698544311523435</v>
      </c>
      <c r="F99" s="9">
        <v>33.398544311523438</v>
      </c>
      <c r="G99" s="9">
        <v>34.09854431152344</v>
      </c>
      <c r="H99" s="8"/>
      <c r="I99" s="9">
        <v>20.75</v>
      </c>
      <c r="J99" s="9">
        <v>21</v>
      </c>
      <c r="K99" s="9">
        <v>21.75</v>
      </c>
      <c r="L99" s="7"/>
      <c r="M99" s="249">
        <v>39661</v>
      </c>
      <c r="N99" s="261">
        <v>39.000003814697266</v>
      </c>
      <c r="O99" s="261">
        <v>40.500003814697266</v>
      </c>
      <c r="P99" s="261">
        <v>42.000003814697266</v>
      </c>
      <c r="Q99" s="248"/>
      <c r="R99" s="261">
        <v>31.5</v>
      </c>
      <c r="S99" s="261">
        <v>33</v>
      </c>
      <c r="T99" s="261">
        <v>34.5</v>
      </c>
      <c r="U99" s="248"/>
      <c r="V99" s="261">
        <v>0</v>
      </c>
      <c r="W99" s="261">
        <v>0</v>
      </c>
      <c r="X99" s="261">
        <v>0</v>
      </c>
      <c r="Y99" s="248"/>
      <c r="Z99" s="261">
        <v>7.3874999999999996E-2</v>
      </c>
      <c r="AA99" s="261">
        <v>9.8500000000000004E-2</v>
      </c>
      <c r="AB99" s="261">
        <v>0.14774999999999999</v>
      </c>
      <c r="AC99" s="248"/>
      <c r="AD99" s="261">
        <v>0.16125</v>
      </c>
      <c r="AE99" s="261">
        <v>0.215</v>
      </c>
      <c r="AF99" s="261">
        <v>0.32250000000000001</v>
      </c>
      <c r="AG99" s="248"/>
      <c r="AH99" s="261">
        <v>-0.5</v>
      </c>
      <c r="AI99" s="261">
        <v>3.9</v>
      </c>
      <c r="AJ99" s="261">
        <v>1.75</v>
      </c>
      <c r="AK99" s="248"/>
      <c r="AL99" s="261">
        <v>-0.1</v>
      </c>
      <c r="AM99" s="261">
        <v>1.1499999999999999</v>
      </c>
      <c r="AN99" s="261">
        <v>0.1</v>
      </c>
      <c r="AO99" s="248"/>
      <c r="AP99" s="7">
        <v>31</v>
      </c>
      <c r="AQ99" s="9">
        <v>0.4</v>
      </c>
      <c r="AR99" s="248"/>
      <c r="AS99" s="248"/>
      <c r="AT99" s="248"/>
      <c r="AU99" s="248"/>
      <c r="AV99" s="248"/>
      <c r="AW99" s="248"/>
      <c r="AX99" s="248"/>
      <c r="AY99" s="248"/>
      <c r="AZ99" s="248"/>
      <c r="BA99" s="248"/>
      <c r="BB99" s="248"/>
      <c r="BC99" s="248"/>
      <c r="BD99" s="248"/>
      <c r="BE99" s="248"/>
      <c r="BF99" s="248"/>
      <c r="BG99" s="248"/>
      <c r="BH99" s="249">
        <v>39661</v>
      </c>
      <c r="BI99" s="262">
        <v>0.75</v>
      </c>
      <c r="BJ99" s="248"/>
      <c r="BK99" s="248"/>
      <c r="BL99" s="248"/>
      <c r="BM99" s="248"/>
      <c r="BN99" s="248"/>
      <c r="BO99"/>
      <c r="BP99"/>
      <c r="BQ99"/>
      <c r="BR99"/>
      <c r="BS99"/>
      <c r="BT99" s="248"/>
      <c r="BU99" s="248"/>
      <c r="BV99" s="248"/>
      <c r="BW99" s="248"/>
      <c r="BX99" s="248"/>
      <c r="BY99" s="248"/>
      <c r="BZ99" s="248"/>
      <c r="CA99" s="248"/>
      <c r="CB99" s="248"/>
      <c r="CC99" s="248"/>
      <c r="CD99" s="248"/>
      <c r="CE99" s="248"/>
      <c r="CF99" s="248"/>
      <c r="CG99" s="248"/>
    </row>
    <row r="100" spans="1:85" ht="12.75" x14ac:dyDescent="0.2">
      <c r="A100" s="29">
        <v>39873</v>
      </c>
      <c r="B100" s="243">
        <v>6.1504236135974021E-2</v>
      </c>
      <c r="D100" s="260">
        <v>38808</v>
      </c>
      <c r="E100" s="9">
        <v>32.648545074462888</v>
      </c>
      <c r="F100" s="9">
        <v>33.848545074462891</v>
      </c>
      <c r="G100" s="9">
        <v>35.048545074462893</v>
      </c>
      <c r="H100" s="8"/>
      <c r="I100" s="9">
        <v>18.75</v>
      </c>
      <c r="J100" s="9">
        <v>19</v>
      </c>
      <c r="K100" s="9">
        <v>19.75</v>
      </c>
      <c r="L100" s="7"/>
      <c r="M100" s="249">
        <v>39692</v>
      </c>
      <c r="N100" s="261">
        <v>31</v>
      </c>
      <c r="O100" s="261">
        <v>32.5</v>
      </c>
      <c r="P100" s="261">
        <v>34</v>
      </c>
      <c r="Q100" s="248"/>
      <c r="R100" s="261">
        <v>25.5</v>
      </c>
      <c r="S100" s="261">
        <v>27</v>
      </c>
      <c r="T100" s="261">
        <v>28.5</v>
      </c>
      <c r="U100" s="248"/>
      <c r="V100" s="261">
        <v>0</v>
      </c>
      <c r="W100" s="261">
        <v>0</v>
      </c>
      <c r="X100" s="261">
        <v>0</v>
      </c>
      <c r="Y100" s="248"/>
      <c r="Z100" s="261">
        <v>7.3874999999999996E-2</v>
      </c>
      <c r="AA100" s="261">
        <v>9.8500000000000004E-2</v>
      </c>
      <c r="AB100" s="261">
        <v>0.14774999999999999</v>
      </c>
      <c r="AC100" s="248"/>
      <c r="AD100" s="261">
        <v>0.10125000000000001</v>
      </c>
      <c r="AE100" s="261">
        <v>0.13500000000000001</v>
      </c>
      <c r="AF100" s="261">
        <v>0.20250000000000001</v>
      </c>
      <c r="AG100" s="248"/>
      <c r="AH100" s="261">
        <v>-1</v>
      </c>
      <c r="AI100" s="261">
        <v>2.33</v>
      </c>
      <c r="AJ100" s="261">
        <v>2.5</v>
      </c>
      <c r="AK100" s="248"/>
      <c r="AL100" s="261">
        <v>-0.1</v>
      </c>
      <c r="AM100" s="261">
        <v>1.05</v>
      </c>
      <c r="AN100" s="261">
        <v>0.1</v>
      </c>
      <c r="AO100" s="248"/>
      <c r="AP100" s="7">
        <v>31</v>
      </c>
      <c r="AQ100" s="9">
        <v>0.4</v>
      </c>
      <c r="AR100" s="248"/>
      <c r="AS100" s="248"/>
      <c r="AT100" s="248"/>
      <c r="AU100" s="248"/>
      <c r="AV100" s="248"/>
      <c r="AW100" s="248"/>
      <c r="AX100" s="248"/>
      <c r="AY100" s="248"/>
      <c r="AZ100" s="248"/>
      <c r="BA100" s="248"/>
      <c r="BB100" s="248"/>
      <c r="BC100" s="248"/>
      <c r="BD100" s="248"/>
      <c r="BE100" s="248"/>
      <c r="BF100" s="248"/>
      <c r="BG100" s="248"/>
      <c r="BH100" s="249">
        <v>39692</v>
      </c>
      <c r="BI100" s="262">
        <v>0.75</v>
      </c>
      <c r="BJ100" s="248"/>
      <c r="BK100" s="248"/>
      <c r="BL100" s="248"/>
      <c r="BM100" s="248"/>
      <c r="BN100" s="248"/>
      <c r="BO100"/>
      <c r="BP100"/>
      <c r="BQ100"/>
      <c r="BR100"/>
      <c r="BS100"/>
      <c r="BT100" s="248"/>
      <c r="BU100" s="248"/>
      <c r="BV100" s="248"/>
      <c r="BW100" s="248"/>
      <c r="BX100" s="248"/>
      <c r="BY100" s="248"/>
      <c r="BZ100" s="248"/>
      <c r="CA100" s="248"/>
      <c r="CB100" s="248"/>
      <c r="CC100" s="248"/>
      <c r="CD100" s="248"/>
      <c r="CE100" s="248"/>
      <c r="CF100" s="248"/>
      <c r="CG100" s="248"/>
    </row>
    <row r="101" spans="1:85" ht="12.75" x14ac:dyDescent="0.2">
      <c r="A101" s="29">
        <v>39904</v>
      </c>
      <c r="B101" s="243">
        <v>6.1561749402762996E-2</v>
      </c>
      <c r="D101" s="260">
        <v>38838</v>
      </c>
      <c r="E101" s="9">
        <v>33.553566741943357</v>
      </c>
      <c r="F101" s="9">
        <v>35.503566741943359</v>
      </c>
      <c r="G101" s="9">
        <v>37.453566741943362</v>
      </c>
      <c r="H101" s="8"/>
      <c r="I101" s="9">
        <v>20.75</v>
      </c>
      <c r="J101" s="9">
        <v>21</v>
      </c>
      <c r="K101" s="9">
        <v>21.75</v>
      </c>
      <c r="L101" s="7"/>
      <c r="M101" s="249">
        <v>39722</v>
      </c>
      <c r="N101" s="261">
        <v>25.996000289916992</v>
      </c>
      <c r="O101" s="261">
        <v>27.496000289916992</v>
      </c>
      <c r="P101" s="261">
        <v>28.996000289916992</v>
      </c>
      <c r="Q101" s="248"/>
      <c r="R101" s="261">
        <v>20.496500015258789</v>
      </c>
      <c r="S101" s="261">
        <v>21.996500015258789</v>
      </c>
      <c r="T101" s="261">
        <v>23.496500015258789</v>
      </c>
      <c r="U101" s="248"/>
      <c r="V101" s="261">
        <v>0</v>
      </c>
      <c r="W101" s="261">
        <v>0</v>
      </c>
      <c r="X101" s="261">
        <v>0</v>
      </c>
      <c r="Y101" s="248"/>
      <c r="Z101" s="261">
        <v>7.3874999999999996E-2</v>
      </c>
      <c r="AA101" s="261">
        <v>9.8500000000000004E-2</v>
      </c>
      <c r="AB101" s="261">
        <v>0.14774999999999999</v>
      </c>
      <c r="AC101" s="248"/>
      <c r="AD101" s="261">
        <v>7.8750000000000001E-2</v>
      </c>
      <c r="AE101" s="261">
        <v>0.105</v>
      </c>
      <c r="AF101" s="261">
        <v>0.1575</v>
      </c>
      <c r="AG101" s="248"/>
      <c r="AH101" s="261">
        <v>-1</v>
      </c>
      <c r="AI101" s="261">
        <v>2.06</v>
      </c>
      <c r="AJ101" s="261">
        <v>2.5</v>
      </c>
      <c r="AK101" s="248"/>
      <c r="AL101" s="261">
        <v>-0.1</v>
      </c>
      <c r="AM101" s="261">
        <v>1</v>
      </c>
      <c r="AN101" s="261">
        <v>0.1</v>
      </c>
      <c r="AO101" s="248"/>
      <c r="AP101" s="7">
        <v>31</v>
      </c>
      <c r="AQ101" s="9">
        <v>0.4</v>
      </c>
      <c r="AR101" s="248"/>
      <c r="AS101" s="248"/>
      <c r="AT101" s="248"/>
      <c r="AU101" s="248"/>
      <c r="AV101" s="248"/>
      <c r="AW101" s="248"/>
      <c r="AX101" s="248"/>
      <c r="AY101" s="248"/>
      <c r="AZ101" s="248"/>
      <c r="BA101" s="248"/>
      <c r="BB101" s="248"/>
      <c r="BC101" s="248"/>
      <c r="BD101" s="248"/>
      <c r="BE101" s="248"/>
      <c r="BF101" s="248"/>
      <c r="BG101" s="248"/>
      <c r="BH101" s="249">
        <v>39722</v>
      </c>
      <c r="BI101" s="262">
        <v>0.75</v>
      </c>
      <c r="BJ101" s="248"/>
      <c r="BK101" s="248"/>
      <c r="BL101" s="248"/>
      <c r="BM101" s="248"/>
      <c r="BN101" s="248"/>
      <c r="BO101"/>
      <c r="BP101"/>
      <c r="BQ101"/>
      <c r="BR101"/>
      <c r="BS101"/>
      <c r="BT101" s="248"/>
      <c r="BU101" s="248"/>
      <c r="BV101" s="248"/>
      <c r="BW101" s="248"/>
      <c r="BX101" s="248"/>
      <c r="BY101" s="248"/>
      <c r="BZ101" s="248"/>
      <c r="CA101" s="248"/>
      <c r="CB101" s="248"/>
      <c r="CC101" s="248"/>
      <c r="CD101" s="248"/>
      <c r="CE101" s="248"/>
      <c r="CF101" s="248"/>
      <c r="CG101" s="248"/>
    </row>
    <row r="102" spans="1:85" ht="12.75" x14ac:dyDescent="0.2">
      <c r="A102" s="29">
        <v>39934</v>
      </c>
      <c r="B102" s="243">
        <v>6.1621179779597995E-2</v>
      </c>
      <c r="D102" s="260">
        <v>38869</v>
      </c>
      <c r="E102" s="9">
        <v>37.997856140136719</v>
      </c>
      <c r="F102" s="9">
        <v>42.747856140136719</v>
      </c>
      <c r="G102" s="9">
        <v>47.497856140136719</v>
      </c>
      <c r="H102" s="8"/>
      <c r="I102" s="9">
        <v>23.75</v>
      </c>
      <c r="J102" s="9">
        <v>24</v>
      </c>
      <c r="K102" s="9">
        <v>24.75</v>
      </c>
      <c r="L102" s="7"/>
      <c r="M102" s="249">
        <v>39753</v>
      </c>
      <c r="N102" s="261">
        <v>28</v>
      </c>
      <c r="O102" s="261">
        <v>29.5</v>
      </c>
      <c r="P102" s="261">
        <v>31</v>
      </c>
      <c r="Q102" s="248"/>
      <c r="R102" s="261">
        <v>20.5</v>
      </c>
      <c r="S102" s="261">
        <v>22</v>
      </c>
      <c r="T102" s="261">
        <v>23.5</v>
      </c>
      <c r="U102" s="248"/>
      <c r="V102" s="261">
        <v>0</v>
      </c>
      <c r="W102" s="261">
        <v>0</v>
      </c>
      <c r="X102" s="261">
        <v>0</v>
      </c>
      <c r="Y102" s="248"/>
      <c r="Z102" s="261">
        <v>7.3874999999999996E-2</v>
      </c>
      <c r="AA102" s="261">
        <v>9.8500000000000004E-2</v>
      </c>
      <c r="AB102" s="261">
        <v>0.14774999999999999</v>
      </c>
      <c r="AC102" s="248"/>
      <c r="AD102" s="261">
        <v>7.8750000000000001E-2</v>
      </c>
      <c r="AE102" s="261">
        <v>0.105</v>
      </c>
      <c r="AF102" s="261">
        <v>0.1575</v>
      </c>
      <c r="AG102" s="248"/>
      <c r="AH102" s="261">
        <v>-0.5</v>
      </c>
      <c r="AI102" s="261">
        <v>2.052</v>
      </c>
      <c r="AJ102" s="261">
        <v>1</v>
      </c>
      <c r="AK102" s="248"/>
      <c r="AL102" s="261">
        <v>-0.1</v>
      </c>
      <c r="AM102" s="261">
        <v>1</v>
      </c>
      <c r="AN102" s="261">
        <v>0.1</v>
      </c>
      <c r="AO102" s="248"/>
      <c r="AP102" s="7">
        <v>32</v>
      </c>
      <c r="AQ102" s="9">
        <v>0.4</v>
      </c>
      <c r="AR102" s="248"/>
      <c r="AS102" s="248"/>
      <c r="AT102" s="248"/>
      <c r="AU102" s="248"/>
      <c r="AV102" s="248"/>
      <c r="AW102" s="248"/>
      <c r="AX102" s="248"/>
      <c r="AY102" s="248"/>
      <c r="AZ102" s="248"/>
      <c r="BA102" s="248"/>
      <c r="BB102" s="248"/>
      <c r="BC102" s="248"/>
      <c r="BD102" s="248"/>
      <c r="BE102" s="248"/>
      <c r="BF102" s="248"/>
      <c r="BG102" s="248"/>
      <c r="BH102" s="249">
        <v>39753</v>
      </c>
      <c r="BI102" s="262">
        <v>0.75</v>
      </c>
      <c r="BJ102" s="248"/>
      <c r="BK102" s="248"/>
      <c r="BL102" s="248"/>
      <c r="BM102" s="248"/>
      <c r="BN102" s="248"/>
      <c r="BO102"/>
      <c r="BP102"/>
      <c r="BQ102"/>
      <c r="BR102"/>
      <c r="BS102"/>
      <c r="BT102" s="248"/>
      <c r="BU102" s="248"/>
      <c r="BV102" s="248"/>
      <c r="BW102" s="248"/>
      <c r="BX102" s="248"/>
      <c r="BY102" s="248"/>
      <c r="BZ102" s="248"/>
      <c r="CA102" s="248"/>
      <c r="CB102" s="248"/>
      <c r="CC102" s="248"/>
      <c r="CD102" s="248"/>
      <c r="CE102" s="248"/>
      <c r="CF102" s="248"/>
      <c r="CG102" s="248"/>
    </row>
    <row r="103" spans="1:85" ht="12.75" x14ac:dyDescent="0.2">
      <c r="A103" s="29">
        <v>39965</v>
      </c>
      <c r="B103" s="243">
        <v>6.1678693048620017E-2</v>
      </c>
      <c r="D103" s="260">
        <v>38899</v>
      </c>
      <c r="E103" s="9">
        <v>57.747146606445313</v>
      </c>
      <c r="F103" s="9">
        <v>66.747146606445313</v>
      </c>
      <c r="G103" s="9">
        <v>75.747146606445313</v>
      </c>
      <c r="H103" s="8"/>
      <c r="I103" s="9">
        <v>24.25</v>
      </c>
      <c r="J103" s="9">
        <v>24.5</v>
      </c>
      <c r="K103" s="9">
        <v>25.25</v>
      </c>
      <c r="L103" s="7"/>
      <c r="M103" s="249">
        <v>39783</v>
      </c>
      <c r="N103" s="261">
        <v>33</v>
      </c>
      <c r="O103" s="261">
        <v>34.5</v>
      </c>
      <c r="P103" s="261">
        <v>36</v>
      </c>
      <c r="Q103" s="248"/>
      <c r="R103" s="261">
        <v>27.5</v>
      </c>
      <c r="S103" s="261">
        <v>29</v>
      </c>
      <c r="T103" s="261">
        <v>30.5</v>
      </c>
      <c r="U103" s="248"/>
      <c r="V103" s="261">
        <v>0</v>
      </c>
      <c r="W103" s="261">
        <v>0</v>
      </c>
      <c r="X103" s="261">
        <v>0</v>
      </c>
      <c r="Y103" s="248"/>
      <c r="Z103" s="261">
        <v>7.3874999999999996E-2</v>
      </c>
      <c r="AA103" s="261">
        <v>9.8500000000000004E-2</v>
      </c>
      <c r="AB103" s="261">
        <v>0.14774999999999999</v>
      </c>
      <c r="AC103" s="248"/>
      <c r="AD103" s="261">
        <v>0.10875</v>
      </c>
      <c r="AE103" s="261">
        <v>0.14499999999999999</v>
      </c>
      <c r="AF103" s="261">
        <v>0.2175</v>
      </c>
      <c r="AG103" s="248"/>
      <c r="AH103" s="261">
        <v>-0.4</v>
      </c>
      <c r="AI103" s="261">
        <v>1.89</v>
      </c>
      <c r="AJ103" s="261">
        <v>0.5</v>
      </c>
      <c r="AK103" s="248"/>
      <c r="AL103" s="261">
        <v>-0.1</v>
      </c>
      <c r="AM103" s="261">
        <v>1</v>
      </c>
      <c r="AN103" s="261">
        <v>0.1</v>
      </c>
      <c r="AO103" s="248"/>
      <c r="AP103" s="7">
        <v>32</v>
      </c>
      <c r="AQ103" s="9">
        <v>0.4</v>
      </c>
      <c r="AR103" s="248"/>
      <c r="AS103" s="248"/>
      <c r="AT103" s="248"/>
      <c r="AU103" s="248"/>
      <c r="AV103" s="248"/>
      <c r="AW103" s="248"/>
      <c r="AX103" s="248"/>
      <c r="AY103" s="248"/>
      <c r="AZ103" s="248"/>
      <c r="BA103" s="248"/>
      <c r="BB103" s="248"/>
      <c r="BC103" s="248"/>
      <c r="BD103" s="248"/>
      <c r="BE103" s="248"/>
      <c r="BF103" s="248"/>
      <c r="BG103" s="248"/>
      <c r="BH103" s="249">
        <v>39783</v>
      </c>
      <c r="BI103" s="262">
        <v>0.75</v>
      </c>
      <c r="BJ103" s="248"/>
      <c r="BK103" s="248"/>
      <c r="BL103" s="248"/>
      <c r="BM103" s="248"/>
      <c r="BN103" s="248"/>
      <c r="BO103"/>
      <c r="BP103"/>
      <c r="BQ103"/>
      <c r="BR103"/>
      <c r="BS103"/>
      <c r="BT103" s="248"/>
      <c r="BU103" s="248"/>
      <c r="BV103" s="248"/>
      <c r="BW103" s="248"/>
      <c r="BX103" s="248"/>
      <c r="BY103" s="248"/>
      <c r="BZ103" s="248"/>
      <c r="CA103" s="248"/>
      <c r="CB103" s="248"/>
      <c r="CC103" s="248"/>
      <c r="CD103" s="248"/>
      <c r="CE103" s="248"/>
      <c r="CF103" s="248"/>
      <c r="CG103" s="248"/>
    </row>
    <row r="104" spans="1:85" ht="12.75" x14ac:dyDescent="0.2">
      <c r="A104" s="29">
        <v>39995</v>
      </c>
      <c r="B104" s="243">
        <v>6.1738123427763004E-2</v>
      </c>
      <c r="D104" s="260">
        <v>38930</v>
      </c>
      <c r="E104" s="9">
        <v>57.747146606445313</v>
      </c>
      <c r="F104" s="9">
        <v>66.747146606445313</v>
      </c>
      <c r="G104" s="9">
        <v>75.747146606445313</v>
      </c>
      <c r="H104" s="8"/>
      <c r="I104" s="9">
        <v>25.25</v>
      </c>
      <c r="J104" s="9">
        <v>25.5</v>
      </c>
      <c r="K104" s="9">
        <v>26.25</v>
      </c>
      <c r="L104" s="7"/>
      <c r="M104" s="249">
        <v>39814</v>
      </c>
      <c r="N104" s="261">
        <v>35.5</v>
      </c>
      <c r="O104" s="261">
        <v>37</v>
      </c>
      <c r="P104" s="261">
        <v>38.5</v>
      </c>
      <c r="Q104" s="248"/>
      <c r="R104" s="261">
        <v>25</v>
      </c>
      <c r="S104" s="261">
        <v>26.5</v>
      </c>
      <c r="T104" s="261">
        <v>28</v>
      </c>
      <c r="U104" s="248"/>
      <c r="V104" s="261">
        <v>0</v>
      </c>
      <c r="W104" s="261">
        <v>0</v>
      </c>
      <c r="X104" s="261">
        <v>0</v>
      </c>
      <c r="Y104" s="248"/>
      <c r="Z104" s="261">
        <v>0.06</v>
      </c>
      <c r="AA104" s="261">
        <v>0.08</v>
      </c>
      <c r="AB104" s="261">
        <v>0.12</v>
      </c>
      <c r="AC104" s="248"/>
      <c r="AD104" s="261">
        <v>0.10125000000000001</v>
      </c>
      <c r="AE104" s="261">
        <v>0.13500000000000001</v>
      </c>
      <c r="AF104" s="261">
        <v>0.20250000000000001</v>
      </c>
      <c r="AG104" s="248"/>
      <c r="AH104" s="261">
        <v>-0.4</v>
      </c>
      <c r="AI104" s="261">
        <v>2.3220000000000001</v>
      </c>
      <c r="AJ104" s="261">
        <v>0.5</v>
      </c>
      <c r="AK104" s="248"/>
      <c r="AL104" s="261">
        <v>-0.1</v>
      </c>
      <c r="AM104" s="261">
        <v>1</v>
      </c>
      <c r="AN104" s="261">
        <v>0.1</v>
      </c>
      <c r="AO104" s="248"/>
      <c r="AP104" s="7">
        <v>32</v>
      </c>
      <c r="AQ104" s="9">
        <v>0.4</v>
      </c>
      <c r="AR104" s="248"/>
      <c r="AS104" s="248"/>
      <c r="AT104" s="248"/>
      <c r="AU104" s="248"/>
      <c r="AV104" s="248"/>
      <c r="AW104" s="248"/>
      <c r="AX104" s="248"/>
      <c r="AY104" s="248"/>
      <c r="AZ104" s="248"/>
      <c r="BA104" s="248"/>
      <c r="BB104" s="248"/>
      <c r="BC104" s="248"/>
      <c r="BD104" s="248"/>
      <c r="BE104" s="248"/>
      <c r="BF104" s="248"/>
      <c r="BG104" s="248"/>
      <c r="BH104" s="249">
        <v>39814</v>
      </c>
      <c r="BI104" s="262">
        <v>0.75</v>
      </c>
      <c r="BJ104" s="248"/>
      <c r="BK104" s="248"/>
      <c r="BL104" s="248"/>
      <c r="BM104" s="248"/>
      <c r="BN104" s="248"/>
      <c r="BO104"/>
      <c r="BP104"/>
      <c r="BQ104"/>
      <c r="BR104"/>
      <c r="BS104"/>
      <c r="BT104" s="248"/>
      <c r="BU104" s="248"/>
      <c r="BV104" s="248"/>
      <c r="BW104" s="248"/>
      <c r="BX104" s="248"/>
      <c r="BY104" s="248"/>
      <c r="BZ104" s="248"/>
      <c r="CA104" s="248"/>
      <c r="CB104" s="248"/>
      <c r="CC104" s="248"/>
      <c r="CD104" s="248"/>
      <c r="CE104" s="248"/>
      <c r="CF104" s="248"/>
      <c r="CG104" s="248"/>
    </row>
    <row r="105" spans="1:85" ht="12.75" x14ac:dyDescent="0.2">
      <c r="A105" s="29">
        <v>40026</v>
      </c>
      <c r="B105" s="243">
        <v>6.1797553808079012E-2</v>
      </c>
      <c r="D105" s="260">
        <v>38961</v>
      </c>
      <c r="E105" s="9">
        <v>33.002143859863281</v>
      </c>
      <c r="F105" s="9">
        <v>35.752143859863281</v>
      </c>
      <c r="G105" s="9">
        <v>38.502143859863281</v>
      </c>
      <c r="H105" s="8"/>
      <c r="I105" s="9">
        <v>18.25</v>
      </c>
      <c r="J105" s="9">
        <v>18.5</v>
      </c>
      <c r="K105" s="9">
        <v>19.25</v>
      </c>
      <c r="L105" s="7"/>
      <c r="M105" s="249">
        <v>39845</v>
      </c>
      <c r="N105" s="261">
        <v>30.996002197265625</v>
      </c>
      <c r="O105" s="261">
        <v>32.496002197265625</v>
      </c>
      <c r="P105" s="261">
        <v>33.996002197265625</v>
      </c>
      <c r="Q105" s="248"/>
      <c r="R105" s="261">
        <v>22.496501922607422</v>
      </c>
      <c r="S105" s="261">
        <v>23.996501922607422</v>
      </c>
      <c r="T105" s="261">
        <v>25.496501922607422</v>
      </c>
      <c r="U105" s="248"/>
      <c r="V105" s="261">
        <v>0</v>
      </c>
      <c r="W105" s="261">
        <v>0</v>
      </c>
      <c r="X105" s="261">
        <v>0</v>
      </c>
      <c r="Y105" s="248"/>
      <c r="Z105" s="261">
        <v>0.06</v>
      </c>
      <c r="AA105" s="261">
        <v>0.08</v>
      </c>
      <c r="AB105" s="261">
        <v>0.12</v>
      </c>
      <c r="AC105" s="248"/>
      <c r="AD105" s="261">
        <v>0.10125000000000001</v>
      </c>
      <c r="AE105" s="261">
        <v>0.13500000000000001</v>
      </c>
      <c r="AF105" s="261">
        <v>0.20250000000000001</v>
      </c>
      <c r="AG105" s="248"/>
      <c r="AH105" s="261">
        <v>-0.4</v>
      </c>
      <c r="AI105" s="261">
        <v>2.3220000000000001</v>
      </c>
      <c r="AJ105" s="261">
        <v>0.6</v>
      </c>
      <c r="AK105" s="248"/>
      <c r="AL105" s="261">
        <v>-0.1</v>
      </c>
      <c r="AM105" s="261">
        <v>1</v>
      </c>
      <c r="AN105" s="261">
        <v>0.1</v>
      </c>
      <c r="AO105" s="248"/>
      <c r="AP105" s="7">
        <v>33</v>
      </c>
      <c r="AQ105" s="9">
        <v>0.4</v>
      </c>
      <c r="AR105" s="248"/>
      <c r="AS105" s="248"/>
      <c r="AT105" s="248"/>
      <c r="AU105" s="248"/>
      <c r="AV105" s="248"/>
      <c r="AW105" s="248"/>
      <c r="AX105" s="248"/>
      <c r="AY105" s="248"/>
      <c r="AZ105" s="248"/>
      <c r="BA105" s="248"/>
      <c r="BB105" s="248"/>
      <c r="BC105" s="248"/>
      <c r="BD105" s="248"/>
      <c r="BE105" s="248"/>
      <c r="BF105" s="248"/>
      <c r="BG105" s="248"/>
      <c r="BH105" s="249">
        <v>39845</v>
      </c>
      <c r="BI105" s="262">
        <v>0.75</v>
      </c>
      <c r="BJ105" s="248"/>
      <c r="BK105" s="248"/>
      <c r="BL105" s="248"/>
      <c r="BM105" s="248"/>
      <c r="BN105" s="248"/>
      <c r="BO105"/>
      <c r="BP105"/>
      <c r="BQ105"/>
      <c r="BR105"/>
      <c r="BS105"/>
      <c r="BT105" s="248"/>
      <c r="BU105" s="248"/>
      <c r="BV105" s="248"/>
      <c r="BW105" s="248"/>
      <c r="BX105" s="248"/>
      <c r="BY105" s="248"/>
      <c r="BZ105" s="248"/>
      <c r="CA105" s="248"/>
      <c r="CB105" s="248"/>
      <c r="CC105" s="248"/>
      <c r="CD105" s="248"/>
      <c r="CE105" s="248"/>
      <c r="CF105" s="248"/>
      <c r="CG105" s="248"/>
    </row>
    <row r="106" spans="1:85" ht="12.75" x14ac:dyDescent="0.2">
      <c r="A106" s="29">
        <v>40057</v>
      </c>
      <c r="B106" s="243">
        <v>6.1855067080468014E-2</v>
      </c>
      <c r="D106" s="260">
        <v>38991</v>
      </c>
      <c r="E106" s="9">
        <v>32.648933410644531</v>
      </c>
      <c r="F106" s="9">
        <v>33.648933410644531</v>
      </c>
      <c r="G106" s="9">
        <v>34.648933410644531</v>
      </c>
      <c r="H106" s="8"/>
      <c r="I106" s="9">
        <v>15.750001907348633</v>
      </c>
      <c r="J106" s="9">
        <v>16.000001907348633</v>
      </c>
      <c r="K106" s="9">
        <v>16.750001907348633</v>
      </c>
      <c r="L106" s="7"/>
      <c r="M106" s="249">
        <v>39873</v>
      </c>
      <c r="N106" s="261">
        <v>26</v>
      </c>
      <c r="O106" s="261">
        <v>27.5</v>
      </c>
      <c r="P106" s="261">
        <v>29</v>
      </c>
      <c r="Q106" s="248"/>
      <c r="R106" s="261">
        <v>20.5</v>
      </c>
      <c r="S106" s="261">
        <v>22</v>
      </c>
      <c r="T106" s="261">
        <v>23.5</v>
      </c>
      <c r="U106" s="248"/>
      <c r="V106" s="261">
        <v>0</v>
      </c>
      <c r="W106" s="261">
        <v>0</v>
      </c>
      <c r="X106" s="261">
        <v>0</v>
      </c>
      <c r="Y106" s="248"/>
      <c r="Z106" s="261">
        <v>0.06</v>
      </c>
      <c r="AA106" s="261">
        <v>0.08</v>
      </c>
      <c r="AB106" s="261">
        <v>0.12</v>
      </c>
      <c r="AC106" s="248"/>
      <c r="AD106" s="261">
        <v>0.09</v>
      </c>
      <c r="AE106" s="261">
        <v>0.12</v>
      </c>
      <c r="AF106" s="261">
        <v>0.18</v>
      </c>
      <c r="AG106" s="248"/>
      <c r="AH106" s="261">
        <v>-0.5</v>
      </c>
      <c r="AI106" s="261">
        <v>2.052</v>
      </c>
      <c r="AJ106" s="261">
        <v>1</v>
      </c>
      <c r="AK106" s="248"/>
      <c r="AL106" s="261">
        <v>-0.1</v>
      </c>
      <c r="AM106" s="261">
        <v>1</v>
      </c>
      <c r="AN106" s="261">
        <v>0.1</v>
      </c>
      <c r="AO106" s="248"/>
      <c r="AP106" s="7">
        <v>33</v>
      </c>
      <c r="AQ106" s="9">
        <v>0.4</v>
      </c>
      <c r="AR106" s="248"/>
      <c r="AS106" s="248"/>
      <c r="AT106" s="248"/>
      <c r="AU106" s="248"/>
      <c r="AV106" s="248"/>
      <c r="AW106" s="248"/>
      <c r="AX106" s="248"/>
      <c r="AY106" s="248"/>
      <c r="AZ106" s="248"/>
      <c r="BA106" s="248"/>
      <c r="BB106" s="248"/>
      <c r="BC106" s="248"/>
      <c r="BD106" s="248"/>
      <c r="BE106" s="248"/>
      <c r="BF106" s="248"/>
      <c r="BG106" s="248"/>
      <c r="BH106" s="249">
        <v>39873</v>
      </c>
      <c r="BI106" s="262">
        <v>0.75</v>
      </c>
      <c r="BJ106" s="248"/>
      <c r="BK106" s="248"/>
      <c r="BL106" s="248"/>
      <c r="BM106" s="248"/>
      <c r="BN106" s="248"/>
      <c r="BO106"/>
      <c r="BP106"/>
      <c r="BQ106"/>
      <c r="BR106"/>
      <c r="BS106"/>
      <c r="BT106" s="248"/>
      <c r="BU106" s="248"/>
      <c r="BV106" s="248"/>
      <c r="BW106" s="248"/>
      <c r="BX106" s="248"/>
      <c r="BY106" s="248"/>
      <c r="BZ106" s="248"/>
      <c r="CA106" s="248"/>
      <c r="CB106" s="248"/>
      <c r="CC106" s="248"/>
      <c r="CD106" s="248"/>
      <c r="CE106" s="248"/>
      <c r="CF106" s="248"/>
      <c r="CG106" s="248"/>
    </row>
    <row r="107" spans="1:85" ht="12.75" x14ac:dyDescent="0.2">
      <c r="A107" s="29">
        <v>40087</v>
      </c>
      <c r="B107" s="243">
        <v>6.1914497463091002E-2</v>
      </c>
      <c r="D107" s="260">
        <v>39022</v>
      </c>
      <c r="E107" s="9">
        <v>32.748931884765625</v>
      </c>
      <c r="F107" s="9">
        <v>33.748931884765625</v>
      </c>
      <c r="G107" s="9">
        <v>34.748931884765625</v>
      </c>
      <c r="H107" s="8"/>
      <c r="I107" s="9">
        <v>17.75</v>
      </c>
      <c r="J107" s="9">
        <v>18</v>
      </c>
      <c r="K107" s="9">
        <v>18.75</v>
      </c>
      <c r="L107" s="7"/>
      <c r="M107" s="249">
        <v>39904</v>
      </c>
      <c r="N107" s="261">
        <v>26</v>
      </c>
      <c r="O107" s="261">
        <v>27.5</v>
      </c>
      <c r="P107" s="261">
        <v>29</v>
      </c>
      <c r="Q107" s="248"/>
      <c r="R107" s="261">
        <v>20.495000839233398</v>
      </c>
      <c r="S107" s="261">
        <v>21.995000839233398</v>
      </c>
      <c r="T107" s="261">
        <v>23.495000839233398</v>
      </c>
      <c r="U107" s="248"/>
      <c r="V107" s="261">
        <v>0</v>
      </c>
      <c r="W107" s="261">
        <v>0</v>
      </c>
      <c r="X107" s="261">
        <v>0</v>
      </c>
      <c r="Y107" s="248"/>
      <c r="Z107" s="261">
        <v>0.06</v>
      </c>
      <c r="AA107" s="261">
        <v>0.08</v>
      </c>
      <c r="AB107" s="261">
        <v>0.12</v>
      </c>
      <c r="AC107" s="248"/>
      <c r="AD107" s="261">
        <v>0.09</v>
      </c>
      <c r="AE107" s="261">
        <v>0.12</v>
      </c>
      <c r="AF107" s="261">
        <v>0.18</v>
      </c>
      <c r="AG107" s="248"/>
      <c r="AH107" s="261">
        <v>-0.5</v>
      </c>
      <c r="AI107" s="261">
        <v>1.9980000000000004</v>
      </c>
      <c r="AJ107" s="261">
        <v>1</v>
      </c>
      <c r="AK107" s="248"/>
      <c r="AL107" s="261">
        <v>-0.1</v>
      </c>
      <c r="AM107" s="261">
        <v>1</v>
      </c>
      <c r="AN107" s="261">
        <v>0.1</v>
      </c>
      <c r="AO107" s="248"/>
      <c r="AP107" s="7">
        <v>33</v>
      </c>
      <c r="AQ107" s="9">
        <v>0.4</v>
      </c>
      <c r="AR107" s="248"/>
      <c r="AS107" s="248"/>
      <c r="AT107" s="248"/>
      <c r="AU107" s="248"/>
      <c r="AV107" s="248"/>
      <c r="AW107" s="248"/>
      <c r="AX107" s="248"/>
      <c r="AY107" s="248"/>
      <c r="AZ107" s="248"/>
      <c r="BA107" s="248"/>
      <c r="BB107" s="248"/>
      <c r="BC107" s="248"/>
      <c r="BD107" s="248"/>
      <c r="BE107" s="248"/>
      <c r="BF107" s="248"/>
      <c r="BG107" s="248"/>
      <c r="BH107" s="249">
        <v>39904</v>
      </c>
      <c r="BI107" s="262">
        <v>0.75</v>
      </c>
      <c r="BJ107" s="248"/>
      <c r="BK107" s="248"/>
      <c r="BL107" s="248"/>
      <c r="BM107" s="248"/>
      <c r="BN107" s="248"/>
      <c r="BO107"/>
      <c r="BP107"/>
      <c r="BQ107"/>
      <c r="BR107"/>
      <c r="BS107"/>
      <c r="BT107" s="248"/>
      <c r="BU107" s="248"/>
      <c r="BV107" s="248"/>
      <c r="BW107" s="248"/>
      <c r="BX107" s="248"/>
      <c r="BY107" s="248"/>
      <c r="BZ107" s="248"/>
      <c r="CA107" s="248"/>
      <c r="CB107" s="248"/>
      <c r="CC107" s="248"/>
      <c r="CD107" s="248"/>
      <c r="CE107" s="248"/>
      <c r="CF107" s="248"/>
      <c r="CG107" s="248"/>
    </row>
    <row r="108" spans="1:85" ht="12.75" x14ac:dyDescent="0.2">
      <c r="A108" s="29">
        <v>40118</v>
      </c>
      <c r="B108" s="243">
        <v>6.1972010737713017E-2</v>
      </c>
      <c r="D108" s="260">
        <v>39052</v>
      </c>
      <c r="E108" s="9">
        <v>32.848930358886719</v>
      </c>
      <c r="F108" s="9">
        <v>33.848930358886719</v>
      </c>
      <c r="G108" s="9">
        <v>34.848930358886719</v>
      </c>
      <c r="H108" s="8"/>
      <c r="I108" s="9">
        <v>16.860000610351563</v>
      </c>
      <c r="J108" s="9">
        <v>17.110000610351563</v>
      </c>
      <c r="K108" s="9">
        <v>17.860000610351563</v>
      </c>
      <c r="L108" s="7"/>
      <c r="M108" s="249">
        <v>39934</v>
      </c>
      <c r="N108" s="261">
        <v>28</v>
      </c>
      <c r="O108" s="261">
        <v>29.5</v>
      </c>
      <c r="P108" s="261">
        <v>31</v>
      </c>
      <c r="Q108" s="248"/>
      <c r="R108" s="261">
        <v>21.504999160766602</v>
      </c>
      <c r="S108" s="261">
        <v>23.004999160766602</v>
      </c>
      <c r="T108" s="261">
        <v>24.504999160766602</v>
      </c>
      <c r="U108" s="248"/>
      <c r="V108" s="261">
        <v>0</v>
      </c>
      <c r="W108" s="261">
        <v>0</v>
      </c>
      <c r="X108" s="261">
        <v>0</v>
      </c>
      <c r="Y108" s="248"/>
      <c r="Z108" s="261">
        <v>0.06</v>
      </c>
      <c r="AA108" s="261">
        <v>0.08</v>
      </c>
      <c r="AB108" s="261">
        <v>0.12</v>
      </c>
      <c r="AC108" s="248"/>
      <c r="AD108" s="261">
        <v>0.11625000000000001</v>
      </c>
      <c r="AE108" s="261">
        <v>0.155</v>
      </c>
      <c r="AF108" s="261">
        <v>0.23250000000000001</v>
      </c>
      <c r="AG108" s="248"/>
      <c r="AH108" s="261">
        <v>-0.4</v>
      </c>
      <c r="AI108" s="261">
        <v>2.15</v>
      </c>
      <c r="AJ108" s="261">
        <v>0.5</v>
      </c>
      <c r="AK108" s="248"/>
      <c r="AL108" s="261">
        <v>-0.1</v>
      </c>
      <c r="AM108" s="261">
        <v>1.05</v>
      </c>
      <c r="AN108" s="261">
        <v>0.1</v>
      </c>
      <c r="AO108" s="248"/>
      <c r="AP108" s="7">
        <v>34</v>
      </c>
      <c r="AQ108" s="9">
        <v>0.4</v>
      </c>
      <c r="AR108" s="248"/>
      <c r="AS108" s="248"/>
      <c r="AT108" s="248"/>
      <c r="AU108" s="248"/>
      <c r="AV108" s="248"/>
      <c r="AW108" s="248"/>
      <c r="AX108" s="248"/>
      <c r="AY108" s="248"/>
      <c r="AZ108" s="248"/>
      <c r="BA108" s="248"/>
      <c r="BB108" s="248"/>
      <c r="BC108" s="248"/>
      <c r="BD108" s="248"/>
      <c r="BE108" s="248"/>
      <c r="BF108" s="248"/>
      <c r="BG108" s="248"/>
      <c r="BH108" s="249">
        <v>39934</v>
      </c>
      <c r="BI108" s="262">
        <v>0.75</v>
      </c>
      <c r="BJ108" s="248"/>
      <c r="BK108" s="248"/>
      <c r="BL108" s="248"/>
      <c r="BM108" s="248"/>
      <c r="BN108" s="248"/>
      <c r="BO108"/>
      <c r="BP108"/>
      <c r="BQ108"/>
      <c r="BR108"/>
      <c r="BS108"/>
      <c r="BT108" s="248"/>
      <c r="BU108" s="248"/>
      <c r="BV108" s="248"/>
      <c r="BW108" s="248"/>
      <c r="BX108" s="248"/>
      <c r="BY108" s="248"/>
      <c r="BZ108" s="248"/>
      <c r="CA108" s="248"/>
      <c r="CB108" s="248"/>
      <c r="CC108" s="248"/>
      <c r="CD108" s="248"/>
      <c r="CE108" s="248"/>
      <c r="CF108" s="248"/>
      <c r="CG108" s="248"/>
    </row>
    <row r="109" spans="1:85" ht="12.75" x14ac:dyDescent="0.2">
      <c r="A109" s="29">
        <v>40148</v>
      </c>
      <c r="B109" s="243">
        <v>6.2031441122643E-2</v>
      </c>
      <c r="D109" s="260">
        <v>39083</v>
      </c>
      <c r="E109" s="9">
        <v>42.487864685058597</v>
      </c>
      <c r="F109" s="9">
        <v>43.037864685058594</v>
      </c>
      <c r="G109" s="9">
        <v>43.587864685058591</v>
      </c>
      <c r="H109" s="8"/>
      <c r="I109" s="9">
        <v>21.75</v>
      </c>
      <c r="J109" s="9">
        <v>22</v>
      </c>
      <c r="K109" s="9">
        <v>22.75</v>
      </c>
      <c r="L109" s="7"/>
      <c r="M109" s="249">
        <v>39965</v>
      </c>
      <c r="N109" s="261">
        <v>35</v>
      </c>
      <c r="O109" s="261">
        <v>36.5</v>
      </c>
      <c r="P109" s="261">
        <v>38</v>
      </c>
      <c r="Q109" s="248"/>
      <c r="R109" s="261">
        <v>25.5</v>
      </c>
      <c r="S109" s="261">
        <v>27</v>
      </c>
      <c r="T109" s="261">
        <v>28.5</v>
      </c>
      <c r="U109" s="248"/>
      <c r="V109" s="261">
        <v>0</v>
      </c>
      <c r="W109" s="261">
        <v>0</v>
      </c>
      <c r="X109" s="261">
        <v>0</v>
      </c>
      <c r="Y109" s="248"/>
      <c r="Z109" s="261">
        <v>0.06</v>
      </c>
      <c r="AA109" s="261">
        <v>0.08</v>
      </c>
      <c r="AB109" s="261">
        <v>0.12</v>
      </c>
      <c r="AC109" s="248"/>
      <c r="AD109" s="261">
        <v>0.13125000000000001</v>
      </c>
      <c r="AE109" s="261">
        <v>0.17499999999999999</v>
      </c>
      <c r="AF109" s="261">
        <v>0.26250000000000001</v>
      </c>
      <c r="AG109" s="248"/>
      <c r="AH109" s="261">
        <v>-0.4</v>
      </c>
      <c r="AI109" s="261">
        <v>2.9</v>
      </c>
      <c r="AJ109" s="261">
        <v>0.5</v>
      </c>
      <c r="AK109" s="248"/>
      <c r="AL109" s="261">
        <v>-0.1</v>
      </c>
      <c r="AM109" s="261">
        <v>1.1499999999999999</v>
      </c>
      <c r="AN109" s="261">
        <v>0.1</v>
      </c>
      <c r="AO109" s="248"/>
      <c r="AP109" s="7">
        <v>34</v>
      </c>
      <c r="AQ109" s="9">
        <v>0.4</v>
      </c>
      <c r="AR109" s="248"/>
      <c r="AS109" s="248"/>
      <c r="AT109" s="248"/>
      <c r="AU109" s="248"/>
      <c r="AV109" s="248"/>
      <c r="AW109" s="248"/>
      <c r="AX109" s="248"/>
      <c r="AY109" s="248"/>
      <c r="AZ109" s="248"/>
      <c r="BA109" s="248"/>
      <c r="BB109" s="248"/>
      <c r="BC109" s="248"/>
      <c r="BD109" s="248"/>
      <c r="BE109" s="248"/>
      <c r="BF109" s="248"/>
      <c r="BG109" s="248"/>
      <c r="BH109" s="249">
        <v>39965</v>
      </c>
      <c r="BI109" s="262">
        <v>0.75</v>
      </c>
      <c r="BJ109" s="248"/>
      <c r="BK109" s="248"/>
      <c r="BL109" s="248"/>
      <c r="BM109" s="248"/>
      <c r="BN109" s="248"/>
      <c r="BO109"/>
      <c r="BP109"/>
      <c r="BQ109"/>
      <c r="BR109"/>
      <c r="BS109"/>
      <c r="BT109" s="248"/>
      <c r="BU109" s="248"/>
      <c r="BV109" s="248"/>
      <c r="BW109" s="248"/>
      <c r="BX109" s="248"/>
      <c r="BY109" s="248"/>
      <c r="BZ109" s="248"/>
      <c r="CA109" s="248"/>
      <c r="CB109" s="248"/>
      <c r="CC109" s="248"/>
      <c r="CD109" s="248"/>
      <c r="CE109" s="248"/>
      <c r="CF109" s="248"/>
      <c r="CG109" s="248"/>
    </row>
    <row r="110" spans="1:85" ht="12.75" x14ac:dyDescent="0.2">
      <c r="A110" s="29">
        <v>40179</v>
      </c>
      <c r="B110" s="243">
        <v>6.2090871508745017E-2</v>
      </c>
      <c r="D110" s="260">
        <v>39114</v>
      </c>
      <c r="E110" s="9">
        <v>42.137862396240237</v>
      </c>
      <c r="F110" s="9">
        <v>42.687862396240234</v>
      </c>
      <c r="G110" s="9">
        <v>43.237862396240232</v>
      </c>
      <c r="H110" s="8"/>
      <c r="I110" s="9">
        <v>20.25</v>
      </c>
      <c r="J110" s="9">
        <v>20.5</v>
      </c>
      <c r="K110" s="9">
        <v>21.25</v>
      </c>
      <c r="L110" s="7"/>
      <c r="M110" s="249">
        <v>39995</v>
      </c>
      <c r="N110" s="261">
        <v>41</v>
      </c>
      <c r="O110" s="261">
        <v>42.5</v>
      </c>
      <c r="P110" s="261">
        <v>44</v>
      </c>
      <c r="Q110" s="248"/>
      <c r="R110" s="261">
        <v>31.5</v>
      </c>
      <c r="S110" s="261">
        <v>33</v>
      </c>
      <c r="T110" s="261">
        <v>34.5</v>
      </c>
      <c r="U110" s="248"/>
      <c r="V110" s="261">
        <v>0</v>
      </c>
      <c r="W110" s="261">
        <v>0</v>
      </c>
      <c r="X110" s="261">
        <v>0</v>
      </c>
      <c r="Y110" s="248"/>
      <c r="Z110" s="261">
        <v>0.06</v>
      </c>
      <c r="AA110" s="261">
        <v>0.08</v>
      </c>
      <c r="AB110" s="261">
        <v>0.12</v>
      </c>
      <c r="AC110" s="248"/>
      <c r="AD110" s="261">
        <v>0.16125</v>
      </c>
      <c r="AE110" s="261">
        <v>0.215</v>
      </c>
      <c r="AF110" s="261">
        <v>0.32250000000000001</v>
      </c>
      <c r="AG110" s="248"/>
      <c r="AH110" s="261">
        <v>-0.4</v>
      </c>
      <c r="AI110" s="261">
        <v>3.9</v>
      </c>
      <c r="AJ110" s="261">
        <v>0.5</v>
      </c>
      <c r="AK110" s="248"/>
      <c r="AL110" s="261">
        <v>-0.1</v>
      </c>
      <c r="AM110" s="261">
        <v>1.1499999999999999</v>
      </c>
      <c r="AN110" s="261">
        <v>0.1</v>
      </c>
      <c r="AO110" s="248"/>
      <c r="AP110" s="7">
        <v>34</v>
      </c>
      <c r="AQ110" s="9">
        <v>0.4</v>
      </c>
      <c r="AR110" s="248"/>
      <c r="AS110" s="248"/>
      <c r="AT110" s="248"/>
      <c r="AU110" s="248"/>
      <c r="AV110" s="248"/>
      <c r="AW110" s="248"/>
      <c r="AX110" s="248"/>
      <c r="AY110" s="248"/>
      <c r="AZ110" s="248"/>
      <c r="BA110" s="248"/>
      <c r="BB110" s="248"/>
      <c r="BC110" s="248"/>
      <c r="BD110" s="248"/>
      <c r="BE110" s="248"/>
      <c r="BF110" s="248"/>
      <c r="BG110" s="248"/>
      <c r="BH110" s="249">
        <v>39995</v>
      </c>
      <c r="BI110" s="262">
        <v>0.75</v>
      </c>
      <c r="BJ110" s="248"/>
      <c r="BK110" s="248"/>
      <c r="BL110" s="248"/>
      <c r="BM110" s="248"/>
      <c r="BN110" s="248"/>
      <c r="BO110"/>
      <c r="BP110"/>
      <c r="BQ110"/>
      <c r="BR110"/>
      <c r="BS110"/>
      <c r="BT110" s="248"/>
      <c r="BU110" s="248"/>
      <c r="BV110" s="248"/>
      <c r="BW110" s="248"/>
      <c r="BX110" s="248"/>
      <c r="BY110" s="248"/>
      <c r="BZ110" s="248"/>
      <c r="CA110" s="248"/>
      <c r="CB110" s="248"/>
      <c r="CC110" s="248"/>
      <c r="CD110" s="248"/>
      <c r="CE110" s="248"/>
      <c r="CF110" s="248"/>
      <c r="CG110" s="248"/>
    </row>
    <row r="111" spans="1:85" ht="12.75" x14ac:dyDescent="0.2">
      <c r="A111" s="29">
        <v>40210</v>
      </c>
      <c r="B111" s="243">
        <v>6.214455056816702E-2</v>
      </c>
      <c r="D111" s="260">
        <v>39142</v>
      </c>
      <c r="E111" s="9">
        <v>33.148544311523438</v>
      </c>
      <c r="F111" s="9">
        <v>33.898544311523438</v>
      </c>
      <c r="G111" s="9">
        <v>34.648544311523438</v>
      </c>
      <c r="H111" s="8"/>
      <c r="I111" s="9">
        <v>21.25</v>
      </c>
      <c r="J111" s="9">
        <v>21.5</v>
      </c>
      <c r="K111" s="9">
        <v>22.25</v>
      </c>
      <c r="L111" s="7"/>
      <c r="M111" s="249">
        <v>40026</v>
      </c>
      <c r="N111" s="261">
        <v>39.000003814697266</v>
      </c>
      <c r="O111" s="261">
        <v>40.500003814697266</v>
      </c>
      <c r="P111" s="261">
        <v>42.000003814697266</v>
      </c>
      <c r="Q111" s="248"/>
      <c r="R111" s="261">
        <v>31.5</v>
      </c>
      <c r="S111" s="261">
        <v>33</v>
      </c>
      <c r="T111" s="261">
        <v>34.5</v>
      </c>
      <c r="U111" s="248"/>
      <c r="V111" s="261">
        <v>0</v>
      </c>
      <c r="W111" s="261">
        <v>0</v>
      </c>
      <c r="X111" s="261">
        <v>0</v>
      </c>
      <c r="Y111" s="248"/>
      <c r="Z111" s="261">
        <v>0.06</v>
      </c>
      <c r="AA111" s="261">
        <v>0.08</v>
      </c>
      <c r="AB111" s="261">
        <v>0.12</v>
      </c>
      <c r="AC111" s="248"/>
      <c r="AD111" s="261">
        <v>0.16125</v>
      </c>
      <c r="AE111" s="261">
        <v>0.215</v>
      </c>
      <c r="AF111" s="261">
        <v>0.32250000000000001</v>
      </c>
      <c r="AG111" s="248"/>
      <c r="AH111" s="261">
        <v>-0.5</v>
      </c>
      <c r="AI111" s="261">
        <v>3.9</v>
      </c>
      <c r="AJ111" s="261">
        <v>1.75</v>
      </c>
      <c r="AK111" s="248"/>
      <c r="AL111" s="261">
        <v>-0.1</v>
      </c>
      <c r="AM111" s="261">
        <v>1.1499999999999999</v>
      </c>
      <c r="AN111" s="261">
        <v>0.1</v>
      </c>
      <c r="AO111" s="248"/>
      <c r="AP111" s="7">
        <v>35</v>
      </c>
      <c r="AQ111" s="9">
        <v>0.4</v>
      </c>
      <c r="AR111" s="248"/>
      <c r="AS111" s="248"/>
      <c r="AT111" s="248"/>
      <c r="AU111" s="248"/>
      <c r="AV111" s="248"/>
      <c r="AW111" s="248"/>
      <c r="AX111" s="248"/>
      <c r="AY111" s="248"/>
      <c r="AZ111" s="248"/>
      <c r="BA111" s="248"/>
      <c r="BB111" s="248"/>
      <c r="BC111" s="248"/>
      <c r="BD111" s="248"/>
      <c r="BE111" s="248"/>
      <c r="BF111" s="248"/>
      <c r="BG111" s="248"/>
      <c r="BH111" s="249">
        <v>40026</v>
      </c>
      <c r="BI111" s="262">
        <v>0.75</v>
      </c>
      <c r="BJ111" s="248"/>
      <c r="BK111" s="248"/>
      <c r="BL111" s="248"/>
      <c r="BM111" s="248"/>
      <c r="BN111" s="248"/>
      <c r="BO111"/>
      <c r="BP111"/>
      <c r="BQ111"/>
      <c r="BR111"/>
      <c r="BS111"/>
      <c r="BT111" s="248"/>
      <c r="BU111" s="248"/>
      <c r="BV111" s="248"/>
      <c r="BW111" s="248"/>
      <c r="BX111" s="248"/>
      <c r="BY111" s="248"/>
      <c r="BZ111" s="248"/>
      <c r="CA111" s="248"/>
      <c r="CB111" s="248"/>
      <c r="CC111" s="248"/>
      <c r="CD111" s="248"/>
      <c r="CE111" s="248"/>
      <c r="CF111" s="248"/>
      <c r="CG111" s="248"/>
    </row>
    <row r="112" spans="1:85" ht="12.75" x14ac:dyDescent="0.2">
      <c r="A112" s="29">
        <v>40238</v>
      </c>
      <c r="B112" s="243">
        <v>6.2203980956500003E-2</v>
      </c>
      <c r="D112" s="260">
        <v>39173</v>
      </c>
      <c r="E112" s="9">
        <v>33.098545074462891</v>
      </c>
      <c r="F112" s="9">
        <v>34.348545074462891</v>
      </c>
      <c r="G112" s="9">
        <v>35.598545074462891</v>
      </c>
      <c r="H112" s="8"/>
      <c r="I112" s="9">
        <v>19.25</v>
      </c>
      <c r="J112" s="9">
        <v>19.5</v>
      </c>
      <c r="K112" s="9">
        <v>20.25</v>
      </c>
      <c r="L112" s="7"/>
      <c r="M112" s="249">
        <v>40057</v>
      </c>
      <c r="N112" s="261">
        <v>31</v>
      </c>
      <c r="O112" s="261">
        <v>32.5</v>
      </c>
      <c r="P112" s="261">
        <v>34</v>
      </c>
      <c r="Q112" s="248"/>
      <c r="R112" s="261">
        <v>25.5</v>
      </c>
      <c r="S112" s="261">
        <v>27</v>
      </c>
      <c r="T112" s="261">
        <v>28.5</v>
      </c>
      <c r="U112" s="248"/>
      <c r="V112" s="261">
        <v>0</v>
      </c>
      <c r="W112" s="261">
        <v>0</v>
      </c>
      <c r="X112" s="261">
        <v>0</v>
      </c>
      <c r="Y112" s="248"/>
      <c r="Z112" s="261">
        <v>0.06</v>
      </c>
      <c r="AA112" s="261">
        <v>0.08</v>
      </c>
      <c r="AB112" s="261">
        <v>0.12</v>
      </c>
      <c r="AC112" s="248"/>
      <c r="AD112" s="261">
        <v>0.10125000000000001</v>
      </c>
      <c r="AE112" s="261">
        <v>0.13500000000000001</v>
      </c>
      <c r="AF112" s="261">
        <v>0.20250000000000001</v>
      </c>
      <c r="AG112" s="248"/>
      <c r="AH112" s="261">
        <v>-1</v>
      </c>
      <c r="AI112" s="261">
        <v>2.33</v>
      </c>
      <c r="AJ112" s="261">
        <v>2.5</v>
      </c>
      <c r="AK112" s="248"/>
      <c r="AL112" s="261">
        <v>-0.1</v>
      </c>
      <c r="AM112" s="261">
        <v>1.05</v>
      </c>
      <c r="AN112" s="261">
        <v>0.1</v>
      </c>
      <c r="AO112" s="248"/>
      <c r="AP112" s="7">
        <v>35</v>
      </c>
      <c r="AQ112" s="9">
        <v>0.4</v>
      </c>
      <c r="AR112" s="248"/>
      <c r="AS112" s="248"/>
      <c r="AT112" s="248"/>
      <c r="AU112" s="248"/>
      <c r="AV112" s="248"/>
      <c r="AW112" s="248"/>
      <c r="AX112" s="248"/>
      <c r="AY112" s="248"/>
      <c r="AZ112" s="248"/>
      <c r="BA112" s="248"/>
      <c r="BB112" s="248"/>
      <c r="BC112" s="248"/>
      <c r="BD112" s="248"/>
      <c r="BE112" s="248"/>
      <c r="BF112" s="248"/>
      <c r="BG112" s="248"/>
      <c r="BH112" s="249">
        <v>40057</v>
      </c>
      <c r="BI112" s="262">
        <v>0.75</v>
      </c>
      <c r="BJ112" s="248"/>
      <c r="BK112" s="248"/>
      <c r="BL112" s="248"/>
      <c r="BM112" s="248"/>
      <c r="BN112" s="248"/>
      <c r="BO112"/>
      <c r="BP112"/>
      <c r="BQ112"/>
      <c r="BR112"/>
      <c r="BS112"/>
      <c r="BT112" s="248"/>
      <c r="BU112" s="248"/>
      <c r="BV112" s="248"/>
      <c r="BW112" s="248"/>
      <c r="BX112" s="248"/>
      <c r="BY112" s="248"/>
      <c r="BZ112" s="248"/>
      <c r="CA112" s="248"/>
      <c r="CB112" s="248"/>
      <c r="CC112" s="248"/>
      <c r="CD112" s="248"/>
      <c r="CE112" s="248"/>
      <c r="CF112" s="248"/>
      <c r="CG112" s="248"/>
    </row>
    <row r="113" spans="1:85" ht="12.75" x14ac:dyDescent="0.2">
      <c r="A113" s="29">
        <v>40269</v>
      </c>
      <c r="B113" s="243">
        <v>6.2261494236649E-2</v>
      </c>
      <c r="D113" s="260">
        <v>39203</v>
      </c>
      <c r="E113" s="9">
        <v>34.003566741943359</v>
      </c>
      <c r="F113" s="9">
        <v>36.003566741943359</v>
      </c>
      <c r="G113" s="9">
        <v>38.003566741943359</v>
      </c>
      <c r="H113" s="8"/>
      <c r="I113" s="9">
        <v>21.25</v>
      </c>
      <c r="J113" s="9">
        <v>21.5</v>
      </c>
      <c r="K113" s="9">
        <v>22.25</v>
      </c>
      <c r="L113" s="7"/>
      <c r="M113" s="249">
        <v>40087</v>
      </c>
      <c r="N113" s="261">
        <v>25.996000289916992</v>
      </c>
      <c r="O113" s="261">
        <v>27.496000289916992</v>
      </c>
      <c r="P113" s="261">
        <v>28.996000289916992</v>
      </c>
      <c r="Q113" s="248"/>
      <c r="R113" s="261">
        <v>20.496500015258789</v>
      </c>
      <c r="S113" s="261">
        <v>21.996500015258789</v>
      </c>
      <c r="T113" s="261">
        <v>23.496500015258789</v>
      </c>
      <c r="U113" s="248"/>
      <c r="V113" s="261">
        <v>0</v>
      </c>
      <c r="W113" s="261">
        <v>0</v>
      </c>
      <c r="X113" s="261">
        <v>0</v>
      </c>
      <c r="Y113" s="248"/>
      <c r="Z113" s="261">
        <v>0.06</v>
      </c>
      <c r="AA113" s="261">
        <v>0.08</v>
      </c>
      <c r="AB113" s="261">
        <v>0.12</v>
      </c>
      <c r="AC113" s="248"/>
      <c r="AD113" s="261">
        <v>7.8750000000000001E-2</v>
      </c>
      <c r="AE113" s="261">
        <v>0.105</v>
      </c>
      <c r="AF113" s="261">
        <v>0.1575</v>
      </c>
      <c r="AG113" s="248"/>
      <c r="AH113" s="261">
        <v>-1</v>
      </c>
      <c r="AI113" s="261">
        <v>2.06</v>
      </c>
      <c r="AJ113" s="261">
        <v>2.5</v>
      </c>
      <c r="AK113" s="248"/>
      <c r="AL113" s="261">
        <v>-0.1</v>
      </c>
      <c r="AM113" s="261">
        <v>1</v>
      </c>
      <c r="AN113" s="261">
        <v>0.1</v>
      </c>
      <c r="AO113" s="248"/>
      <c r="AP113" s="7">
        <v>35</v>
      </c>
      <c r="AQ113" s="9">
        <v>0.4</v>
      </c>
      <c r="AR113" s="248"/>
      <c r="AS113" s="248"/>
      <c r="AT113" s="248"/>
      <c r="AU113" s="248"/>
      <c r="AV113" s="248"/>
      <c r="AW113" s="248"/>
      <c r="AX113" s="248"/>
      <c r="AY113" s="248"/>
      <c r="AZ113" s="248"/>
      <c r="BA113" s="248"/>
      <c r="BB113" s="248"/>
      <c r="BC113" s="248"/>
      <c r="BD113" s="248"/>
      <c r="BE113" s="248"/>
      <c r="BF113" s="248"/>
      <c r="BG113" s="248"/>
      <c r="BH113" s="249">
        <v>40087</v>
      </c>
      <c r="BI113" s="262">
        <v>0.75</v>
      </c>
      <c r="BJ113" s="248"/>
      <c r="BK113" s="248"/>
      <c r="BL113" s="248"/>
      <c r="BM113" s="248"/>
      <c r="BN113" s="248"/>
      <c r="BO113"/>
      <c r="BP113"/>
      <c r="BQ113"/>
      <c r="BR113"/>
      <c r="BS113"/>
      <c r="BT113" s="248"/>
      <c r="BU113" s="248"/>
      <c r="BV113" s="248"/>
      <c r="BW113" s="248"/>
      <c r="BX113" s="248"/>
      <c r="BY113" s="248"/>
      <c r="BZ113" s="248"/>
      <c r="CA113" s="248"/>
      <c r="CB113" s="248"/>
      <c r="CC113" s="248"/>
      <c r="CD113" s="248"/>
      <c r="CE113" s="248"/>
      <c r="CF113" s="248"/>
      <c r="CG113" s="248"/>
    </row>
    <row r="114" spans="1:85" ht="12.75" x14ac:dyDescent="0.2">
      <c r="A114" s="29">
        <v>40299</v>
      </c>
      <c r="B114" s="243">
        <v>6.2320924627289005E-2</v>
      </c>
      <c r="D114" s="260">
        <v>39234</v>
      </c>
      <c r="E114" s="9">
        <v>38.247856140136719</v>
      </c>
      <c r="F114" s="9">
        <v>43.247856140136719</v>
      </c>
      <c r="G114" s="9">
        <v>48.247856140136719</v>
      </c>
      <c r="H114" s="8"/>
      <c r="I114" s="9">
        <v>24.25</v>
      </c>
      <c r="J114" s="9">
        <v>24.5</v>
      </c>
      <c r="K114" s="9">
        <v>25.25</v>
      </c>
      <c r="L114" s="7"/>
      <c r="M114" s="249">
        <v>40118</v>
      </c>
      <c r="N114" s="261">
        <v>28</v>
      </c>
      <c r="O114" s="261">
        <v>29.5</v>
      </c>
      <c r="P114" s="261">
        <v>31</v>
      </c>
      <c r="Q114" s="248"/>
      <c r="R114" s="261">
        <v>20.5</v>
      </c>
      <c r="S114" s="261">
        <v>22</v>
      </c>
      <c r="T114" s="261">
        <v>23.5</v>
      </c>
      <c r="U114" s="248"/>
      <c r="V114" s="261">
        <v>0</v>
      </c>
      <c r="W114" s="261">
        <v>0</v>
      </c>
      <c r="X114" s="261">
        <v>0</v>
      </c>
      <c r="Y114" s="248"/>
      <c r="Z114" s="261">
        <v>0.06</v>
      </c>
      <c r="AA114" s="261">
        <v>0.08</v>
      </c>
      <c r="AB114" s="261">
        <v>0.12</v>
      </c>
      <c r="AC114" s="248"/>
      <c r="AD114" s="261">
        <v>7.8750000000000001E-2</v>
      </c>
      <c r="AE114" s="261">
        <v>0.105</v>
      </c>
      <c r="AF114" s="261">
        <v>0.1575</v>
      </c>
      <c r="AG114" s="248"/>
      <c r="AH114" s="261">
        <v>-0.5</v>
      </c>
      <c r="AI114" s="261">
        <v>2.052</v>
      </c>
      <c r="AJ114" s="261">
        <v>1</v>
      </c>
      <c r="AK114" s="248"/>
      <c r="AL114" s="261">
        <v>-0.1</v>
      </c>
      <c r="AM114" s="261">
        <v>1</v>
      </c>
      <c r="AN114" s="261">
        <v>0.1</v>
      </c>
      <c r="AO114" s="248"/>
      <c r="AP114" s="7">
        <v>36</v>
      </c>
      <c r="AQ114" s="9">
        <v>0.4</v>
      </c>
      <c r="AR114" s="248"/>
      <c r="AS114" s="248"/>
      <c r="AT114" s="248"/>
      <c r="AU114" s="248"/>
      <c r="AV114" s="248"/>
      <c r="AW114" s="248"/>
      <c r="AX114" s="248"/>
      <c r="AY114" s="248"/>
      <c r="AZ114" s="248"/>
      <c r="BA114" s="248"/>
      <c r="BB114" s="248"/>
      <c r="BC114" s="248"/>
      <c r="BD114" s="248"/>
      <c r="BE114" s="248"/>
      <c r="BF114" s="248"/>
      <c r="BG114" s="248"/>
      <c r="BH114" s="249">
        <v>40118</v>
      </c>
      <c r="BI114" s="262">
        <v>0.75</v>
      </c>
      <c r="BJ114" s="248"/>
      <c r="BK114" s="248"/>
      <c r="BL114" s="248"/>
      <c r="BM114" s="248"/>
      <c r="BN114" s="248"/>
      <c r="BO114"/>
      <c r="BP114"/>
      <c r="BQ114"/>
      <c r="BR114"/>
      <c r="BS114"/>
      <c r="BT114" s="248"/>
      <c r="BU114" s="248"/>
      <c r="BV114" s="248"/>
      <c r="BW114" s="248"/>
      <c r="BX114" s="248"/>
      <c r="BY114" s="248"/>
      <c r="BZ114" s="248"/>
      <c r="CA114" s="248"/>
      <c r="CB114" s="248"/>
      <c r="CC114" s="248"/>
      <c r="CD114" s="248"/>
      <c r="CE114" s="248"/>
      <c r="CF114" s="248"/>
      <c r="CG114" s="248"/>
    </row>
    <row r="115" spans="1:85" ht="12.75" x14ac:dyDescent="0.2">
      <c r="A115" s="29">
        <v>40330</v>
      </c>
      <c r="B115" s="243">
        <v>6.2378437909669016E-2</v>
      </c>
      <c r="D115" s="260">
        <v>39264</v>
      </c>
      <c r="E115" s="9">
        <v>57.247146606445313</v>
      </c>
      <c r="F115" s="9">
        <v>67.247146606445313</v>
      </c>
      <c r="G115" s="9">
        <v>77.247146606445312</v>
      </c>
      <c r="H115" s="8"/>
      <c r="I115" s="9">
        <v>24.75</v>
      </c>
      <c r="J115" s="9">
        <v>25</v>
      </c>
      <c r="K115" s="9">
        <v>25.75</v>
      </c>
      <c r="L115" s="7"/>
      <c r="M115" s="249">
        <v>40148</v>
      </c>
      <c r="N115" s="261">
        <v>33</v>
      </c>
      <c r="O115" s="261">
        <v>34.5</v>
      </c>
      <c r="P115" s="261">
        <v>36</v>
      </c>
      <c r="Q115" s="248"/>
      <c r="R115" s="261">
        <v>27.5</v>
      </c>
      <c r="S115" s="261">
        <v>29</v>
      </c>
      <c r="T115" s="261">
        <v>30.5</v>
      </c>
      <c r="U115" s="248"/>
      <c r="V115" s="261">
        <v>0</v>
      </c>
      <c r="W115" s="261">
        <v>0</v>
      </c>
      <c r="X115" s="261">
        <v>0</v>
      </c>
      <c r="Y115" s="248"/>
      <c r="Z115" s="261">
        <v>0.06</v>
      </c>
      <c r="AA115" s="261">
        <v>0.08</v>
      </c>
      <c r="AB115" s="261">
        <v>0.12</v>
      </c>
      <c r="AC115" s="248"/>
      <c r="AD115" s="261">
        <v>0.10875</v>
      </c>
      <c r="AE115" s="261">
        <v>0.14499999999999999</v>
      </c>
      <c r="AF115" s="261">
        <v>0.2175</v>
      </c>
      <c r="AG115" s="248"/>
      <c r="AH115" s="261">
        <v>-0.4</v>
      </c>
      <c r="AI115" s="261">
        <v>1.89</v>
      </c>
      <c r="AJ115" s="261">
        <v>0.5</v>
      </c>
      <c r="AK115" s="248"/>
      <c r="AL115" s="261">
        <v>-0.1</v>
      </c>
      <c r="AM115" s="261">
        <v>1</v>
      </c>
      <c r="AN115" s="261">
        <v>0.1</v>
      </c>
      <c r="AO115" s="248"/>
      <c r="AP115" s="7">
        <v>36</v>
      </c>
      <c r="AQ115" s="9">
        <v>0.4</v>
      </c>
      <c r="AR115" s="248"/>
      <c r="AS115" s="248"/>
      <c r="AT115" s="248"/>
      <c r="AU115" s="248"/>
      <c r="AV115" s="248"/>
      <c r="AW115" s="248"/>
      <c r="AX115" s="248"/>
      <c r="AY115" s="248"/>
      <c r="AZ115" s="248"/>
      <c r="BA115" s="248"/>
      <c r="BB115" s="248"/>
      <c r="BC115" s="248"/>
      <c r="BD115" s="248"/>
      <c r="BE115" s="248"/>
      <c r="BF115" s="248"/>
      <c r="BG115" s="248"/>
      <c r="BH115" s="249">
        <v>40148</v>
      </c>
      <c r="BI115" s="262">
        <v>0.75</v>
      </c>
      <c r="BJ115" s="248"/>
      <c r="BK115" s="248"/>
      <c r="BL115" s="248"/>
      <c r="BM115" s="248"/>
      <c r="BN115" s="248"/>
      <c r="BO115"/>
      <c r="BP115"/>
      <c r="BQ115"/>
      <c r="BR115"/>
      <c r="BS115"/>
      <c r="BT115" s="248"/>
      <c r="BU115" s="248"/>
      <c r="BV115" s="248"/>
      <c r="BW115" s="248"/>
      <c r="BX115" s="248"/>
      <c r="BY115" s="248"/>
      <c r="BZ115" s="248"/>
      <c r="CA115" s="248"/>
      <c r="CB115" s="248"/>
      <c r="CC115" s="248"/>
      <c r="CD115" s="248"/>
      <c r="CE115" s="248"/>
      <c r="CF115" s="248"/>
      <c r="CG115" s="248"/>
    </row>
    <row r="116" spans="1:85" ht="12.75" x14ac:dyDescent="0.2">
      <c r="A116" s="29">
        <v>40360</v>
      </c>
      <c r="B116" s="243">
        <v>6.2437868302616016E-2</v>
      </c>
      <c r="D116" s="260">
        <v>39295</v>
      </c>
      <c r="E116" s="9">
        <v>57.247146606445313</v>
      </c>
      <c r="F116" s="9">
        <v>67.247146606445313</v>
      </c>
      <c r="G116" s="9">
        <v>77.247146606445312</v>
      </c>
      <c r="H116" s="8"/>
      <c r="I116" s="9">
        <v>25.75</v>
      </c>
      <c r="J116" s="9">
        <v>26</v>
      </c>
      <c r="K116" s="9">
        <v>26.75</v>
      </c>
      <c r="L116" s="7"/>
      <c r="M116" s="249">
        <v>40179</v>
      </c>
      <c r="N116" s="261">
        <v>35.5</v>
      </c>
      <c r="O116" s="261">
        <v>37</v>
      </c>
      <c r="P116" s="261">
        <v>38.5</v>
      </c>
      <c r="Q116" s="248"/>
      <c r="R116" s="261">
        <v>25</v>
      </c>
      <c r="S116" s="261">
        <v>26.5</v>
      </c>
      <c r="T116" s="261">
        <v>28</v>
      </c>
      <c r="U116" s="248"/>
      <c r="V116" s="261">
        <v>0</v>
      </c>
      <c r="W116" s="261">
        <v>0</v>
      </c>
      <c r="X116" s="261">
        <v>0</v>
      </c>
      <c r="Y116" s="248"/>
      <c r="Z116" s="261">
        <v>0.06</v>
      </c>
      <c r="AA116" s="261">
        <v>0.08</v>
      </c>
      <c r="AB116" s="261">
        <v>0.12</v>
      </c>
      <c r="AC116" s="248"/>
      <c r="AD116" s="261">
        <v>0.10125000000000001</v>
      </c>
      <c r="AE116" s="261">
        <v>0.13500000000000001</v>
      </c>
      <c r="AF116" s="261">
        <v>0.20250000000000001</v>
      </c>
      <c r="AG116" s="248"/>
      <c r="AH116" s="261">
        <v>-0.4</v>
      </c>
      <c r="AI116" s="261">
        <v>2.3220000000000001</v>
      </c>
      <c r="AJ116" s="261">
        <v>0.5</v>
      </c>
      <c r="AK116" s="248"/>
      <c r="AL116" s="261">
        <v>-0.1</v>
      </c>
      <c r="AM116" s="261">
        <v>1</v>
      </c>
      <c r="AN116" s="261">
        <v>0.1</v>
      </c>
      <c r="AO116" s="248"/>
      <c r="AP116" s="7">
        <v>36</v>
      </c>
      <c r="AQ116" s="9">
        <v>0.4</v>
      </c>
      <c r="AR116" s="248"/>
      <c r="AS116" s="248"/>
      <c r="AT116" s="248"/>
      <c r="AU116" s="248"/>
      <c r="AV116" s="248"/>
      <c r="AW116" s="248"/>
      <c r="AX116" s="248"/>
      <c r="AY116" s="248"/>
      <c r="AZ116" s="248"/>
      <c r="BA116" s="248"/>
      <c r="BB116" s="248"/>
      <c r="BC116" s="248"/>
      <c r="BD116" s="248"/>
      <c r="BE116" s="248"/>
      <c r="BF116" s="248"/>
      <c r="BG116" s="248"/>
      <c r="BH116" s="249">
        <v>40179</v>
      </c>
      <c r="BI116" s="262">
        <v>0.75</v>
      </c>
      <c r="BJ116" s="248"/>
      <c r="BK116" s="248"/>
      <c r="BL116" s="248"/>
      <c r="BM116" s="248"/>
      <c r="BN116" s="248"/>
      <c r="BO116"/>
      <c r="BP116"/>
      <c r="BQ116"/>
      <c r="BR116"/>
      <c r="BS116"/>
      <c r="BT116" s="248"/>
      <c r="BU116" s="248"/>
      <c r="BV116" s="248"/>
      <c r="BW116" s="248"/>
      <c r="BX116" s="248"/>
      <c r="BY116" s="248"/>
      <c r="BZ116" s="248"/>
      <c r="CA116" s="248"/>
      <c r="CB116" s="248"/>
      <c r="CC116" s="248"/>
      <c r="CD116" s="248"/>
      <c r="CE116" s="248"/>
      <c r="CF116" s="248"/>
      <c r="CG116" s="248"/>
    </row>
    <row r="117" spans="1:85" ht="12.75" x14ac:dyDescent="0.2">
      <c r="A117" s="29">
        <v>40391</v>
      </c>
      <c r="B117" s="243">
        <v>6.249729869673501E-2</v>
      </c>
      <c r="D117" s="260">
        <v>39326</v>
      </c>
      <c r="E117" s="9">
        <v>33.452143859863284</v>
      </c>
      <c r="F117" s="9">
        <v>36.252143859863281</v>
      </c>
      <c r="G117" s="9">
        <v>39.052143859863278</v>
      </c>
      <c r="H117" s="8"/>
      <c r="I117" s="9">
        <v>18.75</v>
      </c>
      <c r="J117" s="9">
        <v>19</v>
      </c>
      <c r="K117" s="9">
        <v>19.75</v>
      </c>
      <c r="L117" s="7"/>
      <c r="M117" s="249">
        <v>40210</v>
      </c>
      <c r="N117" s="261">
        <v>30.996002197265625</v>
      </c>
      <c r="O117" s="261">
        <v>32.496002197265625</v>
      </c>
      <c r="P117" s="261">
        <v>33.996002197265625</v>
      </c>
      <c r="Q117" s="248"/>
      <c r="R117" s="261">
        <v>22.496501922607422</v>
      </c>
      <c r="S117" s="261">
        <v>23.996501922607422</v>
      </c>
      <c r="T117" s="261">
        <v>25.496501922607422</v>
      </c>
      <c r="U117" s="248"/>
      <c r="V117" s="261">
        <v>0</v>
      </c>
      <c r="W117" s="261">
        <v>0</v>
      </c>
      <c r="X117" s="261">
        <v>0</v>
      </c>
      <c r="Y117" s="248"/>
      <c r="Z117" s="261">
        <v>0.06</v>
      </c>
      <c r="AA117" s="261">
        <v>0.08</v>
      </c>
      <c r="AB117" s="261">
        <v>0.12</v>
      </c>
      <c r="AC117" s="248"/>
      <c r="AD117" s="261">
        <v>0.10125000000000001</v>
      </c>
      <c r="AE117" s="261">
        <v>0.13500000000000001</v>
      </c>
      <c r="AF117" s="261">
        <v>0.20250000000000001</v>
      </c>
      <c r="AG117" s="248"/>
      <c r="AH117" s="261">
        <v>-0.4</v>
      </c>
      <c r="AI117" s="261">
        <v>2.3220000000000001</v>
      </c>
      <c r="AJ117" s="261">
        <v>0.6</v>
      </c>
      <c r="AK117" s="248"/>
      <c r="AL117" s="261">
        <v>-0.1</v>
      </c>
      <c r="AM117" s="261">
        <v>1</v>
      </c>
      <c r="AN117" s="261">
        <v>0.1</v>
      </c>
      <c r="AO117" s="248"/>
      <c r="AP117" s="7">
        <v>37</v>
      </c>
      <c r="AQ117" s="9">
        <v>0.4</v>
      </c>
      <c r="AR117" s="248"/>
      <c r="AS117" s="248"/>
      <c r="AT117" s="248"/>
      <c r="AU117" s="248"/>
      <c r="AV117" s="248"/>
      <c r="AW117" s="248"/>
      <c r="AX117" s="248"/>
      <c r="AY117" s="248"/>
      <c r="AZ117" s="248"/>
      <c r="BA117" s="248"/>
      <c r="BB117" s="248"/>
      <c r="BC117" s="248"/>
      <c r="BD117" s="248"/>
      <c r="BE117" s="248"/>
      <c r="BF117" s="248"/>
      <c r="BG117" s="248"/>
      <c r="BH117" s="249">
        <v>40210</v>
      </c>
      <c r="BI117" s="262">
        <v>0.75</v>
      </c>
      <c r="BJ117" s="248"/>
      <c r="BK117" s="248"/>
      <c r="BL117" s="248"/>
      <c r="BM117" s="248"/>
      <c r="BN117" s="248"/>
      <c r="BO117"/>
      <c r="BP117"/>
      <c r="BQ117"/>
      <c r="BR117"/>
      <c r="BS117"/>
      <c r="BT117" s="248"/>
      <c r="BU117" s="248"/>
      <c r="BV117" s="248"/>
      <c r="BW117" s="248"/>
      <c r="BX117" s="248"/>
      <c r="BY117" s="248"/>
      <c r="BZ117" s="248"/>
      <c r="CA117" s="248"/>
      <c r="CB117" s="248"/>
      <c r="CC117" s="248"/>
      <c r="CD117" s="248"/>
      <c r="CE117" s="248"/>
      <c r="CF117" s="248"/>
      <c r="CG117" s="248"/>
    </row>
    <row r="118" spans="1:85" ht="12.75" x14ac:dyDescent="0.2">
      <c r="A118" s="29">
        <v>40422</v>
      </c>
      <c r="B118" s="243">
        <v>6.2554811982482E-2</v>
      </c>
      <c r="D118" s="260">
        <v>39356</v>
      </c>
      <c r="E118" s="9">
        <v>33.098933410644534</v>
      </c>
      <c r="F118" s="9">
        <v>34.148933410644531</v>
      </c>
      <c r="G118" s="9">
        <v>35.198933410644528</v>
      </c>
      <c r="H118" s="8"/>
      <c r="I118" s="9">
        <v>16.250001907348633</v>
      </c>
      <c r="J118" s="9">
        <v>16.500001907348633</v>
      </c>
      <c r="K118" s="9">
        <v>17.250001907348633</v>
      </c>
      <c r="L118" s="7"/>
      <c r="M118" s="249">
        <v>40238</v>
      </c>
      <c r="N118" s="261">
        <v>26</v>
      </c>
      <c r="O118" s="261">
        <v>27.5</v>
      </c>
      <c r="P118" s="261">
        <v>29</v>
      </c>
      <c r="Q118" s="248"/>
      <c r="R118" s="261">
        <v>20.5</v>
      </c>
      <c r="S118" s="261">
        <v>22</v>
      </c>
      <c r="T118" s="261">
        <v>23.5</v>
      </c>
      <c r="U118" s="248"/>
      <c r="V118" s="261">
        <v>0</v>
      </c>
      <c r="W118" s="261">
        <v>0</v>
      </c>
      <c r="X118" s="261">
        <v>0</v>
      </c>
      <c r="Y118" s="248"/>
      <c r="Z118" s="261">
        <v>0.06</v>
      </c>
      <c r="AA118" s="261">
        <v>0.08</v>
      </c>
      <c r="AB118" s="261">
        <v>0.12</v>
      </c>
      <c r="AC118" s="248"/>
      <c r="AD118" s="261">
        <v>0.09</v>
      </c>
      <c r="AE118" s="261">
        <v>0.12</v>
      </c>
      <c r="AF118" s="261">
        <v>0.18</v>
      </c>
      <c r="AG118" s="248"/>
      <c r="AH118" s="261">
        <v>-0.5</v>
      </c>
      <c r="AI118" s="261">
        <v>2.052</v>
      </c>
      <c r="AJ118" s="261">
        <v>1</v>
      </c>
      <c r="AK118" s="248"/>
      <c r="AL118" s="261">
        <v>-0.1</v>
      </c>
      <c r="AM118" s="261">
        <v>1</v>
      </c>
      <c r="AN118" s="261">
        <v>0.1</v>
      </c>
      <c r="AO118" s="248"/>
      <c r="AP118" s="7">
        <v>37</v>
      </c>
      <c r="AQ118" s="9">
        <v>0.4</v>
      </c>
      <c r="AR118" s="248"/>
      <c r="AS118" s="248"/>
      <c r="AT118" s="248"/>
      <c r="AU118" s="248"/>
      <c r="AV118" s="248"/>
      <c r="AW118" s="248"/>
      <c r="AX118" s="248"/>
      <c r="AY118" s="248"/>
      <c r="AZ118" s="248"/>
      <c r="BA118" s="248"/>
      <c r="BB118" s="248"/>
      <c r="BC118" s="248"/>
      <c r="BD118" s="248"/>
      <c r="BE118" s="248"/>
      <c r="BF118" s="248"/>
      <c r="BG118" s="248"/>
      <c r="BH118" s="249">
        <v>40238</v>
      </c>
      <c r="BI118" s="262">
        <v>0.75</v>
      </c>
      <c r="BJ118" s="248"/>
      <c r="BK118" s="248"/>
      <c r="BL118" s="248"/>
      <c r="BM118" s="248"/>
      <c r="BN118" s="248"/>
      <c r="BO118"/>
      <c r="BP118"/>
      <c r="BQ118"/>
      <c r="BR118"/>
      <c r="BS118"/>
      <c r="BT118" s="248"/>
      <c r="BU118" s="248"/>
      <c r="BV118" s="248"/>
      <c r="BW118" s="248"/>
      <c r="BX118" s="248"/>
      <c r="BY118" s="248"/>
      <c r="BZ118" s="248"/>
      <c r="CA118" s="248"/>
      <c r="CB118" s="248"/>
      <c r="CC118" s="248"/>
      <c r="CD118" s="248"/>
      <c r="CE118" s="248"/>
      <c r="CF118" s="248"/>
      <c r="CG118" s="248"/>
    </row>
    <row r="119" spans="1:85" ht="12.75" x14ac:dyDescent="0.2">
      <c r="A119" s="29">
        <v>40452</v>
      </c>
      <c r="B119" s="243">
        <v>6.2614242378907004E-2</v>
      </c>
      <c r="D119" s="260">
        <v>39387</v>
      </c>
      <c r="E119" s="9">
        <v>33.198931884765628</v>
      </c>
      <c r="F119" s="9">
        <v>34.248931884765625</v>
      </c>
      <c r="G119" s="9">
        <v>35.298931884765622</v>
      </c>
      <c r="H119" s="8"/>
      <c r="I119" s="9">
        <v>18.25</v>
      </c>
      <c r="J119" s="9">
        <v>18.5</v>
      </c>
      <c r="K119" s="9">
        <v>19.25</v>
      </c>
      <c r="L119" s="7"/>
      <c r="M119" s="249">
        <v>40269</v>
      </c>
      <c r="N119" s="261">
        <v>26</v>
      </c>
      <c r="O119" s="261">
        <v>27.5</v>
      </c>
      <c r="P119" s="261">
        <v>29</v>
      </c>
      <c r="Q119" s="248"/>
      <c r="R119" s="261">
        <v>20.495000839233398</v>
      </c>
      <c r="S119" s="261">
        <v>21.995000839233398</v>
      </c>
      <c r="T119" s="261">
        <v>23.495000839233398</v>
      </c>
      <c r="U119" s="248"/>
      <c r="V119" s="261">
        <v>0</v>
      </c>
      <c r="W119" s="261">
        <v>0</v>
      </c>
      <c r="X119" s="261">
        <v>0</v>
      </c>
      <c r="Y119" s="248"/>
      <c r="Z119" s="261">
        <v>0.06</v>
      </c>
      <c r="AA119" s="261">
        <v>0.08</v>
      </c>
      <c r="AB119" s="261">
        <v>0.12</v>
      </c>
      <c r="AC119" s="248"/>
      <c r="AD119" s="261">
        <v>0.09</v>
      </c>
      <c r="AE119" s="261">
        <v>0.12</v>
      </c>
      <c r="AF119" s="261">
        <v>0.18</v>
      </c>
      <c r="AG119" s="248"/>
      <c r="AH119" s="261">
        <v>-0.5</v>
      </c>
      <c r="AI119" s="261">
        <v>1.9980000000000004</v>
      </c>
      <c r="AJ119" s="261">
        <v>1</v>
      </c>
      <c r="AK119" s="248"/>
      <c r="AL119" s="261">
        <v>-0.1</v>
      </c>
      <c r="AM119" s="261">
        <v>1</v>
      </c>
      <c r="AN119" s="261">
        <v>0.1</v>
      </c>
      <c r="AO119" s="248"/>
      <c r="AP119" s="7">
        <v>37</v>
      </c>
      <c r="AQ119" s="9">
        <v>0.4</v>
      </c>
      <c r="AR119" s="248"/>
      <c r="AS119" s="248"/>
      <c r="AT119" s="248"/>
      <c r="AU119" s="248"/>
      <c r="AV119" s="248"/>
      <c r="AW119" s="248"/>
      <c r="AX119" s="248"/>
      <c r="AY119" s="248"/>
      <c r="AZ119" s="248"/>
      <c r="BA119" s="248"/>
      <c r="BB119" s="248"/>
      <c r="BC119" s="248"/>
      <c r="BD119" s="248"/>
      <c r="BE119" s="248"/>
      <c r="BF119" s="248"/>
      <c r="BG119" s="248"/>
      <c r="BH119" s="249">
        <v>40269</v>
      </c>
      <c r="BI119" s="262">
        <v>0.75</v>
      </c>
      <c r="BJ119" s="248"/>
      <c r="BK119" s="248"/>
      <c r="BL119" s="248"/>
      <c r="BM119" s="248"/>
      <c r="BN119" s="248"/>
      <c r="BO119"/>
      <c r="BP119"/>
      <c r="BQ119"/>
      <c r="BR119"/>
      <c r="BS119"/>
      <c r="BT119" s="248"/>
      <c r="BU119" s="248"/>
      <c r="BV119" s="248"/>
      <c r="BW119" s="248"/>
      <c r="BX119" s="248"/>
      <c r="BY119" s="248"/>
      <c r="BZ119" s="248"/>
      <c r="CA119" s="248"/>
      <c r="CB119" s="248"/>
      <c r="CC119" s="248"/>
      <c r="CD119" s="248"/>
      <c r="CE119" s="248"/>
      <c r="CF119" s="248"/>
      <c r="CG119" s="248"/>
    </row>
    <row r="120" spans="1:85" ht="12.75" x14ac:dyDescent="0.2">
      <c r="A120" s="29">
        <v>40483</v>
      </c>
      <c r="B120" s="243">
        <v>6.2671755666886014E-2</v>
      </c>
      <c r="D120" s="260">
        <v>39417</v>
      </c>
      <c r="E120" s="9">
        <v>33.298930358886722</v>
      </c>
      <c r="F120" s="9">
        <v>34.348930358886719</v>
      </c>
      <c r="G120" s="9">
        <v>35.398930358886716</v>
      </c>
      <c r="H120" s="8"/>
      <c r="I120" s="9">
        <v>17.360000610351562</v>
      </c>
      <c r="J120" s="9">
        <v>17.610000610351563</v>
      </c>
      <c r="K120" s="9">
        <v>18.360000610351563</v>
      </c>
      <c r="L120" s="7"/>
      <c r="M120" s="249">
        <v>40299</v>
      </c>
      <c r="N120" s="261">
        <v>28</v>
      </c>
      <c r="O120" s="261">
        <v>29.5</v>
      </c>
      <c r="P120" s="261">
        <v>31</v>
      </c>
      <c r="Q120" s="248"/>
      <c r="R120" s="261">
        <v>21.504999160766602</v>
      </c>
      <c r="S120" s="261">
        <v>23.004999160766602</v>
      </c>
      <c r="T120" s="261">
        <v>24.504999160766602</v>
      </c>
      <c r="U120" s="248"/>
      <c r="V120" s="261">
        <v>0</v>
      </c>
      <c r="W120" s="261">
        <v>0</v>
      </c>
      <c r="X120" s="261">
        <v>0</v>
      </c>
      <c r="Y120" s="248"/>
      <c r="Z120" s="261">
        <v>0.06</v>
      </c>
      <c r="AA120" s="261">
        <v>0.08</v>
      </c>
      <c r="AB120" s="261">
        <v>0.12</v>
      </c>
      <c r="AC120" s="248"/>
      <c r="AD120" s="261">
        <v>0.11625000000000001</v>
      </c>
      <c r="AE120" s="261">
        <v>0.155</v>
      </c>
      <c r="AF120" s="261">
        <v>0.23250000000000001</v>
      </c>
      <c r="AG120" s="248"/>
      <c r="AH120" s="261">
        <v>-0.4</v>
      </c>
      <c r="AI120" s="261">
        <v>2.15</v>
      </c>
      <c r="AJ120" s="261">
        <v>0.5</v>
      </c>
      <c r="AK120" s="248"/>
      <c r="AL120" s="261">
        <v>-0.1</v>
      </c>
      <c r="AM120" s="261">
        <v>1.05</v>
      </c>
      <c r="AN120" s="261">
        <v>0.1</v>
      </c>
      <c r="AO120" s="248"/>
      <c r="AP120" s="7">
        <v>38</v>
      </c>
      <c r="AQ120" s="9">
        <v>0.4</v>
      </c>
      <c r="AR120" s="248"/>
      <c r="AS120" s="248"/>
      <c r="AT120" s="248"/>
      <c r="AU120" s="248"/>
      <c r="AV120" s="248"/>
      <c r="AW120" s="248"/>
      <c r="AX120" s="248"/>
      <c r="AY120" s="248"/>
      <c r="AZ120" s="248"/>
      <c r="BA120" s="248"/>
      <c r="BB120" s="248"/>
      <c r="BC120" s="248"/>
      <c r="BD120" s="248"/>
      <c r="BE120" s="248"/>
      <c r="BF120" s="248"/>
      <c r="BG120" s="248"/>
      <c r="BH120" s="249">
        <v>40299</v>
      </c>
      <c r="BI120" s="262">
        <v>0.75</v>
      </c>
      <c r="BJ120" s="248"/>
      <c r="BK120" s="248"/>
      <c r="BL120" s="248"/>
      <c r="BM120" s="248"/>
      <c r="BN120" s="248"/>
      <c r="BO120"/>
      <c r="BP120"/>
      <c r="BQ120"/>
      <c r="BR120"/>
      <c r="BS120"/>
      <c r="BT120" s="248"/>
      <c r="BU120" s="248"/>
      <c r="BV120" s="248"/>
      <c r="BW120" s="248"/>
      <c r="BX120" s="248"/>
      <c r="BY120" s="248"/>
      <c r="BZ120" s="248"/>
      <c r="CA120" s="248"/>
      <c r="CB120" s="248"/>
      <c r="CC120" s="248"/>
      <c r="CD120" s="248"/>
      <c r="CE120" s="248"/>
      <c r="CF120" s="248"/>
      <c r="CG120" s="248"/>
    </row>
    <row r="121" spans="1:85" ht="12.75" x14ac:dyDescent="0.2">
      <c r="A121" s="29">
        <v>40513</v>
      </c>
      <c r="B121" s="243">
        <v>6.273118606561702E-2</v>
      </c>
      <c r="D121" s="260">
        <v>39448</v>
      </c>
      <c r="E121" s="9">
        <v>42.037864685058594</v>
      </c>
      <c r="F121" s="9">
        <v>43.537864685058594</v>
      </c>
      <c r="G121" s="9">
        <v>45.037864685058594</v>
      </c>
      <c r="H121" s="8"/>
      <c r="I121" s="9">
        <v>22.25</v>
      </c>
      <c r="J121" s="9">
        <v>22.5</v>
      </c>
      <c r="K121" s="9">
        <v>23.25</v>
      </c>
      <c r="L121" s="7"/>
      <c r="M121" s="249">
        <v>40330</v>
      </c>
      <c r="N121" s="261">
        <v>35</v>
      </c>
      <c r="O121" s="261">
        <v>36.5</v>
      </c>
      <c r="P121" s="261">
        <v>38</v>
      </c>
      <c r="Q121" s="248"/>
      <c r="R121" s="261">
        <v>25.5</v>
      </c>
      <c r="S121" s="261">
        <v>27</v>
      </c>
      <c r="T121" s="261">
        <v>28.5</v>
      </c>
      <c r="U121" s="248"/>
      <c r="V121" s="261">
        <v>0</v>
      </c>
      <c r="W121" s="261">
        <v>0</v>
      </c>
      <c r="X121" s="261">
        <v>0</v>
      </c>
      <c r="Y121" s="248"/>
      <c r="Z121" s="261">
        <v>0.06</v>
      </c>
      <c r="AA121" s="261">
        <v>0.08</v>
      </c>
      <c r="AB121" s="261">
        <v>0.12</v>
      </c>
      <c r="AC121" s="248"/>
      <c r="AD121" s="261">
        <v>0.13125000000000001</v>
      </c>
      <c r="AE121" s="261">
        <v>0.17499999999999999</v>
      </c>
      <c r="AF121" s="261">
        <v>0.26250000000000001</v>
      </c>
      <c r="AG121" s="248"/>
      <c r="AH121" s="261">
        <v>-0.4</v>
      </c>
      <c r="AI121" s="261">
        <v>2.9</v>
      </c>
      <c r="AJ121" s="261">
        <v>0.5</v>
      </c>
      <c r="AK121" s="248"/>
      <c r="AL121" s="261">
        <v>-0.1</v>
      </c>
      <c r="AM121" s="261">
        <v>1.1499999999999999</v>
      </c>
      <c r="AN121" s="261">
        <v>0.1</v>
      </c>
      <c r="AO121" s="248"/>
      <c r="AP121" s="7">
        <v>38</v>
      </c>
      <c r="AQ121" s="9">
        <v>0.4</v>
      </c>
      <c r="AR121" s="248"/>
      <c r="AS121" s="248"/>
      <c r="AT121" s="248"/>
      <c r="AU121" s="248"/>
      <c r="AV121" s="248"/>
      <c r="AW121" s="248"/>
      <c r="AX121" s="248"/>
      <c r="AY121" s="248"/>
      <c r="AZ121" s="248"/>
      <c r="BA121" s="248"/>
      <c r="BB121" s="248"/>
      <c r="BC121" s="248"/>
      <c r="BD121" s="248"/>
      <c r="BE121" s="248"/>
      <c r="BF121" s="248"/>
      <c r="BG121" s="248"/>
      <c r="BH121" s="249">
        <v>40330</v>
      </c>
      <c r="BI121" s="262">
        <v>0.75</v>
      </c>
      <c r="BJ121" s="248"/>
      <c r="BK121" s="248"/>
      <c r="BL121" s="248"/>
      <c r="BM121" s="248"/>
      <c r="BN121" s="248"/>
      <c r="BO121"/>
      <c r="BP121"/>
      <c r="BQ121"/>
      <c r="BR121"/>
      <c r="BS121"/>
      <c r="BT121" s="248"/>
      <c r="BU121" s="248"/>
      <c r="BV121" s="248"/>
      <c r="BW121" s="248"/>
      <c r="BX121" s="248"/>
      <c r="BY121" s="248"/>
      <c r="BZ121" s="248"/>
      <c r="CA121" s="248"/>
      <c r="CB121" s="248"/>
      <c r="CC121" s="248"/>
      <c r="CD121" s="248"/>
      <c r="CE121" s="248"/>
      <c r="CF121" s="248"/>
      <c r="CG121" s="248"/>
    </row>
    <row r="122" spans="1:85" ht="12.75" x14ac:dyDescent="0.2">
      <c r="A122" s="29">
        <v>40544</v>
      </c>
      <c r="B122" s="243">
        <v>6.2783533726248009E-2</v>
      </c>
      <c r="D122" s="260">
        <v>39479</v>
      </c>
      <c r="E122" s="9">
        <v>41.687862396240234</v>
      </c>
      <c r="F122" s="9">
        <v>43.187862396240234</v>
      </c>
      <c r="G122" s="9">
        <v>44.687862396240234</v>
      </c>
      <c r="H122" s="8"/>
      <c r="I122" s="9">
        <v>20.75</v>
      </c>
      <c r="J122" s="9">
        <v>21</v>
      </c>
      <c r="K122" s="9">
        <v>21.75</v>
      </c>
      <c r="L122" s="7"/>
      <c r="M122" s="249">
        <v>40360</v>
      </c>
      <c r="N122" s="261">
        <v>41</v>
      </c>
      <c r="O122" s="261">
        <v>42.5</v>
      </c>
      <c r="P122" s="261">
        <v>44</v>
      </c>
      <c r="Q122" s="248"/>
      <c r="R122" s="261">
        <v>31.5</v>
      </c>
      <c r="S122" s="261">
        <v>33</v>
      </c>
      <c r="T122" s="261">
        <v>34.5</v>
      </c>
      <c r="U122" s="248"/>
      <c r="V122" s="261">
        <v>0</v>
      </c>
      <c r="W122" s="261">
        <v>0</v>
      </c>
      <c r="X122" s="261">
        <v>0</v>
      </c>
      <c r="Y122" s="248"/>
      <c r="Z122" s="261">
        <v>0.06</v>
      </c>
      <c r="AA122" s="261">
        <v>0.08</v>
      </c>
      <c r="AB122" s="261">
        <v>0.12</v>
      </c>
      <c r="AC122" s="248"/>
      <c r="AD122" s="261">
        <v>0.16125</v>
      </c>
      <c r="AE122" s="261">
        <v>0.215</v>
      </c>
      <c r="AF122" s="261">
        <v>0.32250000000000001</v>
      </c>
      <c r="AG122" s="248"/>
      <c r="AH122" s="261">
        <v>-0.4</v>
      </c>
      <c r="AI122" s="261">
        <v>3.9</v>
      </c>
      <c r="AJ122" s="261">
        <v>0.5</v>
      </c>
      <c r="AK122" s="248"/>
      <c r="AL122" s="261">
        <v>-0.1</v>
      </c>
      <c r="AM122" s="261">
        <v>1.1499999999999999</v>
      </c>
      <c r="AN122" s="261">
        <v>0.1</v>
      </c>
      <c r="AO122" s="248"/>
      <c r="AP122" s="7">
        <v>38</v>
      </c>
      <c r="AQ122" s="9">
        <v>0.4</v>
      </c>
      <c r="AR122" s="248"/>
      <c r="AS122" s="248"/>
      <c r="AT122" s="248"/>
      <c r="AU122" s="248"/>
      <c r="AV122" s="248"/>
      <c r="AW122" s="248"/>
      <c r="AX122" s="248"/>
      <c r="AY122" s="248"/>
      <c r="AZ122" s="248"/>
      <c r="BA122" s="248"/>
      <c r="BB122" s="248"/>
      <c r="BC122" s="248"/>
      <c r="BD122" s="248"/>
      <c r="BE122" s="248"/>
      <c r="BF122" s="248"/>
      <c r="BG122" s="248"/>
      <c r="BH122" s="249">
        <v>40360</v>
      </c>
      <c r="BI122" s="262">
        <v>0.75</v>
      </c>
      <c r="BJ122" s="248"/>
      <c r="BK122" s="248"/>
      <c r="BL122" s="248"/>
      <c r="BM122" s="248"/>
      <c r="BN122" s="248"/>
      <c r="BO122"/>
      <c r="BP122"/>
      <c r="BQ122"/>
      <c r="BR122"/>
      <c r="BS122"/>
      <c r="BT122" s="248"/>
      <c r="BU122" s="248"/>
      <c r="BV122" s="248"/>
      <c r="BW122" s="248"/>
      <c r="BX122" s="248"/>
      <c r="BY122" s="248"/>
      <c r="BZ122" s="248"/>
      <c r="CA122" s="248"/>
      <c r="CB122" s="248"/>
      <c r="CC122" s="248"/>
      <c r="CD122" s="248"/>
      <c r="CE122" s="248"/>
      <c r="CF122" s="248"/>
      <c r="CG122" s="248"/>
    </row>
    <row r="123" spans="1:85" ht="12.75" x14ac:dyDescent="0.2">
      <c r="A123" s="29">
        <v>40575</v>
      </c>
      <c r="B123" s="243">
        <v>6.2808881840582018E-2</v>
      </c>
      <c r="D123" s="260">
        <v>39508</v>
      </c>
      <c r="E123" s="9">
        <v>32.898544311523438</v>
      </c>
      <c r="F123" s="9">
        <v>34.398544311523438</v>
      </c>
      <c r="G123" s="9">
        <v>35.898544311523437</v>
      </c>
      <c r="H123" s="8"/>
      <c r="I123" s="9">
        <v>21.75</v>
      </c>
      <c r="J123" s="9">
        <v>22</v>
      </c>
      <c r="K123" s="9">
        <v>22.75</v>
      </c>
      <c r="L123" s="7"/>
      <c r="M123" s="249">
        <v>40391</v>
      </c>
      <c r="N123" s="261">
        <v>39.000003814697266</v>
      </c>
      <c r="O123" s="261">
        <v>40.500003814697266</v>
      </c>
      <c r="P123" s="261">
        <v>42.000003814697266</v>
      </c>
      <c r="Q123" s="248"/>
      <c r="R123" s="261">
        <v>31.5</v>
      </c>
      <c r="S123" s="261">
        <v>33</v>
      </c>
      <c r="T123" s="261">
        <v>34.5</v>
      </c>
      <c r="U123" s="248"/>
      <c r="V123" s="261">
        <v>0</v>
      </c>
      <c r="W123" s="261">
        <v>0</v>
      </c>
      <c r="X123" s="261">
        <v>0</v>
      </c>
      <c r="Y123" s="248"/>
      <c r="Z123" s="261">
        <v>0.06</v>
      </c>
      <c r="AA123" s="261">
        <v>0.08</v>
      </c>
      <c r="AB123" s="261">
        <v>0.12</v>
      </c>
      <c r="AC123" s="248"/>
      <c r="AD123" s="261">
        <v>0.16125</v>
      </c>
      <c r="AE123" s="261">
        <v>0.215</v>
      </c>
      <c r="AF123" s="261">
        <v>0.32250000000000001</v>
      </c>
      <c r="AG123" s="248"/>
      <c r="AH123" s="261">
        <v>-0.5</v>
      </c>
      <c r="AI123" s="261">
        <v>3.9</v>
      </c>
      <c r="AJ123" s="261">
        <v>1.75</v>
      </c>
      <c r="AK123" s="248"/>
      <c r="AL123" s="261">
        <v>-0.1</v>
      </c>
      <c r="AM123" s="261">
        <v>1.1499999999999999</v>
      </c>
      <c r="AN123" s="261">
        <v>0.1</v>
      </c>
      <c r="AO123" s="248"/>
      <c r="AP123" s="7">
        <v>39</v>
      </c>
      <c r="AQ123" s="9">
        <v>0.4</v>
      </c>
      <c r="AR123" s="248"/>
      <c r="AS123" s="248"/>
      <c r="AT123" s="248"/>
      <c r="AU123" s="248"/>
      <c r="AV123" s="248"/>
      <c r="AW123" s="248"/>
      <c r="AX123" s="248"/>
      <c r="AY123" s="248"/>
      <c r="AZ123" s="248"/>
      <c r="BA123" s="248"/>
      <c r="BB123" s="248"/>
      <c r="BC123" s="248"/>
      <c r="BD123" s="248"/>
      <c r="BE123" s="248"/>
      <c r="BF123" s="248"/>
      <c r="BG123" s="248"/>
      <c r="BH123" s="249">
        <v>40391</v>
      </c>
      <c r="BI123" s="262">
        <v>0.75</v>
      </c>
      <c r="BJ123" s="248"/>
      <c r="BK123" s="248"/>
      <c r="BL123" s="248"/>
      <c r="BM123" s="248"/>
      <c r="BN123" s="248"/>
      <c r="BO123"/>
      <c r="BP123"/>
      <c r="BQ123"/>
      <c r="BR123"/>
      <c r="BS123"/>
      <c r="BT123" s="248"/>
      <c r="BU123" s="248"/>
      <c r="BV123" s="248"/>
      <c r="BW123" s="248"/>
      <c r="BX123" s="248"/>
      <c r="BY123" s="248"/>
      <c r="BZ123" s="248"/>
      <c r="CA123" s="248"/>
      <c r="CB123" s="248"/>
      <c r="CC123" s="248"/>
      <c r="CD123" s="248"/>
      <c r="CE123" s="248"/>
      <c r="CF123" s="248"/>
      <c r="CG123" s="248"/>
    </row>
    <row r="124" spans="1:85" ht="12.75" x14ac:dyDescent="0.2">
      <c r="A124" s="29">
        <v>40603</v>
      </c>
      <c r="B124" s="243">
        <v>6.283694582455801E-2</v>
      </c>
      <c r="D124" s="260">
        <v>39539</v>
      </c>
      <c r="E124" s="9">
        <v>33.348545074462891</v>
      </c>
      <c r="F124" s="9">
        <v>34.848545074462891</v>
      </c>
      <c r="G124" s="9">
        <v>36.348545074462891</v>
      </c>
      <c r="H124" s="8"/>
      <c r="I124" s="9">
        <v>19.75</v>
      </c>
      <c r="J124" s="9">
        <v>20</v>
      </c>
      <c r="K124" s="9">
        <v>20.75</v>
      </c>
      <c r="L124" s="7"/>
      <c r="M124" s="249">
        <v>40422</v>
      </c>
      <c r="N124" s="261">
        <v>31</v>
      </c>
      <c r="O124" s="261">
        <v>32.5</v>
      </c>
      <c r="P124" s="261">
        <v>34</v>
      </c>
      <c r="Q124" s="248"/>
      <c r="R124" s="261">
        <v>25.5</v>
      </c>
      <c r="S124" s="261">
        <v>27</v>
      </c>
      <c r="T124" s="261">
        <v>28.5</v>
      </c>
      <c r="U124" s="248"/>
      <c r="V124" s="261">
        <v>0</v>
      </c>
      <c r="W124" s="261">
        <v>0</v>
      </c>
      <c r="X124" s="261">
        <v>0</v>
      </c>
      <c r="Y124" s="248"/>
      <c r="Z124" s="261">
        <v>0.06</v>
      </c>
      <c r="AA124" s="261">
        <v>0.08</v>
      </c>
      <c r="AB124" s="261">
        <v>0.12</v>
      </c>
      <c r="AC124" s="248"/>
      <c r="AD124" s="261">
        <v>0.10125000000000001</v>
      </c>
      <c r="AE124" s="261">
        <v>0.13500000000000001</v>
      </c>
      <c r="AF124" s="261">
        <v>0.20250000000000001</v>
      </c>
      <c r="AG124" s="248"/>
      <c r="AH124" s="261">
        <v>-1</v>
      </c>
      <c r="AI124" s="261">
        <v>2.33</v>
      </c>
      <c r="AJ124" s="261">
        <v>2.5</v>
      </c>
      <c r="AK124" s="248"/>
      <c r="AL124" s="261">
        <v>-0.1</v>
      </c>
      <c r="AM124" s="261">
        <v>1.05</v>
      </c>
      <c r="AN124" s="261">
        <v>0.1</v>
      </c>
      <c r="AO124" s="248"/>
      <c r="AP124" s="7">
        <v>39</v>
      </c>
      <c r="AQ124" s="9">
        <v>0.4</v>
      </c>
      <c r="AR124" s="248"/>
      <c r="AS124" s="248"/>
      <c r="AT124" s="248"/>
      <c r="AU124" s="248"/>
      <c r="AV124" s="248"/>
      <c r="AW124" s="248"/>
      <c r="AX124" s="248"/>
      <c r="AY124" s="248"/>
      <c r="AZ124" s="248"/>
      <c r="BA124" s="248"/>
      <c r="BB124" s="248"/>
      <c r="BC124" s="248"/>
      <c r="BD124" s="248"/>
      <c r="BE124" s="248"/>
      <c r="BF124" s="248"/>
      <c r="BG124" s="248"/>
      <c r="BH124" s="249">
        <v>40422</v>
      </c>
      <c r="BI124" s="262">
        <v>0.75</v>
      </c>
      <c r="BJ124" s="248"/>
      <c r="BK124" s="248"/>
      <c r="BL124" s="248"/>
      <c r="BM124" s="248"/>
      <c r="BN124" s="248"/>
      <c r="BO124"/>
      <c r="BP124"/>
      <c r="BQ124"/>
      <c r="BR124"/>
      <c r="BS124"/>
      <c r="BT124" s="248"/>
      <c r="BU124" s="248"/>
      <c r="BV124" s="248"/>
      <c r="BW124" s="248"/>
      <c r="BX124" s="248"/>
      <c r="BY124" s="248"/>
      <c r="BZ124" s="248"/>
      <c r="CA124" s="248"/>
      <c r="CB124" s="248"/>
      <c r="CC124" s="248"/>
      <c r="CD124" s="248"/>
      <c r="CE124" s="248"/>
      <c r="CF124" s="248"/>
      <c r="CG124" s="248"/>
    </row>
    <row r="125" spans="1:85" ht="12.75" x14ac:dyDescent="0.2">
      <c r="A125" s="29">
        <v>40634</v>
      </c>
      <c r="B125" s="243">
        <v>6.2864104518976005E-2</v>
      </c>
      <c r="D125" s="260">
        <v>39569</v>
      </c>
      <c r="E125" s="9">
        <v>34.453566741943362</v>
      </c>
      <c r="F125" s="9">
        <v>36.503566741943359</v>
      </c>
      <c r="G125" s="9">
        <v>38.553566741943357</v>
      </c>
      <c r="H125" s="8"/>
      <c r="I125" s="9">
        <v>21.75</v>
      </c>
      <c r="J125" s="9">
        <v>22</v>
      </c>
      <c r="K125" s="9">
        <v>22.75</v>
      </c>
      <c r="L125" s="7"/>
      <c r="M125" s="249">
        <v>40452</v>
      </c>
      <c r="N125" s="261">
        <v>25.996000289916992</v>
      </c>
      <c r="O125" s="261">
        <v>27.496000289916992</v>
      </c>
      <c r="P125" s="261">
        <v>28.996000289916992</v>
      </c>
      <c r="Q125" s="248"/>
      <c r="R125" s="261">
        <v>20.496500015258789</v>
      </c>
      <c r="S125" s="261">
        <v>21.996500015258789</v>
      </c>
      <c r="T125" s="261">
        <v>23.496500015258789</v>
      </c>
      <c r="U125" s="248"/>
      <c r="V125" s="261">
        <v>0</v>
      </c>
      <c r="W125" s="261">
        <v>0</v>
      </c>
      <c r="X125" s="261">
        <v>0</v>
      </c>
      <c r="Y125" s="248"/>
      <c r="Z125" s="261">
        <v>0.06</v>
      </c>
      <c r="AA125" s="261">
        <v>0.08</v>
      </c>
      <c r="AB125" s="261">
        <v>0.12</v>
      </c>
      <c r="AC125" s="248"/>
      <c r="AD125" s="261">
        <v>7.8750000000000001E-2</v>
      </c>
      <c r="AE125" s="261">
        <v>0.105</v>
      </c>
      <c r="AF125" s="261">
        <v>0.1575</v>
      </c>
      <c r="AG125" s="248"/>
      <c r="AH125" s="261">
        <v>-1</v>
      </c>
      <c r="AI125" s="261">
        <v>2.06</v>
      </c>
      <c r="AJ125" s="261">
        <v>2.5</v>
      </c>
      <c r="AK125" s="248"/>
      <c r="AL125" s="261">
        <v>-0.1</v>
      </c>
      <c r="AM125" s="261">
        <v>1</v>
      </c>
      <c r="AN125" s="261">
        <v>0.1</v>
      </c>
      <c r="AO125" s="248"/>
      <c r="AP125" s="7">
        <v>39</v>
      </c>
      <c r="AQ125" s="9">
        <v>0.4</v>
      </c>
      <c r="AR125" s="248"/>
      <c r="AS125" s="248"/>
      <c r="AT125" s="248"/>
      <c r="AU125" s="248"/>
      <c r="AV125" s="248"/>
      <c r="AW125" s="248"/>
      <c r="AX125" s="248"/>
      <c r="AY125" s="248"/>
      <c r="AZ125" s="248"/>
      <c r="BA125" s="248"/>
      <c r="BB125" s="248"/>
      <c r="BC125" s="248"/>
      <c r="BD125" s="248"/>
      <c r="BE125" s="248"/>
      <c r="BF125" s="248"/>
      <c r="BG125" s="248"/>
      <c r="BH125" s="249">
        <v>40452</v>
      </c>
      <c r="BI125" s="262">
        <v>0.75</v>
      </c>
      <c r="BJ125" s="248"/>
      <c r="BK125" s="248"/>
      <c r="BL125" s="248"/>
      <c r="BM125" s="248"/>
      <c r="BN125" s="248"/>
      <c r="BO125"/>
      <c r="BP125"/>
      <c r="BQ125"/>
      <c r="BR125"/>
      <c r="BS125"/>
      <c r="BT125" s="248"/>
      <c r="BU125" s="248"/>
      <c r="BV125" s="248"/>
      <c r="BW125" s="248"/>
      <c r="BX125" s="248"/>
      <c r="BY125" s="248"/>
      <c r="BZ125" s="248"/>
      <c r="CA125" s="248"/>
      <c r="CB125" s="248"/>
      <c r="CC125" s="248"/>
      <c r="CD125" s="248"/>
      <c r="CE125" s="248"/>
      <c r="CF125" s="248"/>
      <c r="CG125" s="248"/>
    </row>
    <row r="126" spans="1:85" ht="12.75" x14ac:dyDescent="0.2">
      <c r="A126" s="29">
        <v>40664</v>
      </c>
      <c r="B126" s="243">
        <v>6.2892168503466017E-2</v>
      </c>
      <c r="D126" s="260">
        <v>39600</v>
      </c>
      <c r="E126" s="9">
        <v>38.997856140136719</v>
      </c>
      <c r="F126" s="9">
        <v>43.997856140136719</v>
      </c>
      <c r="G126" s="9">
        <v>48.997856140136719</v>
      </c>
      <c r="H126" s="8"/>
      <c r="I126" s="9">
        <v>24.75</v>
      </c>
      <c r="J126" s="9">
        <v>25</v>
      </c>
      <c r="K126" s="9">
        <v>25.75</v>
      </c>
      <c r="L126" s="7"/>
      <c r="M126" s="249">
        <v>40483</v>
      </c>
      <c r="N126" s="261">
        <v>28</v>
      </c>
      <c r="O126" s="261">
        <v>29.5</v>
      </c>
      <c r="P126" s="261">
        <v>31</v>
      </c>
      <c r="Q126" s="248"/>
      <c r="R126" s="261">
        <v>20.5</v>
      </c>
      <c r="S126" s="261">
        <v>22</v>
      </c>
      <c r="T126" s="261">
        <v>23.5</v>
      </c>
      <c r="U126" s="248"/>
      <c r="V126" s="261">
        <v>0</v>
      </c>
      <c r="W126" s="261">
        <v>0</v>
      </c>
      <c r="X126" s="261">
        <v>0</v>
      </c>
      <c r="Y126" s="248"/>
      <c r="Z126" s="261">
        <v>0.06</v>
      </c>
      <c r="AA126" s="261">
        <v>0.08</v>
      </c>
      <c r="AB126" s="261">
        <v>0.12</v>
      </c>
      <c r="AC126" s="248"/>
      <c r="AD126" s="261">
        <v>7.8750000000000001E-2</v>
      </c>
      <c r="AE126" s="261">
        <v>0.105</v>
      </c>
      <c r="AF126" s="261">
        <v>0.1575</v>
      </c>
      <c r="AG126" s="248"/>
      <c r="AH126" s="261">
        <v>-0.5</v>
      </c>
      <c r="AI126" s="261">
        <v>2.052</v>
      </c>
      <c r="AJ126" s="261">
        <v>1</v>
      </c>
      <c r="AK126" s="248"/>
      <c r="AL126" s="261">
        <v>-0.1</v>
      </c>
      <c r="AM126" s="261">
        <v>1</v>
      </c>
      <c r="AN126" s="261">
        <v>0.1</v>
      </c>
      <c r="AO126" s="248"/>
      <c r="AP126" s="7">
        <v>40</v>
      </c>
      <c r="AQ126" s="9">
        <v>0.4</v>
      </c>
      <c r="AR126" s="248"/>
      <c r="AS126" s="248"/>
      <c r="AT126" s="248"/>
      <c r="AU126" s="248"/>
      <c r="AV126" s="248"/>
      <c r="AW126" s="248"/>
      <c r="AX126" s="248"/>
      <c r="AY126" s="248"/>
      <c r="AZ126" s="248"/>
      <c r="BA126" s="248"/>
      <c r="BB126" s="248"/>
      <c r="BC126" s="248"/>
      <c r="BD126" s="248"/>
      <c r="BE126" s="248"/>
      <c r="BF126" s="248"/>
      <c r="BG126" s="248"/>
      <c r="BH126" s="249">
        <v>40483</v>
      </c>
      <c r="BI126" s="262">
        <v>0.75</v>
      </c>
      <c r="BJ126" s="248"/>
      <c r="BK126" s="248"/>
      <c r="BL126" s="248"/>
      <c r="BM126" s="248"/>
      <c r="BN126" s="248"/>
      <c r="BO126"/>
      <c r="BP126"/>
      <c r="BQ126"/>
      <c r="BR126"/>
      <c r="BS126"/>
      <c r="BT126" s="248"/>
      <c r="BU126" s="248"/>
      <c r="BV126" s="248"/>
      <c r="BW126" s="248"/>
      <c r="BX126" s="248"/>
      <c r="BY126" s="248"/>
      <c r="BZ126" s="248"/>
      <c r="CA126" s="248"/>
      <c r="CB126" s="248"/>
      <c r="CC126" s="248"/>
      <c r="CD126" s="248"/>
      <c r="CE126" s="248"/>
      <c r="CF126" s="248"/>
      <c r="CG126" s="248"/>
    </row>
    <row r="127" spans="1:85" ht="12.75" x14ac:dyDescent="0.2">
      <c r="A127" s="29">
        <v>40695</v>
      </c>
      <c r="B127" s="243">
        <v>6.2919327198382002E-2</v>
      </c>
      <c r="D127" s="260">
        <v>39630</v>
      </c>
      <c r="E127" s="9">
        <v>57.997146606445312</v>
      </c>
      <c r="F127" s="9">
        <v>67.997146606445313</v>
      </c>
      <c r="G127" s="9">
        <v>77.997146606445313</v>
      </c>
      <c r="H127" s="8"/>
      <c r="I127" s="9">
        <v>25.25</v>
      </c>
      <c r="J127" s="9">
        <v>25.5</v>
      </c>
      <c r="K127" s="9">
        <v>26.25</v>
      </c>
      <c r="L127" s="7"/>
      <c r="M127" s="249">
        <v>40513</v>
      </c>
      <c r="N127" s="261">
        <v>33</v>
      </c>
      <c r="O127" s="261">
        <v>34.5</v>
      </c>
      <c r="P127" s="261">
        <v>36</v>
      </c>
      <c r="Q127" s="248"/>
      <c r="R127" s="261">
        <v>27.5</v>
      </c>
      <c r="S127" s="261">
        <v>29</v>
      </c>
      <c r="T127" s="261">
        <v>30.5</v>
      </c>
      <c r="U127" s="248"/>
      <c r="V127" s="261">
        <v>0</v>
      </c>
      <c r="W127" s="261">
        <v>0</v>
      </c>
      <c r="X127" s="261">
        <v>0</v>
      </c>
      <c r="Y127" s="248"/>
      <c r="Z127" s="261">
        <v>0.06</v>
      </c>
      <c r="AA127" s="261">
        <v>0.08</v>
      </c>
      <c r="AB127" s="261">
        <v>0.12</v>
      </c>
      <c r="AC127" s="248"/>
      <c r="AD127" s="261">
        <v>0.10875</v>
      </c>
      <c r="AE127" s="261">
        <v>0.14499999999999999</v>
      </c>
      <c r="AF127" s="261">
        <v>0.2175</v>
      </c>
      <c r="AG127" s="248"/>
      <c r="AH127" s="261">
        <v>-0.4</v>
      </c>
      <c r="AI127" s="261">
        <v>1.89</v>
      </c>
      <c r="AJ127" s="261">
        <v>0.5</v>
      </c>
      <c r="AK127" s="248"/>
      <c r="AL127" s="261">
        <v>-0.1</v>
      </c>
      <c r="AM127" s="261">
        <v>1</v>
      </c>
      <c r="AN127" s="261">
        <v>0.1</v>
      </c>
      <c r="AO127" s="248"/>
      <c r="AP127" s="7">
        <v>40</v>
      </c>
      <c r="AQ127" s="9">
        <v>0.4</v>
      </c>
      <c r="AR127" s="248"/>
      <c r="AS127" s="248"/>
      <c r="AT127" s="248"/>
      <c r="AU127" s="248"/>
      <c r="AV127" s="248"/>
      <c r="AW127" s="248"/>
      <c r="AX127" s="248"/>
      <c r="AY127" s="248"/>
      <c r="AZ127" s="248"/>
      <c r="BA127" s="248"/>
      <c r="BB127" s="248"/>
      <c r="BC127" s="248"/>
      <c r="BD127" s="248"/>
      <c r="BE127" s="248"/>
      <c r="BF127" s="248"/>
      <c r="BG127" s="248"/>
      <c r="BH127" s="249">
        <v>40513</v>
      </c>
      <c r="BI127" s="262">
        <v>0.75</v>
      </c>
      <c r="BJ127" s="248"/>
      <c r="BK127" s="248"/>
      <c r="BL127" s="248"/>
      <c r="BM127" s="248"/>
      <c r="BN127" s="248"/>
      <c r="BO127"/>
      <c r="BP127"/>
      <c r="BQ127"/>
      <c r="BR127"/>
      <c r="BS127"/>
      <c r="BT127" s="248"/>
      <c r="BU127" s="248"/>
      <c r="BV127" s="248"/>
      <c r="BW127" s="248"/>
      <c r="BX127" s="248"/>
      <c r="BY127" s="248"/>
      <c r="BZ127" s="248"/>
      <c r="CA127" s="248"/>
      <c r="CB127" s="248"/>
      <c r="CC127" s="248"/>
      <c r="CD127" s="248"/>
      <c r="CE127" s="248"/>
      <c r="CF127" s="248"/>
      <c r="CG127" s="248"/>
    </row>
    <row r="128" spans="1:85" ht="12.75" x14ac:dyDescent="0.2">
      <c r="A128" s="29">
        <v>40725</v>
      </c>
      <c r="B128" s="243">
        <v>6.294739118338602E-2</v>
      </c>
      <c r="D128" s="260">
        <v>39661</v>
      </c>
      <c r="E128" s="9">
        <v>57.997146606445312</v>
      </c>
      <c r="F128" s="9">
        <v>67.997146606445313</v>
      </c>
      <c r="G128" s="9">
        <v>77.997146606445313</v>
      </c>
      <c r="H128" s="8"/>
      <c r="I128" s="9">
        <v>26.25</v>
      </c>
      <c r="J128" s="9">
        <v>26.5</v>
      </c>
      <c r="K128" s="9">
        <v>27.25</v>
      </c>
      <c r="L128" s="7"/>
      <c r="M128" s="249">
        <v>40544</v>
      </c>
      <c r="N128" s="261">
        <v>35.5</v>
      </c>
      <c r="O128" s="261">
        <v>37</v>
      </c>
      <c r="P128" s="261">
        <v>38.5</v>
      </c>
      <c r="Q128" s="248"/>
      <c r="R128" s="261">
        <v>25</v>
      </c>
      <c r="S128" s="261">
        <v>26.5</v>
      </c>
      <c r="T128" s="261">
        <v>28</v>
      </c>
      <c r="U128" s="248"/>
      <c r="V128" s="261">
        <v>0</v>
      </c>
      <c r="W128" s="261">
        <v>0</v>
      </c>
      <c r="X128" s="261">
        <v>0</v>
      </c>
      <c r="Y128" s="248"/>
      <c r="Z128" s="261">
        <v>0.06</v>
      </c>
      <c r="AA128" s="261">
        <v>0.08</v>
      </c>
      <c r="AB128" s="261">
        <v>0.12</v>
      </c>
      <c r="AC128" s="248"/>
      <c r="AD128" s="261">
        <v>0.10125000000000001</v>
      </c>
      <c r="AE128" s="261">
        <v>0.13500000000000001</v>
      </c>
      <c r="AF128" s="261">
        <v>0.20250000000000001</v>
      </c>
      <c r="AG128" s="248"/>
      <c r="AH128" s="261">
        <v>-0.4</v>
      </c>
      <c r="AI128" s="261">
        <v>2.3220000000000001</v>
      </c>
      <c r="AJ128" s="261">
        <v>0.5</v>
      </c>
      <c r="AK128" s="248"/>
      <c r="AL128" s="261">
        <v>-0.1</v>
      </c>
      <c r="AM128" s="261">
        <v>1</v>
      </c>
      <c r="AN128" s="261">
        <v>0.1</v>
      </c>
      <c r="AO128" s="248"/>
      <c r="AP128" s="7">
        <v>40</v>
      </c>
      <c r="AQ128" s="9">
        <v>0.4</v>
      </c>
      <c r="AR128" s="248"/>
      <c r="AS128" s="248"/>
      <c r="AT128" s="248"/>
      <c r="AU128" s="248"/>
      <c r="AV128" s="248"/>
      <c r="AW128" s="248"/>
      <c r="AX128" s="248"/>
      <c r="AY128" s="248"/>
      <c r="AZ128" s="248"/>
      <c r="BA128" s="248"/>
      <c r="BB128" s="248"/>
      <c r="BC128" s="248"/>
      <c r="BD128" s="248"/>
      <c r="BE128" s="248"/>
      <c r="BF128" s="248"/>
      <c r="BG128" s="248"/>
      <c r="BH128" s="249">
        <v>40544</v>
      </c>
      <c r="BI128" s="262">
        <v>0.75</v>
      </c>
      <c r="BJ128" s="248"/>
      <c r="BK128" s="248"/>
      <c r="BL128" s="248"/>
      <c r="BM128" s="248"/>
      <c r="BN128" s="248"/>
      <c r="BO128"/>
      <c r="BP128"/>
      <c r="BQ128"/>
      <c r="BR128"/>
      <c r="BS128"/>
      <c r="BT128" s="248"/>
      <c r="BU128" s="248"/>
      <c r="BV128" s="248"/>
      <c r="BW128" s="248"/>
      <c r="BX128" s="248"/>
      <c r="BY128" s="248"/>
      <c r="BZ128" s="248"/>
      <c r="CA128" s="248"/>
      <c r="CB128" s="248"/>
      <c r="CC128" s="248"/>
      <c r="CD128" s="248"/>
      <c r="CE128" s="248"/>
      <c r="CF128" s="248"/>
      <c r="CG128" s="248"/>
    </row>
    <row r="129" spans="1:85" ht="12.75" x14ac:dyDescent="0.2">
      <c r="A129" s="29">
        <v>40756</v>
      </c>
      <c r="B129" s="243">
        <v>6.297545516865001E-2</v>
      </c>
      <c r="D129" s="260">
        <v>39692</v>
      </c>
      <c r="E129" s="9">
        <v>35.252143859863281</v>
      </c>
      <c r="F129" s="9">
        <v>36.752143859863281</v>
      </c>
      <c r="G129" s="9">
        <v>38.252143859863281</v>
      </c>
      <c r="H129" s="8"/>
      <c r="I129" s="9">
        <v>19.25</v>
      </c>
      <c r="J129" s="9">
        <v>19.5</v>
      </c>
      <c r="K129" s="9">
        <v>20.25</v>
      </c>
      <c r="L129" s="7"/>
      <c r="M129" s="249">
        <v>40575</v>
      </c>
      <c r="N129" s="261">
        <v>30.996002197265625</v>
      </c>
      <c r="O129" s="261">
        <v>32.496002197265625</v>
      </c>
      <c r="P129" s="261">
        <v>33.996002197265625</v>
      </c>
      <c r="Q129" s="248"/>
      <c r="R129" s="261">
        <v>22.496501922607422</v>
      </c>
      <c r="S129" s="261">
        <v>23.996501922607422</v>
      </c>
      <c r="T129" s="261">
        <v>25.496501922607422</v>
      </c>
      <c r="U129" s="248"/>
      <c r="V129" s="261">
        <v>0</v>
      </c>
      <c r="W129" s="261">
        <v>0</v>
      </c>
      <c r="X129" s="261">
        <v>0</v>
      </c>
      <c r="Y129" s="248"/>
      <c r="Z129" s="261">
        <v>0.06</v>
      </c>
      <c r="AA129" s="261">
        <v>0.08</v>
      </c>
      <c r="AB129" s="261">
        <v>0.12</v>
      </c>
      <c r="AC129" s="248"/>
      <c r="AD129" s="261">
        <v>0.10125000000000001</v>
      </c>
      <c r="AE129" s="261">
        <v>0.13500000000000001</v>
      </c>
      <c r="AF129" s="261">
        <v>0.20250000000000001</v>
      </c>
      <c r="AG129" s="248"/>
      <c r="AH129" s="261">
        <v>-0.4</v>
      </c>
      <c r="AI129" s="261">
        <v>2.3220000000000001</v>
      </c>
      <c r="AJ129" s="261">
        <v>0.6</v>
      </c>
      <c r="AK129" s="248"/>
      <c r="AL129" s="261">
        <v>-0.1</v>
      </c>
      <c r="AM129" s="261">
        <v>1</v>
      </c>
      <c r="AN129" s="261">
        <v>0.1</v>
      </c>
      <c r="AO129" s="248"/>
      <c r="AP129" s="7">
        <v>41</v>
      </c>
      <c r="AQ129" s="9">
        <v>0.4</v>
      </c>
      <c r="AR129" s="248"/>
      <c r="AS129" s="248"/>
      <c r="AT129" s="248"/>
      <c r="AU129" s="248"/>
      <c r="AV129" s="248"/>
      <c r="AW129" s="248"/>
      <c r="AX129" s="248"/>
      <c r="AY129" s="248"/>
      <c r="AZ129" s="248"/>
      <c r="BA129" s="248"/>
      <c r="BB129" s="248"/>
      <c r="BC129" s="248"/>
      <c r="BD129" s="248"/>
      <c r="BE129" s="248"/>
      <c r="BF129" s="248"/>
      <c r="BG129" s="248"/>
      <c r="BH129" s="249">
        <v>40575</v>
      </c>
      <c r="BI129" s="262">
        <v>0.75</v>
      </c>
      <c r="BJ129" s="248"/>
      <c r="BK129" s="248"/>
      <c r="BL129" s="248"/>
      <c r="BM129" s="248"/>
      <c r="BN129" s="248"/>
      <c r="BO129"/>
      <c r="BP129"/>
      <c r="BQ129"/>
      <c r="BR129"/>
      <c r="BS129"/>
      <c r="BT129" s="248"/>
      <c r="BU129" s="248"/>
      <c r="BV129" s="248"/>
      <c r="BW129" s="248"/>
      <c r="BX129" s="248"/>
      <c r="BY129" s="248"/>
      <c r="BZ129" s="248"/>
      <c r="CA129" s="248"/>
      <c r="CB129" s="248"/>
      <c r="CC129" s="248"/>
      <c r="CD129" s="248"/>
      <c r="CE129" s="248"/>
      <c r="CF129" s="248"/>
      <c r="CG129" s="248"/>
    </row>
    <row r="130" spans="1:85" ht="12.75" x14ac:dyDescent="0.2">
      <c r="A130" s="29">
        <v>40787</v>
      </c>
      <c r="B130" s="243">
        <v>6.3002613864317006E-2</v>
      </c>
      <c r="D130" s="260">
        <v>39722</v>
      </c>
      <c r="E130" s="9">
        <v>33.148933410644531</v>
      </c>
      <c r="F130" s="9">
        <v>34.648933410644531</v>
      </c>
      <c r="G130" s="9">
        <v>36.148933410644531</v>
      </c>
      <c r="H130" s="8"/>
      <c r="I130" s="9">
        <v>16.750001907348633</v>
      </c>
      <c r="J130" s="9">
        <v>17.000001907348633</v>
      </c>
      <c r="K130" s="9">
        <v>17.750001907348633</v>
      </c>
      <c r="L130" s="7"/>
      <c r="M130" s="249">
        <v>40603</v>
      </c>
      <c r="N130" s="261">
        <v>26</v>
      </c>
      <c r="O130" s="261">
        <v>27.5</v>
      </c>
      <c r="P130" s="261">
        <v>29</v>
      </c>
      <c r="Q130" s="248"/>
      <c r="R130" s="261">
        <v>20.5</v>
      </c>
      <c r="S130" s="261">
        <v>22</v>
      </c>
      <c r="T130" s="261">
        <v>23.5</v>
      </c>
      <c r="U130" s="248"/>
      <c r="V130" s="261">
        <v>0</v>
      </c>
      <c r="W130" s="261">
        <v>0</v>
      </c>
      <c r="X130" s="261">
        <v>0</v>
      </c>
      <c r="Y130" s="248"/>
      <c r="Z130" s="261">
        <v>0.06</v>
      </c>
      <c r="AA130" s="261">
        <v>0.08</v>
      </c>
      <c r="AB130" s="261">
        <v>0.12</v>
      </c>
      <c r="AC130" s="248"/>
      <c r="AD130" s="261">
        <v>0.09</v>
      </c>
      <c r="AE130" s="261">
        <v>0.12</v>
      </c>
      <c r="AF130" s="261">
        <v>0.18</v>
      </c>
      <c r="AG130" s="248"/>
      <c r="AH130" s="261">
        <v>-0.5</v>
      </c>
      <c r="AI130" s="261">
        <v>2.052</v>
      </c>
      <c r="AJ130" s="261">
        <v>1</v>
      </c>
      <c r="AK130" s="248"/>
      <c r="AL130" s="261">
        <v>-0.1</v>
      </c>
      <c r="AM130" s="261">
        <v>1</v>
      </c>
      <c r="AN130" s="261">
        <v>0.1</v>
      </c>
      <c r="AO130" s="248"/>
      <c r="AP130" s="7">
        <v>41</v>
      </c>
      <c r="AQ130" s="9">
        <v>0.4</v>
      </c>
      <c r="AR130" s="248"/>
      <c r="AS130" s="248"/>
      <c r="AT130" s="248"/>
      <c r="AU130" s="248"/>
      <c r="AV130" s="248"/>
      <c r="AW130" s="248"/>
      <c r="AX130" s="248"/>
      <c r="AY130" s="248"/>
      <c r="AZ130" s="248"/>
      <c r="BA130" s="248"/>
      <c r="BB130" s="248"/>
      <c r="BC130" s="248"/>
      <c r="BD130" s="248"/>
      <c r="BE130" s="248"/>
      <c r="BF130" s="248"/>
      <c r="BG130" s="248"/>
      <c r="BH130" s="249">
        <v>40603</v>
      </c>
      <c r="BI130" s="262">
        <v>0.75</v>
      </c>
      <c r="BJ130" s="248"/>
      <c r="BK130" s="248"/>
      <c r="BL130" s="248"/>
      <c r="BM130" s="248"/>
      <c r="BN130" s="248"/>
      <c r="BO130"/>
      <c r="BP130"/>
      <c r="BQ130"/>
      <c r="BR130"/>
      <c r="BS130"/>
      <c r="BT130" s="248"/>
      <c r="BU130" s="248"/>
      <c r="BV130" s="248"/>
      <c r="BW130" s="248"/>
      <c r="BX130" s="248"/>
      <c r="BY130" s="248"/>
      <c r="BZ130" s="248"/>
      <c r="CA130" s="248"/>
      <c r="CB130" s="248"/>
      <c r="CC130" s="248"/>
      <c r="CD130" s="248"/>
      <c r="CE130" s="248"/>
      <c r="CF130" s="248"/>
      <c r="CG130" s="248"/>
    </row>
    <row r="131" spans="1:85" ht="12.75" x14ac:dyDescent="0.2">
      <c r="A131" s="29">
        <v>40817</v>
      </c>
      <c r="B131" s="243">
        <v>6.3030677850096015E-2</v>
      </c>
      <c r="D131" s="260">
        <v>39753</v>
      </c>
      <c r="E131" s="9">
        <v>33.248931884765625</v>
      </c>
      <c r="F131" s="9">
        <v>34.748931884765625</v>
      </c>
      <c r="G131" s="9">
        <v>36.248931884765625</v>
      </c>
      <c r="H131" s="8"/>
      <c r="I131" s="9">
        <v>18.75</v>
      </c>
      <c r="J131" s="9">
        <v>19</v>
      </c>
      <c r="K131" s="9">
        <v>19.75</v>
      </c>
      <c r="L131" s="7"/>
      <c r="M131" s="249">
        <v>40634</v>
      </c>
      <c r="N131" s="261">
        <v>26</v>
      </c>
      <c r="O131" s="261">
        <v>27.5</v>
      </c>
      <c r="P131" s="261">
        <v>29</v>
      </c>
      <c r="Q131" s="248"/>
      <c r="R131" s="261">
        <v>20.495000839233398</v>
      </c>
      <c r="S131" s="261">
        <v>21.995000839233398</v>
      </c>
      <c r="T131" s="261">
        <v>23.495000839233398</v>
      </c>
      <c r="U131" s="248"/>
      <c r="V131" s="261">
        <v>0</v>
      </c>
      <c r="W131" s="261">
        <v>0</v>
      </c>
      <c r="X131" s="261">
        <v>0</v>
      </c>
      <c r="Y131" s="248"/>
      <c r="Z131" s="261">
        <v>0.06</v>
      </c>
      <c r="AA131" s="261">
        <v>0.08</v>
      </c>
      <c r="AB131" s="261">
        <v>0.12</v>
      </c>
      <c r="AC131" s="248"/>
      <c r="AD131" s="261">
        <v>0.09</v>
      </c>
      <c r="AE131" s="261">
        <v>0.12</v>
      </c>
      <c r="AF131" s="261">
        <v>0.18</v>
      </c>
      <c r="AG131" s="248"/>
      <c r="AH131" s="261">
        <v>-0.5</v>
      </c>
      <c r="AI131" s="261">
        <v>1.9980000000000004</v>
      </c>
      <c r="AJ131" s="261">
        <v>1</v>
      </c>
      <c r="AK131" s="248"/>
      <c r="AL131" s="261">
        <v>-0.1</v>
      </c>
      <c r="AM131" s="261">
        <v>1</v>
      </c>
      <c r="AN131" s="261">
        <v>0.1</v>
      </c>
      <c r="AO131" s="248"/>
      <c r="AP131" s="7">
        <v>41</v>
      </c>
      <c r="AQ131" s="9">
        <v>0.4</v>
      </c>
      <c r="AR131" s="248"/>
      <c r="AS131" s="248"/>
      <c r="AT131" s="248"/>
      <c r="AU131" s="248"/>
      <c r="AV131" s="248"/>
      <c r="AW131" s="248"/>
      <c r="AX131" s="248"/>
      <c r="AY131" s="248"/>
      <c r="AZ131" s="248"/>
      <c r="BA131" s="248"/>
      <c r="BB131" s="248"/>
      <c r="BC131" s="248"/>
      <c r="BD131" s="248"/>
      <c r="BE131" s="248"/>
      <c r="BF131" s="248"/>
      <c r="BG131" s="248"/>
      <c r="BH131" s="249">
        <v>40634</v>
      </c>
      <c r="BI131" s="262">
        <v>0.75</v>
      </c>
      <c r="BJ131" s="248"/>
      <c r="BK131" s="248"/>
      <c r="BL131" s="248"/>
      <c r="BM131" s="248"/>
      <c r="BN131" s="248"/>
      <c r="BO131"/>
      <c r="BP131"/>
      <c r="BQ131"/>
      <c r="BR131"/>
      <c r="BS131"/>
      <c r="BT131" s="248"/>
      <c r="BU131" s="248"/>
      <c r="BV131" s="248"/>
      <c r="BW131" s="248"/>
      <c r="BX131" s="248"/>
      <c r="BY131" s="248"/>
      <c r="BZ131" s="248"/>
      <c r="CA131" s="248"/>
      <c r="CB131" s="248"/>
      <c r="CC131" s="248"/>
      <c r="CD131" s="248"/>
      <c r="CE131" s="248"/>
      <c r="CF131" s="248"/>
      <c r="CG131" s="248"/>
    </row>
    <row r="132" spans="1:85" ht="12.75" x14ac:dyDescent="0.2">
      <c r="A132" s="29">
        <v>40848</v>
      </c>
      <c r="B132" s="243">
        <v>6.3057836546261015E-2</v>
      </c>
      <c r="D132" s="260">
        <v>39783</v>
      </c>
      <c r="E132" s="9">
        <v>33.348930358886719</v>
      </c>
      <c r="F132" s="9">
        <v>34.848930358886719</v>
      </c>
      <c r="G132" s="9">
        <v>36.348930358886719</v>
      </c>
      <c r="H132" s="8"/>
      <c r="I132" s="9">
        <v>17.860000610351563</v>
      </c>
      <c r="J132" s="9">
        <v>18.110000610351563</v>
      </c>
      <c r="K132" s="9">
        <v>18.860000610351563</v>
      </c>
      <c r="L132" s="7"/>
      <c r="M132" s="249">
        <v>40664</v>
      </c>
      <c r="N132" s="261">
        <v>28</v>
      </c>
      <c r="O132" s="261">
        <v>29.5</v>
      </c>
      <c r="P132" s="261">
        <v>31</v>
      </c>
      <c r="Q132" s="248"/>
      <c r="R132" s="261">
        <v>21.504999160766602</v>
      </c>
      <c r="S132" s="261">
        <v>23.004999160766602</v>
      </c>
      <c r="T132" s="261">
        <v>24.504999160766602</v>
      </c>
      <c r="U132" s="248"/>
      <c r="V132" s="261">
        <v>0</v>
      </c>
      <c r="W132" s="261">
        <v>0</v>
      </c>
      <c r="X132" s="261">
        <v>0</v>
      </c>
      <c r="Y132" s="248"/>
      <c r="Z132" s="261">
        <v>0.06</v>
      </c>
      <c r="AA132" s="261">
        <v>0.08</v>
      </c>
      <c r="AB132" s="261">
        <v>0.12</v>
      </c>
      <c r="AC132" s="248"/>
      <c r="AD132" s="261">
        <v>0.11625000000000001</v>
      </c>
      <c r="AE132" s="261">
        <v>0.155</v>
      </c>
      <c r="AF132" s="261">
        <v>0.23250000000000001</v>
      </c>
      <c r="AG132" s="248"/>
      <c r="AH132" s="261">
        <v>-0.4</v>
      </c>
      <c r="AI132" s="261">
        <v>2.15</v>
      </c>
      <c r="AJ132" s="261">
        <v>0.5</v>
      </c>
      <c r="AK132" s="248"/>
      <c r="AL132" s="261">
        <v>-0.1</v>
      </c>
      <c r="AM132" s="261">
        <v>1.05</v>
      </c>
      <c r="AN132" s="261">
        <v>0.1</v>
      </c>
      <c r="AO132" s="248"/>
      <c r="AP132" s="7">
        <v>42</v>
      </c>
      <c r="AQ132" s="9">
        <v>0.4</v>
      </c>
      <c r="AR132" s="248"/>
      <c r="AS132" s="248"/>
      <c r="AT132" s="248"/>
      <c r="AU132" s="248"/>
      <c r="AV132" s="248"/>
      <c r="AW132" s="248"/>
      <c r="AX132" s="248"/>
      <c r="AY132" s="248"/>
      <c r="AZ132" s="248"/>
      <c r="BA132" s="248"/>
      <c r="BB132" s="248"/>
      <c r="BC132" s="248"/>
      <c r="BD132" s="248"/>
      <c r="BE132" s="248"/>
      <c r="BF132" s="248"/>
      <c r="BG132" s="248"/>
      <c r="BH132" s="249">
        <v>40664</v>
      </c>
      <c r="BI132" s="262">
        <v>0.75</v>
      </c>
      <c r="BJ132" s="248"/>
      <c r="BK132" s="248"/>
      <c r="BL132" s="248"/>
      <c r="BM132" s="248"/>
      <c r="BN132" s="248"/>
      <c r="BO132"/>
      <c r="BP132"/>
      <c r="BQ132"/>
      <c r="BR132"/>
      <c r="BS132"/>
      <c r="BT132" s="248"/>
      <c r="BU132" s="248"/>
      <c r="BV132" s="248"/>
      <c r="BW132" s="248"/>
      <c r="BX132" s="248"/>
      <c r="BY132" s="248"/>
      <c r="BZ132" s="248"/>
      <c r="CA132" s="248"/>
      <c r="CB132" s="248"/>
      <c r="CC132" s="248"/>
      <c r="CD132" s="248"/>
      <c r="CE132" s="248"/>
      <c r="CF132" s="248"/>
      <c r="CG132" s="248"/>
    </row>
    <row r="133" spans="1:85" ht="12.75" x14ac:dyDescent="0.2">
      <c r="A133" s="29">
        <v>40878</v>
      </c>
      <c r="B133" s="243">
        <v>6.3085900532554015E-2</v>
      </c>
      <c r="D133" s="260">
        <v>39814</v>
      </c>
      <c r="E133" s="9">
        <v>42.537864685058594</v>
      </c>
      <c r="F133" s="9">
        <v>44.037864685058594</v>
      </c>
      <c r="G133" s="9">
        <v>45.537864685058594</v>
      </c>
      <c r="H133" s="8"/>
      <c r="I133" s="9">
        <v>22.75</v>
      </c>
      <c r="J133" s="9">
        <v>23</v>
      </c>
      <c r="K133" s="9">
        <v>23.75</v>
      </c>
      <c r="L133" s="7"/>
      <c r="M133" s="249">
        <v>40695</v>
      </c>
      <c r="N133" s="261">
        <v>35</v>
      </c>
      <c r="O133" s="261">
        <v>36.5</v>
      </c>
      <c r="P133" s="261">
        <v>38</v>
      </c>
      <c r="Q133" s="248"/>
      <c r="R133" s="261">
        <v>25.5</v>
      </c>
      <c r="S133" s="261">
        <v>27</v>
      </c>
      <c r="T133" s="261">
        <v>28.5</v>
      </c>
      <c r="U133" s="248"/>
      <c r="V133" s="261">
        <v>0</v>
      </c>
      <c r="W133" s="261">
        <v>0</v>
      </c>
      <c r="X133" s="261">
        <v>0</v>
      </c>
      <c r="Y133" s="248"/>
      <c r="Z133" s="261">
        <v>0.06</v>
      </c>
      <c r="AA133" s="261">
        <v>0.08</v>
      </c>
      <c r="AB133" s="261">
        <v>0.12</v>
      </c>
      <c r="AC133" s="248"/>
      <c r="AD133" s="261">
        <v>0.13125000000000001</v>
      </c>
      <c r="AE133" s="261">
        <v>0.17499999999999999</v>
      </c>
      <c r="AF133" s="261">
        <v>0.26250000000000001</v>
      </c>
      <c r="AG133" s="248"/>
      <c r="AH133" s="261">
        <v>-0.4</v>
      </c>
      <c r="AI133" s="261">
        <v>2.9</v>
      </c>
      <c r="AJ133" s="261">
        <v>0.5</v>
      </c>
      <c r="AK133" s="248"/>
      <c r="AL133" s="261">
        <v>-0.1</v>
      </c>
      <c r="AM133" s="261">
        <v>1.1499999999999999</v>
      </c>
      <c r="AN133" s="261">
        <v>0.1</v>
      </c>
      <c r="AO133" s="248"/>
      <c r="AP133" s="7">
        <v>42</v>
      </c>
      <c r="AQ133" s="9">
        <v>0.4</v>
      </c>
      <c r="AR133" s="248"/>
      <c r="AS133" s="248"/>
      <c r="AT133" s="248"/>
      <c r="AU133" s="248"/>
      <c r="AV133" s="248"/>
      <c r="AW133" s="248"/>
      <c r="AX133" s="248"/>
      <c r="AY133" s="248"/>
      <c r="AZ133" s="248"/>
      <c r="BA133" s="248"/>
      <c r="BB133" s="248"/>
      <c r="BC133" s="248"/>
      <c r="BD133" s="248"/>
      <c r="BE133" s="248"/>
      <c r="BF133" s="248"/>
      <c r="BG133" s="248"/>
      <c r="BH133" s="249">
        <v>40695</v>
      </c>
      <c r="BI133" s="262">
        <v>0.75</v>
      </c>
      <c r="BJ133" s="248"/>
      <c r="BK133" s="248"/>
      <c r="BL133" s="248"/>
      <c r="BM133" s="248"/>
      <c r="BN133" s="248"/>
      <c r="BO133"/>
      <c r="BP133"/>
      <c r="BQ133"/>
      <c r="BR133"/>
      <c r="BS133"/>
      <c r="BT133" s="248"/>
      <c r="BU133" s="248"/>
      <c r="BV133" s="248"/>
      <c r="BW133" s="248"/>
      <c r="BX133" s="248"/>
      <c r="BY133" s="248"/>
      <c r="BZ133" s="248"/>
      <c r="CA133" s="248"/>
      <c r="CB133" s="248"/>
      <c r="CC133" s="248"/>
      <c r="CD133" s="248"/>
      <c r="CE133" s="248"/>
      <c r="CF133" s="248"/>
      <c r="CG133" s="248"/>
    </row>
    <row r="134" spans="1:85" ht="12.75" x14ac:dyDescent="0.2">
      <c r="A134" s="29">
        <v>40909</v>
      </c>
      <c r="B134" s="243">
        <v>6.3113964519109014E-2</v>
      </c>
      <c r="D134" s="260">
        <v>39845</v>
      </c>
      <c r="E134" s="9">
        <v>42.187862396240234</v>
      </c>
      <c r="F134" s="9">
        <v>43.687862396240234</v>
      </c>
      <c r="G134" s="9">
        <v>45.187862396240234</v>
      </c>
      <c r="H134" s="8"/>
      <c r="I134" s="9">
        <v>21.25</v>
      </c>
      <c r="J134" s="9">
        <v>21.5</v>
      </c>
      <c r="K134" s="9">
        <v>22.25</v>
      </c>
      <c r="L134" s="7"/>
      <c r="M134" s="249">
        <v>40725</v>
      </c>
      <c r="N134" s="261">
        <v>41</v>
      </c>
      <c r="O134" s="261">
        <v>42.5</v>
      </c>
      <c r="P134" s="261">
        <v>44</v>
      </c>
      <c r="Q134" s="248"/>
      <c r="R134" s="261">
        <v>31.5</v>
      </c>
      <c r="S134" s="261">
        <v>33</v>
      </c>
      <c r="T134" s="261">
        <v>34.5</v>
      </c>
      <c r="U134" s="248"/>
      <c r="V134" s="261">
        <v>0</v>
      </c>
      <c r="W134" s="261">
        <v>0</v>
      </c>
      <c r="X134" s="261">
        <v>0</v>
      </c>
      <c r="Y134" s="248"/>
      <c r="Z134" s="261">
        <v>0.06</v>
      </c>
      <c r="AA134" s="261">
        <v>0.08</v>
      </c>
      <c r="AB134" s="261">
        <v>0.12</v>
      </c>
      <c r="AC134" s="248"/>
      <c r="AD134" s="261">
        <v>0.16125</v>
      </c>
      <c r="AE134" s="261">
        <v>0.215</v>
      </c>
      <c r="AF134" s="261">
        <v>0.32250000000000001</v>
      </c>
      <c r="AG134" s="248"/>
      <c r="AH134" s="261">
        <v>-0.4</v>
      </c>
      <c r="AI134" s="261">
        <v>3.9</v>
      </c>
      <c r="AJ134" s="261">
        <v>0.5</v>
      </c>
      <c r="AK134" s="248"/>
      <c r="AL134" s="261">
        <v>-0.1</v>
      </c>
      <c r="AM134" s="261">
        <v>1.1499999999999999</v>
      </c>
      <c r="AN134" s="261">
        <v>0.1</v>
      </c>
      <c r="AO134" s="248"/>
      <c r="AP134" s="7">
        <v>42</v>
      </c>
      <c r="AQ134" s="9">
        <v>0.4</v>
      </c>
      <c r="AR134" s="248"/>
      <c r="AS134" s="248"/>
      <c r="AT134" s="248"/>
      <c r="AU134" s="248"/>
      <c r="AV134" s="248"/>
      <c r="AW134" s="248"/>
      <c r="AX134" s="248"/>
      <c r="AY134" s="248"/>
      <c r="AZ134" s="248"/>
      <c r="BA134" s="248"/>
      <c r="BB134" s="248"/>
      <c r="BC134" s="248"/>
      <c r="BD134" s="248"/>
      <c r="BE134" s="248"/>
      <c r="BF134" s="248"/>
      <c r="BG134" s="248"/>
      <c r="BH134" s="249">
        <v>40725</v>
      </c>
      <c r="BI134" s="262">
        <v>0.75</v>
      </c>
      <c r="BJ134" s="248"/>
      <c r="BK134" s="248"/>
      <c r="BL134" s="248"/>
      <c r="BM134" s="248"/>
      <c r="BN134" s="248"/>
      <c r="BO134"/>
      <c r="BP134"/>
      <c r="BQ134"/>
      <c r="BR134"/>
      <c r="BS134"/>
      <c r="BT134" s="248"/>
      <c r="BU134" s="248"/>
      <c r="BV134" s="248"/>
      <c r="BW134" s="248"/>
      <c r="BX134" s="248"/>
      <c r="BY134" s="248"/>
      <c r="BZ134" s="248"/>
      <c r="CA134" s="248"/>
      <c r="CB134" s="248"/>
      <c r="CC134" s="248"/>
      <c r="CD134" s="248"/>
      <c r="CE134" s="248"/>
      <c r="CF134" s="248"/>
      <c r="CG134" s="248"/>
    </row>
    <row r="135" spans="1:85" ht="12.75" x14ac:dyDescent="0.2">
      <c r="A135" s="29">
        <v>40940</v>
      </c>
      <c r="B135" s="243">
        <v>6.314021792612301E-2</v>
      </c>
      <c r="D135" s="260">
        <v>39873</v>
      </c>
      <c r="E135" s="9">
        <v>33.398544311523438</v>
      </c>
      <c r="F135" s="9">
        <v>34.898544311523438</v>
      </c>
      <c r="G135" s="9">
        <v>36.398544311523438</v>
      </c>
      <c r="H135" s="8"/>
      <c r="I135" s="9">
        <v>22.25</v>
      </c>
      <c r="J135" s="9">
        <v>22.5</v>
      </c>
      <c r="K135" s="9">
        <v>23.25</v>
      </c>
      <c r="L135" s="7"/>
      <c r="M135" s="249">
        <v>40756</v>
      </c>
      <c r="N135" s="261">
        <v>39.000003814697266</v>
      </c>
      <c r="O135" s="261">
        <v>40.500003814697266</v>
      </c>
      <c r="P135" s="261">
        <v>42.000003814697266</v>
      </c>
      <c r="Q135" s="248"/>
      <c r="R135" s="261">
        <v>31.5</v>
      </c>
      <c r="S135" s="261">
        <v>33</v>
      </c>
      <c r="T135" s="261">
        <v>34.5</v>
      </c>
      <c r="U135" s="248"/>
      <c r="V135" s="261">
        <v>0</v>
      </c>
      <c r="W135" s="261">
        <v>0</v>
      </c>
      <c r="X135" s="261">
        <v>0</v>
      </c>
      <c r="Y135" s="248"/>
      <c r="Z135" s="261">
        <v>0.06</v>
      </c>
      <c r="AA135" s="261">
        <v>0.08</v>
      </c>
      <c r="AB135" s="261">
        <v>0.12</v>
      </c>
      <c r="AC135" s="248"/>
      <c r="AD135" s="261">
        <v>0.16125</v>
      </c>
      <c r="AE135" s="261">
        <v>0.215</v>
      </c>
      <c r="AF135" s="261">
        <v>0.32250000000000001</v>
      </c>
      <c r="AG135" s="248"/>
      <c r="AH135" s="261">
        <v>-0.5</v>
      </c>
      <c r="AI135" s="261">
        <v>3.9</v>
      </c>
      <c r="AJ135" s="261">
        <v>1.75</v>
      </c>
      <c r="AK135" s="248"/>
      <c r="AL135" s="261">
        <v>-0.1</v>
      </c>
      <c r="AM135" s="261">
        <v>1.1499999999999999</v>
      </c>
      <c r="AN135" s="261">
        <v>0.1</v>
      </c>
      <c r="AO135" s="248"/>
      <c r="AP135" s="7">
        <v>43</v>
      </c>
      <c r="AQ135" s="9">
        <v>0.4</v>
      </c>
      <c r="AR135" s="248"/>
      <c r="AS135" s="248"/>
      <c r="AT135" s="248"/>
      <c r="AU135" s="248"/>
      <c r="AV135" s="248"/>
      <c r="AW135" s="248"/>
      <c r="AX135" s="248"/>
      <c r="AY135" s="248"/>
      <c r="AZ135" s="248"/>
      <c r="BA135" s="248"/>
      <c r="BB135" s="248"/>
      <c r="BC135" s="248"/>
      <c r="BD135" s="248"/>
      <c r="BE135" s="248"/>
      <c r="BF135" s="248"/>
      <c r="BG135" s="248"/>
      <c r="BH135" s="249">
        <v>40756</v>
      </c>
      <c r="BI135" s="262">
        <v>0.75</v>
      </c>
      <c r="BJ135" s="248"/>
      <c r="BK135" s="248"/>
      <c r="BL135" s="248"/>
      <c r="BM135" s="248"/>
      <c r="BN135" s="248"/>
      <c r="BO135"/>
      <c r="BP135"/>
      <c r="BQ135"/>
      <c r="BR135"/>
      <c r="BS135"/>
      <c r="BT135" s="248"/>
      <c r="BU135" s="248"/>
      <c r="BV135" s="248"/>
      <c r="BW135" s="248"/>
      <c r="BX135" s="248"/>
      <c r="BY135" s="248"/>
      <c r="BZ135" s="248"/>
      <c r="CA135" s="248"/>
      <c r="CB135" s="248"/>
      <c r="CC135" s="248"/>
      <c r="CD135" s="248"/>
      <c r="CE135" s="248"/>
      <c r="CF135" s="248"/>
      <c r="CG135" s="248"/>
    </row>
    <row r="136" spans="1:85" ht="12.75" x14ac:dyDescent="0.2">
      <c r="A136" s="29">
        <v>40969</v>
      </c>
      <c r="B136" s="243">
        <v>6.3168281913182994E-2</v>
      </c>
      <c r="D136" s="260">
        <v>39904</v>
      </c>
      <c r="E136" s="9">
        <v>33.848545074462891</v>
      </c>
      <c r="F136" s="9">
        <v>35.348545074462891</v>
      </c>
      <c r="G136" s="9">
        <v>36.848545074462891</v>
      </c>
      <c r="H136" s="8"/>
      <c r="I136" s="9">
        <v>20.25</v>
      </c>
      <c r="J136" s="9">
        <v>20.5</v>
      </c>
      <c r="K136" s="9">
        <v>21.25</v>
      </c>
      <c r="L136" s="7"/>
      <c r="M136" s="249">
        <v>40787</v>
      </c>
      <c r="N136" s="261">
        <v>31</v>
      </c>
      <c r="O136" s="261">
        <v>32.5</v>
      </c>
      <c r="P136" s="261">
        <v>34</v>
      </c>
      <c r="Q136" s="248"/>
      <c r="R136" s="261">
        <v>25.5</v>
      </c>
      <c r="S136" s="261">
        <v>27</v>
      </c>
      <c r="T136" s="261">
        <v>28.5</v>
      </c>
      <c r="U136" s="248"/>
      <c r="V136" s="261">
        <v>0</v>
      </c>
      <c r="W136" s="261">
        <v>0</v>
      </c>
      <c r="X136" s="261">
        <v>0</v>
      </c>
      <c r="Y136" s="248"/>
      <c r="Z136" s="261">
        <v>0.06</v>
      </c>
      <c r="AA136" s="261">
        <v>0.08</v>
      </c>
      <c r="AB136" s="261">
        <v>0.12</v>
      </c>
      <c r="AC136" s="248"/>
      <c r="AD136" s="261">
        <v>0.10125000000000001</v>
      </c>
      <c r="AE136" s="261">
        <v>0.13500000000000001</v>
      </c>
      <c r="AF136" s="261">
        <v>0.20250000000000001</v>
      </c>
      <c r="AG136" s="248"/>
      <c r="AH136" s="261">
        <v>-1</v>
      </c>
      <c r="AI136" s="261">
        <v>2.33</v>
      </c>
      <c r="AJ136" s="261">
        <v>2.5</v>
      </c>
      <c r="AK136" s="248"/>
      <c r="AL136" s="261">
        <v>-0.1</v>
      </c>
      <c r="AM136" s="261">
        <v>1.05</v>
      </c>
      <c r="AN136" s="261">
        <v>0.1</v>
      </c>
      <c r="AO136" s="248"/>
      <c r="AP136" s="7">
        <v>43</v>
      </c>
      <c r="AQ136" s="9">
        <v>0.4</v>
      </c>
      <c r="AR136" s="248"/>
      <c r="AS136" s="248"/>
      <c r="AT136" s="248"/>
      <c r="AU136" s="248"/>
      <c r="AV136" s="248"/>
      <c r="AW136" s="248"/>
      <c r="AX136" s="248"/>
      <c r="AY136" s="248"/>
      <c r="AZ136" s="248"/>
      <c r="BA136" s="248"/>
      <c r="BB136" s="248"/>
      <c r="BC136" s="248"/>
      <c r="BD136" s="248"/>
      <c r="BE136" s="248"/>
      <c r="BF136" s="248"/>
      <c r="BG136" s="248"/>
      <c r="BH136" s="249">
        <v>40787</v>
      </c>
      <c r="BI136" s="262">
        <v>0.75</v>
      </c>
      <c r="BJ136" s="248"/>
      <c r="BK136" s="248"/>
      <c r="BL136" s="248"/>
      <c r="BM136" s="248"/>
      <c r="BN136" s="248"/>
      <c r="BO136"/>
      <c r="BP136"/>
      <c r="BQ136"/>
      <c r="BR136"/>
      <c r="BS136"/>
      <c r="BT136" s="248"/>
      <c r="BU136" s="248"/>
      <c r="BV136" s="248"/>
      <c r="BW136" s="248"/>
      <c r="BX136" s="248"/>
      <c r="BY136" s="248"/>
      <c r="BZ136" s="248"/>
      <c r="CA136" s="248"/>
      <c r="CB136" s="248"/>
      <c r="CC136" s="248"/>
      <c r="CD136" s="248"/>
      <c r="CE136" s="248"/>
      <c r="CF136" s="248"/>
      <c r="CG136" s="248"/>
    </row>
    <row r="137" spans="1:85" ht="12.75" x14ac:dyDescent="0.2">
      <c r="A137" s="29">
        <v>41000</v>
      </c>
      <c r="B137" s="243">
        <v>6.3195440610586018E-2</v>
      </c>
      <c r="D137" s="260">
        <v>39934</v>
      </c>
      <c r="E137" s="9">
        <v>34.903566741943358</v>
      </c>
      <c r="F137" s="9">
        <v>37.003566741943359</v>
      </c>
      <c r="G137" s="9">
        <v>39.103566741943361</v>
      </c>
      <c r="H137" s="8"/>
      <c r="I137" s="9">
        <v>22.25</v>
      </c>
      <c r="J137" s="9">
        <v>22.5</v>
      </c>
      <c r="K137" s="9">
        <v>23.25</v>
      </c>
      <c r="L137" s="7"/>
      <c r="M137" s="249">
        <v>40817</v>
      </c>
      <c r="N137" s="261">
        <v>25.996000289916992</v>
      </c>
      <c r="O137" s="261">
        <v>27.496000289916992</v>
      </c>
      <c r="P137" s="261">
        <v>28.996000289916992</v>
      </c>
      <c r="Q137" s="248"/>
      <c r="R137" s="261">
        <v>20.496500015258789</v>
      </c>
      <c r="S137" s="261">
        <v>21.996500015258789</v>
      </c>
      <c r="T137" s="261">
        <v>23.496500015258789</v>
      </c>
      <c r="U137" s="248"/>
      <c r="V137" s="261">
        <v>0</v>
      </c>
      <c r="W137" s="261">
        <v>0</v>
      </c>
      <c r="X137" s="261">
        <v>0</v>
      </c>
      <c r="Y137" s="248"/>
      <c r="Z137" s="261">
        <v>0.06</v>
      </c>
      <c r="AA137" s="261">
        <v>0.08</v>
      </c>
      <c r="AB137" s="261">
        <v>0.12</v>
      </c>
      <c r="AC137" s="248"/>
      <c r="AD137" s="261">
        <v>7.8750000000000001E-2</v>
      </c>
      <c r="AE137" s="261">
        <v>0.105</v>
      </c>
      <c r="AF137" s="261">
        <v>0.1575</v>
      </c>
      <c r="AG137" s="248"/>
      <c r="AH137" s="261">
        <v>-1</v>
      </c>
      <c r="AI137" s="261">
        <v>2.06</v>
      </c>
      <c r="AJ137" s="261">
        <v>2.5</v>
      </c>
      <c r="AK137" s="248"/>
      <c r="AL137" s="261">
        <v>-0.1</v>
      </c>
      <c r="AM137" s="261">
        <v>1</v>
      </c>
      <c r="AN137" s="261">
        <v>0.1</v>
      </c>
      <c r="AO137" s="248"/>
      <c r="AP137" s="7">
        <v>43</v>
      </c>
      <c r="AQ137" s="9">
        <v>0.4</v>
      </c>
      <c r="AR137" s="248"/>
      <c r="AS137" s="248"/>
      <c r="AT137" s="248"/>
      <c r="AU137" s="248"/>
      <c r="AV137" s="248"/>
      <c r="AW137" s="248"/>
      <c r="AX137" s="248"/>
      <c r="AY137" s="248"/>
      <c r="AZ137" s="248"/>
      <c r="BA137" s="248"/>
      <c r="BB137" s="248"/>
      <c r="BC137" s="248"/>
      <c r="BD137" s="248"/>
      <c r="BE137" s="248"/>
      <c r="BF137" s="248"/>
      <c r="BG137" s="248"/>
      <c r="BH137" s="249">
        <v>40817</v>
      </c>
      <c r="BI137" s="262">
        <v>0.75</v>
      </c>
      <c r="BJ137" s="248"/>
      <c r="BK137" s="248"/>
      <c r="BL137" s="248"/>
      <c r="BM137" s="248"/>
      <c r="BN137" s="248"/>
      <c r="BO137"/>
      <c r="BP137"/>
      <c r="BQ137"/>
      <c r="BR137"/>
      <c r="BS137"/>
      <c r="BT137" s="248"/>
      <c r="BU137" s="248"/>
      <c r="BV137" s="248"/>
      <c r="BW137" s="248"/>
      <c r="BX137" s="248"/>
      <c r="BY137" s="248"/>
      <c r="BZ137" s="248"/>
      <c r="CA137" s="248"/>
      <c r="CB137" s="248"/>
      <c r="CC137" s="248"/>
      <c r="CD137" s="248"/>
      <c r="CE137" s="248"/>
      <c r="CF137" s="248"/>
      <c r="CG137" s="248"/>
    </row>
    <row r="138" spans="1:85" ht="12.75" x14ac:dyDescent="0.2">
      <c r="A138" s="29">
        <v>41030</v>
      </c>
      <c r="B138" s="243">
        <v>6.3223504598161034E-2</v>
      </c>
      <c r="D138" s="260">
        <v>39965</v>
      </c>
      <c r="E138" s="9">
        <v>39.997856140136719</v>
      </c>
      <c r="F138" s="9">
        <v>44.997856140136719</v>
      </c>
      <c r="G138" s="9">
        <v>49.997856140136719</v>
      </c>
      <c r="H138" s="8"/>
      <c r="I138" s="9">
        <v>25.25</v>
      </c>
      <c r="J138" s="9">
        <v>25.5</v>
      </c>
      <c r="K138" s="9">
        <v>26.25</v>
      </c>
      <c r="L138" s="7"/>
      <c r="M138" s="249">
        <v>40848</v>
      </c>
      <c r="N138" s="261">
        <v>28</v>
      </c>
      <c r="O138" s="261">
        <v>29.5</v>
      </c>
      <c r="P138" s="261">
        <v>31</v>
      </c>
      <c r="Q138" s="248"/>
      <c r="R138" s="261">
        <v>20.5</v>
      </c>
      <c r="S138" s="261">
        <v>22</v>
      </c>
      <c r="T138" s="261">
        <v>23.5</v>
      </c>
      <c r="U138" s="248"/>
      <c r="V138" s="261">
        <v>0</v>
      </c>
      <c r="W138" s="261">
        <v>0</v>
      </c>
      <c r="X138" s="261">
        <v>0</v>
      </c>
      <c r="Y138" s="248"/>
      <c r="Z138" s="261">
        <v>0.06</v>
      </c>
      <c r="AA138" s="261">
        <v>0.08</v>
      </c>
      <c r="AB138" s="261">
        <v>0.12</v>
      </c>
      <c r="AC138" s="248"/>
      <c r="AD138" s="261">
        <v>7.8750000000000001E-2</v>
      </c>
      <c r="AE138" s="261">
        <v>0.105</v>
      </c>
      <c r="AF138" s="261">
        <v>0.1575</v>
      </c>
      <c r="AG138" s="248"/>
      <c r="AH138" s="261">
        <v>-0.5</v>
      </c>
      <c r="AI138" s="261">
        <v>2.052</v>
      </c>
      <c r="AJ138" s="261">
        <v>1</v>
      </c>
      <c r="AK138" s="248"/>
      <c r="AL138" s="261">
        <v>-0.1</v>
      </c>
      <c r="AM138" s="261">
        <v>1</v>
      </c>
      <c r="AN138" s="261">
        <v>0.1</v>
      </c>
      <c r="AO138" s="248"/>
      <c r="AP138" s="7">
        <v>44</v>
      </c>
      <c r="AQ138" s="9">
        <v>0.4</v>
      </c>
      <c r="AR138" s="248"/>
      <c r="AS138" s="248"/>
      <c r="AT138" s="248"/>
      <c r="AU138" s="248"/>
      <c r="AV138" s="248"/>
      <c r="AW138" s="248"/>
      <c r="AX138" s="248"/>
      <c r="AY138" s="248"/>
      <c r="AZ138" s="248"/>
      <c r="BA138" s="248"/>
      <c r="BB138" s="248"/>
      <c r="BC138" s="248"/>
      <c r="BD138" s="248"/>
      <c r="BE138" s="248"/>
      <c r="BF138" s="248"/>
      <c r="BG138" s="248"/>
      <c r="BH138" s="249">
        <v>40848</v>
      </c>
      <c r="BI138" s="262">
        <v>0.75</v>
      </c>
      <c r="BJ138" s="248"/>
      <c r="BK138" s="248"/>
      <c r="BL138" s="248"/>
      <c r="BM138" s="248"/>
      <c r="BN138" s="248"/>
      <c r="BO138"/>
      <c r="BP138"/>
      <c r="BQ138"/>
      <c r="BR138"/>
      <c r="BS138"/>
      <c r="BT138" s="248"/>
      <c r="BU138" s="248"/>
      <c r="BV138" s="248"/>
      <c r="BW138" s="248"/>
      <c r="BX138" s="248"/>
      <c r="BY138" s="248"/>
      <c r="BZ138" s="248"/>
      <c r="CA138" s="248"/>
      <c r="CB138" s="248"/>
      <c r="CC138" s="248"/>
      <c r="CD138" s="248"/>
      <c r="CE138" s="248"/>
      <c r="CF138" s="248"/>
      <c r="CG138" s="248"/>
    </row>
    <row r="139" spans="1:85" ht="12.75" x14ac:dyDescent="0.2">
      <c r="A139" s="29">
        <v>41061</v>
      </c>
      <c r="B139" s="243">
        <v>6.3250663296063006E-2</v>
      </c>
      <c r="D139" s="260">
        <v>39995</v>
      </c>
      <c r="E139" s="9">
        <v>59.997146606445313</v>
      </c>
      <c r="F139" s="9">
        <v>69.997146606445312</v>
      </c>
      <c r="G139" s="9">
        <v>79.997146606445313</v>
      </c>
      <c r="H139" s="8"/>
      <c r="I139" s="9">
        <v>25.75</v>
      </c>
      <c r="J139" s="9">
        <v>26</v>
      </c>
      <c r="K139" s="9">
        <v>26.75</v>
      </c>
      <c r="L139" s="7"/>
      <c r="M139" s="249">
        <v>40878</v>
      </c>
      <c r="N139" s="261">
        <v>33</v>
      </c>
      <c r="O139" s="261">
        <v>34.5</v>
      </c>
      <c r="P139" s="261">
        <v>36</v>
      </c>
      <c r="Q139" s="248"/>
      <c r="R139" s="261">
        <v>27.5</v>
      </c>
      <c r="S139" s="261">
        <v>29</v>
      </c>
      <c r="T139" s="261">
        <v>30.5</v>
      </c>
      <c r="U139" s="248"/>
      <c r="V139" s="261">
        <v>0</v>
      </c>
      <c r="W139" s="261">
        <v>0</v>
      </c>
      <c r="X139" s="261">
        <v>0</v>
      </c>
      <c r="Y139" s="248"/>
      <c r="Z139" s="261">
        <v>0.06</v>
      </c>
      <c r="AA139" s="261">
        <v>0.08</v>
      </c>
      <c r="AB139" s="261">
        <v>0.12</v>
      </c>
      <c r="AC139" s="248"/>
      <c r="AD139" s="261">
        <v>0.10875</v>
      </c>
      <c r="AE139" s="261">
        <v>0.14499999999999999</v>
      </c>
      <c r="AF139" s="261">
        <v>0.2175</v>
      </c>
      <c r="AG139" s="248"/>
      <c r="AH139" s="261">
        <v>-0.4</v>
      </c>
      <c r="AI139" s="261">
        <v>1.89</v>
      </c>
      <c r="AJ139" s="261">
        <v>0.5</v>
      </c>
      <c r="AK139" s="248"/>
      <c r="AL139" s="261">
        <v>-0.1</v>
      </c>
      <c r="AM139" s="261">
        <v>1</v>
      </c>
      <c r="AN139" s="261">
        <v>0.1</v>
      </c>
      <c r="AO139" s="248"/>
      <c r="AP139" s="7">
        <v>44</v>
      </c>
      <c r="AQ139" s="9">
        <v>0.4</v>
      </c>
      <c r="AR139" s="248"/>
      <c r="AS139" s="248"/>
      <c r="AT139" s="248"/>
      <c r="AU139" s="248"/>
      <c r="AV139" s="248"/>
      <c r="AW139" s="248"/>
      <c r="AX139" s="248"/>
      <c r="AY139" s="248"/>
      <c r="AZ139" s="248"/>
      <c r="BA139" s="248"/>
      <c r="BB139" s="248"/>
      <c r="BC139" s="248"/>
      <c r="BD139" s="248"/>
      <c r="BE139" s="248"/>
      <c r="BF139" s="248"/>
      <c r="BG139" s="248"/>
      <c r="BH139" s="249">
        <v>40878</v>
      </c>
      <c r="BI139" s="262">
        <v>0.75</v>
      </c>
      <c r="BJ139" s="248"/>
      <c r="BK139" s="248"/>
      <c r="BL139" s="248"/>
      <c r="BM139" s="248"/>
      <c r="BN139" s="248"/>
      <c r="BO139"/>
      <c r="BP139"/>
      <c r="BQ139"/>
      <c r="BR139"/>
      <c r="BS139"/>
      <c r="BT139" s="248"/>
      <c r="BU139" s="248"/>
      <c r="BV139" s="248"/>
      <c r="BW139" s="248"/>
      <c r="BX139" s="248"/>
      <c r="BY139" s="248"/>
      <c r="BZ139" s="248"/>
      <c r="CA139" s="248"/>
      <c r="CB139" s="248"/>
      <c r="CC139" s="248"/>
      <c r="CD139" s="248"/>
      <c r="CE139" s="248"/>
      <c r="CF139" s="248"/>
      <c r="CG139" s="248"/>
    </row>
    <row r="140" spans="1:85" ht="12.75" x14ac:dyDescent="0.2">
      <c r="A140" s="29">
        <v>41091</v>
      </c>
      <c r="B140" s="243">
        <v>6.3278727284152014E-2</v>
      </c>
      <c r="D140" s="260">
        <v>40026</v>
      </c>
      <c r="E140" s="9">
        <v>59.997146606445313</v>
      </c>
      <c r="F140" s="9">
        <v>69.997146606445312</v>
      </c>
      <c r="G140" s="9">
        <v>79.997146606445313</v>
      </c>
      <c r="H140" s="8"/>
      <c r="I140" s="9">
        <v>26.75</v>
      </c>
      <c r="J140" s="9">
        <v>27</v>
      </c>
      <c r="K140" s="9">
        <v>27.75</v>
      </c>
      <c r="L140" s="7"/>
      <c r="M140" s="249">
        <v>40909</v>
      </c>
      <c r="N140" s="261">
        <v>35.5</v>
      </c>
      <c r="O140" s="261">
        <v>37</v>
      </c>
      <c r="P140" s="261">
        <v>38.5</v>
      </c>
      <c r="Q140" s="248"/>
      <c r="R140" s="261">
        <v>25</v>
      </c>
      <c r="S140" s="261">
        <v>26.5</v>
      </c>
      <c r="T140" s="261">
        <v>28</v>
      </c>
      <c r="U140" s="248"/>
      <c r="V140" s="261">
        <v>0</v>
      </c>
      <c r="W140" s="261">
        <v>0</v>
      </c>
      <c r="X140" s="261">
        <v>0</v>
      </c>
      <c r="Y140" s="248"/>
      <c r="Z140" s="261">
        <v>0.06</v>
      </c>
      <c r="AA140" s="261">
        <v>0.08</v>
      </c>
      <c r="AB140" s="261">
        <v>0.12</v>
      </c>
      <c r="AC140" s="248"/>
      <c r="AD140" s="261">
        <v>0.10125000000000001</v>
      </c>
      <c r="AE140" s="261">
        <v>0.13500000000000001</v>
      </c>
      <c r="AF140" s="261">
        <v>0.20250000000000001</v>
      </c>
      <c r="AG140" s="248"/>
      <c r="AH140" s="261">
        <v>-0.4</v>
      </c>
      <c r="AI140" s="261">
        <v>2.3220000000000001</v>
      </c>
      <c r="AJ140" s="261">
        <v>0.5</v>
      </c>
      <c r="AK140" s="248"/>
      <c r="AL140" s="261">
        <v>-0.1</v>
      </c>
      <c r="AM140" s="261">
        <v>1</v>
      </c>
      <c r="AN140" s="261">
        <v>0.1</v>
      </c>
      <c r="AO140" s="248"/>
      <c r="AP140" s="7">
        <v>44</v>
      </c>
      <c r="AQ140" s="9">
        <v>0.4</v>
      </c>
      <c r="AR140" s="248"/>
      <c r="AS140" s="248"/>
      <c r="AT140" s="248"/>
      <c r="AU140" s="248"/>
      <c r="AV140" s="248"/>
      <c r="AW140" s="248"/>
      <c r="AX140" s="248"/>
      <c r="AY140" s="248"/>
      <c r="AZ140" s="248"/>
      <c r="BA140" s="248"/>
      <c r="BB140" s="248"/>
      <c r="BC140" s="248"/>
      <c r="BD140" s="248"/>
      <c r="BE140" s="248"/>
      <c r="BF140" s="248"/>
      <c r="BG140" s="248"/>
      <c r="BH140" s="249">
        <v>40909</v>
      </c>
      <c r="BI140" s="262">
        <v>0.75</v>
      </c>
      <c r="BJ140" s="248"/>
      <c r="BK140" s="248"/>
      <c r="BL140" s="248"/>
      <c r="BM140" s="248"/>
      <c r="BN140" s="248"/>
      <c r="BO140"/>
      <c r="BP140"/>
      <c r="BQ140"/>
      <c r="BR140"/>
      <c r="BS140"/>
      <c r="BT140" s="248"/>
      <c r="BU140" s="248"/>
      <c r="BV140" s="248"/>
      <c r="BW140" s="248"/>
      <c r="BX140" s="248"/>
      <c r="BY140" s="248"/>
      <c r="BZ140" s="248"/>
      <c r="CA140" s="248"/>
      <c r="CB140" s="248"/>
      <c r="CC140" s="248"/>
      <c r="CD140" s="248"/>
      <c r="CE140" s="248"/>
      <c r="CF140" s="248"/>
      <c r="CG140" s="248"/>
    </row>
    <row r="141" spans="1:85" ht="12.75" x14ac:dyDescent="0.2">
      <c r="A141" s="29">
        <v>41122</v>
      </c>
      <c r="B141" s="243">
        <v>6.3306791272501009E-2</v>
      </c>
      <c r="D141" s="260">
        <v>40057</v>
      </c>
      <c r="E141" s="9">
        <v>35.752143859863281</v>
      </c>
      <c r="F141" s="9">
        <v>37.252143859863281</v>
      </c>
      <c r="G141" s="9">
        <v>38.752143859863281</v>
      </c>
      <c r="H141" s="8"/>
      <c r="I141" s="9">
        <v>19.75</v>
      </c>
      <c r="J141" s="9">
        <v>20</v>
      </c>
      <c r="K141" s="9">
        <v>20.75</v>
      </c>
      <c r="L141" s="7"/>
      <c r="M141" s="249">
        <v>40940</v>
      </c>
      <c r="N141" s="261">
        <v>30.996002197265625</v>
      </c>
      <c r="O141" s="261">
        <v>32.496002197265625</v>
      </c>
      <c r="P141" s="261">
        <v>33.996002197265625</v>
      </c>
      <c r="Q141" s="248"/>
      <c r="R141" s="261">
        <v>22.496501922607422</v>
      </c>
      <c r="S141" s="261">
        <v>23.996501922607422</v>
      </c>
      <c r="T141" s="261">
        <v>25.496501922607422</v>
      </c>
      <c r="U141" s="248"/>
      <c r="V141" s="261">
        <v>0</v>
      </c>
      <c r="W141" s="261">
        <v>0</v>
      </c>
      <c r="X141" s="261">
        <v>0</v>
      </c>
      <c r="Y141" s="248"/>
      <c r="Z141" s="261">
        <v>0.06</v>
      </c>
      <c r="AA141" s="261">
        <v>0.08</v>
      </c>
      <c r="AB141" s="261">
        <v>0.12</v>
      </c>
      <c r="AC141" s="248"/>
      <c r="AD141" s="261">
        <v>0.10125000000000001</v>
      </c>
      <c r="AE141" s="261">
        <v>0.13500000000000001</v>
      </c>
      <c r="AF141" s="261">
        <v>0.20250000000000001</v>
      </c>
      <c r="AG141" s="248"/>
      <c r="AH141" s="261">
        <v>-0.4</v>
      </c>
      <c r="AI141" s="261">
        <v>2.3220000000000001</v>
      </c>
      <c r="AJ141" s="261">
        <v>0.6</v>
      </c>
      <c r="AK141" s="248"/>
      <c r="AL141" s="261">
        <v>-0.1</v>
      </c>
      <c r="AM141" s="261">
        <v>1</v>
      </c>
      <c r="AN141" s="261">
        <v>0.1</v>
      </c>
      <c r="AO141" s="248"/>
      <c r="AP141" s="7">
        <v>45</v>
      </c>
      <c r="AQ141" s="9">
        <v>0.4</v>
      </c>
      <c r="AR141" s="248"/>
      <c r="AS141" s="248"/>
      <c r="AT141" s="248"/>
      <c r="AU141" s="248"/>
      <c r="AV141" s="248"/>
      <c r="AW141" s="248"/>
      <c r="AX141" s="248"/>
      <c r="AY141" s="248"/>
      <c r="AZ141" s="248"/>
      <c r="BA141" s="248"/>
      <c r="BB141" s="248"/>
      <c r="BC141" s="248"/>
      <c r="BD141" s="248"/>
      <c r="BE141" s="248"/>
      <c r="BF141" s="248"/>
      <c r="BG141" s="248"/>
      <c r="BH141" s="249">
        <v>40940</v>
      </c>
      <c r="BI141" s="262">
        <v>0.75</v>
      </c>
      <c r="BJ141" s="248"/>
      <c r="BK141" s="248"/>
      <c r="BL141" s="248"/>
      <c r="BM141" s="248"/>
      <c r="BN141" s="248"/>
      <c r="BO141"/>
      <c r="BP141"/>
      <c r="BQ141"/>
      <c r="BR141"/>
      <c r="BS141"/>
      <c r="BT141" s="248"/>
      <c r="BU141" s="248"/>
      <c r="BV141" s="248"/>
      <c r="BW141" s="248"/>
      <c r="BX141" s="248"/>
      <c r="BY141" s="248"/>
      <c r="BZ141" s="248"/>
      <c r="CA141" s="248"/>
      <c r="CB141" s="248"/>
      <c r="CC141" s="248"/>
      <c r="CD141" s="248"/>
      <c r="CE141" s="248"/>
      <c r="CF141" s="248"/>
      <c r="CG141" s="248"/>
    </row>
    <row r="142" spans="1:85" ht="12.75" x14ac:dyDescent="0.2">
      <c r="A142" s="29">
        <v>41153</v>
      </c>
      <c r="B142" s="243">
        <v>6.3333949971153006E-2</v>
      </c>
      <c r="D142" s="260">
        <v>40087</v>
      </c>
      <c r="E142" s="9">
        <v>33.648933410644531</v>
      </c>
      <c r="F142" s="9">
        <v>35.148933410644531</v>
      </c>
      <c r="G142" s="9">
        <v>36.648933410644531</v>
      </c>
      <c r="H142" s="8"/>
      <c r="I142" s="9">
        <v>17.250001907348633</v>
      </c>
      <c r="J142" s="9">
        <v>17.500001907348633</v>
      </c>
      <c r="K142" s="9">
        <v>18.250001907348633</v>
      </c>
      <c r="L142" s="7"/>
      <c r="M142" s="249">
        <v>40969</v>
      </c>
      <c r="N142" s="261">
        <v>26</v>
      </c>
      <c r="O142" s="261">
        <v>27.5</v>
      </c>
      <c r="P142" s="261">
        <v>29</v>
      </c>
      <c r="Q142" s="248"/>
      <c r="R142" s="261">
        <v>20.5</v>
      </c>
      <c r="S142" s="261">
        <v>22</v>
      </c>
      <c r="T142" s="261">
        <v>23.5</v>
      </c>
      <c r="U142" s="248"/>
      <c r="V142" s="261">
        <v>0</v>
      </c>
      <c r="W142" s="261">
        <v>0</v>
      </c>
      <c r="X142" s="261">
        <v>0</v>
      </c>
      <c r="Y142" s="248"/>
      <c r="Z142" s="261">
        <v>0.06</v>
      </c>
      <c r="AA142" s="261">
        <v>0.08</v>
      </c>
      <c r="AB142" s="261">
        <v>0.12</v>
      </c>
      <c r="AC142" s="248"/>
      <c r="AD142" s="261">
        <v>0.09</v>
      </c>
      <c r="AE142" s="261">
        <v>0.12</v>
      </c>
      <c r="AF142" s="261">
        <v>0.18</v>
      </c>
      <c r="AG142" s="248"/>
      <c r="AH142" s="261">
        <v>-0.5</v>
      </c>
      <c r="AI142" s="261">
        <v>2.052</v>
      </c>
      <c r="AJ142" s="261">
        <v>1</v>
      </c>
      <c r="AK142" s="248"/>
      <c r="AL142" s="261">
        <v>-0.1</v>
      </c>
      <c r="AM142" s="261">
        <v>1</v>
      </c>
      <c r="AN142" s="261">
        <v>0.1</v>
      </c>
      <c r="AO142" s="248"/>
      <c r="AP142" s="7">
        <v>45</v>
      </c>
      <c r="AQ142" s="9">
        <v>0.4</v>
      </c>
      <c r="AR142" s="248"/>
      <c r="AS142" s="248"/>
      <c r="AT142" s="248"/>
      <c r="AU142" s="248"/>
      <c r="AV142" s="248"/>
      <c r="AW142" s="248"/>
      <c r="AX142" s="248"/>
      <c r="AY142" s="248"/>
      <c r="AZ142" s="248"/>
      <c r="BA142" s="248"/>
      <c r="BB142" s="248"/>
      <c r="BC142" s="248"/>
      <c r="BD142" s="248"/>
      <c r="BE142" s="248"/>
      <c r="BF142" s="248"/>
      <c r="BG142" s="248"/>
      <c r="BH142" s="249">
        <v>40969</v>
      </c>
      <c r="BI142" s="262">
        <v>0.75</v>
      </c>
      <c r="BJ142" s="248"/>
      <c r="BK142" s="248"/>
      <c r="BL142" s="248"/>
      <c r="BM142" s="248"/>
      <c r="BN142" s="248"/>
      <c r="BO142"/>
      <c r="BP142"/>
      <c r="BQ142"/>
      <c r="BR142"/>
      <c r="BS142"/>
      <c r="BT142" s="248"/>
      <c r="BU142" s="248"/>
      <c r="BV142" s="248"/>
      <c r="BW142" s="248"/>
      <c r="BX142" s="248"/>
      <c r="BY142" s="248"/>
      <c r="BZ142" s="248"/>
      <c r="CA142" s="248"/>
      <c r="CB142" s="248"/>
      <c r="CC142" s="248"/>
      <c r="CD142" s="248"/>
      <c r="CE142" s="248"/>
      <c r="CF142" s="248"/>
      <c r="CG142" s="248"/>
    </row>
    <row r="143" spans="1:85" ht="12.75" x14ac:dyDescent="0.2">
      <c r="A143" s="29">
        <v>41183</v>
      </c>
      <c r="B143" s="243">
        <v>6.3362013960017005E-2</v>
      </c>
      <c r="D143" s="260">
        <v>40118</v>
      </c>
      <c r="E143" s="9">
        <v>33.748931884765625</v>
      </c>
      <c r="F143" s="9">
        <v>35.248931884765625</v>
      </c>
      <c r="G143" s="9">
        <v>36.748931884765625</v>
      </c>
      <c r="H143" s="8"/>
      <c r="I143" s="9">
        <v>19.25</v>
      </c>
      <c r="J143" s="9">
        <v>19.5</v>
      </c>
      <c r="K143" s="9">
        <v>20.25</v>
      </c>
      <c r="L143" s="7"/>
      <c r="M143" s="249">
        <v>41000</v>
      </c>
      <c r="N143" s="261">
        <v>26</v>
      </c>
      <c r="O143" s="261">
        <v>27.5</v>
      </c>
      <c r="P143" s="261">
        <v>29</v>
      </c>
      <c r="Q143" s="248"/>
      <c r="R143" s="261">
        <v>20.495000839233398</v>
      </c>
      <c r="S143" s="261">
        <v>21.995000839233398</v>
      </c>
      <c r="T143" s="261">
        <v>23.495000839233398</v>
      </c>
      <c r="U143" s="248"/>
      <c r="V143" s="261">
        <v>0</v>
      </c>
      <c r="W143" s="261">
        <v>0</v>
      </c>
      <c r="X143" s="261">
        <v>0</v>
      </c>
      <c r="Y143" s="248"/>
      <c r="Z143" s="261">
        <v>0.06</v>
      </c>
      <c r="AA143" s="261">
        <v>0.08</v>
      </c>
      <c r="AB143" s="261">
        <v>0.12</v>
      </c>
      <c r="AC143" s="248"/>
      <c r="AD143" s="261">
        <v>0.09</v>
      </c>
      <c r="AE143" s="261">
        <v>0.12</v>
      </c>
      <c r="AF143" s="261">
        <v>0.18</v>
      </c>
      <c r="AG143" s="248"/>
      <c r="AH143" s="261">
        <v>-0.5</v>
      </c>
      <c r="AI143" s="261">
        <v>1.9980000000000004</v>
      </c>
      <c r="AJ143" s="261">
        <v>1</v>
      </c>
      <c r="AK143" s="248"/>
      <c r="AL143" s="261">
        <v>-0.1</v>
      </c>
      <c r="AM143" s="261">
        <v>1</v>
      </c>
      <c r="AN143" s="261">
        <v>0.1</v>
      </c>
      <c r="AO143" s="248"/>
      <c r="AP143" s="7">
        <v>45</v>
      </c>
      <c r="AQ143" s="9">
        <v>0.4</v>
      </c>
      <c r="AR143" s="248"/>
      <c r="AS143" s="248"/>
      <c r="AT143" s="248"/>
      <c r="AU143" s="248"/>
      <c r="AV143" s="248"/>
      <c r="AW143" s="248"/>
      <c r="AX143" s="248"/>
      <c r="AY143" s="248"/>
      <c r="AZ143" s="248"/>
      <c r="BA143" s="248"/>
      <c r="BB143" s="248"/>
      <c r="BC143" s="248"/>
      <c r="BD143" s="248"/>
      <c r="BE143" s="248"/>
      <c r="BF143" s="248"/>
      <c r="BG143" s="248"/>
      <c r="BH143" s="249">
        <v>41000</v>
      </c>
      <c r="BI143" s="262">
        <v>0.75</v>
      </c>
      <c r="BJ143" s="248"/>
      <c r="BK143" s="248"/>
      <c r="BL143" s="248"/>
      <c r="BM143" s="248"/>
      <c r="BN143" s="248"/>
      <c r="BO143"/>
      <c r="BP143"/>
      <c r="BQ143"/>
      <c r="BR143"/>
      <c r="BS143"/>
      <c r="BT143" s="248"/>
      <c r="BU143" s="248"/>
      <c r="BV143" s="248"/>
      <c r="BW143" s="248"/>
      <c r="BX143" s="248"/>
      <c r="BY143" s="248"/>
      <c r="BZ143" s="248"/>
      <c r="CA143" s="248"/>
      <c r="CB143" s="248"/>
      <c r="CC143" s="248"/>
      <c r="CD143" s="248"/>
      <c r="CE143" s="248"/>
      <c r="CF143" s="248"/>
      <c r="CG143" s="248"/>
    </row>
    <row r="144" spans="1:85" ht="12.75" x14ac:dyDescent="0.2">
      <c r="A144" s="29">
        <v>41214</v>
      </c>
      <c r="B144" s="243">
        <v>6.338917265916702E-2</v>
      </c>
      <c r="D144" s="260">
        <v>40148</v>
      </c>
      <c r="E144" s="9">
        <v>33.848930358886719</v>
      </c>
      <c r="F144" s="9">
        <v>35.348930358886719</v>
      </c>
      <c r="G144" s="9">
        <v>36.848930358886719</v>
      </c>
      <c r="H144" s="8"/>
      <c r="I144" s="9">
        <v>18.360000610351563</v>
      </c>
      <c r="J144" s="9">
        <v>18.610000610351563</v>
      </c>
      <c r="K144" s="9">
        <v>19.360000610351563</v>
      </c>
      <c r="L144" s="7"/>
      <c r="M144" s="249">
        <v>41030</v>
      </c>
      <c r="N144" s="261">
        <v>28</v>
      </c>
      <c r="O144" s="261">
        <v>29.5</v>
      </c>
      <c r="P144" s="261">
        <v>31</v>
      </c>
      <c r="Q144" s="248"/>
      <c r="R144" s="261">
        <v>21.504999160766602</v>
      </c>
      <c r="S144" s="261">
        <v>23.004999160766602</v>
      </c>
      <c r="T144" s="261">
        <v>24.504999160766602</v>
      </c>
      <c r="U144" s="248"/>
      <c r="V144" s="261">
        <v>0</v>
      </c>
      <c r="W144" s="261">
        <v>0</v>
      </c>
      <c r="X144" s="261">
        <v>0</v>
      </c>
      <c r="Y144" s="248"/>
      <c r="Z144" s="261">
        <v>0.06</v>
      </c>
      <c r="AA144" s="261">
        <v>0.08</v>
      </c>
      <c r="AB144" s="261">
        <v>0.12</v>
      </c>
      <c r="AC144" s="248"/>
      <c r="AD144" s="261">
        <v>0.11625000000000001</v>
      </c>
      <c r="AE144" s="261">
        <v>0.155</v>
      </c>
      <c r="AF144" s="261">
        <v>0.23250000000000001</v>
      </c>
      <c r="AG144" s="248"/>
      <c r="AH144" s="261">
        <v>-0.4</v>
      </c>
      <c r="AI144" s="261">
        <v>2.15</v>
      </c>
      <c r="AJ144" s="261">
        <v>0.5</v>
      </c>
      <c r="AK144" s="248"/>
      <c r="AL144" s="261">
        <v>-0.1</v>
      </c>
      <c r="AM144" s="261">
        <v>1.05</v>
      </c>
      <c r="AN144" s="261">
        <v>0.1</v>
      </c>
      <c r="AO144" s="248"/>
      <c r="AP144" s="7">
        <v>46</v>
      </c>
      <c r="AQ144" s="9">
        <v>0.4</v>
      </c>
      <c r="AR144" s="248"/>
      <c r="AS144" s="248"/>
      <c r="AT144" s="248"/>
      <c r="AU144" s="248"/>
      <c r="AV144" s="248"/>
      <c r="AW144" s="248"/>
      <c r="AX144" s="248"/>
      <c r="AY144" s="248"/>
      <c r="AZ144" s="248"/>
      <c r="BA144" s="248"/>
      <c r="BB144" s="248"/>
      <c r="BC144" s="248"/>
      <c r="BD144" s="248"/>
      <c r="BE144" s="248"/>
      <c r="BF144" s="248"/>
      <c r="BG144" s="248"/>
      <c r="BH144" s="249">
        <v>41030</v>
      </c>
      <c r="BI144" s="262">
        <v>0.75</v>
      </c>
      <c r="BJ144" s="248"/>
      <c r="BK144" s="248"/>
      <c r="BL144" s="248"/>
      <c r="BM144" s="248"/>
      <c r="BN144" s="248"/>
      <c r="BO144"/>
      <c r="BP144"/>
      <c r="BQ144"/>
      <c r="BR144"/>
      <c r="BS144"/>
      <c r="BT144" s="248"/>
      <c r="BU144" s="248"/>
      <c r="BV144" s="248"/>
      <c r="BW144" s="248"/>
      <c r="BX144" s="248"/>
      <c r="BY144" s="248"/>
      <c r="BZ144" s="248"/>
      <c r="CA144" s="248"/>
      <c r="CB144" s="248"/>
      <c r="CC144" s="248"/>
      <c r="CD144" s="248"/>
      <c r="CE144" s="248"/>
      <c r="CF144" s="248"/>
      <c r="CG144" s="248"/>
    </row>
    <row r="145" spans="1:85" ht="12.75" x14ac:dyDescent="0.2">
      <c r="A145" s="29">
        <v>41244</v>
      </c>
      <c r="B145" s="243">
        <v>6.3417236648545011E-2</v>
      </c>
      <c r="D145" s="260">
        <v>40179</v>
      </c>
      <c r="E145" s="9">
        <v>43.037864685058594</v>
      </c>
      <c r="F145" s="9">
        <v>44.537864685058594</v>
      </c>
      <c r="G145" s="9">
        <v>46.037864685058594</v>
      </c>
      <c r="H145" s="8"/>
      <c r="I145" s="9">
        <v>23.25</v>
      </c>
      <c r="J145" s="9">
        <v>23.5</v>
      </c>
      <c r="K145" s="9">
        <v>24.25</v>
      </c>
      <c r="L145" s="7"/>
      <c r="M145" s="249">
        <v>41061</v>
      </c>
      <c r="N145" s="261">
        <v>35</v>
      </c>
      <c r="O145" s="261">
        <v>36.5</v>
      </c>
      <c r="P145" s="261">
        <v>38</v>
      </c>
      <c r="Q145" s="248"/>
      <c r="R145" s="261">
        <v>25.5</v>
      </c>
      <c r="S145" s="261">
        <v>27</v>
      </c>
      <c r="T145" s="261">
        <v>28.5</v>
      </c>
      <c r="U145" s="248"/>
      <c r="V145" s="261">
        <v>0</v>
      </c>
      <c r="W145" s="261">
        <v>0</v>
      </c>
      <c r="X145" s="261">
        <v>0</v>
      </c>
      <c r="Y145" s="248"/>
      <c r="Z145" s="261">
        <v>0.06</v>
      </c>
      <c r="AA145" s="261">
        <v>0.08</v>
      </c>
      <c r="AB145" s="261">
        <v>0.12</v>
      </c>
      <c r="AC145" s="248"/>
      <c r="AD145" s="261">
        <v>0.13125000000000001</v>
      </c>
      <c r="AE145" s="261">
        <v>0.17499999999999999</v>
      </c>
      <c r="AF145" s="261">
        <v>0.26250000000000001</v>
      </c>
      <c r="AG145" s="248"/>
      <c r="AH145" s="261">
        <v>-0.4</v>
      </c>
      <c r="AI145" s="261">
        <v>2.9</v>
      </c>
      <c r="AJ145" s="261">
        <v>0.5</v>
      </c>
      <c r="AK145" s="248"/>
      <c r="AL145" s="261">
        <v>-0.1</v>
      </c>
      <c r="AM145" s="261">
        <v>1.1499999999999999</v>
      </c>
      <c r="AN145" s="261">
        <v>0.1</v>
      </c>
      <c r="AO145" s="248"/>
      <c r="AP145" s="7">
        <v>46</v>
      </c>
      <c r="AQ145" s="9">
        <v>0.4</v>
      </c>
      <c r="AR145" s="248"/>
      <c r="AS145" s="248"/>
      <c r="AT145" s="248"/>
      <c r="AU145" s="248"/>
      <c r="AV145" s="248"/>
      <c r="AW145" s="248"/>
      <c r="AX145" s="248"/>
      <c r="AY145" s="248"/>
      <c r="AZ145" s="248"/>
      <c r="BA145" s="248"/>
      <c r="BB145" s="248"/>
      <c r="BC145" s="248"/>
      <c r="BD145" s="248"/>
      <c r="BE145" s="248"/>
      <c r="BF145" s="248"/>
      <c r="BG145" s="248"/>
      <c r="BH145" s="249">
        <v>41061</v>
      </c>
      <c r="BI145" s="262">
        <v>0.75</v>
      </c>
      <c r="BJ145" s="248"/>
      <c r="BK145" s="248"/>
      <c r="BL145" s="248"/>
      <c r="BM145" s="248"/>
      <c r="BN145" s="248"/>
      <c r="BO145"/>
      <c r="BP145"/>
      <c r="BQ145"/>
      <c r="BR145"/>
      <c r="BS145"/>
      <c r="BT145" s="248"/>
      <c r="BU145" s="248"/>
      <c r="BV145" s="248"/>
      <c r="BW145" s="248"/>
      <c r="BX145" s="248"/>
      <c r="BY145" s="248"/>
      <c r="BZ145" s="248"/>
      <c r="CA145" s="248"/>
      <c r="CB145" s="248"/>
      <c r="CC145" s="248"/>
      <c r="CD145" s="248"/>
      <c r="CE145" s="248"/>
      <c r="CF145" s="248"/>
      <c r="CG145" s="248"/>
    </row>
    <row r="146" spans="1:85" ht="12.75" x14ac:dyDescent="0.2">
      <c r="A146" s="29">
        <v>41275</v>
      </c>
      <c r="B146" s="243">
        <v>6.3445300638185001E-2</v>
      </c>
      <c r="D146" s="260">
        <v>40210</v>
      </c>
      <c r="E146" s="9">
        <v>42.687862396240234</v>
      </c>
      <c r="F146" s="9">
        <v>44.187862396240234</v>
      </c>
      <c r="G146" s="9">
        <v>45.687862396240234</v>
      </c>
      <c r="H146" s="8"/>
      <c r="I146" s="9">
        <v>21.75</v>
      </c>
      <c r="J146" s="9">
        <v>22</v>
      </c>
      <c r="K146" s="9">
        <v>22.75</v>
      </c>
      <c r="L146" s="7"/>
      <c r="M146" s="249">
        <v>41091</v>
      </c>
      <c r="N146" s="261">
        <v>41</v>
      </c>
      <c r="O146" s="261">
        <v>42.5</v>
      </c>
      <c r="P146" s="261">
        <v>44</v>
      </c>
      <c r="Q146" s="248"/>
      <c r="R146" s="261">
        <v>31.5</v>
      </c>
      <c r="S146" s="261">
        <v>33</v>
      </c>
      <c r="T146" s="261">
        <v>34.5</v>
      </c>
      <c r="U146" s="248"/>
      <c r="V146" s="261">
        <v>0</v>
      </c>
      <c r="W146" s="261">
        <v>0</v>
      </c>
      <c r="X146" s="261">
        <v>0</v>
      </c>
      <c r="Y146" s="248"/>
      <c r="Z146" s="261">
        <v>0.06</v>
      </c>
      <c r="AA146" s="261">
        <v>0.08</v>
      </c>
      <c r="AB146" s="261">
        <v>0.12</v>
      </c>
      <c r="AC146" s="248"/>
      <c r="AD146" s="261">
        <v>0.16125</v>
      </c>
      <c r="AE146" s="261">
        <v>0.215</v>
      </c>
      <c r="AF146" s="261">
        <v>0.32250000000000001</v>
      </c>
      <c r="AG146" s="248"/>
      <c r="AH146" s="261">
        <v>-0.4</v>
      </c>
      <c r="AI146" s="261">
        <v>3.9</v>
      </c>
      <c r="AJ146" s="261">
        <v>0.5</v>
      </c>
      <c r="AK146" s="248"/>
      <c r="AL146" s="261">
        <v>-0.1</v>
      </c>
      <c r="AM146" s="261">
        <v>1.1499999999999999</v>
      </c>
      <c r="AN146" s="261">
        <v>0.1</v>
      </c>
      <c r="AO146" s="248"/>
      <c r="AP146" s="7">
        <v>46</v>
      </c>
      <c r="AQ146" s="9">
        <v>0.4</v>
      </c>
      <c r="AR146" s="248"/>
      <c r="AS146" s="248"/>
      <c r="AT146" s="248"/>
      <c r="AU146" s="248"/>
      <c r="AV146" s="248"/>
      <c r="AW146" s="248"/>
      <c r="AX146" s="248"/>
      <c r="AY146" s="248"/>
      <c r="AZ146" s="248"/>
      <c r="BA146" s="248"/>
      <c r="BB146" s="248"/>
      <c r="BC146" s="248"/>
      <c r="BD146" s="248"/>
      <c r="BE146" s="248"/>
      <c r="BF146" s="248"/>
      <c r="BG146" s="248"/>
      <c r="BH146" s="249">
        <v>41091</v>
      </c>
      <c r="BI146" s="262">
        <v>0.75</v>
      </c>
      <c r="BJ146" s="248"/>
      <c r="BK146" s="248"/>
      <c r="BL146" s="248"/>
      <c r="BM146" s="248"/>
      <c r="BN146" s="248"/>
      <c r="BO146"/>
      <c r="BP146"/>
      <c r="BQ146"/>
      <c r="BR146"/>
      <c r="BS146"/>
      <c r="BT146" s="248"/>
      <c r="BU146" s="248"/>
      <c r="BV146" s="248"/>
      <c r="BW146" s="248"/>
      <c r="BX146" s="248"/>
      <c r="BY146" s="248"/>
      <c r="BZ146" s="248"/>
      <c r="CA146" s="248"/>
      <c r="CB146" s="248"/>
      <c r="CC146" s="248"/>
      <c r="CD146" s="248"/>
      <c r="CE146" s="248"/>
      <c r="CF146" s="248"/>
      <c r="CG146" s="248"/>
    </row>
    <row r="147" spans="1:85" ht="12.75" x14ac:dyDescent="0.2">
      <c r="A147" s="29">
        <v>41306</v>
      </c>
      <c r="B147" s="243">
        <v>6.3470648758083004E-2</v>
      </c>
      <c r="D147" s="260">
        <v>40238</v>
      </c>
      <c r="E147" s="9">
        <v>33.898544311523438</v>
      </c>
      <c r="F147" s="9">
        <v>35.398544311523438</v>
      </c>
      <c r="G147" s="9">
        <v>36.898544311523438</v>
      </c>
      <c r="H147" s="8"/>
      <c r="I147" s="9">
        <v>22.75</v>
      </c>
      <c r="J147" s="9">
        <v>23</v>
      </c>
      <c r="K147" s="9">
        <v>23.75</v>
      </c>
      <c r="L147" s="7"/>
      <c r="M147" s="249">
        <v>41122</v>
      </c>
      <c r="N147" s="261">
        <v>39.000003814697266</v>
      </c>
      <c r="O147" s="261">
        <v>40.500003814697266</v>
      </c>
      <c r="P147" s="261">
        <v>42.000003814697266</v>
      </c>
      <c r="Q147" s="248"/>
      <c r="R147" s="261">
        <v>31.5</v>
      </c>
      <c r="S147" s="261">
        <v>33</v>
      </c>
      <c r="T147" s="261">
        <v>34.5</v>
      </c>
      <c r="U147" s="248"/>
      <c r="V147" s="261">
        <v>0</v>
      </c>
      <c r="W147" s="261">
        <v>0</v>
      </c>
      <c r="X147" s="261">
        <v>0</v>
      </c>
      <c r="Y147" s="248"/>
      <c r="Z147" s="261">
        <v>0.06</v>
      </c>
      <c r="AA147" s="261">
        <v>0.08</v>
      </c>
      <c r="AB147" s="261">
        <v>0.12</v>
      </c>
      <c r="AC147" s="248"/>
      <c r="AD147" s="261">
        <v>0.16125</v>
      </c>
      <c r="AE147" s="261">
        <v>0.215</v>
      </c>
      <c r="AF147" s="261">
        <v>0.32250000000000001</v>
      </c>
      <c r="AG147" s="248"/>
      <c r="AH147" s="261">
        <v>-0.5</v>
      </c>
      <c r="AI147" s="261">
        <v>3.9</v>
      </c>
      <c r="AJ147" s="261">
        <v>1.75</v>
      </c>
      <c r="AK147" s="248"/>
      <c r="AL147" s="261">
        <v>-0.1</v>
      </c>
      <c r="AM147" s="261">
        <v>1.1499999999999999</v>
      </c>
      <c r="AN147" s="261">
        <v>0.1</v>
      </c>
      <c r="AO147" s="248"/>
      <c r="AP147" s="7">
        <v>47</v>
      </c>
      <c r="AQ147" s="9">
        <v>0.4</v>
      </c>
      <c r="AR147" s="248"/>
      <c r="AS147" s="248"/>
      <c r="AT147" s="248"/>
      <c r="AU147" s="248"/>
      <c r="AV147" s="248"/>
      <c r="AW147" s="248"/>
      <c r="AX147" s="248"/>
      <c r="AY147" s="248"/>
      <c r="AZ147" s="248"/>
      <c r="BA147" s="248"/>
      <c r="BB147" s="248"/>
      <c r="BC147" s="248"/>
      <c r="BD147" s="248"/>
      <c r="BE147" s="248"/>
      <c r="BF147" s="248"/>
      <c r="BG147" s="248"/>
      <c r="BH147" s="249">
        <v>41122</v>
      </c>
      <c r="BI147" s="262">
        <v>0.75</v>
      </c>
      <c r="BJ147" s="248"/>
      <c r="BK147" s="248"/>
      <c r="BL147" s="248"/>
      <c r="BM147" s="248"/>
      <c r="BN147" s="248"/>
      <c r="BO147"/>
      <c r="BP147"/>
      <c r="BQ147"/>
      <c r="BR147"/>
      <c r="BS147"/>
      <c r="BT147" s="248"/>
      <c r="BU147" s="248"/>
      <c r="BV147" s="248"/>
      <c r="BW147" s="248"/>
      <c r="BX147" s="248"/>
      <c r="BY147" s="248"/>
      <c r="BZ147" s="248"/>
      <c r="CA147" s="248"/>
      <c r="CB147" s="248"/>
      <c r="CC147" s="248"/>
      <c r="CD147" s="248"/>
      <c r="CE147" s="248"/>
      <c r="CF147" s="248"/>
      <c r="CG147" s="248"/>
    </row>
    <row r="148" spans="1:85" ht="12.75" x14ac:dyDescent="0.2">
      <c r="A148" s="29">
        <v>41334</v>
      </c>
      <c r="B148" s="243">
        <v>6.3498712748220013E-2</v>
      </c>
      <c r="D148" s="260">
        <v>40269</v>
      </c>
      <c r="E148" s="9">
        <v>34.348545074462891</v>
      </c>
      <c r="F148" s="9">
        <v>35.848545074462891</v>
      </c>
      <c r="G148" s="9">
        <v>37.348545074462891</v>
      </c>
      <c r="H148" s="8"/>
      <c r="I148" s="9">
        <v>20.75</v>
      </c>
      <c r="J148" s="9">
        <v>21</v>
      </c>
      <c r="K148" s="9">
        <v>21.75</v>
      </c>
      <c r="L148" s="7"/>
      <c r="M148" s="249">
        <v>41153</v>
      </c>
      <c r="N148" s="261">
        <v>31</v>
      </c>
      <c r="O148" s="261">
        <v>32.5</v>
      </c>
      <c r="P148" s="261">
        <v>34</v>
      </c>
      <c r="Q148" s="248"/>
      <c r="R148" s="261">
        <v>25.5</v>
      </c>
      <c r="S148" s="261">
        <v>27</v>
      </c>
      <c r="T148" s="261">
        <v>28.5</v>
      </c>
      <c r="U148" s="248"/>
      <c r="V148" s="261">
        <v>0</v>
      </c>
      <c r="W148" s="261">
        <v>0</v>
      </c>
      <c r="X148" s="261">
        <v>0</v>
      </c>
      <c r="Y148" s="248"/>
      <c r="Z148" s="261">
        <v>0.06</v>
      </c>
      <c r="AA148" s="261">
        <v>0.08</v>
      </c>
      <c r="AB148" s="261">
        <v>0.12</v>
      </c>
      <c r="AC148" s="248"/>
      <c r="AD148" s="261">
        <v>0.10125000000000001</v>
      </c>
      <c r="AE148" s="261">
        <v>0.13500000000000001</v>
      </c>
      <c r="AF148" s="261">
        <v>0.20250000000000001</v>
      </c>
      <c r="AG148" s="248"/>
      <c r="AH148" s="261">
        <v>-1</v>
      </c>
      <c r="AI148" s="261">
        <v>2.33</v>
      </c>
      <c r="AJ148" s="261">
        <v>2.5</v>
      </c>
      <c r="AK148" s="248"/>
      <c r="AL148" s="261">
        <v>-0.1</v>
      </c>
      <c r="AM148" s="261">
        <v>1.05</v>
      </c>
      <c r="AN148" s="261">
        <v>0.1</v>
      </c>
      <c r="AO148" s="248"/>
      <c r="AP148" s="7">
        <v>47</v>
      </c>
      <c r="AQ148" s="9">
        <v>0.4</v>
      </c>
      <c r="AR148" s="248"/>
      <c r="AS148" s="248"/>
      <c r="AT148" s="248"/>
      <c r="AU148" s="248"/>
      <c r="AV148" s="248"/>
      <c r="AW148" s="248"/>
      <c r="AX148" s="248"/>
      <c r="AY148" s="248"/>
      <c r="AZ148" s="248"/>
      <c r="BA148" s="248"/>
      <c r="BB148" s="248"/>
      <c r="BC148" s="248"/>
      <c r="BD148" s="248"/>
      <c r="BE148" s="248"/>
      <c r="BF148" s="248"/>
      <c r="BG148" s="248"/>
      <c r="BH148" s="249">
        <v>41153</v>
      </c>
      <c r="BI148" s="262">
        <v>0.75</v>
      </c>
      <c r="BJ148" s="248"/>
      <c r="BK148" s="248"/>
      <c r="BL148" s="248"/>
      <c r="BM148" s="248"/>
      <c r="BN148" s="248"/>
      <c r="BO148"/>
      <c r="BP148"/>
      <c r="BQ148"/>
      <c r="BR148"/>
      <c r="BS148"/>
      <c r="BT148" s="248"/>
      <c r="BU148" s="248"/>
      <c r="BV148" s="248"/>
      <c r="BW148" s="248"/>
      <c r="BX148" s="248"/>
      <c r="BY148" s="248"/>
      <c r="BZ148" s="248"/>
      <c r="CA148" s="248"/>
      <c r="CB148" s="248"/>
      <c r="CC148" s="248"/>
      <c r="CD148" s="248"/>
      <c r="CE148" s="248"/>
      <c r="CF148" s="248"/>
      <c r="CG148" s="248"/>
    </row>
    <row r="149" spans="1:85" ht="12.75" x14ac:dyDescent="0.2">
      <c r="A149" s="29">
        <v>41365</v>
      </c>
      <c r="B149" s="243">
        <v>6.3525871448601015E-2</v>
      </c>
      <c r="D149" s="260">
        <v>40299</v>
      </c>
      <c r="E149" s="9">
        <v>35.353566741943361</v>
      </c>
      <c r="F149" s="9">
        <v>37.503566741943359</v>
      </c>
      <c r="G149" s="9">
        <v>39.653566741943358</v>
      </c>
      <c r="H149" s="8"/>
      <c r="I149" s="9">
        <v>22.75</v>
      </c>
      <c r="J149" s="9">
        <v>23</v>
      </c>
      <c r="K149" s="9">
        <v>23.75</v>
      </c>
      <c r="L149" s="7"/>
      <c r="M149" s="249">
        <v>41183</v>
      </c>
      <c r="N149" s="261">
        <v>25.996000289916992</v>
      </c>
      <c r="O149" s="261">
        <v>27.496000289916992</v>
      </c>
      <c r="P149" s="261">
        <v>28.996000289916992</v>
      </c>
      <c r="Q149" s="248"/>
      <c r="R149" s="261">
        <v>20.496500015258789</v>
      </c>
      <c r="S149" s="261">
        <v>21.996500015258789</v>
      </c>
      <c r="T149" s="261">
        <v>23.496500015258789</v>
      </c>
      <c r="U149" s="248"/>
      <c r="V149" s="261">
        <v>0</v>
      </c>
      <c r="W149" s="261">
        <v>0</v>
      </c>
      <c r="X149" s="261">
        <v>0</v>
      </c>
      <c r="Y149" s="248"/>
      <c r="Z149" s="261">
        <v>0.06</v>
      </c>
      <c r="AA149" s="261">
        <v>0.08</v>
      </c>
      <c r="AB149" s="261">
        <v>0.12</v>
      </c>
      <c r="AC149" s="248"/>
      <c r="AD149" s="261">
        <v>7.8750000000000001E-2</v>
      </c>
      <c r="AE149" s="261">
        <v>0.105</v>
      </c>
      <c r="AF149" s="261">
        <v>0.1575</v>
      </c>
      <c r="AG149" s="248"/>
      <c r="AH149" s="261">
        <v>-1</v>
      </c>
      <c r="AI149" s="261">
        <v>2.06</v>
      </c>
      <c r="AJ149" s="261">
        <v>2.5</v>
      </c>
      <c r="AK149" s="248"/>
      <c r="AL149" s="261">
        <v>-0.1</v>
      </c>
      <c r="AM149" s="261">
        <v>1</v>
      </c>
      <c r="AN149" s="261">
        <v>0.1</v>
      </c>
      <c r="AO149" s="248"/>
      <c r="AP149" s="7">
        <v>47</v>
      </c>
      <c r="AQ149" s="9">
        <v>0.4</v>
      </c>
      <c r="AR149" s="248"/>
      <c r="AS149" s="248"/>
      <c r="AT149" s="248"/>
      <c r="AU149" s="248"/>
      <c r="AV149" s="248"/>
      <c r="AW149" s="248"/>
      <c r="AX149" s="248"/>
      <c r="AY149" s="248"/>
      <c r="AZ149" s="248"/>
      <c r="BA149" s="248"/>
      <c r="BB149" s="248"/>
      <c r="BC149" s="248"/>
      <c r="BD149" s="248"/>
      <c r="BE149" s="248"/>
      <c r="BF149" s="248"/>
      <c r="BG149" s="248"/>
      <c r="BH149" s="249">
        <v>41183</v>
      </c>
      <c r="BI149" s="262">
        <v>0.75</v>
      </c>
      <c r="BJ149" s="248"/>
      <c r="BK149" s="248"/>
      <c r="BL149" s="248"/>
      <c r="BM149" s="248"/>
      <c r="BN149" s="248"/>
      <c r="BO149"/>
      <c r="BP149"/>
      <c r="BQ149"/>
      <c r="BR149"/>
      <c r="BS149"/>
      <c r="BT149" s="248"/>
      <c r="BU149" s="248"/>
      <c r="BV149" s="248"/>
      <c r="BW149" s="248"/>
      <c r="BX149" s="248"/>
      <c r="BY149" s="248"/>
      <c r="BZ149" s="248"/>
      <c r="CA149" s="248"/>
      <c r="CB149" s="248"/>
      <c r="CC149" s="248"/>
      <c r="CD149" s="248"/>
      <c r="CE149" s="248"/>
      <c r="CF149" s="248"/>
      <c r="CG149" s="248"/>
    </row>
    <row r="150" spans="1:85" ht="12.75" x14ac:dyDescent="0.2">
      <c r="A150" s="29">
        <v>41395</v>
      </c>
      <c r="B150" s="243">
        <v>6.3553935439252016E-2</v>
      </c>
      <c r="D150" s="260">
        <v>40330</v>
      </c>
      <c r="E150" s="9">
        <v>40.997856140136719</v>
      </c>
      <c r="F150" s="9">
        <v>45.997856140136719</v>
      </c>
      <c r="G150" s="9">
        <v>50.997856140136719</v>
      </c>
      <c r="H150" s="8"/>
      <c r="I150" s="9">
        <v>25.75</v>
      </c>
      <c r="J150" s="9">
        <v>26</v>
      </c>
      <c r="K150" s="9">
        <v>26.75</v>
      </c>
      <c r="L150" s="7"/>
      <c r="M150" s="249">
        <v>41214</v>
      </c>
      <c r="N150" s="261">
        <v>28</v>
      </c>
      <c r="O150" s="261">
        <v>29.5</v>
      </c>
      <c r="P150" s="261">
        <v>31</v>
      </c>
      <c r="Q150" s="248"/>
      <c r="R150" s="261">
        <v>20.5</v>
      </c>
      <c r="S150" s="261">
        <v>22</v>
      </c>
      <c r="T150" s="261">
        <v>23.5</v>
      </c>
      <c r="U150" s="248"/>
      <c r="V150" s="261">
        <v>0</v>
      </c>
      <c r="W150" s="261">
        <v>0</v>
      </c>
      <c r="X150" s="261">
        <v>0</v>
      </c>
      <c r="Y150" s="248"/>
      <c r="Z150" s="261">
        <v>0.06</v>
      </c>
      <c r="AA150" s="261">
        <v>0.08</v>
      </c>
      <c r="AB150" s="261">
        <v>0.12</v>
      </c>
      <c r="AC150" s="248"/>
      <c r="AD150" s="261">
        <v>7.8750000000000001E-2</v>
      </c>
      <c r="AE150" s="261">
        <v>0.105</v>
      </c>
      <c r="AF150" s="261">
        <v>0.1575</v>
      </c>
      <c r="AG150" s="248"/>
      <c r="AH150" s="261">
        <v>-0.5</v>
      </c>
      <c r="AI150" s="261">
        <v>2.052</v>
      </c>
      <c r="AJ150" s="261">
        <v>1</v>
      </c>
      <c r="AK150" s="248"/>
      <c r="AL150" s="261">
        <v>-0.1</v>
      </c>
      <c r="AM150" s="261">
        <v>1</v>
      </c>
      <c r="AN150" s="261">
        <v>0.1</v>
      </c>
      <c r="AO150" s="248"/>
      <c r="AP150" s="7">
        <v>48</v>
      </c>
      <c r="AQ150" s="9">
        <v>0.4</v>
      </c>
      <c r="AR150" s="248"/>
      <c r="AS150" s="248"/>
      <c r="AT150" s="248"/>
      <c r="AU150" s="248"/>
      <c r="AV150" s="248"/>
      <c r="AW150" s="248"/>
      <c r="AX150" s="248"/>
      <c r="AY150" s="248"/>
      <c r="AZ150" s="248"/>
      <c r="BA150" s="248"/>
      <c r="BB150" s="248"/>
      <c r="BC150" s="248"/>
      <c r="BD150" s="248"/>
      <c r="BE150" s="248"/>
      <c r="BF150" s="248"/>
      <c r="BG150" s="248"/>
      <c r="BH150" s="249">
        <v>41214</v>
      </c>
      <c r="BI150" s="262">
        <v>0.75</v>
      </c>
      <c r="BJ150" s="248"/>
      <c r="BK150" s="248"/>
      <c r="BL150" s="248"/>
      <c r="BM150" s="248"/>
      <c r="BN150" s="248"/>
      <c r="BO150"/>
      <c r="BP150"/>
      <c r="BQ150"/>
      <c r="BR150"/>
      <c r="BS150"/>
      <c r="BT150" s="248"/>
      <c r="BU150" s="248"/>
      <c r="BV150" s="248"/>
      <c r="BW150" s="248"/>
      <c r="BX150" s="248"/>
      <c r="BY150" s="248"/>
      <c r="BZ150" s="248"/>
      <c r="CA150" s="248"/>
      <c r="CB150" s="248"/>
      <c r="CC150" s="248"/>
      <c r="CD150" s="248"/>
      <c r="CE150" s="248"/>
      <c r="CF150" s="248"/>
      <c r="CG150" s="248"/>
    </row>
    <row r="151" spans="1:85" ht="12.75" x14ac:dyDescent="0.2">
      <c r="A151" s="29">
        <v>41426</v>
      </c>
      <c r="B151" s="243">
        <v>6.3581094140130009E-2</v>
      </c>
      <c r="D151" s="260">
        <v>40360</v>
      </c>
      <c r="E151" s="9">
        <v>61.997146606445313</v>
      </c>
      <c r="F151" s="9">
        <v>71.997146606445313</v>
      </c>
      <c r="G151" s="9">
        <v>81.997146606445313</v>
      </c>
      <c r="H151" s="8"/>
      <c r="I151" s="9">
        <v>26.25</v>
      </c>
      <c r="J151" s="9">
        <v>26.5</v>
      </c>
      <c r="K151" s="9">
        <v>27.25</v>
      </c>
      <c r="L151" s="7"/>
      <c r="M151" s="249">
        <v>41244</v>
      </c>
      <c r="N151" s="261">
        <v>33</v>
      </c>
      <c r="O151" s="261">
        <v>34.5</v>
      </c>
      <c r="P151" s="261">
        <v>36</v>
      </c>
      <c r="Q151" s="248"/>
      <c r="R151" s="261">
        <v>27.5</v>
      </c>
      <c r="S151" s="261">
        <v>29</v>
      </c>
      <c r="T151" s="261">
        <v>30.5</v>
      </c>
      <c r="U151" s="248"/>
      <c r="V151" s="261">
        <v>0</v>
      </c>
      <c r="W151" s="261">
        <v>0</v>
      </c>
      <c r="X151" s="261">
        <v>0</v>
      </c>
      <c r="Y151" s="248"/>
      <c r="Z151" s="261">
        <v>0.06</v>
      </c>
      <c r="AA151" s="261">
        <v>0.08</v>
      </c>
      <c r="AB151" s="261">
        <v>0.12</v>
      </c>
      <c r="AC151" s="248"/>
      <c r="AD151" s="261">
        <v>0.10875</v>
      </c>
      <c r="AE151" s="261">
        <v>0.14499999999999999</v>
      </c>
      <c r="AF151" s="261">
        <v>0.2175</v>
      </c>
      <c r="AG151" s="248"/>
      <c r="AH151" s="261">
        <v>-0.4</v>
      </c>
      <c r="AI151" s="261">
        <v>1.89</v>
      </c>
      <c r="AJ151" s="261">
        <v>0.5</v>
      </c>
      <c r="AK151" s="248"/>
      <c r="AL151" s="261">
        <v>-0.1</v>
      </c>
      <c r="AM151" s="261">
        <v>1</v>
      </c>
      <c r="AN151" s="261">
        <v>0.1</v>
      </c>
      <c r="AO151" s="248"/>
      <c r="AP151" s="7">
        <v>48</v>
      </c>
      <c r="AQ151" s="9">
        <v>0.4</v>
      </c>
      <c r="AR151" s="248"/>
      <c r="AS151" s="248"/>
      <c r="AT151" s="248"/>
      <c r="AU151" s="248"/>
      <c r="AV151" s="248"/>
      <c r="AW151" s="248"/>
      <c r="AX151" s="248"/>
      <c r="AY151" s="248"/>
      <c r="AZ151" s="248"/>
      <c r="BA151" s="248"/>
      <c r="BB151" s="248"/>
      <c r="BC151" s="248"/>
      <c r="BD151" s="248"/>
      <c r="BE151" s="248"/>
      <c r="BF151" s="248"/>
      <c r="BG151" s="248"/>
      <c r="BH151" s="249">
        <v>41244</v>
      </c>
      <c r="BI151" s="262">
        <v>0.75</v>
      </c>
      <c r="BJ151" s="248"/>
      <c r="BK151" s="248"/>
      <c r="BL151" s="248"/>
      <c r="BM151" s="248"/>
      <c r="BN151" s="248"/>
      <c r="BO151"/>
      <c r="BP151"/>
      <c r="BQ151"/>
      <c r="BR151"/>
      <c r="BS151"/>
      <c r="BT151" s="248"/>
      <c r="BU151" s="248"/>
      <c r="BV151" s="248"/>
      <c r="BW151" s="248"/>
      <c r="BX151" s="248"/>
      <c r="BY151" s="248"/>
      <c r="BZ151" s="248"/>
      <c r="CA151" s="248"/>
      <c r="CB151" s="248"/>
      <c r="CC151" s="248"/>
      <c r="CD151" s="248"/>
      <c r="CE151" s="248"/>
      <c r="CF151" s="248"/>
      <c r="CG151" s="248"/>
    </row>
    <row r="152" spans="1:85" ht="12.75" x14ac:dyDescent="0.2">
      <c r="A152" s="29">
        <v>41456</v>
      </c>
      <c r="B152" s="243">
        <v>6.3609158131295016E-2</v>
      </c>
      <c r="D152" s="260">
        <v>40391</v>
      </c>
      <c r="E152" s="9">
        <v>61.997146606445313</v>
      </c>
      <c r="F152" s="9">
        <v>71.997146606445313</v>
      </c>
      <c r="G152" s="9">
        <v>81.997146606445313</v>
      </c>
      <c r="H152" s="8"/>
      <c r="I152" s="9">
        <v>27.25</v>
      </c>
      <c r="J152" s="9">
        <v>27.5</v>
      </c>
      <c r="K152" s="9">
        <v>28.25</v>
      </c>
      <c r="L152" s="7"/>
      <c r="M152" s="249">
        <v>41275</v>
      </c>
      <c r="N152" s="261">
        <v>35.5</v>
      </c>
      <c r="O152" s="261">
        <v>37</v>
      </c>
      <c r="P152" s="261">
        <v>38.5</v>
      </c>
      <c r="Q152" s="248"/>
      <c r="R152" s="261">
        <v>25</v>
      </c>
      <c r="S152" s="261">
        <v>26.5</v>
      </c>
      <c r="T152" s="261">
        <v>28</v>
      </c>
      <c r="U152" s="248"/>
      <c r="V152" s="261">
        <v>0</v>
      </c>
      <c r="W152" s="261">
        <v>0</v>
      </c>
      <c r="X152" s="261">
        <v>0</v>
      </c>
      <c r="Y152" s="248"/>
      <c r="Z152" s="261">
        <v>0.06</v>
      </c>
      <c r="AA152" s="261">
        <v>0.08</v>
      </c>
      <c r="AB152" s="261">
        <v>0.12</v>
      </c>
      <c r="AC152" s="248"/>
      <c r="AD152" s="261">
        <v>0.10125000000000001</v>
      </c>
      <c r="AE152" s="261">
        <v>0.13500000000000001</v>
      </c>
      <c r="AF152" s="261">
        <v>0.20250000000000001</v>
      </c>
      <c r="AG152" s="248"/>
      <c r="AH152" s="261">
        <v>-0.4</v>
      </c>
      <c r="AI152" s="261">
        <v>2.3220000000000001</v>
      </c>
      <c r="AJ152" s="261">
        <v>0.5</v>
      </c>
      <c r="AK152" s="248"/>
      <c r="AL152" s="261">
        <v>-0.1</v>
      </c>
      <c r="AM152" s="261">
        <v>1</v>
      </c>
      <c r="AN152" s="261">
        <v>0.1</v>
      </c>
      <c r="AO152" s="248"/>
      <c r="AP152" s="7">
        <v>48</v>
      </c>
      <c r="AQ152" s="9">
        <v>0.4</v>
      </c>
      <c r="AR152" s="248"/>
      <c r="AS152" s="248"/>
      <c r="AT152" s="248"/>
      <c r="AU152" s="248"/>
      <c r="AV152" s="248"/>
      <c r="AW152" s="248"/>
      <c r="AX152" s="248"/>
      <c r="AY152" s="248"/>
      <c r="AZ152" s="248"/>
      <c r="BA152" s="248"/>
      <c r="BB152" s="248"/>
      <c r="BC152" s="248"/>
      <c r="BD152" s="248"/>
      <c r="BE152" s="248"/>
      <c r="BF152" s="248"/>
      <c r="BG152" s="248"/>
      <c r="BH152" s="249">
        <v>41275</v>
      </c>
      <c r="BI152" s="262">
        <v>0.75</v>
      </c>
      <c r="BJ152" s="248"/>
      <c r="BK152" s="248"/>
      <c r="BL152" s="248"/>
      <c r="BM152" s="248"/>
      <c r="BN152" s="248"/>
      <c r="BO152"/>
      <c r="BP152"/>
      <c r="BQ152"/>
      <c r="BR152"/>
      <c r="BS152"/>
      <c r="BT152" s="248"/>
      <c r="BU152" s="248"/>
      <c r="BV152" s="248"/>
      <c r="BW152" s="248"/>
      <c r="BX152" s="248"/>
      <c r="BY152" s="248"/>
      <c r="BZ152" s="248"/>
      <c r="CA152" s="248"/>
      <c r="CB152" s="248"/>
      <c r="CC152" s="248"/>
      <c r="CD152" s="248"/>
      <c r="CE152" s="248"/>
      <c r="CF152" s="248"/>
      <c r="CG152" s="248"/>
    </row>
    <row r="153" spans="1:85" ht="12.75" x14ac:dyDescent="0.2">
      <c r="A153" s="29">
        <v>41487</v>
      </c>
      <c r="B153" s="243">
        <v>6.3637222122721007E-2</v>
      </c>
      <c r="D153" s="260">
        <v>40422</v>
      </c>
      <c r="E153" s="9">
        <v>36.252143859863281</v>
      </c>
      <c r="F153" s="9">
        <v>37.752143859863281</v>
      </c>
      <c r="G153" s="9">
        <v>39.252143859863281</v>
      </c>
      <c r="H153" s="8"/>
      <c r="I153" s="9">
        <v>20.25</v>
      </c>
      <c r="J153" s="9">
        <v>20.5</v>
      </c>
      <c r="K153" s="9">
        <v>21.25</v>
      </c>
      <c r="L153" s="7"/>
      <c r="M153" s="249">
        <v>41306</v>
      </c>
      <c r="N153" s="261">
        <v>30.996002197265625</v>
      </c>
      <c r="O153" s="261">
        <v>32.496002197265625</v>
      </c>
      <c r="P153" s="261">
        <v>33.996002197265625</v>
      </c>
      <c r="Q153" s="248"/>
      <c r="R153" s="261">
        <v>22.496501922607422</v>
      </c>
      <c r="S153" s="261">
        <v>23.996501922607422</v>
      </c>
      <c r="T153" s="261">
        <v>25.496501922607422</v>
      </c>
      <c r="U153" s="248"/>
      <c r="V153" s="261">
        <v>0</v>
      </c>
      <c r="W153" s="261">
        <v>0</v>
      </c>
      <c r="X153" s="261">
        <v>0</v>
      </c>
      <c r="Y153" s="248"/>
      <c r="Z153" s="261">
        <v>0.06</v>
      </c>
      <c r="AA153" s="261">
        <v>0.08</v>
      </c>
      <c r="AB153" s="261">
        <v>0.12</v>
      </c>
      <c r="AC153" s="248"/>
      <c r="AD153" s="261">
        <v>0.10125000000000001</v>
      </c>
      <c r="AE153" s="261">
        <v>0.13500000000000001</v>
      </c>
      <c r="AF153" s="261">
        <v>0.20250000000000001</v>
      </c>
      <c r="AG153" s="248"/>
      <c r="AH153" s="261">
        <v>-0.4</v>
      </c>
      <c r="AI153" s="261">
        <v>2.3220000000000001</v>
      </c>
      <c r="AJ153" s="261">
        <v>0.6</v>
      </c>
      <c r="AK153" s="248"/>
      <c r="AL153" s="261">
        <v>-0.1</v>
      </c>
      <c r="AM153" s="261">
        <v>1</v>
      </c>
      <c r="AN153" s="261">
        <v>0.1</v>
      </c>
      <c r="AO153" s="248"/>
      <c r="AP153" s="7">
        <v>49</v>
      </c>
      <c r="AQ153" s="9">
        <v>0.4</v>
      </c>
      <c r="AR153" s="248"/>
      <c r="AS153" s="248"/>
      <c r="AT153" s="248"/>
      <c r="AU153" s="248"/>
      <c r="AV153" s="248"/>
      <c r="AW153" s="248"/>
      <c r="AX153" s="248"/>
      <c r="AY153" s="248"/>
      <c r="AZ153" s="248"/>
      <c r="BA153" s="248"/>
      <c r="BB153" s="248"/>
      <c r="BC153" s="248"/>
      <c r="BD153" s="248"/>
      <c r="BE153" s="248"/>
      <c r="BF153" s="248"/>
      <c r="BG153" s="248"/>
      <c r="BH153" s="249">
        <v>41306</v>
      </c>
      <c r="BI153" s="262">
        <v>0.75</v>
      </c>
      <c r="BJ153" s="248"/>
      <c r="BK153" s="248"/>
      <c r="BL153" s="248"/>
      <c r="BM153" s="248"/>
      <c r="BN153" s="248"/>
      <c r="BO153"/>
      <c r="BP153"/>
      <c r="BQ153"/>
      <c r="BR153"/>
      <c r="BS153"/>
      <c r="BT153" s="248"/>
      <c r="BU153" s="248"/>
      <c r="BV153" s="248"/>
      <c r="BW153" s="248"/>
      <c r="BX153" s="248"/>
      <c r="BY153" s="248"/>
      <c r="BZ153" s="248"/>
      <c r="CA153" s="248"/>
      <c r="CB153" s="248"/>
      <c r="CC153" s="248"/>
      <c r="CD153" s="248"/>
      <c r="CE153" s="248"/>
      <c r="CF153" s="248"/>
      <c r="CG153" s="248"/>
    </row>
    <row r="154" spans="1:85" ht="12.75" x14ac:dyDescent="0.2">
      <c r="A154" s="29">
        <v>41518</v>
      </c>
      <c r="B154" s="243">
        <v>6.3664380824349026E-2</v>
      </c>
      <c r="D154" s="260">
        <v>40452</v>
      </c>
      <c r="E154" s="9">
        <v>34.148933410644531</v>
      </c>
      <c r="F154" s="9">
        <v>35.648933410644531</v>
      </c>
      <c r="G154" s="9">
        <v>37.148933410644531</v>
      </c>
      <c r="H154" s="8"/>
      <c r="I154" s="9">
        <v>17.750001907348633</v>
      </c>
      <c r="J154" s="9">
        <v>18.000001907348633</v>
      </c>
      <c r="K154" s="9">
        <v>18.750001907348633</v>
      </c>
      <c r="L154" s="7"/>
      <c r="M154" s="249">
        <v>41334</v>
      </c>
      <c r="N154" s="261">
        <v>26</v>
      </c>
      <c r="O154" s="261">
        <v>27.5</v>
      </c>
      <c r="P154" s="261">
        <v>29</v>
      </c>
      <c r="Q154" s="248"/>
      <c r="R154" s="261">
        <v>20.5</v>
      </c>
      <c r="S154" s="261">
        <v>22</v>
      </c>
      <c r="T154" s="261">
        <v>23.5</v>
      </c>
      <c r="U154" s="248"/>
      <c r="V154" s="261">
        <v>0</v>
      </c>
      <c r="W154" s="261">
        <v>0</v>
      </c>
      <c r="X154" s="261">
        <v>0</v>
      </c>
      <c r="Y154" s="248"/>
      <c r="Z154" s="261">
        <v>0.06</v>
      </c>
      <c r="AA154" s="261">
        <v>0.08</v>
      </c>
      <c r="AB154" s="261">
        <v>0.12</v>
      </c>
      <c r="AC154" s="248"/>
      <c r="AD154" s="261">
        <v>0.09</v>
      </c>
      <c r="AE154" s="261">
        <v>0.12</v>
      </c>
      <c r="AF154" s="261">
        <v>0.18</v>
      </c>
      <c r="AG154" s="248"/>
      <c r="AH154" s="261">
        <v>-0.5</v>
      </c>
      <c r="AI154" s="261">
        <v>2.052</v>
      </c>
      <c r="AJ154" s="261">
        <v>1</v>
      </c>
      <c r="AK154" s="248"/>
      <c r="AL154" s="261">
        <v>-0.1</v>
      </c>
      <c r="AM154" s="261">
        <v>1</v>
      </c>
      <c r="AN154" s="261">
        <v>0.1</v>
      </c>
      <c r="AO154" s="248"/>
      <c r="AP154" s="7">
        <v>49</v>
      </c>
      <c r="AQ154" s="9">
        <v>0.4</v>
      </c>
      <c r="AR154" s="248"/>
      <c r="AS154" s="248"/>
      <c r="AT154" s="248"/>
      <c r="AU154" s="248"/>
      <c r="AV154" s="248"/>
      <c r="AW154" s="248"/>
      <c r="AX154" s="248"/>
      <c r="AY154" s="248"/>
      <c r="AZ154" s="248"/>
      <c r="BA154" s="248"/>
      <c r="BB154" s="248"/>
      <c r="BC154" s="248"/>
      <c r="BD154" s="248"/>
      <c r="BE154" s="248"/>
      <c r="BF154" s="248"/>
      <c r="BG154" s="248"/>
      <c r="BH154" s="249">
        <v>41334</v>
      </c>
      <c r="BI154" s="262">
        <v>0.75</v>
      </c>
      <c r="BJ154" s="248"/>
      <c r="BK154" s="248"/>
      <c r="BL154" s="248"/>
      <c r="BM154" s="248"/>
      <c r="BN154" s="248"/>
      <c r="BO154"/>
      <c r="BP154"/>
      <c r="BQ154"/>
      <c r="BR154"/>
      <c r="BS154"/>
      <c r="BT154" s="248"/>
      <c r="BU154" s="248"/>
      <c r="BV154" s="248"/>
      <c r="BW154" s="248"/>
      <c r="BX154" s="248"/>
      <c r="BY154" s="248"/>
      <c r="BZ154" s="248"/>
      <c r="CA154" s="248"/>
      <c r="CB154" s="248"/>
      <c r="CC154" s="248"/>
      <c r="CD154" s="248"/>
      <c r="CE154" s="248"/>
      <c r="CF154" s="248"/>
      <c r="CG154" s="248"/>
    </row>
    <row r="155" spans="1:85" ht="12.75" x14ac:dyDescent="0.2">
      <c r="A155" s="29">
        <v>41548</v>
      </c>
      <c r="B155" s="243">
        <v>6.3692444816289009E-2</v>
      </c>
      <c r="D155" s="260">
        <v>40483</v>
      </c>
      <c r="E155" s="9">
        <v>34.248931884765625</v>
      </c>
      <c r="F155" s="9">
        <v>35.748931884765625</v>
      </c>
      <c r="G155" s="9">
        <v>37.248931884765625</v>
      </c>
      <c r="H155" s="8"/>
      <c r="I155" s="9">
        <v>19.75</v>
      </c>
      <c r="J155" s="9">
        <v>20</v>
      </c>
      <c r="K155" s="9">
        <v>20.75</v>
      </c>
      <c r="L155" s="7"/>
      <c r="M155" s="249">
        <v>41365</v>
      </c>
      <c r="N155" s="261">
        <v>26</v>
      </c>
      <c r="O155" s="261">
        <v>27.5</v>
      </c>
      <c r="P155" s="261">
        <v>29</v>
      </c>
      <c r="Q155" s="248"/>
      <c r="R155" s="261">
        <v>20.495000839233398</v>
      </c>
      <c r="S155" s="261">
        <v>21.995000839233398</v>
      </c>
      <c r="T155" s="261">
        <v>23.495000839233398</v>
      </c>
      <c r="U155" s="248"/>
      <c r="V155" s="261">
        <v>0</v>
      </c>
      <c r="W155" s="261">
        <v>0</v>
      </c>
      <c r="X155" s="261">
        <v>0</v>
      </c>
      <c r="Y155" s="248"/>
      <c r="Z155" s="261">
        <v>0.06</v>
      </c>
      <c r="AA155" s="261">
        <v>0.08</v>
      </c>
      <c r="AB155" s="261">
        <v>0.12</v>
      </c>
      <c r="AC155" s="248"/>
      <c r="AD155" s="261">
        <v>0.09</v>
      </c>
      <c r="AE155" s="261">
        <v>0.12</v>
      </c>
      <c r="AF155" s="261">
        <v>0.18</v>
      </c>
      <c r="AG155" s="248"/>
      <c r="AH155" s="261">
        <v>-0.5</v>
      </c>
      <c r="AI155" s="261">
        <v>1.9980000000000004</v>
      </c>
      <c r="AJ155" s="261">
        <v>1</v>
      </c>
      <c r="AK155" s="248"/>
      <c r="AL155" s="261">
        <v>-0.1</v>
      </c>
      <c r="AM155" s="261">
        <v>1</v>
      </c>
      <c r="AN155" s="261">
        <v>0.1</v>
      </c>
      <c r="AO155" s="248"/>
      <c r="AP155" s="7">
        <v>49</v>
      </c>
      <c r="AQ155" s="9">
        <v>0.4</v>
      </c>
      <c r="AR155" s="248"/>
      <c r="AS155" s="248"/>
      <c r="AT155" s="248"/>
      <c r="AU155" s="248"/>
      <c r="AV155" s="248"/>
      <c r="AW155" s="248"/>
      <c r="AX155" s="248"/>
      <c r="AY155" s="248"/>
      <c r="AZ155" s="248"/>
      <c r="BA155" s="248"/>
      <c r="BB155" s="248"/>
      <c r="BC155" s="248"/>
      <c r="BD155" s="248"/>
      <c r="BE155" s="248"/>
      <c r="BF155" s="248"/>
      <c r="BG155" s="248"/>
      <c r="BH155" s="249">
        <v>41365</v>
      </c>
      <c r="BI155" s="262">
        <v>0.75</v>
      </c>
      <c r="BJ155" s="248"/>
      <c r="BK155" s="248"/>
      <c r="BL155" s="248"/>
      <c r="BM155" s="248"/>
      <c r="BN155" s="248"/>
      <c r="BO155"/>
      <c r="BP155"/>
      <c r="BQ155"/>
      <c r="BR155"/>
      <c r="BS155"/>
      <c r="BT155" s="248"/>
      <c r="BU155" s="248"/>
      <c r="BV155" s="248"/>
      <c r="BW155" s="248"/>
      <c r="BX155" s="248"/>
      <c r="BY155" s="248"/>
      <c r="BZ155" s="248"/>
      <c r="CA155" s="248"/>
      <c r="CB155" s="248"/>
      <c r="CC155" s="248"/>
      <c r="CD155" s="248"/>
      <c r="CE155" s="248"/>
      <c r="CF155" s="248"/>
      <c r="CG155" s="248"/>
    </row>
    <row r="156" spans="1:85" ht="12.75" x14ac:dyDescent="0.2">
      <c r="A156" s="29">
        <v>41579</v>
      </c>
      <c r="B156" s="243">
        <v>6.3719603518415005E-2</v>
      </c>
      <c r="D156" s="260">
        <v>40513</v>
      </c>
      <c r="E156" s="9">
        <v>34.348930358886719</v>
      </c>
      <c r="F156" s="9">
        <v>35.848930358886719</v>
      </c>
      <c r="G156" s="9">
        <v>37.348930358886719</v>
      </c>
      <c r="H156" s="8"/>
      <c r="I156" s="9">
        <v>18.860000610351563</v>
      </c>
      <c r="J156" s="9">
        <v>19.110000610351563</v>
      </c>
      <c r="K156" s="9">
        <v>19.860000610351563</v>
      </c>
      <c r="L156" s="7"/>
      <c r="M156" s="249">
        <v>41395</v>
      </c>
      <c r="N156" s="261">
        <v>28</v>
      </c>
      <c r="O156" s="261">
        <v>29.5</v>
      </c>
      <c r="P156" s="261">
        <v>31</v>
      </c>
      <c r="Q156" s="248"/>
      <c r="R156" s="261">
        <v>21.504999160766602</v>
      </c>
      <c r="S156" s="261">
        <v>23.004999160766602</v>
      </c>
      <c r="T156" s="261">
        <v>24.504999160766602</v>
      </c>
      <c r="U156" s="248"/>
      <c r="V156" s="261">
        <v>0</v>
      </c>
      <c r="W156" s="261">
        <v>0</v>
      </c>
      <c r="X156" s="261">
        <v>0</v>
      </c>
      <c r="Y156" s="248"/>
      <c r="Z156" s="261">
        <v>0.06</v>
      </c>
      <c r="AA156" s="261">
        <v>0.08</v>
      </c>
      <c r="AB156" s="261">
        <v>0.12</v>
      </c>
      <c r="AC156" s="248"/>
      <c r="AD156" s="261">
        <v>0.11625000000000001</v>
      </c>
      <c r="AE156" s="261">
        <v>0.155</v>
      </c>
      <c r="AF156" s="261">
        <v>0.23250000000000001</v>
      </c>
      <c r="AG156" s="248"/>
      <c r="AH156" s="261">
        <v>-0.4</v>
      </c>
      <c r="AI156" s="261">
        <v>2.15</v>
      </c>
      <c r="AJ156" s="261">
        <v>0.5</v>
      </c>
      <c r="AK156" s="248"/>
      <c r="AL156" s="261">
        <v>-0.1</v>
      </c>
      <c r="AM156" s="261">
        <v>1.05</v>
      </c>
      <c r="AN156" s="261">
        <v>0.1</v>
      </c>
      <c r="AO156" s="248"/>
      <c r="AP156" s="7">
        <v>50</v>
      </c>
      <c r="AQ156" s="9">
        <v>0.4</v>
      </c>
      <c r="AR156" s="248"/>
      <c r="AS156" s="248"/>
      <c r="AT156" s="248"/>
      <c r="AU156" s="248"/>
      <c r="AV156" s="248"/>
      <c r="AW156" s="248"/>
      <c r="AX156" s="248"/>
      <c r="AY156" s="248"/>
      <c r="AZ156" s="248"/>
      <c r="BA156" s="248"/>
      <c r="BB156" s="248"/>
      <c r="BC156" s="248"/>
      <c r="BD156" s="248"/>
      <c r="BE156" s="248"/>
      <c r="BF156" s="248"/>
      <c r="BG156" s="248"/>
      <c r="BH156" s="249">
        <v>41395</v>
      </c>
      <c r="BI156" s="262">
        <v>0.75</v>
      </c>
      <c r="BJ156" s="248"/>
      <c r="BK156" s="248"/>
      <c r="BL156" s="248"/>
      <c r="BM156" s="248"/>
      <c r="BN156" s="248"/>
      <c r="BO156"/>
      <c r="BP156"/>
      <c r="BQ156"/>
      <c r="BR156"/>
      <c r="BS156"/>
      <c r="BT156" s="248"/>
      <c r="BU156" s="248"/>
      <c r="BV156" s="248"/>
      <c r="BW156" s="248"/>
      <c r="BX156" s="248"/>
      <c r="BY156" s="248"/>
      <c r="BZ156" s="248"/>
      <c r="CA156" s="248"/>
      <c r="CB156" s="248"/>
      <c r="CC156" s="248"/>
      <c r="CD156" s="248"/>
      <c r="CE156" s="248"/>
      <c r="CF156" s="248"/>
      <c r="CG156" s="248"/>
    </row>
    <row r="157" spans="1:85" ht="12.75" x14ac:dyDescent="0.2">
      <c r="A157" s="29">
        <v>41609</v>
      </c>
      <c r="B157" s="243">
        <v>6.3747667510869008E-2</v>
      </c>
      <c r="D157" s="260">
        <v>40544</v>
      </c>
      <c r="E157" s="9">
        <v>43.537864685058594</v>
      </c>
      <c r="F157" s="9">
        <v>45.037864685058594</v>
      </c>
      <c r="G157" s="9">
        <v>46.537864685058594</v>
      </c>
      <c r="H157" s="8"/>
      <c r="I157" s="9">
        <v>23.75</v>
      </c>
      <c r="J157" s="9">
        <v>24</v>
      </c>
      <c r="K157" s="9">
        <v>24.75</v>
      </c>
      <c r="L157" s="7"/>
      <c r="M157" s="249">
        <v>41426</v>
      </c>
      <c r="N157" s="261">
        <v>35</v>
      </c>
      <c r="O157" s="261">
        <v>36.5</v>
      </c>
      <c r="P157" s="261">
        <v>38</v>
      </c>
      <c r="Q157" s="248"/>
      <c r="R157" s="261">
        <v>25.5</v>
      </c>
      <c r="S157" s="261">
        <v>27</v>
      </c>
      <c r="T157" s="261">
        <v>28.5</v>
      </c>
      <c r="U157" s="248"/>
      <c r="V157" s="261">
        <v>0</v>
      </c>
      <c r="W157" s="261">
        <v>0</v>
      </c>
      <c r="X157" s="261">
        <v>0</v>
      </c>
      <c r="Y157" s="248"/>
      <c r="Z157" s="261">
        <v>0.06</v>
      </c>
      <c r="AA157" s="261">
        <v>0.08</v>
      </c>
      <c r="AB157" s="261">
        <v>0.12</v>
      </c>
      <c r="AC157" s="248"/>
      <c r="AD157" s="261">
        <v>0.13125000000000001</v>
      </c>
      <c r="AE157" s="261">
        <v>0.17499999999999999</v>
      </c>
      <c r="AF157" s="261">
        <v>0.26250000000000001</v>
      </c>
      <c r="AG157" s="248"/>
      <c r="AH157" s="261">
        <v>-0.4</v>
      </c>
      <c r="AI157" s="261">
        <v>2.9</v>
      </c>
      <c r="AJ157" s="261">
        <v>0.5</v>
      </c>
      <c r="AK157" s="248"/>
      <c r="AL157" s="261">
        <v>-0.1</v>
      </c>
      <c r="AM157" s="261">
        <v>1.1499999999999999</v>
      </c>
      <c r="AN157" s="261">
        <v>0.1</v>
      </c>
      <c r="AO157" s="248"/>
      <c r="AP157" s="7">
        <v>50</v>
      </c>
      <c r="AQ157" s="9">
        <v>0.4</v>
      </c>
      <c r="AR157" s="248"/>
      <c r="AS157" s="248"/>
      <c r="AT157" s="248"/>
      <c r="AU157" s="248"/>
      <c r="AV157" s="248"/>
      <c r="AW157" s="248"/>
      <c r="AX157" s="248"/>
      <c r="AY157" s="248"/>
      <c r="AZ157" s="248"/>
      <c r="BA157" s="248"/>
      <c r="BB157" s="248"/>
      <c r="BC157" s="248"/>
      <c r="BD157" s="248"/>
      <c r="BE157" s="248"/>
      <c r="BF157" s="248"/>
      <c r="BG157" s="248"/>
      <c r="BH157" s="249">
        <v>41426</v>
      </c>
      <c r="BI157" s="262">
        <v>0.75</v>
      </c>
      <c r="BJ157" s="248"/>
      <c r="BK157" s="248"/>
      <c r="BL157" s="248"/>
      <c r="BM157" s="248"/>
      <c r="BN157" s="248"/>
      <c r="BO157"/>
      <c r="BP157"/>
      <c r="BQ157"/>
      <c r="BR157"/>
      <c r="BS157"/>
      <c r="BT157" s="248"/>
      <c r="BU157" s="248"/>
      <c r="BV157" s="248"/>
      <c r="BW157" s="248"/>
      <c r="BX157" s="248"/>
      <c r="BY157" s="248"/>
      <c r="BZ157" s="248"/>
      <c r="CA157" s="248"/>
      <c r="CB157" s="248"/>
      <c r="CC157" s="248"/>
      <c r="CD157" s="248"/>
      <c r="CE157" s="248"/>
      <c r="CF157" s="248"/>
      <c r="CG157" s="248"/>
    </row>
    <row r="158" spans="1:85" ht="12.75" x14ac:dyDescent="0.2">
      <c r="A158" s="29">
        <v>41640</v>
      </c>
      <c r="B158" s="243">
        <v>6.377573150358401E-2</v>
      </c>
      <c r="D158" s="260">
        <v>40575</v>
      </c>
      <c r="E158" s="9">
        <v>43.187862396240234</v>
      </c>
      <c r="F158" s="9">
        <v>44.687862396240234</v>
      </c>
      <c r="G158" s="9">
        <v>46.187862396240234</v>
      </c>
      <c r="H158" s="8"/>
      <c r="I158" s="9">
        <v>22.25</v>
      </c>
      <c r="J158" s="9">
        <v>22.5</v>
      </c>
      <c r="K158" s="9">
        <v>23.25</v>
      </c>
      <c r="L158" s="7"/>
      <c r="M158" s="249">
        <v>41456</v>
      </c>
      <c r="N158" s="261">
        <v>41</v>
      </c>
      <c r="O158" s="261">
        <v>42.5</v>
      </c>
      <c r="P158" s="261">
        <v>44</v>
      </c>
      <c r="Q158" s="248"/>
      <c r="R158" s="261">
        <v>31.5</v>
      </c>
      <c r="S158" s="261">
        <v>33</v>
      </c>
      <c r="T158" s="261">
        <v>34.5</v>
      </c>
      <c r="U158" s="248"/>
      <c r="V158" s="261">
        <v>0</v>
      </c>
      <c r="W158" s="261">
        <v>0</v>
      </c>
      <c r="X158" s="261">
        <v>0</v>
      </c>
      <c r="Y158" s="248"/>
      <c r="Z158" s="261">
        <v>0.06</v>
      </c>
      <c r="AA158" s="261">
        <v>0.08</v>
      </c>
      <c r="AB158" s="261">
        <v>0.12</v>
      </c>
      <c r="AC158" s="248"/>
      <c r="AD158" s="261">
        <v>0.16125</v>
      </c>
      <c r="AE158" s="261">
        <v>0.215</v>
      </c>
      <c r="AF158" s="261">
        <v>0.32250000000000001</v>
      </c>
      <c r="AG158" s="248"/>
      <c r="AH158" s="261">
        <v>-0.4</v>
      </c>
      <c r="AI158" s="261">
        <v>3.9</v>
      </c>
      <c r="AJ158" s="261">
        <v>0.5</v>
      </c>
      <c r="AK158" s="248"/>
      <c r="AL158" s="261">
        <v>-0.1</v>
      </c>
      <c r="AM158" s="261">
        <v>1.1499999999999999</v>
      </c>
      <c r="AN158" s="261">
        <v>0.1</v>
      </c>
      <c r="AO158" s="248"/>
      <c r="AP158" s="7">
        <v>50</v>
      </c>
      <c r="AQ158" s="9">
        <v>0.4</v>
      </c>
      <c r="AR158" s="248"/>
      <c r="AS158" s="248"/>
      <c r="AT158" s="248"/>
      <c r="AU158" s="248"/>
      <c r="AV158" s="248"/>
      <c r="AW158" s="248"/>
      <c r="AX158" s="248"/>
      <c r="AY158" s="248"/>
      <c r="AZ158" s="248"/>
      <c r="BA158" s="248"/>
      <c r="BB158" s="248"/>
      <c r="BC158" s="248"/>
      <c r="BD158" s="248"/>
      <c r="BE158" s="248"/>
      <c r="BF158" s="248"/>
      <c r="BG158" s="248"/>
      <c r="BH158" s="249">
        <v>41456</v>
      </c>
      <c r="BI158" s="262">
        <v>0.75</v>
      </c>
      <c r="BJ158" s="248"/>
      <c r="BK158" s="248"/>
      <c r="BL158" s="248"/>
      <c r="BM158" s="248"/>
      <c r="BN158" s="248"/>
      <c r="BO158"/>
      <c r="BP158"/>
      <c r="BQ158"/>
      <c r="BR158"/>
      <c r="BS158"/>
      <c r="BT158" s="248"/>
      <c r="BU158" s="248"/>
      <c r="BV158" s="248"/>
      <c r="BW158" s="248"/>
      <c r="BX158" s="248"/>
      <c r="BY158" s="248"/>
      <c r="BZ158" s="248"/>
      <c r="CA158" s="248"/>
      <c r="CB158" s="248"/>
      <c r="CC158" s="248"/>
      <c r="CD158" s="248"/>
      <c r="CE158" s="248"/>
      <c r="CF158" s="248"/>
      <c r="CG158" s="248"/>
    </row>
    <row r="159" spans="1:85" ht="12.75" x14ac:dyDescent="0.2">
      <c r="A159" s="29">
        <v>41671</v>
      </c>
      <c r="B159" s="243">
        <v>6.3801079626261012E-2</v>
      </c>
      <c r="D159" s="260">
        <v>40603</v>
      </c>
      <c r="E159" s="9">
        <v>34.398544311523438</v>
      </c>
      <c r="F159" s="9">
        <v>35.898544311523437</v>
      </c>
      <c r="G159" s="9">
        <v>37.398544311523438</v>
      </c>
      <c r="H159" s="8"/>
      <c r="I159" s="9">
        <v>23.25</v>
      </c>
      <c r="J159" s="9">
        <v>23.5</v>
      </c>
      <c r="K159" s="9">
        <v>24.25</v>
      </c>
      <c r="L159" s="7"/>
      <c r="M159" s="249">
        <v>41487</v>
      </c>
      <c r="N159" s="261">
        <v>39.000003814697266</v>
      </c>
      <c r="O159" s="261">
        <v>40.500003814697266</v>
      </c>
      <c r="P159" s="261">
        <v>42.000003814697266</v>
      </c>
      <c r="Q159" s="248"/>
      <c r="R159" s="261">
        <v>31.5</v>
      </c>
      <c r="S159" s="261">
        <v>33</v>
      </c>
      <c r="T159" s="261">
        <v>34.5</v>
      </c>
      <c r="U159" s="248"/>
      <c r="V159" s="261">
        <v>0</v>
      </c>
      <c r="W159" s="261">
        <v>0</v>
      </c>
      <c r="X159" s="261">
        <v>0</v>
      </c>
      <c r="Y159" s="248"/>
      <c r="Z159" s="261">
        <v>0.06</v>
      </c>
      <c r="AA159" s="261">
        <v>0.08</v>
      </c>
      <c r="AB159" s="261">
        <v>0.12</v>
      </c>
      <c r="AC159" s="248"/>
      <c r="AD159" s="261">
        <v>0.16125</v>
      </c>
      <c r="AE159" s="261">
        <v>0.215</v>
      </c>
      <c r="AF159" s="261">
        <v>0.32250000000000001</v>
      </c>
      <c r="AG159" s="248"/>
      <c r="AH159" s="261">
        <v>-0.5</v>
      </c>
      <c r="AI159" s="261">
        <v>3.9</v>
      </c>
      <c r="AJ159" s="261">
        <v>1.75</v>
      </c>
      <c r="AK159" s="248"/>
      <c r="AL159" s="261">
        <v>-0.1</v>
      </c>
      <c r="AM159" s="261">
        <v>1.1499999999999999</v>
      </c>
      <c r="AN159" s="261">
        <v>0.1</v>
      </c>
      <c r="AO159" s="248"/>
      <c r="AP159" s="7">
        <v>51</v>
      </c>
      <c r="AQ159" s="9">
        <v>0.4</v>
      </c>
      <c r="AR159" s="248"/>
      <c r="AS159" s="248"/>
      <c r="AT159" s="248"/>
      <c r="AU159" s="248"/>
      <c r="AV159" s="248"/>
      <c r="AW159" s="248"/>
      <c r="AX159" s="248"/>
      <c r="AY159" s="248"/>
      <c r="AZ159" s="248"/>
      <c r="BA159" s="248"/>
      <c r="BB159" s="248"/>
      <c r="BC159" s="248"/>
      <c r="BD159" s="248"/>
      <c r="BE159" s="248"/>
      <c r="BF159" s="248"/>
      <c r="BG159" s="248"/>
      <c r="BH159" s="249">
        <v>41487</v>
      </c>
      <c r="BI159" s="262">
        <v>0.75</v>
      </c>
      <c r="BJ159" s="248"/>
      <c r="BK159" s="248"/>
      <c r="BL159" s="248"/>
      <c r="BM159" s="248"/>
      <c r="BN159" s="248"/>
      <c r="BO159"/>
      <c r="BP159"/>
      <c r="BQ159"/>
      <c r="BR159"/>
      <c r="BS159"/>
      <c r="BT159" s="248"/>
      <c r="BU159" s="248"/>
      <c r="BV159" s="248"/>
      <c r="BW159" s="248"/>
      <c r="BX159" s="248"/>
      <c r="BY159" s="248"/>
      <c r="BZ159" s="248"/>
      <c r="CA159" s="248"/>
      <c r="CB159" s="248"/>
      <c r="CC159" s="248"/>
      <c r="CD159" s="248"/>
      <c r="CE159" s="248"/>
      <c r="CF159" s="248"/>
      <c r="CG159" s="248"/>
    </row>
    <row r="160" spans="1:85" ht="12.75" x14ac:dyDescent="0.2">
      <c r="A160" s="29">
        <v>41699</v>
      </c>
      <c r="B160" s="243">
        <v>6.3829143619474005E-2</v>
      </c>
      <c r="D160" s="260">
        <v>40634</v>
      </c>
      <c r="E160" s="9">
        <v>34.848545074462891</v>
      </c>
      <c r="F160" s="9">
        <v>36.348545074462891</v>
      </c>
      <c r="G160" s="9">
        <v>37.848545074462891</v>
      </c>
      <c r="H160" s="8"/>
      <c r="I160" s="9">
        <v>21.25</v>
      </c>
      <c r="J160" s="9">
        <v>21.5</v>
      </c>
      <c r="K160" s="9">
        <v>22.25</v>
      </c>
      <c r="L160" s="7"/>
      <c r="M160" s="249">
        <v>41518</v>
      </c>
      <c r="N160" s="261">
        <v>31</v>
      </c>
      <c r="O160" s="261">
        <v>32.5</v>
      </c>
      <c r="P160" s="261">
        <v>34</v>
      </c>
      <c r="Q160" s="248"/>
      <c r="R160" s="261">
        <v>25.5</v>
      </c>
      <c r="S160" s="261">
        <v>27</v>
      </c>
      <c r="T160" s="261">
        <v>28.5</v>
      </c>
      <c r="U160" s="248"/>
      <c r="V160" s="261">
        <v>0</v>
      </c>
      <c r="W160" s="261">
        <v>0</v>
      </c>
      <c r="X160" s="261">
        <v>0</v>
      </c>
      <c r="Y160" s="248"/>
      <c r="Z160" s="261">
        <v>0.06</v>
      </c>
      <c r="AA160" s="261">
        <v>0.08</v>
      </c>
      <c r="AB160" s="261">
        <v>0.12</v>
      </c>
      <c r="AC160" s="248"/>
      <c r="AD160" s="261">
        <v>0.10125000000000001</v>
      </c>
      <c r="AE160" s="261">
        <v>0.13500000000000001</v>
      </c>
      <c r="AF160" s="261">
        <v>0.20250000000000001</v>
      </c>
      <c r="AG160" s="248"/>
      <c r="AH160" s="261">
        <v>-1</v>
      </c>
      <c r="AI160" s="261">
        <v>2.33</v>
      </c>
      <c r="AJ160" s="261">
        <v>2.5</v>
      </c>
      <c r="AK160" s="248"/>
      <c r="AL160" s="261">
        <v>-0.1</v>
      </c>
      <c r="AM160" s="261">
        <v>1.05</v>
      </c>
      <c r="AN160" s="261">
        <v>0.1</v>
      </c>
      <c r="AO160" s="248"/>
      <c r="AP160" s="7">
        <v>51</v>
      </c>
      <c r="AQ160" s="9">
        <v>0.4</v>
      </c>
      <c r="AR160" s="248"/>
      <c r="AS160" s="248"/>
      <c r="AT160" s="248"/>
      <c r="AU160" s="248"/>
      <c r="AV160" s="248"/>
      <c r="AW160" s="248"/>
      <c r="AX160" s="248"/>
      <c r="AY160" s="248"/>
      <c r="AZ160" s="248"/>
      <c r="BA160" s="248"/>
      <c r="BB160" s="248"/>
      <c r="BC160" s="248"/>
      <c r="BD160" s="248"/>
      <c r="BE160" s="248"/>
      <c r="BF160" s="248"/>
      <c r="BG160" s="248"/>
      <c r="BH160" s="249">
        <v>41518</v>
      </c>
      <c r="BI160" s="262">
        <v>0.75</v>
      </c>
      <c r="BJ160" s="248"/>
      <c r="BK160" s="248"/>
      <c r="BL160" s="248"/>
      <c r="BM160" s="248"/>
      <c r="BN160" s="248"/>
      <c r="BO160"/>
      <c r="BP160"/>
      <c r="BQ160"/>
      <c r="BR160"/>
      <c r="BS160"/>
      <c r="BT160" s="248"/>
      <c r="BU160" s="248"/>
      <c r="BV160" s="248"/>
      <c r="BW160" s="248"/>
      <c r="BX160" s="248"/>
      <c r="BY160" s="248"/>
      <c r="BZ160" s="248"/>
      <c r="CA160" s="248"/>
      <c r="CB160" s="248"/>
      <c r="CC160" s="248"/>
      <c r="CD160" s="248"/>
      <c r="CE160" s="248"/>
      <c r="CF160" s="248"/>
      <c r="CG160" s="248"/>
    </row>
    <row r="161" spans="1:85" ht="12.75" x14ac:dyDescent="0.2">
      <c r="A161" s="29">
        <v>41730</v>
      </c>
      <c r="B161" s="243">
        <v>6.3856302322831016E-2</v>
      </c>
      <c r="D161" s="260">
        <v>40664</v>
      </c>
      <c r="E161" s="9">
        <v>35.803566741943357</v>
      </c>
      <c r="F161" s="9">
        <v>38.003566741943359</v>
      </c>
      <c r="G161" s="9">
        <v>40.203566741943362</v>
      </c>
      <c r="H161" s="8"/>
      <c r="I161" s="9">
        <v>23.25</v>
      </c>
      <c r="J161" s="9">
        <v>23.5</v>
      </c>
      <c r="K161" s="9">
        <v>24.25</v>
      </c>
      <c r="L161" s="7"/>
      <c r="M161" s="249">
        <v>41548</v>
      </c>
      <c r="N161" s="261">
        <v>25.996000289916992</v>
      </c>
      <c r="O161" s="261">
        <v>27.496000289916992</v>
      </c>
      <c r="P161" s="261">
        <v>28.996000289916992</v>
      </c>
      <c r="Q161" s="248"/>
      <c r="R161" s="261">
        <v>20.496500015258789</v>
      </c>
      <c r="S161" s="261">
        <v>21.996500015258789</v>
      </c>
      <c r="T161" s="261">
        <v>23.496500015258789</v>
      </c>
      <c r="U161" s="248"/>
      <c r="V161" s="261">
        <v>0</v>
      </c>
      <c r="W161" s="261">
        <v>0</v>
      </c>
      <c r="X161" s="261">
        <v>0</v>
      </c>
      <c r="Y161" s="248"/>
      <c r="Z161" s="261">
        <v>0.06</v>
      </c>
      <c r="AA161" s="261">
        <v>0.08</v>
      </c>
      <c r="AB161" s="261">
        <v>0.12</v>
      </c>
      <c r="AC161" s="248"/>
      <c r="AD161" s="261">
        <v>7.8750000000000001E-2</v>
      </c>
      <c r="AE161" s="261">
        <v>0.105</v>
      </c>
      <c r="AF161" s="261">
        <v>0.1575</v>
      </c>
      <c r="AG161" s="248"/>
      <c r="AH161" s="261">
        <v>-1</v>
      </c>
      <c r="AI161" s="261">
        <v>2.06</v>
      </c>
      <c r="AJ161" s="261">
        <v>2.5</v>
      </c>
      <c r="AK161" s="248"/>
      <c r="AL161" s="261">
        <v>-0.1</v>
      </c>
      <c r="AM161" s="261">
        <v>1</v>
      </c>
      <c r="AN161" s="261">
        <v>0.1</v>
      </c>
      <c r="AO161" s="248"/>
      <c r="AP161" s="7">
        <v>51</v>
      </c>
      <c r="AQ161" s="9">
        <v>0.4</v>
      </c>
      <c r="AR161" s="248"/>
      <c r="AS161" s="248"/>
      <c r="AT161" s="248"/>
      <c r="AU161" s="248"/>
      <c r="AV161" s="248"/>
      <c r="AW161" s="248"/>
      <c r="AX161" s="248"/>
      <c r="AY161" s="248"/>
      <c r="AZ161" s="248"/>
      <c r="BA161" s="248"/>
      <c r="BB161" s="248"/>
      <c r="BC161" s="248"/>
      <c r="BD161" s="248"/>
      <c r="BE161" s="248"/>
      <c r="BF161" s="248"/>
      <c r="BG161" s="248"/>
      <c r="BH161" s="249">
        <v>41548</v>
      </c>
      <c r="BI161" s="262">
        <v>0.75</v>
      </c>
      <c r="BJ161" s="248"/>
      <c r="BK161" s="248"/>
      <c r="BL161" s="248"/>
      <c r="BM161" s="248"/>
      <c r="BN161" s="248"/>
      <c r="BO161"/>
      <c r="BP161"/>
      <c r="BQ161"/>
      <c r="BR161"/>
      <c r="BS161"/>
      <c r="BT161" s="248"/>
      <c r="BU161" s="248"/>
      <c r="BV161" s="248"/>
      <c r="BW161" s="248"/>
      <c r="BX161" s="248"/>
      <c r="BY161" s="248"/>
      <c r="BZ161" s="248"/>
      <c r="CA161" s="248"/>
      <c r="CB161" s="248"/>
      <c r="CC161" s="248"/>
      <c r="CD161" s="248"/>
      <c r="CE161" s="248"/>
      <c r="CF161" s="248"/>
      <c r="CG161" s="248"/>
    </row>
    <row r="162" spans="1:85" ht="12.75" x14ac:dyDescent="0.2">
      <c r="A162" s="29">
        <v>41760</v>
      </c>
      <c r="B162" s="243">
        <v>6.3884366316557029E-2</v>
      </c>
      <c r="D162" s="260">
        <v>40695</v>
      </c>
      <c r="E162" s="9">
        <v>41.997856140136719</v>
      </c>
      <c r="F162" s="9">
        <v>46.997856140136719</v>
      </c>
      <c r="G162" s="9">
        <v>51.997856140136719</v>
      </c>
      <c r="H162" s="8"/>
      <c r="I162" s="9">
        <v>26.25</v>
      </c>
      <c r="J162" s="9">
        <v>26.5</v>
      </c>
      <c r="K162" s="9">
        <v>27.25</v>
      </c>
      <c r="L162" s="7"/>
      <c r="M162" s="249">
        <v>41579</v>
      </c>
      <c r="N162" s="261">
        <v>28</v>
      </c>
      <c r="O162" s="261">
        <v>29.5</v>
      </c>
      <c r="P162" s="261">
        <v>31</v>
      </c>
      <c r="Q162" s="248"/>
      <c r="R162" s="261">
        <v>20.5</v>
      </c>
      <c r="S162" s="261">
        <v>22</v>
      </c>
      <c r="T162" s="261">
        <v>23.5</v>
      </c>
      <c r="U162" s="248"/>
      <c r="V162" s="261">
        <v>0</v>
      </c>
      <c r="W162" s="261">
        <v>0</v>
      </c>
      <c r="X162" s="261">
        <v>0</v>
      </c>
      <c r="Y162" s="248"/>
      <c r="Z162" s="261">
        <v>0.06</v>
      </c>
      <c r="AA162" s="261">
        <v>0.08</v>
      </c>
      <c r="AB162" s="261">
        <v>0.12</v>
      </c>
      <c r="AC162" s="248"/>
      <c r="AD162" s="261">
        <v>7.8750000000000001E-2</v>
      </c>
      <c r="AE162" s="261">
        <v>0.105</v>
      </c>
      <c r="AF162" s="261">
        <v>0.1575</v>
      </c>
      <c r="AG162" s="248"/>
      <c r="AH162" s="261">
        <v>-0.5</v>
      </c>
      <c r="AI162" s="261">
        <v>2.052</v>
      </c>
      <c r="AJ162" s="261">
        <v>1</v>
      </c>
      <c r="AK162" s="248"/>
      <c r="AL162" s="261">
        <v>-0.1</v>
      </c>
      <c r="AM162" s="261">
        <v>1</v>
      </c>
      <c r="AN162" s="261">
        <v>0.1</v>
      </c>
      <c r="AO162" s="248"/>
      <c r="AP162" s="7">
        <v>52</v>
      </c>
      <c r="AQ162" s="9">
        <v>0.4</v>
      </c>
      <c r="AR162" s="248"/>
      <c r="AS162" s="248"/>
      <c r="AT162" s="248"/>
      <c r="AU162" s="248"/>
      <c r="AV162" s="248"/>
      <c r="AW162" s="248"/>
      <c r="AX162" s="248"/>
      <c r="AY162" s="248"/>
      <c r="AZ162" s="248"/>
      <c r="BA162" s="248"/>
      <c r="BB162" s="248"/>
      <c r="BC162" s="248"/>
      <c r="BD162" s="248"/>
      <c r="BE162" s="248"/>
      <c r="BF162" s="248"/>
      <c r="BG162" s="248"/>
      <c r="BH162" s="249">
        <v>41579</v>
      </c>
      <c r="BI162" s="262">
        <v>0.75</v>
      </c>
      <c r="BJ162" s="248"/>
      <c r="BK162" s="248"/>
      <c r="BL162" s="248"/>
      <c r="BM162" s="248"/>
      <c r="BN162" s="248"/>
      <c r="BO162"/>
      <c r="BP162"/>
      <c r="BQ162"/>
      <c r="BR162"/>
      <c r="BS162"/>
      <c r="BT162" s="248"/>
      <c r="BU162" s="248"/>
      <c r="BV162" s="248"/>
      <c r="BW162" s="248"/>
      <c r="BX162" s="248"/>
      <c r="BY162" s="248"/>
      <c r="BZ162" s="248"/>
      <c r="CA162" s="248"/>
      <c r="CB162" s="248"/>
      <c r="CC162" s="248"/>
      <c r="CD162" s="248"/>
      <c r="CE162" s="248"/>
      <c r="CF162" s="248"/>
      <c r="CG162" s="248"/>
    </row>
    <row r="163" spans="1:85" ht="12.75" x14ac:dyDescent="0.2">
      <c r="A163" s="29">
        <v>41791</v>
      </c>
      <c r="B163" s="243">
        <v>6.3911525020412002E-2</v>
      </c>
      <c r="D163" s="260">
        <v>40725</v>
      </c>
      <c r="E163" s="9">
        <v>63.997146606445313</v>
      </c>
      <c r="F163" s="9">
        <v>73.997146606445312</v>
      </c>
      <c r="G163" s="9">
        <v>83.997146606445313</v>
      </c>
      <c r="H163" s="8"/>
      <c r="I163" s="9">
        <v>26.75</v>
      </c>
      <c r="J163" s="9">
        <v>27</v>
      </c>
      <c r="K163" s="9">
        <v>27.75</v>
      </c>
      <c r="L163" s="7"/>
      <c r="M163" s="249">
        <v>41609</v>
      </c>
      <c r="N163" s="261">
        <v>33</v>
      </c>
      <c r="O163" s="261">
        <v>34.5</v>
      </c>
      <c r="P163" s="261">
        <v>36</v>
      </c>
      <c r="Q163" s="248"/>
      <c r="R163" s="261">
        <v>27.5</v>
      </c>
      <c r="S163" s="261">
        <v>29</v>
      </c>
      <c r="T163" s="261">
        <v>30.5</v>
      </c>
      <c r="U163" s="248"/>
      <c r="V163" s="261">
        <v>0</v>
      </c>
      <c r="W163" s="261">
        <v>0</v>
      </c>
      <c r="X163" s="261">
        <v>0</v>
      </c>
      <c r="Y163" s="248"/>
      <c r="Z163" s="261">
        <v>0.06</v>
      </c>
      <c r="AA163" s="261">
        <v>0.08</v>
      </c>
      <c r="AB163" s="261">
        <v>0.12</v>
      </c>
      <c r="AC163" s="248"/>
      <c r="AD163" s="261">
        <v>0.10875</v>
      </c>
      <c r="AE163" s="261">
        <v>0.14499999999999999</v>
      </c>
      <c r="AF163" s="261">
        <v>0.2175</v>
      </c>
      <c r="AG163" s="248"/>
      <c r="AH163" s="261">
        <v>-0.4</v>
      </c>
      <c r="AI163" s="261">
        <v>1.89</v>
      </c>
      <c r="AJ163" s="261">
        <v>0.5</v>
      </c>
      <c r="AK163" s="248"/>
      <c r="AL163" s="261">
        <v>-0.1</v>
      </c>
      <c r="AM163" s="261">
        <v>1</v>
      </c>
      <c r="AN163" s="261">
        <v>0.1</v>
      </c>
      <c r="AO163" s="248"/>
      <c r="AP163" s="7">
        <v>52</v>
      </c>
      <c r="AQ163" s="9">
        <v>0.4</v>
      </c>
      <c r="AR163" s="248"/>
      <c r="AS163" s="248"/>
      <c r="AT163" s="248"/>
      <c r="AU163" s="248"/>
      <c r="AV163" s="248"/>
      <c r="AW163" s="248"/>
      <c r="AX163" s="248"/>
      <c r="AY163" s="248"/>
      <c r="AZ163" s="248"/>
      <c r="BA163" s="248"/>
      <c r="BB163" s="248"/>
      <c r="BC163" s="248"/>
      <c r="BD163" s="248"/>
      <c r="BE163" s="248"/>
      <c r="BF163" s="248"/>
      <c r="BG163" s="248"/>
      <c r="BH163" s="249">
        <v>41609</v>
      </c>
      <c r="BI163" s="262">
        <v>0.75</v>
      </c>
      <c r="BJ163" s="248"/>
      <c r="BK163" s="248"/>
      <c r="BL163" s="248"/>
      <c r="BM163" s="248"/>
      <c r="BN163" s="248"/>
      <c r="BO163"/>
      <c r="BP163"/>
      <c r="BQ163"/>
      <c r="BR163"/>
      <c r="BS163"/>
      <c r="BT163" s="248"/>
      <c r="BU163" s="248"/>
      <c r="BV163" s="248"/>
      <c r="BW163" s="248"/>
      <c r="BX163" s="248"/>
      <c r="BY163" s="248"/>
      <c r="BZ163" s="248"/>
      <c r="CA163" s="248"/>
      <c r="CB163" s="248"/>
      <c r="CC163" s="248"/>
      <c r="CD163" s="248"/>
      <c r="CE163" s="248"/>
      <c r="CF163" s="248"/>
      <c r="CG163" s="248"/>
    </row>
    <row r="164" spans="1:85" ht="12.75" x14ac:dyDescent="0.2">
      <c r="A164" s="29">
        <v>41821</v>
      </c>
      <c r="B164" s="243">
        <v>6.3939589014653006E-2</v>
      </c>
      <c r="D164" s="260">
        <v>40756</v>
      </c>
      <c r="E164" s="9">
        <v>63.997146606445313</v>
      </c>
      <c r="F164" s="9">
        <v>73.997146606445312</v>
      </c>
      <c r="G164" s="9">
        <v>83.997146606445313</v>
      </c>
      <c r="H164" s="8"/>
      <c r="I164" s="9">
        <v>27.75</v>
      </c>
      <c r="J164" s="9">
        <v>28</v>
      </c>
      <c r="K164" s="9">
        <v>28.75</v>
      </c>
      <c r="L164" s="7"/>
      <c r="M164" s="249">
        <v>41640</v>
      </c>
      <c r="N164" s="261">
        <v>35.5</v>
      </c>
      <c r="O164" s="261">
        <v>37</v>
      </c>
      <c r="P164" s="261">
        <v>38.5</v>
      </c>
      <c r="Q164" s="248"/>
      <c r="R164" s="261">
        <v>25</v>
      </c>
      <c r="S164" s="261">
        <v>26.5</v>
      </c>
      <c r="T164" s="261">
        <v>28</v>
      </c>
      <c r="U164" s="248"/>
      <c r="V164" s="261">
        <v>0</v>
      </c>
      <c r="W164" s="261">
        <v>0</v>
      </c>
      <c r="X164" s="261">
        <v>0</v>
      </c>
      <c r="Y164" s="248"/>
      <c r="Z164" s="261">
        <v>0.06</v>
      </c>
      <c r="AA164" s="261">
        <v>0.08</v>
      </c>
      <c r="AB164" s="261">
        <v>0.12</v>
      </c>
      <c r="AC164" s="248"/>
      <c r="AD164" s="261">
        <v>0.10125000000000001</v>
      </c>
      <c r="AE164" s="261">
        <v>0.13500000000000001</v>
      </c>
      <c r="AF164" s="261">
        <v>0.20250000000000001</v>
      </c>
      <c r="AG164" s="248"/>
      <c r="AH164" s="261">
        <v>-0.4</v>
      </c>
      <c r="AI164" s="261">
        <v>2.3220000000000001</v>
      </c>
      <c r="AJ164" s="261">
        <v>0.5</v>
      </c>
      <c r="AK164" s="248"/>
      <c r="AL164" s="261">
        <v>-0.1</v>
      </c>
      <c r="AM164" s="261">
        <v>1</v>
      </c>
      <c r="AN164" s="261">
        <v>0.1</v>
      </c>
      <c r="AO164" s="248"/>
      <c r="AP164" s="7">
        <v>52</v>
      </c>
      <c r="AQ164" s="9">
        <v>0.4</v>
      </c>
      <c r="AR164" s="248"/>
      <c r="AS164" s="248"/>
      <c r="AT164" s="248"/>
      <c r="AU164" s="248"/>
      <c r="AV164" s="248"/>
      <c r="AW164" s="248"/>
      <c r="AX164" s="248"/>
      <c r="AY164" s="248"/>
      <c r="AZ164" s="248"/>
      <c r="BA164" s="248"/>
      <c r="BB164" s="248"/>
      <c r="BC164" s="248"/>
      <c r="BD164" s="248"/>
      <c r="BE164" s="248"/>
      <c r="BF164" s="248"/>
      <c r="BG164" s="248"/>
      <c r="BH164" s="249">
        <v>41640</v>
      </c>
      <c r="BI164" s="262">
        <v>0.75</v>
      </c>
      <c r="BJ164" s="248"/>
      <c r="BK164" s="248"/>
      <c r="BL164" s="248"/>
      <c r="BM164" s="248"/>
      <c r="BN164" s="248"/>
      <c r="BO164"/>
      <c r="BP164"/>
      <c r="BQ164"/>
      <c r="BR164"/>
      <c r="BS164"/>
      <c r="BT164" s="248"/>
      <c r="BU164" s="248"/>
      <c r="BV164" s="248"/>
      <c r="BW164" s="248"/>
      <c r="BX164" s="248"/>
      <c r="BY164" s="248"/>
      <c r="BZ164" s="248"/>
      <c r="CA164" s="248"/>
      <c r="CB164" s="248"/>
      <c r="CC164" s="248"/>
      <c r="CD164" s="248"/>
      <c r="CE164" s="248"/>
      <c r="CF164" s="248"/>
      <c r="CG164" s="248"/>
    </row>
    <row r="165" spans="1:85" ht="12.75" x14ac:dyDescent="0.2">
      <c r="A165" s="29">
        <v>41852</v>
      </c>
      <c r="B165" s="243">
        <v>6.3967653009154038E-2</v>
      </c>
      <c r="D165" s="260">
        <v>40787</v>
      </c>
      <c r="E165" s="9">
        <v>36.752143859863281</v>
      </c>
      <c r="F165" s="9">
        <v>38.252143859863281</v>
      </c>
      <c r="G165" s="9">
        <v>39.752143859863281</v>
      </c>
      <c r="H165" s="8"/>
      <c r="I165" s="9">
        <v>20.75</v>
      </c>
      <c r="J165" s="9">
        <v>21</v>
      </c>
      <c r="K165" s="9">
        <v>21.75</v>
      </c>
      <c r="L165" s="7"/>
      <c r="M165" s="249">
        <v>41671</v>
      </c>
      <c r="N165" s="261">
        <v>30.996002197265625</v>
      </c>
      <c r="O165" s="261">
        <v>32.496002197265625</v>
      </c>
      <c r="P165" s="261">
        <v>33.996002197265625</v>
      </c>
      <c r="Q165" s="248"/>
      <c r="R165" s="261">
        <v>22.496501922607422</v>
      </c>
      <c r="S165" s="261">
        <v>23.996501922607422</v>
      </c>
      <c r="T165" s="261">
        <v>25.496501922607422</v>
      </c>
      <c r="U165" s="248"/>
      <c r="V165" s="261">
        <v>0</v>
      </c>
      <c r="W165" s="261">
        <v>0</v>
      </c>
      <c r="X165" s="261">
        <v>0</v>
      </c>
      <c r="Y165" s="248"/>
      <c r="Z165" s="261">
        <v>0.06</v>
      </c>
      <c r="AA165" s="261">
        <v>0.08</v>
      </c>
      <c r="AB165" s="261">
        <v>0.12</v>
      </c>
      <c r="AC165" s="248"/>
      <c r="AD165" s="261">
        <v>0.10125000000000001</v>
      </c>
      <c r="AE165" s="261">
        <v>0.13500000000000001</v>
      </c>
      <c r="AF165" s="261">
        <v>0.20250000000000001</v>
      </c>
      <c r="AG165" s="248"/>
      <c r="AH165" s="261">
        <v>-0.4</v>
      </c>
      <c r="AI165" s="261">
        <v>2.3220000000000001</v>
      </c>
      <c r="AJ165" s="261">
        <v>0.6</v>
      </c>
      <c r="AK165" s="248"/>
      <c r="AL165" s="261">
        <v>-0.1</v>
      </c>
      <c r="AM165" s="261">
        <v>1</v>
      </c>
      <c r="AN165" s="261">
        <v>0.1</v>
      </c>
      <c r="AO165" s="248"/>
      <c r="AP165" s="7">
        <v>53</v>
      </c>
      <c r="AQ165" s="9">
        <v>0.4</v>
      </c>
      <c r="AR165" s="248"/>
      <c r="AS165" s="248"/>
      <c r="AT165" s="248"/>
      <c r="AU165" s="248"/>
      <c r="AV165" s="248"/>
      <c r="AW165" s="248"/>
      <c r="AX165" s="248"/>
      <c r="AY165" s="248"/>
      <c r="AZ165" s="248"/>
      <c r="BA165" s="248"/>
      <c r="BB165" s="248"/>
      <c r="BC165" s="248"/>
      <c r="BD165" s="248"/>
      <c r="BE165" s="248"/>
      <c r="BF165" s="248"/>
      <c r="BG165" s="248"/>
      <c r="BH165" s="249">
        <v>41671</v>
      </c>
      <c r="BI165" s="262">
        <v>0.75</v>
      </c>
      <c r="BJ165" s="248"/>
      <c r="BK165" s="248"/>
      <c r="BL165" s="248"/>
      <c r="BM165" s="248"/>
      <c r="BN165" s="248"/>
      <c r="BO165"/>
      <c r="BP165"/>
      <c r="BQ165"/>
      <c r="BR165"/>
      <c r="BS165"/>
      <c r="BT165" s="248"/>
      <c r="BU165" s="248"/>
      <c r="BV165" s="248"/>
      <c r="BW165" s="248"/>
      <c r="BX165" s="248"/>
      <c r="BY165" s="248"/>
      <c r="BZ165" s="248"/>
      <c r="CA165" s="248"/>
      <c r="CB165" s="248"/>
      <c r="CC165" s="248"/>
      <c r="CD165" s="248"/>
      <c r="CE165" s="248"/>
      <c r="CF165" s="248"/>
      <c r="CG165" s="248"/>
    </row>
    <row r="166" spans="1:85" ht="12.75" x14ac:dyDescent="0.2">
      <c r="A166" s="29">
        <v>41883</v>
      </c>
      <c r="B166" s="243">
        <v>6.3994811713759009E-2</v>
      </c>
      <c r="D166" s="260">
        <v>40817</v>
      </c>
      <c r="E166" s="9">
        <v>34.648933410644531</v>
      </c>
      <c r="F166" s="9">
        <v>36.148933410644531</v>
      </c>
      <c r="G166" s="9">
        <v>37.648933410644531</v>
      </c>
      <c r="H166" s="8"/>
      <c r="I166" s="9">
        <v>18.250001907348633</v>
      </c>
      <c r="J166" s="9">
        <v>18.500001907348633</v>
      </c>
      <c r="K166" s="9">
        <v>19.250001907348633</v>
      </c>
      <c r="L166" s="7"/>
      <c r="M166" s="249">
        <v>41699</v>
      </c>
      <c r="N166" s="261">
        <v>26</v>
      </c>
      <c r="O166" s="261">
        <v>27.5</v>
      </c>
      <c r="P166" s="261">
        <v>29</v>
      </c>
      <c r="Q166" s="248"/>
      <c r="R166" s="261">
        <v>20.5</v>
      </c>
      <c r="S166" s="261">
        <v>22</v>
      </c>
      <c r="T166" s="261">
        <v>23.5</v>
      </c>
      <c r="U166" s="248"/>
      <c r="V166" s="261">
        <v>0</v>
      </c>
      <c r="W166" s="261">
        <v>0</v>
      </c>
      <c r="X166" s="261">
        <v>0</v>
      </c>
      <c r="Y166" s="248"/>
      <c r="Z166" s="261">
        <v>0.06</v>
      </c>
      <c r="AA166" s="261">
        <v>0.08</v>
      </c>
      <c r="AB166" s="261">
        <v>0.12</v>
      </c>
      <c r="AC166" s="248"/>
      <c r="AD166" s="261">
        <v>0.09</v>
      </c>
      <c r="AE166" s="261">
        <v>0.12</v>
      </c>
      <c r="AF166" s="261">
        <v>0.18</v>
      </c>
      <c r="AG166" s="248"/>
      <c r="AH166" s="261">
        <v>-0.5</v>
      </c>
      <c r="AI166" s="261">
        <v>2.052</v>
      </c>
      <c r="AJ166" s="261">
        <v>1</v>
      </c>
      <c r="AK166" s="248"/>
      <c r="AL166" s="261">
        <v>-0.1</v>
      </c>
      <c r="AM166" s="261">
        <v>1</v>
      </c>
      <c r="AN166" s="261">
        <v>0.1</v>
      </c>
      <c r="AO166" s="248"/>
      <c r="AP166" s="7">
        <v>53</v>
      </c>
      <c r="AQ166" s="9">
        <v>0.4</v>
      </c>
      <c r="AR166" s="248"/>
      <c r="AS166" s="248"/>
      <c r="AT166" s="248"/>
      <c r="AU166" s="248"/>
      <c r="AV166" s="248"/>
      <c r="AW166" s="248"/>
      <c r="AX166" s="248"/>
      <c r="AY166" s="248"/>
      <c r="AZ166" s="248"/>
      <c r="BA166" s="248"/>
      <c r="BB166" s="248"/>
      <c r="BC166" s="248"/>
      <c r="BD166" s="248"/>
      <c r="BE166" s="248"/>
      <c r="BF166" s="248"/>
      <c r="BG166" s="248"/>
      <c r="BH166" s="249">
        <v>41699</v>
      </c>
      <c r="BI166" s="262">
        <v>0.75</v>
      </c>
      <c r="BJ166" s="248"/>
      <c r="BK166" s="248"/>
      <c r="BL166" s="248"/>
      <c r="BM166" s="248"/>
      <c r="BN166" s="248"/>
      <c r="BO166"/>
      <c r="BP166"/>
      <c r="BQ166"/>
      <c r="BR166"/>
      <c r="BS166"/>
      <c r="BT166" s="248"/>
      <c r="BU166" s="248"/>
      <c r="BV166" s="248"/>
      <c r="BW166" s="248"/>
      <c r="BX166" s="248"/>
      <c r="BY166" s="248"/>
      <c r="BZ166" s="248"/>
      <c r="CA166" s="248"/>
      <c r="CB166" s="248"/>
      <c r="CC166" s="248"/>
      <c r="CD166" s="248"/>
      <c r="CE166" s="248"/>
      <c r="CF166" s="248"/>
      <c r="CG166" s="248"/>
    </row>
    <row r="167" spans="1:85" ht="12.75" x14ac:dyDescent="0.2">
      <c r="A167" s="29">
        <v>41913</v>
      </c>
      <c r="B167" s="243">
        <v>6.4022875708774019E-2</v>
      </c>
      <c r="D167" s="260">
        <v>40848</v>
      </c>
      <c r="E167" s="9">
        <v>34.748931884765625</v>
      </c>
      <c r="F167" s="9">
        <v>36.248931884765625</v>
      </c>
      <c r="G167" s="9">
        <v>37.748931884765625</v>
      </c>
      <c r="H167" s="8"/>
      <c r="I167" s="9">
        <v>20.25</v>
      </c>
      <c r="J167" s="9">
        <v>20.5</v>
      </c>
      <c r="K167" s="9">
        <v>21.25</v>
      </c>
      <c r="L167" s="7"/>
      <c r="M167" s="249">
        <v>41730</v>
      </c>
      <c r="N167" s="261">
        <v>26</v>
      </c>
      <c r="O167" s="261">
        <v>27.5</v>
      </c>
      <c r="P167" s="261">
        <v>29</v>
      </c>
      <c r="Q167" s="248"/>
      <c r="R167" s="261">
        <v>20.495000839233398</v>
      </c>
      <c r="S167" s="261">
        <v>21.995000839233398</v>
      </c>
      <c r="T167" s="261">
        <v>23.495000839233398</v>
      </c>
      <c r="U167" s="248"/>
      <c r="V167" s="261">
        <v>0</v>
      </c>
      <c r="W167" s="261">
        <v>0</v>
      </c>
      <c r="X167" s="261">
        <v>0</v>
      </c>
      <c r="Y167" s="248"/>
      <c r="Z167" s="261">
        <v>0.06</v>
      </c>
      <c r="AA167" s="261">
        <v>0.08</v>
      </c>
      <c r="AB167" s="261">
        <v>0.12</v>
      </c>
      <c r="AC167" s="248"/>
      <c r="AD167" s="261">
        <v>0.09</v>
      </c>
      <c r="AE167" s="261">
        <v>0.12</v>
      </c>
      <c r="AF167" s="261">
        <v>0.18</v>
      </c>
      <c r="AG167" s="248"/>
      <c r="AH167" s="261">
        <v>-0.5</v>
      </c>
      <c r="AI167" s="261">
        <v>1.9980000000000004</v>
      </c>
      <c r="AJ167" s="261">
        <v>1</v>
      </c>
      <c r="AK167" s="248"/>
      <c r="AL167" s="261">
        <v>-0.1</v>
      </c>
      <c r="AM167" s="261">
        <v>1</v>
      </c>
      <c r="AN167" s="261">
        <v>0.1</v>
      </c>
      <c r="AO167" s="248"/>
      <c r="AP167" s="7">
        <v>53</v>
      </c>
      <c r="AQ167" s="9">
        <v>0.4</v>
      </c>
      <c r="AR167" s="248"/>
      <c r="AS167" s="248"/>
      <c r="AT167" s="248"/>
      <c r="AU167" s="248"/>
      <c r="AV167" s="248"/>
      <c r="AW167" s="248"/>
      <c r="AX167" s="248"/>
      <c r="AY167" s="248"/>
      <c r="AZ167" s="248"/>
      <c r="BA167" s="248"/>
      <c r="BB167" s="248"/>
      <c r="BC167" s="248"/>
      <c r="BD167" s="248"/>
      <c r="BE167" s="248"/>
      <c r="BF167" s="248"/>
      <c r="BG167" s="248"/>
      <c r="BH167" s="249">
        <v>41730</v>
      </c>
      <c r="BI167" s="262">
        <v>0.75</v>
      </c>
      <c r="BJ167" s="248"/>
      <c r="BK167" s="248"/>
      <c r="BL167" s="248"/>
      <c r="BM167" s="248"/>
      <c r="BN167" s="248"/>
      <c r="BO167"/>
      <c r="BP167"/>
      <c r="BQ167"/>
      <c r="BR167"/>
      <c r="BS167"/>
      <c r="BT167" s="248"/>
      <c r="BU167" s="248"/>
      <c r="BV167" s="248"/>
      <c r="BW167" s="248"/>
      <c r="BX167" s="248"/>
      <c r="BY167" s="248"/>
      <c r="BZ167" s="248"/>
      <c r="CA167" s="248"/>
      <c r="CB167" s="248"/>
      <c r="CC167" s="248"/>
      <c r="CD167" s="248"/>
      <c r="CE167" s="248"/>
      <c r="CF167" s="248"/>
      <c r="CG167" s="248"/>
    </row>
    <row r="168" spans="1:85" ht="12.75" x14ac:dyDescent="0.2">
      <c r="A168" s="29">
        <v>41944</v>
      </c>
      <c r="B168" s="243">
        <v>6.4050034413876022E-2</v>
      </c>
      <c r="D168" s="260">
        <v>40878</v>
      </c>
      <c r="E168" s="9">
        <v>34.848930358886719</v>
      </c>
      <c r="F168" s="9">
        <v>36.348930358886719</v>
      </c>
      <c r="G168" s="9">
        <v>37.848930358886719</v>
      </c>
      <c r="H168" s="8"/>
      <c r="I168" s="9">
        <v>19.360000610351563</v>
      </c>
      <c r="J168" s="9">
        <v>19.610000610351562</v>
      </c>
      <c r="K168" s="9">
        <v>20.360000610351563</v>
      </c>
      <c r="L168" s="7"/>
      <c r="M168" s="249">
        <v>41760</v>
      </c>
      <c r="N168" s="261">
        <v>28</v>
      </c>
      <c r="O168" s="261">
        <v>29.5</v>
      </c>
      <c r="P168" s="261">
        <v>31</v>
      </c>
      <c r="Q168" s="248"/>
      <c r="R168" s="261">
        <v>21.504999160766602</v>
      </c>
      <c r="S168" s="261">
        <v>23.004999160766602</v>
      </c>
      <c r="T168" s="261">
        <v>24.504999160766602</v>
      </c>
      <c r="U168" s="248"/>
      <c r="V168" s="261">
        <v>0</v>
      </c>
      <c r="W168" s="261">
        <v>0</v>
      </c>
      <c r="X168" s="261">
        <v>0</v>
      </c>
      <c r="Y168" s="248"/>
      <c r="Z168" s="261">
        <v>0.06</v>
      </c>
      <c r="AA168" s="261">
        <v>0.08</v>
      </c>
      <c r="AB168" s="261">
        <v>0.12</v>
      </c>
      <c r="AC168" s="248"/>
      <c r="AD168" s="261">
        <v>0.11625000000000001</v>
      </c>
      <c r="AE168" s="261">
        <v>0.155</v>
      </c>
      <c r="AF168" s="261">
        <v>0.23250000000000001</v>
      </c>
      <c r="AG168" s="248"/>
      <c r="AH168" s="261">
        <v>-0.4</v>
      </c>
      <c r="AI168" s="261">
        <v>2.15</v>
      </c>
      <c r="AJ168" s="261">
        <v>0.5</v>
      </c>
      <c r="AK168" s="248"/>
      <c r="AL168" s="261">
        <v>-0.1</v>
      </c>
      <c r="AM168" s="261">
        <v>1.05</v>
      </c>
      <c r="AN168" s="261">
        <v>0.1</v>
      </c>
      <c r="AO168" s="248"/>
      <c r="AP168" s="7">
        <v>54</v>
      </c>
      <c r="AQ168" s="9">
        <v>0.4</v>
      </c>
      <c r="AR168" s="248"/>
      <c r="AS168" s="248"/>
      <c r="AT168" s="248"/>
      <c r="AU168" s="248"/>
      <c r="AV168" s="248"/>
      <c r="AW168" s="248"/>
      <c r="AX168" s="248"/>
      <c r="AY168" s="248"/>
      <c r="AZ168" s="248"/>
      <c r="BA168" s="248"/>
      <c r="BB168" s="248"/>
      <c r="BC168" s="248"/>
      <c r="BD168" s="248"/>
      <c r="BE168" s="248"/>
      <c r="BF168" s="248"/>
      <c r="BG168" s="248"/>
      <c r="BH168" s="249">
        <v>41760</v>
      </c>
      <c r="BI168" s="262">
        <v>0.75</v>
      </c>
      <c r="BJ168" s="248"/>
      <c r="BK168" s="248"/>
      <c r="BL168" s="248"/>
      <c r="BM168" s="248"/>
      <c r="BN168" s="248"/>
      <c r="BO168"/>
      <c r="BP168"/>
      <c r="BQ168"/>
      <c r="BR168"/>
      <c r="BS168"/>
      <c r="BT168" s="248"/>
      <c r="BU168" s="248"/>
      <c r="BV168" s="248"/>
      <c r="BW168" s="248"/>
      <c r="BX168" s="248"/>
      <c r="BY168" s="248"/>
      <c r="BZ168" s="248"/>
      <c r="CA168" s="248"/>
      <c r="CB168" s="248"/>
      <c r="CC168" s="248"/>
      <c r="CD168" s="248"/>
      <c r="CE168" s="248"/>
      <c r="CF168" s="248"/>
      <c r="CG168" s="248"/>
    </row>
    <row r="169" spans="1:85" ht="12.75" x14ac:dyDescent="0.2">
      <c r="A169" s="29">
        <v>41974</v>
      </c>
      <c r="B169" s="243">
        <v>6.407809840940501E-2</v>
      </c>
      <c r="D169" s="260">
        <v>40909</v>
      </c>
      <c r="E169" s="9">
        <v>44.037864685058594</v>
      </c>
      <c r="F169" s="9">
        <v>45.537864685058594</v>
      </c>
      <c r="G169" s="9">
        <v>47.037864685058594</v>
      </c>
      <c r="H169" s="8"/>
      <c r="I169" s="9">
        <v>24.25</v>
      </c>
      <c r="J169" s="9">
        <v>24.5</v>
      </c>
      <c r="K169" s="9">
        <v>25.25</v>
      </c>
      <c r="L169" s="7"/>
      <c r="M169" s="249">
        <v>41791</v>
      </c>
      <c r="N169" s="261">
        <v>35</v>
      </c>
      <c r="O169" s="261">
        <v>36.5</v>
      </c>
      <c r="P169" s="261">
        <v>38</v>
      </c>
      <c r="Q169" s="248"/>
      <c r="R169" s="261">
        <v>25.5</v>
      </c>
      <c r="S169" s="261">
        <v>27</v>
      </c>
      <c r="T169" s="261">
        <v>28.5</v>
      </c>
      <c r="U169" s="248"/>
      <c r="V169" s="261">
        <v>0</v>
      </c>
      <c r="W169" s="261">
        <v>0</v>
      </c>
      <c r="X169" s="261">
        <v>0</v>
      </c>
      <c r="Y169" s="248"/>
      <c r="Z169" s="261">
        <v>0.06</v>
      </c>
      <c r="AA169" s="261">
        <v>0.08</v>
      </c>
      <c r="AB169" s="261">
        <v>0.12</v>
      </c>
      <c r="AC169" s="248"/>
      <c r="AD169" s="261">
        <v>0.13125000000000001</v>
      </c>
      <c r="AE169" s="261">
        <v>0.17499999999999999</v>
      </c>
      <c r="AF169" s="261">
        <v>0.26250000000000001</v>
      </c>
      <c r="AG169" s="248"/>
      <c r="AH169" s="261">
        <v>-0.4</v>
      </c>
      <c r="AI169" s="261">
        <v>2.9</v>
      </c>
      <c r="AJ169" s="261">
        <v>0.5</v>
      </c>
      <c r="AK169" s="248"/>
      <c r="AL169" s="261">
        <v>-0.1</v>
      </c>
      <c r="AM169" s="261">
        <v>1.1499999999999999</v>
      </c>
      <c r="AN169" s="261">
        <v>0.1</v>
      </c>
      <c r="AO169" s="248"/>
      <c r="AP169" s="7">
        <v>54</v>
      </c>
      <c r="AQ169" s="9">
        <v>0.4</v>
      </c>
      <c r="AR169" s="248"/>
      <c r="AS169" s="248"/>
      <c r="AT169" s="248"/>
      <c r="AU169" s="248"/>
      <c r="AV169" s="248"/>
      <c r="AW169" s="248"/>
      <c r="AX169" s="248"/>
      <c r="AY169" s="248"/>
      <c r="AZ169" s="248"/>
      <c r="BA169" s="248"/>
      <c r="BB169" s="248"/>
      <c r="BC169" s="248"/>
      <c r="BD169" s="248"/>
      <c r="BE169" s="248"/>
      <c r="BF169" s="248"/>
      <c r="BG169" s="248"/>
      <c r="BH169" s="249">
        <v>41791</v>
      </c>
      <c r="BI169" s="262">
        <v>0.75</v>
      </c>
      <c r="BJ169" s="248"/>
      <c r="BK169" s="248"/>
      <c r="BL169" s="248"/>
      <c r="BM169" s="248"/>
      <c r="BN169" s="248"/>
      <c r="BO169"/>
      <c r="BP169"/>
      <c r="BQ169"/>
      <c r="BR169"/>
      <c r="BS169"/>
      <c r="BT169" s="248"/>
      <c r="BU169" s="248"/>
      <c r="BV169" s="248"/>
      <c r="BW169" s="248"/>
      <c r="BX169" s="248"/>
      <c r="BY169" s="248"/>
      <c r="BZ169" s="248"/>
      <c r="CA169" s="248"/>
      <c r="CB169" s="248"/>
      <c r="CC169" s="248"/>
      <c r="CD169" s="248"/>
      <c r="CE169" s="248"/>
      <c r="CF169" s="248"/>
      <c r="CG169" s="248"/>
    </row>
    <row r="170" spans="1:85" ht="12.75" x14ac:dyDescent="0.2">
      <c r="A170" s="29">
        <v>42005</v>
      </c>
      <c r="B170" s="243">
        <v>6.4106162405196024E-2</v>
      </c>
      <c r="D170" s="260">
        <v>40940</v>
      </c>
      <c r="E170" s="9">
        <v>43.687862396240234</v>
      </c>
      <c r="F170" s="9">
        <v>45.187862396240234</v>
      </c>
      <c r="G170" s="9">
        <v>46.687862396240234</v>
      </c>
      <c r="H170" s="8"/>
      <c r="I170" s="9">
        <v>22.75</v>
      </c>
      <c r="J170" s="9">
        <v>23</v>
      </c>
      <c r="K170" s="9">
        <v>23.75</v>
      </c>
      <c r="L170" s="7"/>
      <c r="M170" s="249">
        <v>41821</v>
      </c>
      <c r="N170" s="261">
        <v>41</v>
      </c>
      <c r="O170" s="261">
        <v>42.5</v>
      </c>
      <c r="P170" s="261">
        <v>44</v>
      </c>
      <c r="Q170" s="248"/>
      <c r="R170" s="261">
        <v>31.5</v>
      </c>
      <c r="S170" s="261">
        <v>33</v>
      </c>
      <c r="T170" s="261">
        <v>34.5</v>
      </c>
      <c r="U170" s="248"/>
      <c r="V170" s="261">
        <v>0</v>
      </c>
      <c r="W170" s="261">
        <v>0</v>
      </c>
      <c r="X170" s="261">
        <v>0</v>
      </c>
      <c r="Y170" s="248"/>
      <c r="Z170" s="261">
        <v>0.06</v>
      </c>
      <c r="AA170" s="261">
        <v>0.08</v>
      </c>
      <c r="AB170" s="261">
        <v>0.12</v>
      </c>
      <c r="AC170" s="248"/>
      <c r="AD170" s="261">
        <v>0.16125</v>
      </c>
      <c r="AE170" s="261">
        <v>0.215</v>
      </c>
      <c r="AF170" s="261">
        <v>0.32250000000000001</v>
      </c>
      <c r="AG170" s="248"/>
      <c r="AH170" s="261">
        <v>-0.4</v>
      </c>
      <c r="AI170" s="261">
        <v>3.9</v>
      </c>
      <c r="AJ170" s="261">
        <v>0.5</v>
      </c>
      <c r="AK170" s="248"/>
      <c r="AL170" s="261">
        <v>-0.1</v>
      </c>
      <c r="AM170" s="261">
        <v>1.1499999999999999</v>
      </c>
      <c r="AN170" s="261">
        <v>0.1</v>
      </c>
      <c r="AO170" s="248"/>
      <c r="AP170" s="7">
        <v>54</v>
      </c>
      <c r="AQ170" s="9">
        <v>0.4</v>
      </c>
      <c r="AR170" s="248"/>
      <c r="AS170" s="248"/>
      <c r="AT170" s="248"/>
      <c r="AU170" s="248"/>
      <c r="AV170" s="248"/>
      <c r="AW170" s="248"/>
      <c r="AX170" s="248"/>
      <c r="AY170" s="248"/>
      <c r="AZ170" s="248"/>
      <c r="BA170" s="248"/>
      <c r="BB170" s="248"/>
      <c r="BC170" s="248"/>
      <c r="BD170" s="248"/>
      <c r="BE170" s="248"/>
      <c r="BF170" s="248"/>
      <c r="BG170" s="248"/>
      <c r="BH170" s="249">
        <v>41821</v>
      </c>
      <c r="BI170" s="262">
        <v>0.75</v>
      </c>
      <c r="BJ170" s="248"/>
      <c r="BK170" s="248"/>
      <c r="BL170" s="248"/>
      <c r="BM170" s="248"/>
      <c r="BN170" s="248"/>
      <c r="BO170"/>
      <c r="BP170"/>
      <c r="BQ170"/>
      <c r="BR170"/>
      <c r="BS170"/>
      <c r="BT170" s="248"/>
      <c r="BU170" s="248"/>
      <c r="BV170" s="248"/>
      <c r="BW170" s="248"/>
      <c r="BX170" s="248"/>
      <c r="BY170" s="248"/>
      <c r="BZ170" s="248"/>
      <c r="CA170" s="248"/>
      <c r="CB170" s="248"/>
      <c r="CC170" s="248"/>
      <c r="CD170" s="248"/>
      <c r="CE170" s="248"/>
      <c r="CF170" s="248"/>
      <c r="CG170" s="248"/>
    </row>
    <row r="171" spans="1:85" ht="12.75" x14ac:dyDescent="0.2">
      <c r="A171" s="29">
        <v>42036</v>
      </c>
      <c r="B171" s="243">
        <v>6.4131510530651012E-2</v>
      </c>
      <c r="D171" s="260">
        <v>40969</v>
      </c>
      <c r="E171" s="9">
        <v>34.898544311523438</v>
      </c>
      <c r="F171" s="9">
        <v>36.398544311523438</v>
      </c>
      <c r="G171" s="9">
        <v>37.898544311523437</v>
      </c>
      <c r="H171" s="8"/>
      <c r="I171" s="9">
        <v>23.75</v>
      </c>
      <c r="J171" s="9">
        <v>24</v>
      </c>
      <c r="K171" s="9">
        <v>24.75</v>
      </c>
      <c r="L171" s="7"/>
      <c r="M171" s="249">
        <v>41852</v>
      </c>
      <c r="N171" s="261">
        <v>39.000003814697266</v>
      </c>
      <c r="O171" s="261">
        <v>40.500003814697266</v>
      </c>
      <c r="P171" s="261">
        <v>42.000003814697266</v>
      </c>
      <c r="Q171" s="248"/>
      <c r="R171" s="261">
        <v>31.5</v>
      </c>
      <c r="S171" s="261">
        <v>33</v>
      </c>
      <c r="T171" s="261">
        <v>34.5</v>
      </c>
      <c r="U171" s="248"/>
      <c r="V171" s="261">
        <v>0</v>
      </c>
      <c r="W171" s="261">
        <v>0</v>
      </c>
      <c r="X171" s="261">
        <v>0</v>
      </c>
      <c r="Y171" s="248"/>
      <c r="Z171" s="261">
        <v>0.06</v>
      </c>
      <c r="AA171" s="261">
        <v>0.08</v>
      </c>
      <c r="AB171" s="261">
        <v>0.12</v>
      </c>
      <c r="AC171" s="248"/>
      <c r="AD171" s="261">
        <v>0.16125</v>
      </c>
      <c r="AE171" s="261">
        <v>0.215</v>
      </c>
      <c r="AF171" s="261">
        <v>0.32250000000000001</v>
      </c>
      <c r="AG171" s="248"/>
      <c r="AH171" s="261">
        <v>-0.5</v>
      </c>
      <c r="AI171" s="261">
        <v>3.9</v>
      </c>
      <c r="AJ171" s="261">
        <v>1.75</v>
      </c>
      <c r="AK171" s="248"/>
      <c r="AL171" s="261">
        <v>-0.1</v>
      </c>
      <c r="AM171" s="261">
        <v>1.1499999999999999</v>
      </c>
      <c r="AN171" s="261">
        <v>0.1</v>
      </c>
      <c r="AO171" s="248"/>
      <c r="AP171" s="7">
        <v>55</v>
      </c>
      <c r="AQ171" s="9">
        <v>0.4</v>
      </c>
      <c r="AR171" s="248"/>
      <c r="AS171" s="248"/>
      <c r="AT171" s="248"/>
      <c r="AU171" s="248"/>
      <c r="AV171" s="248"/>
      <c r="AW171" s="248"/>
      <c r="AX171" s="248"/>
      <c r="AY171" s="248"/>
      <c r="AZ171" s="248"/>
      <c r="BA171" s="248"/>
      <c r="BB171" s="248"/>
      <c r="BC171" s="248"/>
      <c r="BD171" s="248"/>
      <c r="BE171" s="248"/>
      <c r="BF171" s="248"/>
      <c r="BG171" s="248"/>
      <c r="BH171" s="249">
        <v>41852</v>
      </c>
      <c r="BI171" s="262">
        <v>0.75</v>
      </c>
      <c r="BJ171" s="248"/>
      <c r="BK171" s="248"/>
      <c r="BL171" s="248"/>
      <c r="BM171" s="248"/>
      <c r="BN171" s="248"/>
      <c r="BO171"/>
      <c r="BP171"/>
      <c r="BQ171"/>
      <c r="BR171"/>
      <c r="BS171"/>
      <c r="BT171" s="248"/>
      <c r="BU171" s="248"/>
      <c r="BV171" s="248"/>
      <c r="BW171" s="248"/>
      <c r="BX171" s="248"/>
      <c r="BY171" s="248"/>
      <c r="BZ171" s="248"/>
      <c r="CA171" s="248"/>
      <c r="CB171" s="248"/>
      <c r="CC171" s="248"/>
      <c r="CD171" s="248"/>
      <c r="CE171" s="248"/>
      <c r="CF171" s="248"/>
      <c r="CG171" s="248"/>
    </row>
    <row r="172" spans="1:85" ht="12.75" x14ac:dyDescent="0.2">
      <c r="A172" s="29">
        <v>42064</v>
      </c>
      <c r="B172" s="243">
        <v>6.4159574526938004E-2</v>
      </c>
      <c r="D172" s="260">
        <v>41000</v>
      </c>
      <c r="E172" s="9">
        <v>35.348545074462891</v>
      </c>
      <c r="F172" s="9">
        <v>36.848545074462891</v>
      </c>
      <c r="G172" s="9">
        <v>38.348545074462891</v>
      </c>
      <c r="H172" s="8"/>
      <c r="I172" s="9">
        <v>21.75</v>
      </c>
      <c r="J172" s="9">
        <v>22</v>
      </c>
      <c r="K172" s="9">
        <v>22.75</v>
      </c>
      <c r="L172" s="7"/>
      <c r="M172" s="249">
        <v>41883</v>
      </c>
      <c r="N172" s="261">
        <v>31</v>
      </c>
      <c r="O172" s="261">
        <v>32.5</v>
      </c>
      <c r="P172" s="261">
        <v>34</v>
      </c>
      <c r="Q172" s="248"/>
      <c r="R172" s="261">
        <v>25.5</v>
      </c>
      <c r="S172" s="261">
        <v>27</v>
      </c>
      <c r="T172" s="261">
        <v>28.5</v>
      </c>
      <c r="U172" s="248"/>
      <c r="V172" s="261">
        <v>0</v>
      </c>
      <c r="W172" s="261">
        <v>0</v>
      </c>
      <c r="X172" s="261">
        <v>0</v>
      </c>
      <c r="Y172" s="248"/>
      <c r="Z172" s="261">
        <v>0.06</v>
      </c>
      <c r="AA172" s="261">
        <v>0.08</v>
      </c>
      <c r="AB172" s="261">
        <v>0.12</v>
      </c>
      <c r="AC172" s="248"/>
      <c r="AD172" s="261">
        <v>0.10125000000000001</v>
      </c>
      <c r="AE172" s="261">
        <v>0.13500000000000001</v>
      </c>
      <c r="AF172" s="261">
        <v>0.20250000000000001</v>
      </c>
      <c r="AG172" s="248"/>
      <c r="AH172" s="261">
        <v>-1</v>
      </c>
      <c r="AI172" s="261">
        <v>2.33</v>
      </c>
      <c r="AJ172" s="261">
        <v>2.5</v>
      </c>
      <c r="AK172" s="248"/>
      <c r="AL172" s="261">
        <v>-0.1</v>
      </c>
      <c r="AM172" s="261">
        <v>1.05</v>
      </c>
      <c r="AN172" s="261">
        <v>0.1</v>
      </c>
      <c r="AO172" s="248"/>
      <c r="AP172" s="7">
        <v>55</v>
      </c>
      <c r="AQ172" s="9">
        <v>0.4</v>
      </c>
      <c r="AR172" s="248"/>
      <c r="AS172" s="248"/>
      <c r="AT172" s="248"/>
      <c r="AU172" s="248"/>
      <c r="AV172" s="248"/>
      <c r="AW172" s="248"/>
      <c r="AX172" s="248"/>
      <c r="AY172" s="248"/>
      <c r="AZ172" s="248"/>
      <c r="BA172" s="248"/>
      <c r="BB172" s="248"/>
      <c r="BC172" s="248"/>
      <c r="BD172" s="248"/>
      <c r="BE172" s="248"/>
      <c r="BF172" s="248"/>
      <c r="BG172" s="248"/>
      <c r="BH172" s="249">
        <v>41883</v>
      </c>
      <c r="BI172" s="262">
        <v>0.75</v>
      </c>
      <c r="BJ172" s="248"/>
      <c r="BK172" s="248"/>
      <c r="BL172" s="248"/>
      <c r="BM172" s="248"/>
      <c r="BN172" s="248"/>
      <c r="BO172"/>
      <c r="BP172"/>
      <c r="BQ172"/>
      <c r="BR172"/>
      <c r="BS172"/>
      <c r="BT172" s="248"/>
      <c r="BU172" s="248"/>
      <c r="BV172" s="248"/>
      <c r="BW172" s="248"/>
      <c r="BX172" s="248"/>
      <c r="BY172" s="248"/>
      <c r="BZ172" s="248"/>
      <c r="CA172" s="248"/>
      <c r="CB172" s="248"/>
      <c r="CC172" s="248"/>
      <c r="CD172" s="248"/>
      <c r="CE172" s="248"/>
      <c r="CF172" s="248"/>
      <c r="CG172" s="248"/>
    </row>
    <row r="173" spans="1:85" ht="12.75" x14ac:dyDescent="0.2">
      <c r="A173" s="29">
        <v>42095</v>
      </c>
      <c r="B173" s="243">
        <v>6.4186733233272009E-2</v>
      </c>
      <c r="D173" s="260">
        <v>41030</v>
      </c>
      <c r="E173" s="9">
        <v>36.253566741943359</v>
      </c>
      <c r="F173" s="9">
        <v>38.503566741943359</v>
      </c>
      <c r="G173" s="9">
        <v>40.753566741943359</v>
      </c>
      <c r="H173" s="8"/>
      <c r="I173" s="9">
        <v>23.75</v>
      </c>
      <c r="J173" s="9">
        <v>24</v>
      </c>
      <c r="K173" s="9">
        <v>24.75</v>
      </c>
      <c r="L173" s="7"/>
      <c r="M173" s="249">
        <v>41913</v>
      </c>
      <c r="N173" s="261">
        <v>25.996000289916992</v>
      </c>
      <c r="O173" s="261">
        <v>27.496000289916992</v>
      </c>
      <c r="P173" s="261">
        <v>28.996000289916992</v>
      </c>
      <c r="Q173" s="248"/>
      <c r="R173" s="261">
        <v>20.496500015258789</v>
      </c>
      <c r="S173" s="261">
        <v>21.996500015258789</v>
      </c>
      <c r="T173" s="261">
        <v>23.496500015258789</v>
      </c>
      <c r="U173" s="248"/>
      <c r="V173" s="261">
        <v>0</v>
      </c>
      <c r="W173" s="261">
        <v>0</v>
      </c>
      <c r="X173" s="261">
        <v>0</v>
      </c>
      <c r="Y173" s="248"/>
      <c r="Z173" s="261">
        <v>0.06</v>
      </c>
      <c r="AA173" s="261">
        <v>0.08</v>
      </c>
      <c r="AB173" s="261">
        <v>0.12</v>
      </c>
      <c r="AC173" s="248"/>
      <c r="AD173" s="261">
        <v>7.8750000000000001E-2</v>
      </c>
      <c r="AE173" s="261">
        <v>0.105</v>
      </c>
      <c r="AF173" s="261">
        <v>0.1575</v>
      </c>
      <c r="AG173" s="248"/>
      <c r="AH173" s="261">
        <v>-1</v>
      </c>
      <c r="AI173" s="261">
        <v>2.06</v>
      </c>
      <c r="AJ173" s="261">
        <v>2.5</v>
      </c>
      <c r="AK173" s="248"/>
      <c r="AL173" s="261">
        <v>-0.1</v>
      </c>
      <c r="AM173" s="261">
        <v>1</v>
      </c>
      <c r="AN173" s="261">
        <v>0.1</v>
      </c>
      <c r="AO173" s="248"/>
      <c r="AP173" s="7">
        <v>55</v>
      </c>
      <c r="AQ173" s="9">
        <v>0.4</v>
      </c>
      <c r="AR173" s="248"/>
      <c r="AS173" s="248"/>
      <c r="AT173" s="248"/>
      <c r="AU173" s="248"/>
      <c r="AV173" s="248"/>
      <c r="AW173" s="248"/>
      <c r="AX173" s="248"/>
      <c r="AY173" s="248"/>
      <c r="AZ173" s="248"/>
      <c r="BA173" s="248"/>
      <c r="BB173" s="248"/>
      <c r="BC173" s="248"/>
      <c r="BD173" s="248"/>
      <c r="BE173" s="248"/>
      <c r="BF173" s="248"/>
      <c r="BG173" s="248"/>
      <c r="BH173" s="249">
        <v>41913</v>
      </c>
      <c r="BI173" s="262">
        <v>0.75</v>
      </c>
      <c r="BJ173" s="248"/>
      <c r="BK173" s="248"/>
      <c r="BL173" s="248"/>
      <c r="BM173" s="248"/>
      <c r="BN173" s="248"/>
      <c r="BO173"/>
      <c r="BP173"/>
      <c r="BQ173"/>
      <c r="BR173"/>
      <c r="BS173"/>
      <c r="BT173" s="248"/>
      <c r="BU173" s="248"/>
      <c r="BV173" s="248"/>
      <c r="BW173" s="248"/>
      <c r="BX173" s="248"/>
      <c r="BY173" s="248"/>
      <c r="BZ173" s="248"/>
      <c r="CA173" s="248"/>
      <c r="CB173" s="248"/>
      <c r="CC173" s="248"/>
      <c r="CD173" s="248"/>
      <c r="CE173" s="248"/>
      <c r="CF173" s="248"/>
      <c r="CG173" s="248"/>
    </row>
    <row r="174" spans="1:85" ht="12.75" x14ac:dyDescent="0.2">
      <c r="A174" s="29">
        <v>42125</v>
      </c>
      <c r="B174" s="243">
        <v>6.4214797230073006E-2</v>
      </c>
      <c r="D174" s="260">
        <v>41061</v>
      </c>
      <c r="E174" s="9">
        <v>42.997856140136719</v>
      </c>
      <c r="F174" s="9">
        <v>47.997856140136719</v>
      </c>
      <c r="G174" s="9">
        <v>52.997856140136719</v>
      </c>
      <c r="H174" s="8"/>
      <c r="I174" s="9">
        <v>26.75</v>
      </c>
      <c r="J174" s="9">
        <v>27</v>
      </c>
      <c r="K174" s="9">
        <v>27.75</v>
      </c>
      <c r="L174" s="7"/>
      <c r="M174" s="249">
        <v>41944</v>
      </c>
      <c r="N174" s="261">
        <v>28</v>
      </c>
      <c r="O174" s="261">
        <v>29.5</v>
      </c>
      <c r="P174" s="261">
        <v>31</v>
      </c>
      <c r="Q174" s="248"/>
      <c r="R174" s="261">
        <v>20.5</v>
      </c>
      <c r="S174" s="261">
        <v>22</v>
      </c>
      <c r="T174" s="261">
        <v>23.5</v>
      </c>
      <c r="U174" s="248"/>
      <c r="V174" s="261">
        <v>0</v>
      </c>
      <c r="W174" s="261">
        <v>0</v>
      </c>
      <c r="X174" s="261">
        <v>0</v>
      </c>
      <c r="Y174" s="248"/>
      <c r="Z174" s="261">
        <v>0.06</v>
      </c>
      <c r="AA174" s="261">
        <v>0.08</v>
      </c>
      <c r="AB174" s="261">
        <v>0.12</v>
      </c>
      <c r="AC174" s="248"/>
      <c r="AD174" s="261">
        <v>7.8750000000000001E-2</v>
      </c>
      <c r="AE174" s="261">
        <v>0.105</v>
      </c>
      <c r="AF174" s="261">
        <v>0.1575</v>
      </c>
      <c r="AG174" s="248"/>
      <c r="AH174" s="261">
        <v>-0.5</v>
      </c>
      <c r="AI174" s="261">
        <v>2.052</v>
      </c>
      <c r="AJ174" s="261">
        <v>1</v>
      </c>
      <c r="AK174" s="248"/>
      <c r="AL174" s="261">
        <v>-0.1</v>
      </c>
      <c r="AM174" s="261">
        <v>1</v>
      </c>
      <c r="AN174" s="261">
        <v>0.1</v>
      </c>
      <c r="AO174" s="248"/>
      <c r="AP174" s="7">
        <v>56</v>
      </c>
      <c r="AQ174" s="9">
        <v>0.4</v>
      </c>
      <c r="AR174" s="248"/>
      <c r="AS174" s="248"/>
      <c r="AT174" s="248"/>
      <c r="AU174" s="248"/>
      <c r="AV174" s="248"/>
      <c r="AW174" s="248"/>
      <c r="AX174" s="248"/>
      <c r="AY174" s="248"/>
      <c r="AZ174" s="248"/>
      <c r="BA174" s="248"/>
      <c r="BB174" s="248"/>
      <c r="BC174" s="248"/>
      <c r="BD174" s="248"/>
      <c r="BE174" s="248"/>
      <c r="BF174" s="248"/>
      <c r="BG174" s="248"/>
      <c r="BH174" s="249">
        <v>41944</v>
      </c>
      <c r="BI174" s="262">
        <v>0.75</v>
      </c>
      <c r="BJ174" s="248"/>
      <c r="BK174" s="248"/>
      <c r="BL174" s="248"/>
      <c r="BM174" s="248"/>
      <c r="BN174" s="248"/>
      <c r="BO174"/>
      <c r="BP174"/>
      <c r="BQ174"/>
      <c r="BR174"/>
      <c r="BS174"/>
      <c r="BT174" s="248"/>
      <c r="BU174" s="248"/>
      <c r="BV174" s="248"/>
      <c r="BW174" s="248"/>
      <c r="BX174" s="248"/>
      <c r="BY174" s="248"/>
      <c r="BZ174" s="248"/>
      <c r="CA174" s="248"/>
      <c r="CB174" s="248"/>
      <c r="CC174" s="248"/>
      <c r="CD174" s="248"/>
      <c r="CE174" s="248"/>
      <c r="CF174" s="248"/>
      <c r="CG174" s="248"/>
    </row>
    <row r="175" spans="1:85" ht="12.75" x14ac:dyDescent="0.2">
      <c r="A175" s="29">
        <v>42156</v>
      </c>
      <c r="B175" s="243">
        <v>6.424195593690403E-2</v>
      </c>
      <c r="D175" s="260">
        <v>41091</v>
      </c>
      <c r="E175" s="9">
        <v>65.997146606445312</v>
      </c>
      <c r="F175" s="9">
        <v>75.997146606445313</v>
      </c>
      <c r="G175" s="9">
        <v>85.997146606445313</v>
      </c>
      <c r="H175" s="8"/>
      <c r="I175" s="9">
        <v>27.25</v>
      </c>
      <c r="J175" s="9">
        <v>27.5</v>
      </c>
      <c r="K175" s="9">
        <v>28.25</v>
      </c>
      <c r="L175" s="7"/>
      <c r="M175" s="249">
        <v>41974</v>
      </c>
      <c r="N175" s="261">
        <v>33</v>
      </c>
      <c r="O175" s="261">
        <v>34.5</v>
      </c>
      <c r="P175" s="261">
        <v>36</v>
      </c>
      <c r="Q175" s="248"/>
      <c r="R175" s="261">
        <v>27.5</v>
      </c>
      <c r="S175" s="261">
        <v>29</v>
      </c>
      <c r="T175" s="261">
        <v>30.5</v>
      </c>
      <c r="U175" s="248"/>
      <c r="V175" s="261">
        <v>0</v>
      </c>
      <c r="W175" s="261">
        <v>0</v>
      </c>
      <c r="X175" s="261">
        <v>0</v>
      </c>
      <c r="Y175" s="248"/>
      <c r="Z175" s="261">
        <v>0.06</v>
      </c>
      <c r="AA175" s="261">
        <v>0.08</v>
      </c>
      <c r="AB175" s="261">
        <v>0.12</v>
      </c>
      <c r="AC175" s="248"/>
      <c r="AD175" s="261">
        <v>0.10875</v>
      </c>
      <c r="AE175" s="261">
        <v>0.14499999999999999</v>
      </c>
      <c r="AF175" s="261">
        <v>0.2175</v>
      </c>
      <c r="AG175" s="248"/>
      <c r="AH175" s="261">
        <v>-0.4</v>
      </c>
      <c r="AI175" s="261">
        <v>1.89</v>
      </c>
      <c r="AJ175" s="261">
        <v>0.5</v>
      </c>
      <c r="AK175" s="248"/>
      <c r="AL175" s="261">
        <v>-0.1</v>
      </c>
      <c r="AM175" s="261">
        <v>1</v>
      </c>
      <c r="AN175" s="261">
        <v>0.1</v>
      </c>
      <c r="AO175" s="248"/>
      <c r="AP175" s="7">
        <v>56</v>
      </c>
      <c r="AQ175" s="9">
        <v>0.4</v>
      </c>
      <c r="AR175" s="248"/>
      <c r="AS175" s="248"/>
      <c r="AT175" s="248"/>
      <c r="AU175" s="248"/>
      <c r="AV175" s="248"/>
      <c r="AW175" s="248"/>
      <c r="AX175" s="248"/>
      <c r="AY175" s="248"/>
      <c r="AZ175" s="248"/>
      <c r="BA175" s="248"/>
      <c r="BB175" s="248"/>
      <c r="BC175" s="248"/>
      <c r="BD175" s="248"/>
      <c r="BE175" s="248"/>
      <c r="BF175" s="248"/>
      <c r="BG175" s="248"/>
      <c r="BH175" s="249">
        <v>41974</v>
      </c>
      <c r="BI175" s="262">
        <v>0.75</v>
      </c>
      <c r="BJ175" s="248"/>
      <c r="BK175" s="248"/>
      <c r="BL175" s="248"/>
      <c r="BM175" s="248"/>
      <c r="BN175" s="248"/>
      <c r="BO175"/>
      <c r="BP175"/>
      <c r="BQ175"/>
      <c r="BR175"/>
      <c r="BS175"/>
      <c r="BT175" s="248"/>
      <c r="BU175" s="248"/>
      <c r="BV175" s="248"/>
      <c r="BW175" s="248"/>
      <c r="BX175" s="248"/>
      <c r="BY175" s="248"/>
      <c r="BZ175" s="248"/>
      <c r="CA175" s="248"/>
      <c r="CB175" s="248"/>
      <c r="CC175" s="248"/>
      <c r="CD175" s="248"/>
      <c r="CE175" s="248"/>
      <c r="CF175" s="248"/>
      <c r="CG175" s="248"/>
    </row>
    <row r="176" spans="1:85" ht="12.75" x14ac:dyDescent="0.2">
      <c r="A176" s="29">
        <v>42186</v>
      </c>
      <c r="B176" s="243">
        <v>6.4270019934219005E-2</v>
      </c>
      <c r="D176" s="260">
        <v>41122</v>
      </c>
      <c r="E176" s="9">
        <v>65.997146606445312</v>
      </c>
      <c r="F176" s="9">
        <v>75.997146606445313</v>
      </c>
      <c r="G176" s="9">
        <v>85.997146606445313</v>
      </c>
      <c r="H176" s="8"/>
      <c r="I176" s="9">
        <v>28.25</v>
      </c>
      <c r="J176" s="9">
        <v>28.5</v>
      </c>
      <c r="K176" s="9">
        <v>29.25</v>
      </c>
      <c r="L176" s="7"/>
      <c r="M176" s="249">
        <v>42005</v>
      </c>
      <c r="N176" s="261">
        <v>35.5</v>
      </c>
      <c r="O176" s="261">
        <v>37</v>
      </c>
      <c r="P176" s="261">
        <v>38.5</v>
      </c>
      <c r="Q176" s="248"/>
      <c r="R176" s="261">
        <v>25</v>
      </c>
      <c r="S176" s="261">
        <v>26.5</v>
      </c>
      <c r="T176" s="261">
        <v>28</v>
      </c>
      <c r="U176" s="248"/>
      <c r="V176" s="261">
        <v>0</v>
      </c>
      <c r="W176" s="261">
        <v>0</v>
      </c>
      <c r="X176" s="261">
        <v>0</v>
      </c>
      <c r="Y176" s="248"/>
      <c r="Z176" s="261">
        <v>0.06</v>
      </c>
      <c r="AA176" s="261">
        <v>0.08</v>
      </c>
      <c r="AB176" s="261">
        <v>0.12</v>
      </c>
      <c r="AC176" s="248"/>
      <c r="AD176" s="261">
        <v>0.10125000000000001</v>
      </c>
      <c r="AE176" s="261">
        <v>0.13500000000000001</v>
      </c>
      <c r="AF176" s="261">
        <v>0.20250000000000001</v>
      </c>
      <c r="AG176" s="248"/>
      <c r="AH176" s="261">
        <v>-0.4</v>
      </c>
      <c r="AI176" s="261">
        <v>2.3220000000000001</v>
      </c>
      <c r="AJ176" s="261">
        <v>0.5</v>
      </c>
      <c r="AK176" s="248"/>
      <c r="AL176" s="261">
        <v>-0.1</v>
      </c>
      <c r="AM176" s="261">
        <v>1</v>
      </c>
      <c r="AN176" s="261">
        <v>0.1</v>
      </c>
      <c r="AO176" s="248"/>
      <c r="AP176" s="7">
        <v>56</v>
      </c>
      <c r="AQ176" s="9">
        <v>0.4</v>
      </c>
      <c r="AR176" s="248"/>
      <c r="AS176" s="248"/>
      <c r="AT176" s="248"/>
      <c r="AU176" s="248"/>
      <c r="AV176" s="248"/>
      <c r="AW176" s="248"/>
      <c r="AX176" s="248"/>
      <c r="AY176" s="248"/>
      <c r="AZ176" s="248"/>
      <c r="BA176" s="248"/>
      <c r="BB176" s="248"/>
      <c r="BC176" s="248"/>
      <c r="BD176" s="248"/>
      <c r="BE176" s="248"/>
      <c r="BF176" s="248"/>
      <c r="BG176" s="248"/>
      <c r="BH176" s="249">
        <v>42005</v>
      </c>
      <c r="BI176" s="262">
        <v>0.75</v>
      </c>
      <c r="BJ176" s="248"/>
      <c r="BK176" s="248"/>
      <c r="BL176" s="248"/>
      <c r="BM176" s="248"/>
      <c r="BN176" s="248"/>
      <c r="BO176"/>
      <c r="BP176"/>
      <c r="BQ176"/>
      <c r="BR176"/>
      <c r="BS176"/>
      <c r="BT176" s="248"/>
      <c r="BU176" s="248"/>
      <c r="BV176" s="248"/>
      <c r="BW176" s="248"/>
      <c r="BX176" s="248"/>
      <c r="BY176" s="248"/>
      <c r="BZ176" s="248"/>
      <c r="CA176" s="248"/>
      <c r="CB176" s="248"/>
      <c r="CC176" s="248"/>
      <c r="CD176" s="248"/>
      <c r="CE176" s="248"/>
      <c r="CF176" s="248"/>
      <c r="CG176" s="248"/>
    </row>
    <row r="177" spans="1:85" ht="12.75" x14ac:dyDescent="0.2">
      <c r="A177" s="29">
        <v>42217</v>
      </c>
      <c r="B177" s="243">
        <v>6.4298083931795008E-2</v>
      </c>
      <c r="D177" s="260">
        <v>41153</v>
      </c>
      <c r="E177" s="9">
        <v>37.252143859863281</v>
      </c>
      <c r="F177" s="9">
        <v>38.752143859863281</v>
      </c>
      <c r="G177" s="9">
        <v>40.252143859863281</v>
      </c>
      <c r="H177" s="8"/>
      <c r="I177" s="9">
        <v>21.25</v>
      </c>
      <c r="J177" s="9">
        <v>21.5</v>
      </c>
      <c r="K177" s="9">
        <v>22.25</v>
      </c>
      <c r="L177" s="7"/>
      <c r="M177" s="249">
        <v>42036</v>
      </c>
      <c r="N177" s="261">
        <v>30.996002197265625</v>
      </c>
      <c r="O177" s="261">
        <v>32.496002197265625</v>
      </c>
      <c r="P177" s="261">
        <v>33.996002197265625</v>
      </c>
      <c r="Q177" s="248"/>
      <c r="R177" s="261">
        <v>22.496501922607422</v>
      </c>
      <c r="S177" s="261">
        <v>23.996501922607422</v>
      </c>
      <c r="T177" s="261">
        <v>25.496501922607422</v>
      </c>
      <c r="U177" s="248"/>
      <c r="V177" s="261">
        <v>0</v>
      </c>
      <c r="W177" s="261">
        <v>0</v>
      </c>
      <c r="X177" s="261">
        <v>0</v>
      </c>
      <c r="Y177" s="248"/>
      <c r="Z177" s="261">
        <v>0.06</v>
      </c>
      <c r="AA177" s="261">
        <v>0.08</v>
      </c>
      <c r="AB177" s="261">
        <v>0.12</v>
      </c>
      <c r="AC177" s="248"/>
      <c r="AD177" s="261">
        <v>0.10125000000000001</v>
      </c>
      <c r="AE177" s="261">
        <v>0.13500000000000001</v>
      </c>
      <c r="AF177" s="261">
        <v>0.20250000000000001</v>
      </c>
      <c r="AG177" s="248"/>
      <c r="AH177" s="261">
        <v>-0.4</v>
      </c>
      <c r="AI177" s="261">
        <v>2.3220000000000001</v>
      </c>
      <c r="AJ177" s="261">
        <v>0.6</v>
      </c>
      <c r="AK177" s="248"/>
      <c r="AL177" s="261">
        <v>-0.1</v>
      </c>
      <c r="AM177" s="261">
        <v>1</v>
      </c>
      <c r="AN177" s="261">
        <v>0.1</v>
      </c>
      <c r="AO177" s="248"/>
      <c r="AP177" s="7">
        <v>57</v>
      </c>
      <c r="AQ177" s="9">
        <v>0.4</v>
      </c>
      <c r="AR177" s="248"/>
      <c r="AS177" s="248"/>
      <c r="AT177" s="248"/>
      <c r="AU177" s="248"/>
      <c r="AV177" s="248"/>
      <c r="AW177" s="248"/>
      <c r="AX177" s="248"/>
      <c r="AY177" s="248"/>
      <c r="AZ177" s="248"/>
      <c r="BA177" s="248"/>
      <c r="BB177" s="248"/>
      <c r="BC177" s="248"/>
      <c r="BD177" s="248"/>
      <c r="BE177" s="248"/>
      <c r="BF177" s="248"/>
      <c r="BG177" s="248"/>
      <c r="BH177" s="249">
        <v>42036</v>
      </c>
      <c r="BI177" s="262">
        <v>0.75</v>
      </c>
      <c r="BJ177" s="248"/>
      <c r="BK177" s="248"/>
      <c r="BL177" s="248"/>
      <c r="BM177" s="248"/>
      <c r="BN177" s="248"/>
      <c r="BO177"/>
      <c r="BP177"/>
      <c r="BQ177"/>
      <c r="BR177"/>
      <c r="BS177"/>
      <c r="BT177" s="248"/>
      <c r="BU177" s="248"/>
      <c r="BV177" s="248"/>
      <c r="BW177" s="248"/>
      <c r="BX177" s="248"/>
      <c r="BY177" s="248"/>
      <c r="BZ177" s="248"/>
      <c r="CA177" s="248"/>
      <c r="CB177" s="248"/>
      <c r="CC177" s="248"/>
      <c r="CD177" s="248"/>
      <c r="CE177" s="248"/>
      <c r="CF177" s="248"/>
      <c r="CG177" s="248"/>
    </row>
    <row r="178" spans="1:85" ht="12.75" x14ac:dyDescent="0.2">
      <c r="A178" s="29">
        <v>42248</v>
      </c>
      <c r="B178" s="243">
        <v>6.4325242639376015E-2</v>
      </c>
      <c r="D178" s="260">
        <v>41183</v>
      </c>
      <c r="E178" s="9">
        <v>35.148933410644531</v>
      </c>
      <c r="F178" s="9">
        <v>36.648933410644531</v>
      </c>
      <c r="G178" s="9">
        <v>38.148933410644531</v>
      </c>
      <c r="H178" s="8"/>
      <c r="I178" s="9">
        <v>18.750001907348633</v>
      </c>
      <c r="J178" s="9">
        <v>19.000001907348633</v>
      </c>
      <c r="K178" s="9">
        <v>19.750001907348633</v>
      </c>
      <c r="L178" s="7"/>
      <c r="M178" s="249">
        <v>42064</v>
      </c>
      <c r="N178" s="261">
        <v>26</v>
      </c>
      <c r="O178" s="261">
        <v>27.5</v>
      </c>
      <c r="P178" s="261">
        <v>29</v>
      </c>
      <c r="Q178" s="248"/>
      <c r="R178" s="261">
        <v>20.5</v>
      </c>
      <c r="S178" s="261">
        <v>22</v>
      </c>
      <c r="T178" s="261">
        <v>23.5</v>
      </c>
      <c r="U178" s="248"/>
      <c r="V178" s="261">
        <v>0</v>
      </c>
      <c r="W178" s="261">
        <v>0</v>
      </c>
      <c r="X178" s="261">
        <v>0</v>
      </c>
      <c r="Y178" s="248"/>
      <c r="Z178" s="261">
        <v>0.06</v>
      </c>
      <c r="AA178" s="261">
        <v>0.08</v>
      </c>
      <c r="AB178" s="261">
        <v>0.12</v>
      </c>
      <c r="AC178" s="248"/>
      <c r="AD178" s="261">
        <v>0.09</v>
      </c>
      <c r="AE178" s="261">
        <v>0.12</v>
      </c>
      <c r="AF178" s="261">
        <v>0.18</v>
      </c>
      <c r="AG178" s="248"/>
      <c r="AH178" s="261">
        <v>-0.5</v>
      </c>
      <c r="AI178" s="261">
        <v>2.052</v>
      </c>
      <c r="AJ178" s="261">
        <v>1</v>
      </c>
      <c r="AK178" s="248"/>
      <c r="AL178" s="261">
        <v>-0.1</v>
      </c>
      <c r="AM178" s="261">
        <v>1</v>
      </c>
      <c r="AN178" s="261">
        <v>0.1</v>
      </c>
      <c r="AO178" s="248"/>
      <c r="AP178" s="7">
        <v>57</v>
      </c>
      <c r="AQ178" s="9">
        <v>0.4</v>
      </c>
      <c r="AR178" s="248"/>
      <c r="AS178" s="248"/>
      <c r="AT178" s="248"/>
      <c r="AU178" s="248"/>
      <c r="AV178" s="248"/>
      <c r="AW178" s="248"/>
      <c r="AX178" s="248"/>
      <c r="AY178" s="248"/>
      <c r="AZ178" s="248"/>
      <c r="BA178" s="248"/>
      <c r="BB178" s="248"/>
      <c r="BC178" s="248"/>
      <c r="BD178" s="248"/>
      <c r="BE178" s="248"/>
      <c r="BF178" s="248"/>
      <c r="BG178" s="248"/>
      <c r="BH178" s="249">
        <v>42064</v>
      </c>
      <c r="BI178" s="262">
        <v>0.75</v>
      </c>
      <c r="BJ178" s="248"/>
      <c r="BK178" s="248"/>
      <c r="BL178" s="248"/>
      <c r="BM178" s="248"/>
      <c r="BN178" s="248"/>
      <c r="BO178"/>
      <c r="BP178"/>
      <c r="BQ178"/>
      <c r="BR178"/>
      <c r="BS178"/>
      <c r="BT178" s="248"/>
      <c r="BU178" s="248"/>
      <c r="BV178" s="248"/>
      <c r="BW178" s="248"/>
      <c r="BX178" s="248"/>
      <c r="BY178" s="248"/>
      <c r="BZ178" s="248"/>
      <c r="CA178" s="248"/>
      <c r="CB178" s="248"/>
      <c r="CC178" s="248"/>
      <c r="CD178" s="248"/>
      <c r="CE178" s="248"/>
      <c r="CF178" s="248"/>
      <c r="CG178" s="248"/>
    </row>
    <row r="179" spans="1:85" ht="12.75" x14ac:dyDescent="0.2">
      <c r="A179" s="29">
        <v>42278</v>
      </c>
      <c r="B179" s="243">
        <v>6.4353306637467009E-2</v>
      </c>
      <c r="D179" s="260">
        <v>41214</v>
      </c>
      <c r="E179" s="9">
        <v>35.248931884765625</v>
      </c>
      <c r="F179" s="9">
        <v>36.748931884765625</v>
      </c>
      <c r="G179" s="9">
        <v>38.248931884765625</v>
      </c>
      <c r="H179" s="8"/>
      <c r="I179" s="9">
        <v>20.75</v>
      </c>
      <c r="J179" s="9">
        <v>21</v>
      </c>
      <c r="K179" s="9">
        <v>21.75</v>
      </c>
      <c r="L179" s="7"/>
      <c r="M179" s="249">
        <v>42095</v>
      </c>
      <c r="N179" s="261">
        <v>26</v>
      </c>
      <c r="O179" s="261">
        <v>27.5</v>
      </c>
      <c r="P179" s="261">
        <v>29</v>
      </c>
      <c r="Q179" s="248"/>
      <c r="R179" s="261">
        <v>20.495000839233398</v>
      </c>
      <c r="S179" s="261">
        <v>21.995000839233398</v>
      </c>
      <c r="T179" s="261">
        <v>23.495000839233398</v>
      </c>
      <c r="U179" s="248"/>
      <c r="V179" s="261">
        <v>0</v>
      </c>
      <c r="W179" s="261">
        <v>0</v>
      </c>
      <c r="X179" s="261">
        <v>0</v>
      </c>
      <c r="Y179" s="248"/>
      <c r="Z179" s="261">
        <v>0.06</v>
      </c>
      <c r="AA179" s="261">
        <v>0.08</v>
      </c>
      <c r="AB179" s="261">
        <v>0.12</v>
      </c>
      <c r="AC179" s="248"/>
      <c r="AD179" s="261">
        <v>0.09</v>
      </c>
      <c r="AE179" s="261">
        <v>0.12</v>
      </c>
      <c r="AF179" s="261">
        <v>0.18</v>
      </c>
      <c r="AG179" s="248"/>
      <c r="AH179" s="261">
        <v>-0.5</v>
      </c>
      <c r="AI179" s="261">
        <v>1.9980000000000004</v>
      </c>
      <c r="AJ179" s="261">
        <v>1</v>
      </c>
      <c r="AK179" s="248"/>
      <c r="AL179" s="261">
        <v>-0.1</v>
      </c>
      <c r="AM179" s="261">
        <v>1</v>
      </c>
      <c r="AN179" s="261">
        <v>0.1</v>
      </c>
      <c r="AO179" s="248"/>
      <c r="AP179" s="7">
        <v>57</v>
      </c>
      <c r="AQ179" s="9">
        <v>0.4</v>
      </c>
      <c r="AR179" s="248"/>
      <c r="AS179" s="248"/>
      <c r="AT179" s="248"/>
      <c r="AU179" s="248"/>
      <c r="AV179" s="248"/>
      <c r="AW179" s="248"/>
      <c r="AX179" s="248"/>
      <c r="AY179" s="248"/>
      <c r="AZ179" s="248"/>
      <c r="BA179" s="248"/>
      <c r="BB179" s="248"/>
      <c r="BC179" s="248"/>
      <c r="BD179" s="248"/>
      <c r="BE179" s="248"/>
      <c r="BF179" s="248"/>
      <c r="BG179" s="248"/>
      <c r="BH179" s="249">
        <v>42095</v>
      </c>
      <c r="BI179" s="262">
        <v>0.75</v>
      </c>
      <c r="BJ179" s="248"/>
      <c r="BK179" s="248"/>
      <c r="BL179" s="248"/>
      <c r="BM179" s="248"/>
      <c r="BN179" s="248"/>
      <c r="BO179"/>
      <c r="BP179"/>
      <c r="BQ179"/>
      <c r="BR179"/>
      <c r="BS179"/>
      <c r="BT179" s="248"/>
      <c r="BU179" s="248"/>
      <c r="BV179" s="248"/>
      <c r="BW179" s="248"/>
      <c r="BX179" s="248"/>
      <c r="BY179" s="248"/>
      <c r="BZ179" s="248"/>
      <c r="CA179" s="248"/>
      <c r="CB179" s="248"/>
      <c r="CC179" s="248"/>
      <c r="CD179" s="248"/>
      <c r="CE179" s="248"/>
      <c r="CF179" s="248"/>
      <c r="CG179" s="248"/>
    </row>
    <row r="180" spans="1:85" ht="12.75" x14ac:dyDescent="0.2">
      <c r="A180" s="29">
        <v>42309</v>
      </c>
      <c r="B180" s="243">
        <v>6.4380465345545007E-2</v>
      </c>
      <c r="D180" s="260">
        <v>41244</v>
      </c>
      <c r="E180" s="9">
        <v>35.348930358886719</v>
      </c>
      <c r="F180" s="9">
        <v>36.848930358886719</v>
      </c>
      <c r="G180" s="9">
        <v>38.348930358886719</v>
      </c>
      <c r="H180" s="8"/>
      <c r="I180" s="9">
        <v>19.860000610351563</v>
      </c>
      <c r="J180" s="9">
        <v>20.110000610351563</v>
      </c>
      <c r="K180" s="9">
        <v>20.860000610351563</v>
      </c>
      <c r="L180" s="7"/>
      <c r="M180" s="249">
        <v>42125</v>
      </c>
      <c r="N180" s="261">
        <v>28</v>
      </c>
      <c r="O180" s="261">
        <v>29.5</v>
      </c>
      <c r="P180" s="261">
        <v>31</v>
      </c>
      <c r="Q180" s="248"/>
      <c r="R180" s="261">
        <v>21.504999160766602</v>
      </c>
      <c r="S180" s="261">
        <v>23.004999160766602</v>
      </c>
      <c r="T180" s="261">
        <v>24.504999160766602</v>
      </c>
      <c r="U180" s="248"/>
      <c r="V180" s="261">
        <v>0</v>
      </c>
      <c r="W180" s="261">
        <v>0</v>
      </c>
      <c r="X180" s="261">
        <v>0</v>
      </c>
      <c r="Y180" s="248"/>
      <c r="Z180" s="261">
        <v>0.06</v>
      </c>
      <c r="AA180" s="261">
        <v>0.08</v>
      </c>
      <c r="AB180" s="261">
        <v>0.12</v>
      </c>
      <c r="AC180" s="248"/>
      <c r="AD180" s="261">
        <v>0.11625000000000001</v>
      </c>
      <c r="AE180" s="261">
        <v>0.155</v>
      </c>
      <c r="AF180" s="261">
        <v>0.23250000000000001</v>
      </c>
      <c r="AG180" s="248"/>
      <c r="AH180" s="261">
        <v>-0.4</v>
      </c>
      <c r="AI180" s="261">
        <v>2.15</v>
      </c>
      <c r="AJ180" s="261">
        <v>0.5</v>
      </c>
      <c r="AK180" s="248"/>
      <c r="AL180" s="261">
        <v>-0.1</v>
      </c>
      <c r="AM180" s="261">
        <v>1.05</v>
      </c>
      <c r="AN180" s="261">
        <v>0.1</v>
      </c>
      <c r="AO180" s="248"/>
      <c r="AP180" s="7">
        <v>58</v>
      </c>
      <c r="AQ180" s="9">
        <v>0.4</v>
      </c>
      <c r="AR180" s="248"/>
      <c r="AS180" s="248"/>
      <c r="AT180" s="248"/>
      <c r="AU180" s="248"/>
      <c r="AV180" s="248"/>
      <c r="AW180" s="248"/>
      <c r="AX180" s="248"/>
      <c r="AY180" s="248"/>
      <c r="AZ180" s="248"/>
      <c r="BA180" s="248"/>
      <c r="BB180" s="248"/>
      <c r="BC180" s="248"/>
      <c r="BD180" s="248"/>
      <c r="BE180" s="248"/>
      <c r="BF180" s="248"/>
      <c r="BG180" s="248"/>
      <c r="BH180" s="249">
        <v>42125</v>
      </c>
      <c r="BI180" s="262">
        <v>0.75</v>
      </c>
      <c r="BJ180" s="248"/>
      <c r="BK180" s="248"/>
      <c r="BL180" s="248"/>
      <c r="BM180" s="248"/>
      <c r="BN180" s="248"/>
      <c r="BO180"/>
      <c r="BP180"/>
      <c r="BQ180"/>
      <c r="BR180"/>
      <c r="BS180"/>
      <c r="BT180" s="248"/>
      <c r="BU180" s="248"/>
      <c r="BV180" s="248"/>
      <c r="BW180" s="248"/>
      <c r="BX180" s="248"/>
      <c r="BY180" s="248"/>
      <c r="BZ180" s="248"/>
      <c r="CA180" s="248"/>
      <c r="CB180" s="248"/>
      <c r="CC180" s="248"/>
      <c r="CD180" s="248"/>
      <c r="CE180" s="248"/>
      <c r="CF180" s="248"/>
      <c r="CG180" s="248"/>
    </row>
    <row r="181" spans="1:85" ht="12.75" x14ac:dyDescent="0.2">
      <c r="A181" s="29">
        <v>42339</v>
      </c>
      <c r="B181" s="243">
        <v>6.4408529344149007E-2</v>
      </c>
      <c r="D181" s="260">
        <v>41275</v>
      </c>
      <c r="E181" s="9">
        <v>44.537864685058594</v>
      </c>
      <c r="F181" s="9">
        <v>46.037864685058594</v>
      </c>
      <c r="G181" s="9">
        <v>47.537864685058594</v>
      </c>
      <c r="H181" s="8"/>
      <c r="I181" s="9">
        <v>24.75</v>
      </c>
      <c r="J181" s="9">
        <v>25</v>
      </c>
      <c r="K181" s="9">
        <v>25.75</v>
      </c>
      <c r="L181" s="7"/>
      <c r="M181" s="249">
        <v>42156</v>
      </c>
      <c r="N181" s="261">
        <v>35</v>
      </c>
      <c r="O181" s="261">
        <v>36.5</v>
      </c>
      <c r="P181" s="261">
        <v>38</v>
      </c>
      <c r="Q181" s="248"/>
      <c r="R181" s="261">
        <v>25.5</v>
      </c>
      <c r="S181" s="261">
        <v>27</v>
      </c>
      <c r="T181" s="261">
        <v>28.5</v>
      </c>
      <c r="U181" s="248"/>
      <c r="V181" s="261">
        <v>0</v>
      </c>
      <c r="W181" s="261">
        <v>0</v>
      </c>
      <c r="X181" s="261">
        <v>0</v>
      </c>
      <c r="Y181" s="248"/>
      <c r="Z181" s="261">
        <v>0.06</v>
      </c>
      <c r="AA181" s="261">
        <v>0.08</v>
      </c>
      <c r="AB181" s="261">
        <v>0.12</v>
      </c>
      <c r="AC181" s="248"/>
      <c r="AD181" s="261">
        <v>0.13125000000000001</v>
      </c>
      <c r="AE181" s="261">
        <v>0.17499999999999999</v>
      </c>
      <c r="AF181" s="261">
        <v>0.26250000000000001</v>
      </c>
      <c r="AG181" s="248"/>
      <c r="AH181" s="261">
        <v>-0.4</v>
      </c>
      <c r="AI181" s="261">
        <v>2.9</v>
      </c>
      <c r="AJ181" s="261">
        <v>0.5</v>
      </c>
      <c r="AK181" s="248"/>
      <c r="AL181" s="261">
        <v>-0.1</v>
      </c>
      <c r="AM181" s="261">
        <v>1.1499999999999999</v>
      </c>
      <c r="AN181" s="261">
        <v>0.1</v>
      </c>
      <c r="AO181" s="248"/>
      <c r="AP181" s="7">
        <v>58</v>
      </c>
      <c r="AQ181" s="9">
        <v>0.4</v>
      </c>
      <c r="AR181" s="248"/>
      <c r="AS181" s="248"/>
      <c r="AT181" s="248"/>
      <c r="AU181" s="248"/>
      <c r="AV181" s="248"/>
      <c r="AW181" s="248"/>
      <c r="AX181" s="248"/>
      <c r="AY181" s="248"/>
      <c r="AZ181" s="248"/>
      <c r="BA181" s="248"/>
      <c r="BB181" s="248"/>
      <c r="BC181" s="248"/>
      <c r="BD181" s="248"/>
      <c r="BE181" s="248"/>
      <c r="BF181" s="248"/>
      <c r="BG181" s="248"/>
      <c r="BH181" s="249">
        <v>42156</v>
      </c>
      <c r="BI181" s="262">
        <v>0.75</v>
      </c>
      <c r="BJ181" s="248"/>
      <c r="BK181" s="248"/>
      <c r="BL181" s="248"/>
      <c r="BM181" s="248"/>
      <c r="BN181" s="248"/>
      <c r="BO181"/>
      <c r="BP181"/>
      <c r="BQ181"/>
      <c r="BR181"/>
      <c r="BS181"/>
      <c r="BT181" s="248"/>
      <c r="BU181" s="248"/>
      <c r="BV181" s="248"/>
      <c r="BW181" s="248"/>
      <c r="BX181" s="248"/>
      <c r="BY181" s="248"/>
      <c r="BZ181" s="248"/>
      <c r="CA181" s="248"/>
      <c r="CB181" s="248"/>
      <c r="CC181" s="248"/>
      <c r="CD181" s="248"/>
      <c r="CE181" s="248"/>
      <c r="CF181" s="248"/>
      <c r="CG181" s="248"/>
    </row>
    <row r="182" spans="1:85" ht="12.75" x14ac:dyDescent="0.2">
      <c r="A182" s="29">
        <v>42370</v>
      </c>
      <c r="B182" s="243">
        <v>6.443659334301402E-2</v>
      </c>
      <c r="D182" s="260">
        <v>41306</v>
      </c>
      <c r="E182" s="9">
        <v>44.187862396240234</v>
      </c>
      <c r="F182" s="9">
        <v>45.687862396240234</v>
      </c>
      <c r="G182" s="9">
        <v>47.187862396240234</v>
      </c>
      <c r="H182" s="8"/>
      <c r="I182" s="9">
        <v>23.25</v>
      </c>
      <c r="J182" s="9">
        <v>23.5</v>
      </c>
      <c r="K182" s="9">
        <v>24.25</v>
      </c>
      <c r="L182" s="7"/>
      <c r="M182" s="249">
        <v>42186</v>
      </c>
      <c r="N182" s="261">
        <v>41</v>
      </c>
      <c r="O182" s="261">
        <v>42.5</v>
      </c>
      <c r="P182" s="261">
        <v>44</v>
      </c>
      <c r="Q182" s="248"/>
      <c r="R182" s="261">
        <v>31.5</v>
      </c>
      <c r="S182" s="261">
        <v>33</v>
      </c>
      <c r="T182" s="261">
        <v>34.5</v>
      </c>
      <c r="U182" s="248"/>
      <c r="V182" s="261">
        <v>0</v>
      </c>
      <c r="W182" s="261">
        <v>0</v>
      </c>
      <c r="X182" s="261">
        <v>0</v>
      </c>
      <c r="Y182" s="248"/>
      <c r="Z182" s="261">
        <v>0.06</v>
      </c>
      <c r="AA182" s="261">
        <v>0.08</v>
      </c>
      <c r="AB182" s="261">
        <v>0.12</v>
      </c>
      <c r="AC182" s="248"/>
      <c r="AD182" s="261">
        <v>0.16125</v>
      </c>
      <c r="AE182" s="261">
        <v>0.215</v>
      </c>
      <c r="AF182" s="261">
        <v>0.32250000000000001</v>
      </c>
      <c r="AG182" s="248"/>
      <c r="AH182" s="261">
        <v>-0.4</v>
      </c>
      <c r="AI182" s="261">
        <v>3.9</v>
      </c>
      <c r="AJ182" s="261">
        <v>0.5</v>
      </c>
      <c r="AK182" s="248"/>
      <c r="AL182" s="261">
        <v>-0.1</v>
      </c>
      <c r="AM182" s="261">
        <v>1.1499999999999999</v>
      </c>
      <c r="AN182" s="261">
        <v>0.1</v>
      </c>
      <c r="AO182" s="248"/>
      <c r="AP182" s="7">
        <v>58</v>
      </c>
      <c r="AQ182" s="9">
        <v>0.4</v>
      </c>
      <c r="AR182" s="248"/>
      <c r="AS182" s="248"/>
      <c r="AT182" s="248"/>
      <c r="AU182" s="248"/>
      <c r="AV182" s="248"/>
      <c r="AW182" s="248"/>
      <c r="AX182" s="248"/>
      <c r="AY182" s="248"/>
      <c r="AZ182" s="248"/>
      <c r="BA182" s="248"/>
      <c r="BB182" s="248"/>
      <c r="BC182" s="248"/>
      <c r="BD182" s="248"/>
      <c r="BE182" s="248"/>
      <c r="BF182" s="248"/>
      <c r="BG182" s="248"/>
      <c r="BH182" s="249">
        <v>42186</v>
      </c>
      <c r="BI182" s="262">
        <v>0.75</v>
      </c>
      <c r="BJ182" s="248"/>
      <c r="BK182" s="248"/>
      <c r="BL182" s="248"/>
      <c r="BM182" s="248"/>
      <c r="BN182" s="248"/>
      <c r="BO182"/>
      <c r="BP182"/>
      <c r="BQ182"/>
      <c r="BR182"/>
      <c r="BS182"/>
      <c r="BT182" s="248"/>
      <c r="BU182" s="248"/>
      <c r="BV182" s="248"/>
      <c r="BW182" s="248"/>
      <c r="BX182" s="248"/>
      <c r="BY182" s="248"/>
      <c r="BZ182" s="248"/>
      <c r="CA182" s="248"/>
      <c r="CB182" s="248"/>
      <c r="CC182" s="248"/>
      <c r="CD182" s="248"/>
      <c r="CE182" s="248"/>
      <c r="CF182" s="248"/>
      <c r="CG182" s="248"/>
    </row>
    <row r="183" spans="1:85" ht="12.75" x14ac:dyDescent="0.2">
      <c r="A183" s="29">
        <v>42401</v>
      </c>
      <c r="B183" s="243">
        <v>6.4462846761543013E-2</v>
      </c>
      <c r="D183" s="260">
        <v>41334</v>
      </c>
      <c r="E183" s="9">
        <v>35.398544311523438</v>
      </c>
      <c r="F183" s="9">
        <v>36.898544311523438</v>
      </c>
      <c r="G183" s="9">
        <v>38.398544311523438</v>
      </c>
      <c r="H183" s="8"/>
      <c r="I183" s="9">
        <v>24.25</v>
      </c>
      <c r="J183" s="9">
        <v>24.5</v>
      </c>
      <c r="K183" s="9">
        <v>25.25</v>
      </c>
      <c r="L183" s="7"/>
      <c r="M183" s="249">
        <v>42217</v>
      </c>
      <c r="N183" s="261">
        <v>39.000003814697266</v>
      </c>
      <c r="O183" s="261">
        <v>40.500003814697266</v>
      </c>
      <c r="P183" s="261">
        <v>42.000003814697266</v>
      </c>
      <c r="Q183" s="248"/>
      <c r="R183" s="261">
        <v>31.5</v>
      </c>
      <c r="S183" s="261">
        <v>33</v>
      </c>
      <c r="T183" s="261">
        <v>34.5</v>
      </c>
      <c r="U183" s="248"/>
      <c r="V183" s="261">
        <v>0</v>
      </c>
      <c r="W183" s="261">
        <v>0</v>
      </c>
      <c r="X183" s="261">
        <v>0</v>
      </c>
      <c r="Y183" s="248"/>
      <c r="Z183" s="261">
        <v>0.06</v>
      </c>
      <c r="AA183" s="261">
        <v>0.08</v>
      </c>
      <c r="AB183" s="261">
        <v>0.12</v>
      </c>
      <c r="AC183" s="248"/>
      <c r="AD183" s="261">
        <v>0.16125</v>
      </c>
      <c r="AE183" s="261">
        <v>0.215</v>
      </c>
      <c r="AF183" s="261">
        <v>0.32250000000000001</v>
      </c>
      <c r="AG183" s="248"/>
      <c r="AH183" s="261">
        <v>-0.5</v>
      </c>
      <c r="AI183" s="261">
        <v>3.9</v>
      </c>
      <c r="AJ183" s="261">
        <v>1.75</v>
      </c>
      <c r="AK183" s="248"/>
      <c r="AL183" s="261">
        <v>-0.1</v>
      </c>
      <c r="AM183" s="261">
        <v>1.1499999999999999</v>
      </c>
      <c r="AN183" s="261">
        <v>0.1</v>
      </c>
      <c r="AO183" s="248"/>
      <c r="AP183" s="7">
        <v>59</v>
      </c>
      <c r="AQ183" s="9">
        <v>0.4</v>
      </c>
      <c r="AR183" s="248"/>
      <c r="AS183" s="248"/>
      <c r="AT183" s="248"/>
      <c r="AU183" s="248"/>
      <c r="AV183" s="248"/>
      <c r="AW183" s="248"/>
      <c r="AX183" s="248"/>
      <c r="AY183" s="248"/>
      <c r="AZ183" s="248"/>
      <c r="BA183" s="248"/>
      <c r="BB183" s="248"/>
      <c r="BC183" s="248"/>
      <c r="BD183" s="248"/>
      <c r="BE183" s="248"/>
      <c r="BF183" s="248"/>
      <c r="BG183" s="248"/>
      <c r="BH183" s="249">
        <v>42217</v>
      </c>
      <c r="BI183" s="262">
        <v>0.75</v>
      </c>
      <c r="BJ183" s="248"/>
      <c r="BK183" s="248"/>
      <c r="BL183" s="248"/>
      <c r="BM183" s="248"/>
      <c r="BN183" s="248"/>
      <c r="BO183"/>
      <c r="BP183"/>
      <c r="BQ183"/>
      <c r="BR183"/>
      <c r="BS183"/>
      <c r="BT183" s="248"/>
      <c r="BU183" s="248"/>
      <c r="BV183" s="248"/>
      <c r="BW183" s="248"/>
      <c r="BX183" s="248"/>
      <c r="BY183" s="248"/>
      <c r="BZ183" s="248"/>
      <c r="CA183" s="248"/>
      <c r="CB183" s="248"/>
      <c r="CC183" s="248"/>
      <c r="CD183" s="248"/>
      <c r="CE183" s="248"/>
      <c r="CF183" s="248"/>
      <c r="CG183" s="248"/>
    </row>
    <row r="184" spans="1:85" ht="12.75" x14ac:dyDescent="0.2">
      <c r="A184" s="29">
        <v>42430</v>
      </c>
      <c r="B184" s="243">
        <v>6.4490910760914011E-2</v>
      </c>
      <c r="D184" s="260">
        <v>41365</v>
      </c>
      <c r="E184" s="9">
        <v>35.848545074462891</v>
      </c>
      <c r="F184" s="9">
        <v>37.348545074462891</v>
      </c>
      <c r="G184" s="9">
        <v>38.848545074462891</v>
      </c>
      <c r="H184" s="8"/>
      <c r="I184" s="9">
        <v>22.25</v>
      </c>
      <c r="J184" s="9">
        <v>22.5</v>
      </c>
      <c r="K184" s="9">
        <v>23.25</v>
      </c>
      <c r="L184" s="7"/>
      <c r="M184" s="249">
        <v>42248</v>
      </c>
      <c r="N184" s="261">
        <v>31</v>
      </c>
      <c r="O184" s="261">
        <v>32.5</v>
      </c>
      <c r="P184" s="261">
        <v>34</v>
      </c>
      <c r="Q184" s="248"/>
      <c r="R184" s="261">
        <v>25.5</v>
      </c>
      <c r="S184" s="261">
        <v>27</v>
      </c>
      <c r="T184" s="261">
        <v>28.5</v>
      </c>
      <c r="U184" s="248"/>
      <c r="V184" s="261">
        <v>0</v>
      </c>
      <c r="W184" s="261">
        <v>0</v>
      </c>
      <c r="X184" s="261">
        <v>0</v>
      </c>
      <c r="Y184" s="248"/>
      <c r="Z184" s="261">
        <v>0.06</v>
      </c>
      <c r="AA184" s="261">
        <v>0.08</v>
      </c>
      <c r="AB184" s="261">
        <v>0.12</v>
      </c>
      <c r="AC184" s="248"/>
      <c r="AD184" s="261">
        <v>0.10125000000000001</v>
      </c>
      <c r="AE184" s="261">
        <v>0.13500000000000001</v>
      </c>
      <c r="AF184" s="261">
        <v>0.20250000000000001</v>
      </c>
      <c r="AG184" s="248"/>
      <c r="AH184" s="261">
        <v>-1</v>
      </c>
      <c r="AI184" s="261">
        <v>2.33</v>
      </c>
      <c r="AJ184" s="261">
        <v>2.5</v>
      </c>
      <c r="AK184" s="248"/>
      <c r="AL184" s="261">
        <v>-0.1</v>
      </c>
      <c r="AM184" s="261">
        <v>1.05</v>
      </c>
      <c r="AN184" s="261">
        <v>0.1</v>
      </c>
      <c r="AO184" s="248"/>
      <c r="AP184" s="7">
        <v>59</v>
      </c>
      <c r="AQ184" s="9">
        <v>0.4</v>
      </c>
      <c r="AR184" s="248"/>
      <c r="AS184" s="248"/>
      <c r="AT184" s="248"/>
      <c r="AU184" s="248"/>
      <c r="AV184" s="248"/>
      <c r="AW184" s="248"/>
      <c r="AX184" s="248"/>
      <c r="AY184" s="248"/>
      <c r="AZ184" s="248"/>
      <c r="BA184" s="248"/>
      <c r="BB184" s="248"/>
      <c r="BC184" s="248"/>
      <c r="BD184" s="248"/>
      <c r="BE184" s="248"/>
      <c r="BF184" s="248"/>
      <c r="BG184" s="248"/>
      <c r="BH184" s="249">
        <v>42248</v>
      </c>
      <c r="BI184" s="262">
        <v>0.75</v>
      </c>
      <c r="BJ184" s="248"/>
      <c r="BK184" s="248"/>
      <c r="BL184" s="248"/>
      <c r="BM184" s="248"/>
      <c r="BN184" s="248"/>
      <c r="BO184"/>
      <c r="BP184"/>
      <c r="BQ184"/>
      <c r="BR184"/>
      <c r="BS184"/>
      <c r="BT184" s="248"/>
      <c r="BU184" s="248"/>
      <c r="BV184" s="248"/>
      <c r="BW184" s="248"/>
      <c r="BX184" s="248"/>
      <c r="BY184" s="248"/>
      <c r="BZ184" s="248"/>
      <c r="CA184" s="248"/>
      <c r="CB184" s="248"/>
      <c r="CC184" s="248"/>
      <c r="CD184" s="248"/>
      <c r="CE184" s="248"/>
      <c r="CF184" s="248"/>
      <c r="CG184" s="248"/>
    </row>
    <row r="185" spans="1:85" ht="12.75" x14ac:dyDescent="0.2">
      <c r="A185" s="29">
        <v>42461</v>
      </c>
      <c r="B185" s="243">
        <v>6.4518069470231018E-2</v>
      </c>
      <c r="D185" s="260">
        <v>41395</v>
      </c>
      <c r="E185" s="9">
        <v>36.703566741943362</v>
      </c>
      <c r="F185" s="9">
        <v>39.003566741943359</v>
      </c>
      <c r="G185" s="9">
        <v>41.303566741943357</v>
      </c>
      <c r="H185" s="8"/>
      <c r="I185" s="9">
        <v>24.25</v>
      </c>
      <c r="J185" s="9">
        <v>24.5</v>
      </c>
      <c r="K185" s="9">
        <v>25.25</v>
      </c>
      <c r="L185" s="7"/>
      <c r="M185" s="249">
        <v>42278</v>
      </c>
      <c r="N185" s="261">
        <v>25.996000289916992</v>
      </c>
      <c r="O185" s="261">
        <v>27.496000289916992</v>
      </c>
      <c r="P185" s="261">
        <v>28.996000289916992</v>
      </c>
      <c r="Q185" s="248"/>
      <c r="R185" s="261">
        <v>20.496500015258789</v>
      </c>
      <c r="S185" s="261">
        <v>21.996500015258789</v>
      </c>
      <c r="T185" s="261">
        <v>23.496500015258789</v>
      </c>
      <c r="U185" s="248"/>
      <c r="V185" s="261">
        <v>0</v>
      </c>
      <c r="W185" s="261">
        <v>0</v>
      </c>
      <c r="X185" s="261">
        <v>0</v>
      </c>
      <c r="Y185" s="248"/>
      <c r="Z185" s="261">
        <v>0.06</v>
      </c>
      <c r="AA185" s="261">
        <v>0.08</v>
      </c>
      <c r="AB185" s="261">
        <v>0.12</v>
      </c>
      <c r="AC185" s="248"/>
      <c r="AD185" s="261">
        <v>7.8750000000000001E-2</v>
      </c>
      <c r="AE185" s="261">
        <v>0.105</v>
      </c>
      <c r="AF185" s="261">
        <v>0.1575</v>
      </c>
      <c r="AG185" s="248"/>
      <c r="AH185" s="261">
        <v>-1</v>
      </c>
      <c r="AI185" s="261">
        <v>2.06</v>
      </c>
      <c r="AJ185" s="261">
        <v>2.5</v>
      </c>
      <c r="AK185" s="248"/>
      <c r="AL185" s="261">
        <v>-0.1</v>
      </c>
      <c r="AM185" s="261">
        <v>1</v>
      </c>
      <c r="AN185" s="261">
        <v>0.1</v>
      </c>
      <c r="AO185" s="248"/>
      <c r="AP185" s="7">
        <v>59</v>
      </c>
      <c r="AQ185" s="9">
        <v>0.4</v>
      </c>
      <c r="AR185" s="248"/>
      <c r="AS185" s="248"/>
      <c r="AT185" s="248"/>
      <c r="AU185" s="248"/>
      <c r="AV185" s="248"/>
      <c r="AW185" s="248"/>
      <c r="AX185" s="248"/>
      <c r="AY185" s="248"/>
      <c r="AZ185" s="248"/>
      <c r="BA185" s="248"/>
      <c r="BB185" s="248"/>
      <c r="BC185" s="248"/>
      <c r="BD185" s="248"/>
      <c r="BE185" s="248"/>
      <c r="BF185" s="248"/>
      <c r="BG185" s="248"/>
      <c r="BH185" s="249">
        <v>42278</v>
      </c>
      <c r="BI185" s="262">
        <v>0.75</v>
      </c>
      <c r="BJ185" s="248"/>
      <c r="BK185" s="248"/>
      <c r="BL185" s="248"/>
      <c r="BM185" s="248"/>
      <c r="BN185" s="248"/>
      <c r="BO185"/>
      <c r="BP185"/>
      <c r="BQ185"/>
      <c r="BR185"/>
      <c r="BS185"/>
      <c r="BT185" s="248"/>
      <c r="BU185" s="248"/>
      <c r="BV185" s="248"/>
      <c r="BW185" s="248"/>
      <c r="BX185" s="248"/>
      <c r="BY185" s="248"/>
      <c r="BZ185" s="248"/>
      <c r="CA185" s="248"/>
      <c r="CB185" s="248"/>
      <c r="CC185" s="248"/>
      <c r="CD185" s="248"/>
      <c r="CE185" s="248"/>
      <c r="CF185" s="248"/>
      <c r="CG185" s="248"/>
    </row>
    <row r="186" spans="1:85" ht="12.75" x14ac:dyDescent="0.2">
      <c r="A186" s="29">
        <v>42491</v>
      </c>
      <c r="B186" s="243">
        <v>6.4546133470116021E-2</v>
      </c>
      <c r="D186" s="260">
        <v>41426</v>
      </c>
      <c r="E186" s="9">
        <v>43.997856140136719</v>
      </c>
      <c r="F186" s="9">
        <v>48.997856140136719</v>
      </c>
      <c r="G186" s="9">
        <v>53.997856140136719</v>
      </c>
      <c r="H186" s="8"/>
      <c r="I186" s="9">
        <v>27.25</v>
      </c>
      <c r="J186" s="9">
        <v>27.5</v>
      </c>
      <c r="K186" s="9">
        <v>28.25</v>
      </c>
      <c r="L186" s="7"/>
      <c r="M186" s="249">
        <v>42309</v>
      </c>
      <c r="N186" s="261">
        <v>28</v>
      </c>
      <c r="O186" s="261">
        <v>29.5</v>
      </c>
      <c r="P186" s="261">
        <v>31</v>
      </c>
      <c r="Q186" s="248"/>
      <c r="R186" s="261">
        <v>20.5</v>
      </c>
      <c r="S186" s="261">
        <v>22</v>
      </c>
      <c r="T186" s="261">
        <v>23.5</v>
      </c>
      <c r="U186" s="248"/>
      <c r="V186" s="261">
        <v>0</v>
      </c>
      <c r="W186" s="261">
        <v>0</v>
      </c>
      <c r="X186" s="261">
        <v>0</v>
      </c>
      <c r="Y186" s="248"/>
      <c r="Z186" s="261">
        <v>0.06</v>
      </c>
      <c r="AA186" s="261">
        <v>0.08</v>
      </c>
      <c r="AB186" s="261">
        <v>0.12</v>
      </c>
      <c r="AC186" s="248"/>
      <c r="AD186" s="261">
        <v>7.8750000000000001E-2</v>
      </c>
      <c r="AE186" s="261">
        <v>0.105</v>
      </c>
      <c r="AF186" s="261">
        <v>0.1575</v>
      </c>
      <c r="AG186" s="248"/>
      <c r="AH186" s="261">
        <v>-0.5</v>
      </c>
      <c r="AI186" s="261">
        <v>2.052</v>
      </c>
      <c r="AJ186" s="261">
        <v>1</v>
      </c>
      <c r="AK186" s="248"/>
      <c r="AL186" s="261">
        <v>-0.1</v>
      </c>
      <c r="AM186" s="261">
        <v>1</v>
      </c>
      <c r="AN186" s="261">
        <v>0.1</v>
      </c>
      <c r="AO186" s="248"/>
      <c r="AP186" s="7">
        <v>60</v>
      </c>
      <c r="AQ186" s="9">
        <v>0.4</v>
      </c>
      <c r="AR186" s="248"/>
      <c r="AS186" s="248"/>
      <c r="AT186" s="248"/>
      <c r="AU186" s="248"/>
      <c r="AV186" s="248"/>
      <c r="AW186" s="248"/>
      <c r="AX186" s="248"/>
      <c r="AY186" s="248"/>
      <c r="AZ186" s="248"/>
      <c r="BA186" s="248"/>
      <c r="BB186" s="248"/>
      <c r="BC186" s="248"/>
      <c r="BD186" s="248"/>
      <c r="BE186" s="248"/>
      <c r="BF186" s="248"/>
      <c r="BG186" s="248"/>
      <c r="BH186" s="249">
        <v>42309</v>
      </c>
      <c r="BI186" s="262">
        <v>0.75</v>
      </c>
      <c r="BJ186" s="248"/>
      <c r="BK186" s="248"/>
      <c r="BL186" s="248"/>
      <c r="BM186" s="248"/>
      <c r="BN186" s="248"/>
      <c r="BO186"/>
      <c r="BP186"/>
      <c r="BQ186"/>
      <c r="BR186"/>
      <c r="BS186"/>
      <c r="BT186" s="248"/>
      <c r="BU186" s="248"/>
      <c r="BV186" s="248"/>
      <c r="BW186" s="248"/>
      <c r="BX186" s="248"/>
      <c r="BY186" s="248"/>
      <c r="BZ186" s="248"/>
      <c r="CA186" s="248"/>
      <c r="CB186" s="248"/>
      <c r="CC186" s="248"/>
      <c r="CD186" s="248"/>
      <c r="CE186" s="248"/>
      <c r="CF186" s="248"/>
      <c r="CG186" s="248"/>
    </row>
    <row r="187" spans="1:85" ht="12.75" x14ac:dyDescent="0.2">
      <c r="A187" s="29">
        <v>42522</v>
      </c>
      <c r="B187" s="243">
        <v>6.4573292179930006E-2</v>
      </c>
      <c r="D187" s="260">
        <v>41456</v>
      </c>
      <c r="E187" s="9">
        <v>67.997146606445313</v>
      </c>
      <c r="F187" s="9">
        <v>77.997146606445313</v>
      </c>
      <c r="G187" s="9">
        <v>87.997146606445313</v>
      </c>
      <c r="H187" s="8"/>
      <c r="I187" s="9">
        <v>27.75</v>
      </c>
      <c r="J187" s="9">
        <v>28</v>
      </c>
      <c r="K187" s="9">
        <v>28.75</v>
      </c>
      <c r="L187" s="7"/>
      <c r="M187" s="249">
        <v>42339</v>
      </c>
      <c r="N187" s="261">
        <v>33</v>
      </c>
      <c r="O187" s="261">
        <v>34.5</v>
      </c>
      <c r="P187" s="261">
        <v>36</v>
      </c>
      <c r="Q187" s="248"/>
      <c r="R187" s="261">
        <v>27.5</v>
      </c>
      <c r="S187" s="261">
        <v>29</v>
      </c>
      <c r="T187" s="261">
        <v>30.5</v>
      </c>
      <c r="U187" s="248"/>
      <c r="V187" s="261">
        <v>0</v>
      </c>
      <c r="W187" s="261">
        <v>0</v>
      </c>
      <c r="X187" s="261">
        <v>0</v>
      </c>
      <c r="Y187" s="248"/>
      <c r="Z187" s="261">
        <v>0.06</v>
      </c>
      <c r="AA187" s="261">
        <v>0.08</v>
      </c>
      <c r="AB187" s="261">
        <v>0.12</v>
      </c>
      <c r="AC187" s="248"/>
      <c r="AD187" s="261">
        <v>0.10875</v>
      </c>
      <c r="AE187" s="261">
        <v>0.14499999999999999</v>
      </c>
      <c r="AF187" s="261">
        <v>0.2175</v>
      </c>
      <c r="AG187" s="248"/>
      <c r="AH187" s="261">
        <v>-0.4</v>
      </c>
      <c r="AI187" s="261">
        <v>1.89</v>
      </c>
      <c r="AJ187" s="261">
        <v>0.5</v>
      </c>
      <c r="AK187" s="248"/>
      <c r="AL187" s="261">
        <v>-0.1</v>
      </c>
      <c r="AM187" s="261">
        <v>1</v>
      </c>
      <c r="AN187" s="261">
        <v>0.1</v>
      </c>
      <c r="AO187" s="248"/>
      <c r="AP187" s="7">
        <v>60</v>
      </c>
      <c r="AQ187" s="9">
        <v>0.4</v>
      </c>
      <c r="AR187" s="248"/>
      <c r="AS187" s="248"/>
      <c r="AT187" s="248"/>
      <c r="AU187" s="248"/>
      <c r="AV187" s="248"/>
      <c r="AW187" s="248"/>
      <c r="AX187" s="248"/>
      <c r="AY187" s="248"/>
      <c r="AZ187" s="248"/>
      <c r="BA187" s="248"/>
      <c r="BB187" s="248"/>
      <c r="BC187" s="248"/>
      <c r="BD187" s="248"/>
      <c r="BE187" s="248"/>
      <c r="BF187" s="248"/>
      <c r="BG187" s="248"/>
      <c r="BH187" s="249">
        <v>42339</v>
      </c>
      <c r="BI187" s="262">
        <v>0.75</v>
      </c>
      <c r="BJ187" s="248"/>
      <c r="BK187" s="248"/>
      <c r="BL187" s="248"/>
      <c r="BM187" s="248"/>
      <c r="BN187" s="248"/>
      <c r="BO187"/>
      <c r="BP187"/>
      <c r="BQ187"/>
      <c r="BR187"/>
      <c r="BS187"/>
      <c r="BT187" s="248"/>
      <c r="BU187" s="248"/>
      <c r="BV187" s="248"/>
      <c r="BW187" s="248"/>
      <c r="BX187" s="248"/>
      <c r="BY187" s="248"/>
      <c r="BZ187" s="248"/>
      <c r="CA187" s="248"/>
      <c r="CB187" s="248"/>
      <c r="CC187" s="248"/>
      <c r="CD187" s="248"/>
      <c r="CE187" s="248"/>
      <c r="CF187" s="248"/>
      <c r="CG187" s="248"/>
    </row>
    <row r="188" spans="1:85" ht="12.75" x14ac:dyDescent="0.2">
      <c r="A188" s="29">
        <v>42552</v>
      </c>
      <c r="B188" s="243">
        <v>6.4601356180328001E-2</v>
      </c>
      <c r="D188" s="260">
        <v>41487</v>
      </c>
      <c r="E188" s="9">
        <v>67.997146606445313</v>
      </c>
      <c r="F188" s="9">
        <v>77.997146606445313</v>
      </c>
      <c r="G188" s="9">
        <v>87.997146606445313</v>
      </c>
      <c r="H188" s="8"/>
      <c r="I188" s="9">
        <v>28.75</v>
      </c>
      <c r="J188" s="9">
        <v>29</v>
      </c>
      <c r="K188" s="9">
        <v>29.75</v>
      </c>
      <c r="L188" s="7"/>
      <c r="M188" s="249">
        <v>42370</v>
      </c>
      <c r="N188" s="261">
        <v>35.5</v>
      </c>
      <c r="O188" s="261">
        <v>37</v>
      </c>
      <c r="P188" s="261">
        <v>38.5</v>
      </c>
      <c r="Q188" s="248"/>
      <c r="R188" s="261">
        <v>25</v>
      </c>
      <c r="S188" s="261">
        <v>26.5</v>
      </c>
      <c r="T188" s="261">
        <v>28</v>
      </c>
      <c r="U188" s="248"/>
      <c r="V188" s="261">
        <v>0</v>
      </c>
      <c r="W188" s="261">
        <v>0</v>
      </c>
      <c r="X188" s="261">
        <v>0</v>
      </c>
      <c r="Y188" s="248"/>
      <c r="Z188" s="261">
        <v>0.06</v>
      </c>
      <c r="AA188" s="261">
        <v>0.08</v>
      </c>
      <c r="AB188" s="261">
        <v>0.12</v>
      </c>
      <c r="AC188" s="248"/>
      <c r="AD188" s="261">
        <v>0.10125000000000001</v>
      </c>
      <c r="AE188" s="261">
        <v>0.13500000000000001</v>
      </c>
      <c r="AF188" s="261">
        <v>0.20250000000000001</v>
      </c>
      <c r="AG188" s="248"/>
      <c r="AH188" s="261">
        <v>-0.4</v>
      </c>
      <c r="AI188" s="261">
        <v>2.3220000000000001</v>
      </c>
      <c r="AJ188" s="261">
        <v>0.5</v>
      </c>
      <c r="AK188" s="248"/>
      <c r="AL188" s="261">
        <v>-0.1</v>
      </c>
      <c r="AM188" s="261">
        <v>1</v>
      </c>
      <c r="AN188" s="261">
        <v>0.1</v>
      </c>
      <c r="AO188" s="248"/>
      <c r="AP188" s="7">
        <v>60</v>
      </c>
      <c r="AQ188" s="9">
        <v>0.4</v>
      </c>
      <c r="AR188" s="248"/>
      <c r="AS188" s="248"/>
      <c r="AT188" s="248"/>
      <c r="AU188" s="248"/>
      <c r="AV188" s="248"/>
      <c r="AW188" s="248"/>
      <c r="AX188" s="248"/>
      <c r="AY188" s="248"/>
      <c r="AZ188" s="248"/>
      <c r="BA188" s="248"/>
      <c r="BB188" s="248"/>
      <c r="BC188" s="248"/>
      <c r="BD188" s="248"/>
      <c r="BE188" s="248"/>
      <c r="BF188" s="248"/>
      <c r="BG188" s="248"/>
      <c r="BH188" s="249">
        <v>42370</v>
      </c>
      <c r="BI188" s="262">
        <v>0.75</v>
      </c>
      <c r="BJ188" s="248"/>
      <c r="BK188" s="248"/>
      <c r="BL188" s="248"/>
      <c r="BM188" s="248"/>
      <c r="BN188" s="248"/>
      <c r="BO188"/>
      <c r="BP188"/>
      <c r="BQ188"/>
      <c r="BR188"/>
      <c r="BS188"/>
      <c r="BT188" s="248"/>
      <c r="BU188" s="248"/>
      <c r="BV188" s="248"/>
      <c r="BW188" s="248"/>
      <c r="BX188" s="248"/>
      <c r="BY188" s="248"/>
      <c r="BZ188" s="248"/>
      <c r="CA188" s="248"/>
      <c r="CB188" s="248"/>
      <c r="CC188" s="248"/>
      <c r="CD188" s="248"/>
      <c r="CE188" s="248"/>
      <c r="CF188" s="248"/>
      <c r="CG188" s="248"/>
    </row>
    <row r="189" spans="1:85" ht="12.75" x14ac:dyDescent="0.2">
      <c r="A189" s="29">
        <v>42583</v>
      </c>
      <c r="B189" s="243">
        <v>6.462942018098701E-2</v>
      </c>
      <c r="D189" s="260">
        <v>41518</v>
      </c>
      <c r="E189" s="9">
        <v>37.752143859863281</v>
      </c>
      <c r="F189" s="9">
        <v>39.252143859863281</v>
      </c>
      <c r="G189" s="9">
        <v>40.752143859863281</v>
      </c>
      <c r="H189" s="8"/>
      <c r="I189" s="9">
        <v>21.75</v>
      </c>
      <c r="J189" s="9">
        <v>22</v>
      </c>
      <c r="K189" s="9">
        <v>22.75</v>
      </c>
      <c r="L189" s="7"/>
      <c r="M189" s="249">
        <v>42401</v>
      </c>
      <c r="N189" s="261">
        <v>30.996002197265625</v>
      </c>
      <c r="O189" s="261">
        <v>32.496002197265625</v>
      </c>
      <c r="P189" s="261">
        <v>33.996002197265625</v>
      </c>
      <c r="Q189" s="248"/>
      <c r="R189" s="261">
        <v>22.496501922607422</v>
      </c>
      <c r="S189" s="261">
        <v>23.996501922607422</v>
      </c>
      <c r="T189" s="261">
        <v>25.496501922607422</v>
      </c>
      <c r="U189" s="248"/>
      <c r="V189" s="261">
        <v>0</v>
      </c>
      <c r="W189" s="261">
        <v>0</v>
      </c>
      <c r="X189" s="261">
        <v>0</v>
      </c>
      <c r="Y189" s="248"/>
      <c r="Z189" s="261">
        <v>0.06</v>
      </c>
      <c r="AA189" s="261">
        <v>0.08</v>
      </c>
      <c r="AB189" s="261">
        <v>0.12</v>
      </c>
      <c r="AC189" s="248"/>
      <c r="AD189" s="261">
        <v>0.10125000000000001</v>
      </c>
      <c r="AE189" s="261">
        <v>0.13500000000000001</v>
      </c>
      <c r="AF189" s="261">
        <v>0.20250000000000001</v>
      </c>
      <c r="AG189" s="248"/>
      <c r="AH189" s="261">
        <v>-0.4</v>
      </c>
      <c r="AI189" s="261">
        <v>2.3220000000000001</v>
      </c>
      <c r="AJ189" s="261">
        <v>0.6</v>
      </c>
      <c r="AK189" s="248"/>
      <c r="AL189" s="261">
        <v>-0.1</v>
      </c>
      <c r="AM189" s="261">
        <v>1</v>
      </c>
      <c r="AN189" s="261">
        <v>0.1</v>
      </c>
      <c r="AO189" s="248"/>
      <c r="AP189" s="7">
        <v>61</v>
      </c>
      <c r="AQ189" s="9">
        <v>0.4</v>
      </c>
      <c r="AR189" s="248"/>
      <c r="AS189" s="248"/>
      <c r="AT189" s="248"/>
      <c r="AU189" s="248"/>
      <c r="AV189" s="248"/>
      <c r="AW189" s="248"/>
      <c r="AX189" s="248"/>
      <c r="AY189" s="248"/>
      <c r="AZ189" s="248"/>
      <c r="BA189" s="248"/>
      <c r="BB189" s="248"/>
      <c r="BC189" s="248"/>
      <c r="BD189" s="248"/>
      <c r="BE189" s="248"/>
      <c r="BF189" s="248"/>
      <c r="BG189" s="248"/>
      <c r="BH189" s="249">
        <v>42401</v>
      </c>
      <c r="BI189" s="262">
        <v>0.75</v>
      </c>
      <c r="BJ189" s="248"/>
      <c r="BK189" s="248"/>
      <c r="BL189" s="248"/>
      <c r="BM189" s="248"/>
      <c r="BN189" s="248"/>
      <c r="BO189"/>
      <c r="BP189"/>
      <c r="BQ189"/>
      <c r="BR189"/>
      <c r="BS189"/>
      <c r="BT189" s="248"/>
      <c r="BU189" s="248"/>
      <c r="BV189" s="248"/>
      <c r="BW189" s="248"/>
      <c r="BX189" s="248"/>
      <c r="BY189" s="248"/>
      <c r="BZ189" s="248"/>
      <c r="CA189" s="248"/>
      <c r="CB189" s="248"/>
      <c r="CC189" s="248"/>
      <c r="CD189" s="248"/>
      <c r="CE189" s="248"/>
      <c r="CF189" s="248"/>
      <c r="CG189" s="248"/>
    </row>
    <row r="190" spans="1:85" ht="12.75" x14ac:dyDescent="0.2">
      <c r="A190" s="29">
        <v>42614</v>
      </c>
      <c r="B190" s="243">
        <v>6.4656578891551006E-2</v>
      </c>
      <c r="D190" s="260">
        <v>41548</v>
      </c>
      <c r="E190" s="9">
        <v>35.648933410644531</v>
      </c>
      <c r="F190" s="9">
        <v>37.148933410644531</v>
      </c>
      <c r="G190" s="9">
        <v>38.648933410644531</v>
      </c>
      <c r="H190" s="8"/>
      <c r="I190" s="9">
        <v>19.250001907348633</v>
      </c>
      <c r="J190" s="9">
        <v>19.500001907348633</v>
      </c>
      <c r="K190" s="9">
        <v>20.250001907348633</v>
      </c>
      <c r="L190" s="7"/>
      <c r="M190" s="249">
        <v>42430</v>
      </c>
      <c r="N190" s="261">
        <v>26</v>
      </c>
      <c r="O190" s="261">
        <v>27.5</v>
      </c>
      <c r="P190" s="261">
        <v>29</v>
      </c>
      <c r="Q190" s="248"/>
      <c r="R190" s="261">
        <v>20.5</v>
      </c>
      <c r="S190" s="261">
        <v>22</v>
      </c>
      <c r="T190" s="261">
        <v>23.5</v>
      </c>
      <c r="U190" s="248"/>
      <c r="V190" s="261">
        <v>0</v>
      </c>
      <c r="W190" s="261">
        <v>0</v>
      </c>
      <c r="X190" s="261">
        <v>0</v>
      </c>
      <c r="Y190" s="248"/>
      <c r="Z190" s="261">
        <v>0.06</v>
      </c>
      <c r="AA190" s="261">
        <v>0.08</v>
      </c>
      <c r="AB190" s="261">
        <v>0.12</v>
      </c>
      <c r="AC190" s="248"/>
      <c r="AD190" s="261">
        <v>0.09</v>
      </c>
      <c r="AE190" s="261">
        <v>0.12</v>
      </c>
      <c r="AF190" s="261">
        <v>0.18</v>
      </c>
      <c r="AG190" s="248"/>
      <c r="AH190" s="261">
        <v>-0.5</v>
      </c>
      <c r="AI190" s="261">
        <v>2.052</v>
      </c>
      <c r="AJ190" s="261">
        <v>1</v>
      </c>
      <c r="AK190" s="248"/>
      <c r="AL190" s="261">
        <v>-0.1</v>
      </c>
      <c r="AM190" s="261">
        <v>1</v>
      </c>
      <c r="AN190" s="261">
        <v>0.1</v>
      </c>
      <c r="AO190" s="248"/>
      <c r="AP190" s="7">
        <v>61</v>
      </c>
      <c r="AQ190" s="9">
        <v>0.4</v>
      </c>
      <c r="AR190" s="248"/>
      <c r="AS190" s="248"/>
      <c r="AT190" s="248"/>
      <c r="AU190" s="248"/>
      <c r="AV190" s="248"/>
      <c r="AW190" s="248"/>
      <c r="AX190" s="248"/>
      <c r="AY190" s="248"/>
      <c r="AZ190" s="248"/>
      <c r="BA190" s="248"/>
      <c r="BB190" s="248"/>
      <c r="BC190" s="248"/>
      <c r="BD190" s="248"/>
      <c r="BE190" s="248"/>
      <c r="BF190" s="248"/>
      <c r="BG190" s="248"/>
      <c r="BH190" s="249">
        <v>42430</v>
      </c>
      <c r="BI190" s="262">
        <v>0.75</v>
      </c>
      <c r="BJ190" s="248"/>
      <c r="BK190" s="248"/>
      <c r="BL190" s="248"/>
      <c r="BM190" s="248"/>
      <c r="BN190" s="248"/>
      <c r="BO190"/>
      <c r="BP190"/>
      <c r="BQ190"/>
      <c r="BR190"/>
      <c r="BS190"/>
      <c r="BT190" s="248"/>
      <c r="BU190" s="248"/>
      <c r="BV190" s="248"/>
      <c r="BW190" s="248"/>
      <c r="BX190" s="248"/>
      <c r="BY190" s="248"/>
      <c r="BZ190" s="248"/>
      <c r="CA190" s="248"/>
      <c r="CB190" s="248"/>
      <c r="CC190" s="248"/>
      <c r="CD190" s="248"/>
      <c r="CE190" s="248"/>
      <c r="CF190" s="248"/>
      <c r="CG190" s="248"/>
    </row>
    <row r="191" spans="1:85" ht="12.75" x14ac:dyDescent="0.2">
      <c r="A191" s="29">
        <v>42644</v>
      </c>
      <c r="B191" s="243">
        <v>6.4684642892725006E-2</v>
      </c>
      <c r="D191" s="260">
        <v>41579</v>
      </c>
      <c r="E191" s="9">
        <v>35.748931884765625</v>
      </c>
      <c r="F191" s="9">
        <v>37.248931884765625</v>
      </c>
      <c r="G191" s="9">
        <v>38.748931884765625</v>
      </c>
      <c r="H191" s="8"/>
      <c r="I191" s="9">
        <v>21.25</v>
      </c>
      <c r="J191" s="9">
        <v>21.5</v>
      </c>
      <c r="K191" s="9">
        <v>22.25</v>
      </c>
      <c r="L191" s="7"/>
      <c r="M191" s="249">
        <v>42461</v>
      </c>
      <c r="N191" s="261">
        <v>26</v>
      </c>
      <c r="O191" s="261">
        <v>27.5</v>
      </c>
      <c r="P191" s="261">
        <v>29</v>
      </c>
      <c r="Q191" s="248"/>
      <c r="R191" s="261">
        <v>20.495000839233398</v>
      </c>
      <c r="S191" s="261">
        <v>21.995000839233398</v>
      </c>
      <c r="T191" s="261">
        <v>23.495000839233398</v>
      </c>
      <c r="U191" s="248"/>
      <c r="V191" s="261">
        <v>0</v>
      </c>
      <c r="W191" s="261">
        <v>0</v>
      </c>
      <c r="X191" s="261">
        <v>0</v>
      </c>
      <c r="Y191" s="248"/>
      <c r="Z191" s="261">
        <v>0.06</v>
      </c>
      <c r="AA191" s="261">
        <v>0.08</v>
      </c>
      <c r="AB191" s="261">
        <v>0.12</v>
      </c>
      <c r="AC191" s="248"/>
      <c r="AD191" s="261">
        <v>0.09</v>
      </c>
      <c r="AE191" s="261">
        <v>0.12</v>
      </c>
      <c r="AF191" s="261">
        <v>0.18</v>
      </c>
      <c r="AG191" s="248"/>
      <c r="AH191" s="261">
        <v>-0.5</v>
      </c>
      <c r="AI191" s="261">
        <v>1.9980000000000004</v>
      </c>
      <c r="AJ191" s="261">
        <v>1</v>
      </c>
      <c r="AK191" s="248"/>
      <c r="AL191" s="261">
        <v>-0.1</v>
      </c>
      <c r="AM191" s="261">
        <v>1</v>
      </c>
      <c r="AN191" s="261">
        <v>0.1</v>
      </c>
      <c r="AO191" s="248"/>
      <c r="AP191" s="7">
        <v>61</v>
      </c>
      <c r="AQ191" s="9">
        <v>0.4</v>
      </c>
      <c r="AR191" s="248"/>
      <c r="AS191" s="248"/>
      <c r="AT191" s="248"/>
      <c r="AU191" s="248"/>
      <c r="AV191" s="248"/>
      <c r="AW191" s="248"/>
      <c r="AX191" s="248"/>
      <c r="AY191" s="248"/>
      <c r="AZ191" s="248"/>
      <c r="BA191" s="248"/>
      <c r="BB191" s="248"/>
      <c r="BC191" s="248"/>
      <c r="BD191" s="248"/>
      <c r="BE191" s="248"/>
      <c r="BF191" s="248"/>
      <c r="BG191" s="248"/>
      <c r="BH191" s="249">
        <v>42461</v>
      </c>
      <c r="BI191" s="262">
        <v>0.75</v>
      </c>
      <c r="BJ191" s="248"/>
      <c r="BK191" s="248"/>
      <c r="BL191" s="248"/>
      <c r="BM191" s="248"/>
      <c r="BN191" s="248"/>
      <c r="BO191"/>
      <c r="BP191"/>
      <c r="BQ191"/>
      <c r="BR191"/>
      <c r="BS191"/>
      <c r="BT191" s="248"/>
      <c r="BU191" s="248"/>
      <c r="BV191" s="248"/>
      <c r="BW191" s="248"/>
      <c r="BX191" s="248"/>
      <c r="BY191" s="248"/>
      <c r="BZ191" s="248"/>
      <c r="CA191" s="248"/>
      <c r="CB191" s="248"/>
      <c r="CC191" s="248"/>
      <c r="CD191" s="248"/>
      <c r="CE191" s="248"/>
      <c r="CF191" s="248"/>
      <c r="CG191" s="248"/>
    </row>
    <row r="192" spans="1:85" ht="12.75" x14ac:dyDescent="0.2">
      <c r="A192" s="29">
        <v>42675</v>
      </c>
      <c r="B192" s="243">
        <v>6.4711801603786021E-2</v>
      </c>
      <c r="D192" s="260">
        <v>41609</v>
      </c>
      <c r="E192" s="9">
        <v>35.848930358886719</v>
      </c>
      <c r="F192" s="9">
        <v>37.348930358886719</v>
      </c>
      <c r="G192" s="9">
        <v>38.848930358886719</v>
      </c>
      <c r="H192" s="8"/>
      <c r="I192" s="9">
        <v>20.360000610351563</v>
      </c>
      <c r="J192" s="9">
        <v>20.610000610351562</v>
      </c>
      <c r="K192" s="9">
        <v>21.360000610351563</v>
      </c>
      <c r="L192" s="7"/>
      <c r="M192" s="249">
        <v>42491</v>
      </c>
      <c r="N192" s="261">
        <v>28</v>
      </c>
      <c r="O192" s="261">
        <v>29.5</v>
      </c>
      <c r="P192" s="261">
        <v>31</v>
      </c>
      <c r="Q192" s="248"/>
      <c r="R192" s="261">
        <v>21.504999160766602</v>
      </c>
      <c r="S192" s="261">
        <v>23.004999160766602</v>
      </c>
      <c r="T192" s="261">
        <v>24.504999160766602</v>
      </c>
      <c r="U192" s="248"/>
      <c r="V192" s="261">
        <v>0</v>
      </c>
      <c r="W192" s="261">
        <v>0</v>
      </c>
      <c r="X192" s="261">
        <v>0</v>
      </c>
      <c r="Y192" s="248"/>
      <c r="Z192" s="261">
        <v>0.06</v>
      </c>
      <c r="AA192" s="261">
        <v>0.08</v>
      </c>
      <c r="AB192" s="261">
        <v>0.12</v>
      </c>
      <c r="AC192" s="248"/>
      <c r="AD192" s="261">
        <v>0.11625000000000001</v>
      </c>
      <c r="AE192" s="261">
        <v>0.155</v>
      </c>
      <c r="AF192" s="261">
        <v>0.23250000000000001</v>
      </c>
      <c r="AG192" s="248"/>
      <c r="AH192" s="261">
        <v>-0.4</v>
      </c>
      <c r="AI192" s="261">
        <v>2.15</v>
      </c>
      <c r="AJ192" s="261">
        <v>0.5</v>
      </c>
      <c r="AK192" s="248"/>
      <c r="AL192" s="261">
        <v>-0.1</v>
      </c>
      <c r="AM192" s="261">
        <v>1.05</v>
      </c>
      <c r="AN192" s="261">
        <v>0.1</v>
      </c>
      <c r="AO192" s="248"/>
      <c r="AP192" s="7">
        <v>62</v>
      </c>
      <c r="AQ192" s="9">
        <v>0.4</v>
      </c>
      <c r="AR192" s="248"/>
      <c r="AS192" s="248"/>
      <c r="AT192" s="248"/>
      <c r="AU192" s="248"/>
      <c r="AV192" s="248"/>
      <c r="AW192" s="248"/>
      <c r="AX192" s="248"/>
      <c r="AY192" s="248"/>
      <c r="AZ192" s="248"/>
      <c r="BA192" s="248"/>
      <c r="BB192" s="248"/>
      <c r="BC192" s="248"/>
      <c r="BD192" s="248"/>
      <c r="BE192" s="248"/>
      <c r="BF192" s="248"/>
      <c r="BG192" s="248"/>
      <c r="BH192" s="249">
        <v>42491</v>
      </c>
      <c r="BI192" s="262">
        <v>0.75</v>
      </c>
      <c r="BJ192" s="248"/>
      <c r="BK192" s="248"/>
      <c r="BL192" s="248"/>
      <c r="BM192" s="248"/>
      <c r="BN192" s="248"/>
      <c r="BO192"/>
      <c r="BP192"/>
      <c r="BQ192"/>
      <c r="BR192"/>
      <c r="BS192"/>
      <c r="BT192" s="248"/>
      <c r="BU192" s="248"/>
      <c r="BV192" s="248"/>
      <c r="BW192" s="248"/>
      <c r="BX192" s="248"/>
      <c r="BY192" s="248"/>
      <c r="BZ192" s="248"/>
      <c r="CA192" s="248"/>
      <c r="CB192" s="248"/>
      <c r="CC192" s="248"/>
      <c r="CD192" s="248"/>
      <c r="CE192" s="248"/>
      <c r="CF192" s="248"/>
      <c r="CG192" s="248"/>
    </row>
    <row r="193" spans="1:85" ht="12.75" x14ac:dyDescent="0.2">
      <c r="A193" s="29">
        <v>42705</v>
      </c>
      <c r="B193" s="243">
        <v>6.4739865605473013E-2</v>
      </c>
      <c r="D193" s="260">
        <v>41640</v>
      </c>
      <c r="E193" s="9">
        <v>45.037864685058594</v>
      </c>
      <c r="F193" s="9">
        <v>46.537864685058594</v>
      </c>
      <c r="G193" s="9">
        <v>48.037864685058594</v>
      </c>
      <c r="H193" s="8"/>
      <c r="I193" s="9">
        <v>25.25</v>
      </c>
      <c r="J193" s="9">
        <v>25.5</v>
      </c>
      <c r="K193" s="9">
        <v>26.25</v>
      </c>
      <c r="L193" s="7"/>
      <c r="M193" s="249">
        <v>42522</v>
      </c>
      <c r="N193" s="261">
        <v>35</v>
      </c>
      <c r="O193" s="261">
        <v>36.5</v>
      </c>
      <c r="P193" s="261">
        <v>38</v>
      </c>
      <c r="Q193" s="248"/>
      <c r="R193" s="261">
        <v>25.5</v>
      </c>
      <c r="S193" s="261">
        <v>27</v>
      </c>
      <c r="T193" s="261">
        <v>28.5</v>
      </c>
      <c r="U193" s="248"/>
      <c r="V193" s="261">
        <v>0</v>
      </c>
      <c r="W193" s="261">
        <v>0</v>
      </c>
      <c r="X193" s="261">
        <v>0</v>
      </c>
      <c r="Y193" s="248"/>
      <c r="Z193" s="261">
        <v>0.06</v>
      </c>
      <c r="AA193" s="261">
        <v>0.08</v>
      </c>
      <c r="AB193" s="261">
        <v>0.12</v>
      </c>
      <c r="AC193" s="248"/>
      <c r="AD193" s="261">
        <v>0.13125000000000001</v>
      </c>
      <c r="AE193" s="261">
        <v>0.17499999999999999</v>
      </c>
      <c r="AF193" s="261">
        <v>0.26250000000000001</v>
      </c>
      <c r="AG193" s="248"/>
      <c r="AH193" s="261">
        <v>-0.4</v>
      </c>
      <c r="AI193" s="261">
        <v>2.9</v>
      </c>
      <c r="AJ193" s="261">
        <v>0.5</v>
      </c>
      <c r="AK193" s="248"/>
      <c r="AL193" s="261">
        <v>-0.1</v>
      </c>
      <c r="AM193" s="261">
        <v>1.1499999999999999</v>
      </c>
      <c r="AN193" s="261">
        <v>0.1</v>
      </c>
      <c r="AO193" s="248"/>
      <c r="AP193" s="7">
        <v>62</v>
      </c>
      <c r="AQ193" s="9">
        <v>0.4</v>
      </c>
      <c r="AR193" s="248"/>
      <c r="AS193" s="248"/>
      <c r="AT193" s="248"/>
      <c r="AU193" s="248"/>
      <c r="AV193" s="248"/>
      <c r="AW193" s="248"/>
      <c r="AX193" s="248"/>
      <c r="AY193" s="248"/>
      <c r="AZ193" s="248"/>
      <c r="BA193" s="248"/>
      <c r="BB193" s="248"/>
      <c r="BC193" s="248"/>
      <c r="BD193" s="248"/>
      <c r="BE193" s="248"/>
      <c r="BF193" s="248"/>
      <c r="BG193" s="248"/>
      <c r="BH193" s="249">
        <v>42522</v>
      </c>
      <c r="BI193" s="262">
        <v>0.75</v>
      </c>
      <c r="BJ193" s="248"/>
      <c r="BK193" s="248"/>
      <c r="BL193" s="248"/>
      <c r="BM193" s="248"/>
      <c r="BN193" s="248"/>
      <c r="BO193"/>
      <c r="BP193"/>
      <c r="BQ193"/>
      <c r="BR193"/>
      <c r="BS193"/>
      <c r="BT193" s="248"/>
      <c r="BU193" s="248"/>
      <c r="BV193" s="248"/>
      <c r="BW193" s="248"/>
      <c r="BX193" s="248"/>
      <c r="BY193" s="248"/>
      <c r="BZ193" s="248"/>
      <c r="CA193" s="248"/>
      <c r="CB193" s="248"/>
      <c r="CC193" s="248"/>
      <c r="CD193" s="248"/>
      <c r="CE193" s="248"/>
      <c r="CF193" s="248"/>
      <c r="CG193" s="248"/>
    </row>
    <row r="194" spans="1:85" ht="12.75" x14ac:dyDescent="0.2">
      <c r="A194" s="29">
        <v>42736</v>
      </c>
      <c r="B194" s="243">
        <v>6.4767929607421018E-2</v>
      </c>
      <c r="D194" s="260">
        <v>41671</v>
      </c>
      <c r="E194" s="9">
        <v>44.687862396240234</v>
      </c>
      <c r="F194" s="9">
        <v>46.187862396240234</v>
      </c>
      <c r="G194" s="9">
        <v>47.687862396240234</v>
      </c>
      <c r="H194" s="8"/>
      <c r="I194" s="9">
        <v>23.75</v>
      </c>
      <c r="J194" s="9">
        <v>24</v>
      </c>
      <c r="K194" s="9">
        <v>24.75</v>
      </c>
      <c r="L194" s="7"/>
      <c r="M194" s="249">
        <v>42552</v>
      </c>
      <c r="N194" s="261">
        <v>41</v>
      </c>
      <c r="O194" s="261">
        <v>42.5</v>
      </c>
      <c r="P194" s="261">
        <v>44</v>
      </c>
      <c r="Q194" s="248"/>
      <c r="R194" s="261">
        <v>31.5</v>
      </c>
      <c r="S194" s="261">
        <v>33</v>
      </c>
      <c r="T194" s="261">
        <v>34.5</v>
      </c>
      <c r="U194" s="248"/>
      <c r="V194" s="261">
        <v>0</v>
      </c>
      <c r="W194" s="261">
        <v>0</v>
      </c>
      <c r="X194" s="261">
        <v>0</v>
      </c>
      <c r="Y194" s="248"/>
      <c r="Z194" s="261">
        <v>0.06</v>
      </c>
      <c r="AA194" s="261">
        <v>0.08</v>
      </c>
      <c r="AB194" s="261">
        <v>0.12</v>
      </c>
      <c r="AC194" s="248"/>
      <c r="AD194" s="261">
        <v>0.16125</v>
      </c>
      <c r="AE194" s="261">
        <v>0.215</v>
      </c>
      <c r="AF194" s="261">
        <v>0.32250000000000001</v>
      </c>
      <c r="AG194" s="248"/>
      <c r="AH194" s="261">
        <v>-0.4</v>
      </c>
      <c r="AI194" s="261">
        <v>3.9</v>
      </c>
      <c r="AJ194" s="261">
        <v>0.5</v>
      </c>
      <c r="AK194" s="248"/>
      <c r="AL194" s="261">
        <v>-0.1</v>
      </c>
      <c r="AM194" s="261">
        <v>1.1499999999999999</v>
      </c>
      <c r="AN194" s="261">
        <v>0.1</v>
      </c>
      <c r="AO194" s="248"/>
      <c r="AP194" s="7">
        <v>62</v>
      </c>
      <c r="AQ194" s="9">
        <v>0.4</v>
      </c>
      <c r="AR194" s="248"/>
      <c r="AS194" s="248"/>
      <c r="AT194" s="248"/>
      <c r="AU194" s="248"/>
      <c r="AV194" s="248"/>
      <c r="AW194" s="248"/>
      <c r="AX194" s="248"/>
      <c r="AY194" s="248"/>
      <c r="AZ194" s="248"/>
      <c r="BA194" s="248"/>
      <c r="BB194" s="248"/>
      <c r="BC194" s="248"/>
      <c r="BD194" s="248"/>
      <c r="BE194" s="248"/>
      <c r="BF194" s="248"/>
      <c r="BG194" s="248"/>
      <c r="BH194" s="249">
        <v>42552</v>
      </c>
      <c r="BI194" s="262">
        <v>0.75</v>
      </c>
      <c r="BJ194" s="248"/>
      <c r="BK194" s="248"/>
      <c r="BL194" s="248"/>
      <c r="BM194" s="248"/>
      <c r="BN194" s="248"/>
      <c r="BO194"/>
      <c r="BP194"/>
      <c r="BQ194"/>
      <c r="BR194"/>
      <c r="BS194"/>
      <c r="BT194" s="248"/>
      <c r="BU194" s="248"/>
      <c r="BV194" s="248"/>
      <c r="BW194" s="248"/>
      <c r="BX194" s="248"/>
      <c r="BY194" s="248"/>
      <c r="BZ194" s="248"/>
      <c r="CA194" s="248"/>
      <c r="CB194" s="248"/>
      <c r="CC194" s="248"/>
      <c r="CD194" s="248"/>
      <c r="CE194" s="248"/>
      <c r="CF194" s="248"/>
      <c r="CG194" s="248"/>
    </row>
    <row r="195" spans="1:85" ht="12.75" x14ac:dyDescent="0.2">
      <c r="A195" s="29">
        <v>42767</v>
      </c>
      <c r="B195" s="243">
        <v>6.4793277738437016E-2</v>
      </c>
      <c r="D195" s="260">
        <v>41699</v>
      </c>
      <c r="E195" s="9">
        <v>35.898544311523437</v>
      </c>
      <c r="F195" s="9">
        <v>37.398544311523438</v>
      </c>
      <c r="G195" s="9">
        <v>38.898544311523438</v>
      </c>
      <c r="H195" s="8"/>
      <c r="I195" s="9">
        <v>24.75</v>
      </c>
      <c r="J195" s="9">
        <v>25</v>
      </c>
      <c r="K195" s="9">
        <v>25.75</v>
      </c>
      <c r="L195" s="7"/>
      <c r="M195" s="249">
        <v>42583</v>
      </c>
      <c r="N195" s="261">
        <v>39.000003814697266</v>
      </c>
      <c r="O195" s="261">
        <v>40.500003814697266</v>
      </c>
      <c r="P195" s="261">
        <v>42.000003814697266</v>
      </c>
      <c r="Q195" s="248"/>
      <c r="R195" s="261">
        <v>31.5</v>
      </c>
      <c r="S195" s="261">
        <v>33</v>
      </c>
      <c r="T195" s="261">
        <v>34.5</v>
      </c>
      <c r="U195" s="248"/>
      <c r="V195" s="261">
        <v>0</v>
      </c>
      <c r="W195" s="261">
        <v>0</v>
      </c>
      <c r="X195" s="261">
        <v>0</v>
      </c>
      <c r="Y195" s="248"/>
      <c r="Z195" s="261">
        <v>0.06</v>
      </c>
      <c r="AA195" s="261">
        <v>0.08</v>
      </c>
      <c r="AB195" s="261">
        <v>0.12</v>
      </c>
      <c r="AC195" s="248"/>
      <c r="AD195" s="261">
        <v>0.16125</v>
      </c>
      <c r="AE195" s="261">
        <v>0.215</v>
      </c>
      <c r="AF195" s="261">
        <v>0.32250000000000001</v>
      </c>
      <c r="AG195" s="248"/>
      <c r="AH195" s="261">
        <v>-0.5</v>
      </c>
      <c r="AI195" s="261">
        <v>3.9</v>
      </c>
      <c r="AJ195" s="261">
        <v>1.75</v>
      </c>
      <c r="AK195" s="248"/>
      <c r="AL195" s="261">
        <v>-0.1</v>
      </c>
      <c r="AM195" s="261">
        <v>1.1499999999999999</v>
      </c>
      <c r="AN195" s="261">
        <v>0.1</v>
      </c>
      <c r="AO195" s="248"/>
      <c r="AP195" s="7">
        <v>63</v>
      </c>
      <c r="AQ195" s="9">
        <v>0.4</v>
      </c>
      <c r="AR195" s="248"/>
      <c r="AS195" s="248"/>
      <c r="AT195" s="248"/>
      <c r="AU195" s="248"/>
      <c r="AV195" s="248"/>
      <c r="AW195" s="248"/>
      <c r="AX195" s="248"/>
      <c r="AY195" s="248"/>
      <c r="AZ195" s="248"/>
      <c r="BA195" s="248"/>
      <c r="BB195" s="248"/>
      <c r="BC195" s="248"/>
      <c r="BD195" s="248"/>
      <c r="BE195" s="248"/>
      <c r="BF195" s="248"/>
      <c r="BG195" s="248"/>
      <c r="BH195" s="249">
        <v>42583</v>
      </c>
      <c r="BI195" s="262">
        <v>0.75</v>
      </c>
      <c r="BJ195" s="248"/>
      <c r="BK195" s="248"/>
      <c r="BL195" s="248"/>
      <c r="BM195" s="248"/>
      <c r="BN195" s="248"/>
      <c r="BO195"/>
      <c r="BP195"/>
      <c r="BQ195"/>
      <c r="BR195"/>
      <c r="BS195"/>
      <c r="BT195" s="248"/>
      <c r="BU195" s="248"/>
      <c r="BV195" s="248"/>
      <c r="BW195" s="248"/>
      <c r="BX195" s="248"/>
      <c r="BY195" s="248"/>
      <c r="BZ195" s="248"/>
      <c r="CA195" s="248"/>
      <c r="CB195" s="248"/>
      <c r="CC195" s="248"/>
      <c r="CD195" s="248"/>
      <c r="CE195" s="248"/>
      <c r="CF195" s="248"/>
      <c r="CG195" s="248"/>
    </row>
    <row r="196" spans="1:85" ht="12.75" x14ac:dyDescent="0.2">
      <c r="A196" s="29">
        <v>42795</v>
      </c>
      <c r="B196" s="243">
        <v>6.4821341740882013E-2</v>
      </c>
      <c r="D196" s="260">
        <v>41730</v>
      </c>
      <c r="E196" s="9">
        <v>36.348545074462891</v>
      </c>
      <c r="F196" s="9">
        <v>37.848545074462891</v>
      </c>
      <c r="G196" s="9">
        <v>39.348545074462891</v>
      </c>
      <c r="H196" s="8"/>
      <c r="I196" s="9">
        <v>22.75</v>
      </c>
      <c r="J196" s="9">
        <v>23</v>
      </c>
      <c r="K196" s="9">
        <v>23.75</v>
      </c>
      <c r="L196" s="7"/>
      <c r="M196" s="249">
        <v>42614</v>
      </c>
      <c r="N196" s="261">
        <v>31</v>
      </c>
      <c r="O196" s="261">
        <v>32.5</v>
      </c>
      <c r="P196" s="261">
        <v>34</v>
      </c>
      <c r="Q196" s="248"/>
      <c r="R196" s="261">
        <v>25.5</v>
      </c>
      <c r="S196" s="261">
        <v>27</v>
      </c>
      <c r="T196" s="261">
        <v>28.5</v>
      </c>
      <c r="U196" s="248"/>
      <c r="V196" s="261">
        <v>0</v>
      </c>
      <c r="W196" s="261">
        <v>0</v>
      </c>
      <c r="X196" s="261">
        <v>0</v>
      </c>
      <c r="Y196" s="248"/>
      <c r="Z196" s="261">
        <v>0.06</v>
      </c>
      <c r="AA196" s="261">
        <v>0.08</v>
      </c>
      <c r="AB196" s="261">
        <v>0.12</v>
      </c>
      <c r="AC196" s="248"/>
      <c r="AD196" s="261">
        <v>0.10125000000000001</v>
      </c>
      <c r="AE196" s="261">
        <v>0.13500000000000001</v>
      </c>
      <c r="AF196" s="261">
        <v>0.20250000000000001</v>
      </c>
      <c r="AG196" s="248"/>
      <c r="AH196" s="261">
        <v>-1</v>
      </c>
      <c r="AI196" s="261">
        <v>2.33</v>
      </c>
      <c r="AJ196" s="261">
        <v>2.5</v>
      </c>
      <c r="AK196" s="248"/>
      <c r="AL196" s="261">
        <v>-0.1</v>
      </c>
      <c r="AM196" s="261">
        <v>1.05</v>
      </c>
      <c r="AN196" s="261">
        <v>0.1</v>
      </c>
      <c r="AO196" s="248"/>
      <c r="AP196" s="7">
        <v>63</v>
      </c>
      <c r="AQ196" s="9">
        <v>0.4</v>
      </c>
      <c r="AR196" s="248"/>
      <c r="AS196" s="248"/>
      <c r="AT196" s="248"/>
      <c r="AU196" s="248"/>
      <c r="AV196" s="248"/>
      <c r="AW196" s="248"/>
      <c r="AX196" s="248"/>
      <c r="AY196" s="248"/>
      <c r="AZ196" s="248"/>
      <c r="BA196" s="248"/>
      <c r="BB196" s="248"/>
      <c r="BC196" s="248"/>
      <c r="BD196" s="248"/>
      <c r="BE196" s="248"/>
      <c r="BF196" s="248"/>
      <c r="BG196" s="248"/>
      <c r="BH196" s="249">
        <v>42614</v>
      </c>
      <c r="BI196" s="262">
        <v>0.75</v>
      </c>
      <c r="BJ196" s="248"/>
      <c r="BK196" s="248"/>
      <c r="BL196" s="248"/>
      <c r="BM196" s="248"/>
      <c r="BN196" s="248"/>
      <c r="BO196"/>
      <c r="BP196"/>
      <c r="BQ196"/>
      <c r="BR196"/>
      <c r="BS196"/>
      <c r="BT196" s="248"/>
      <c r="BU196" s="248"/>
      <c r="BV196" s="248"/>
      <c r="BW196" s="248"/>
      <c r="BX196" s="248"/>
      <c r="BY196" s="248"/>
      <c r="BZ196" s="248"/>
      <c r="CA196" s="248"/>
      <c r="CB196" s="248"/>
      <c r="CC196" s="248"/>
      <c r="CD196" s="248"/>
      <c r="CE196" s="248"/>
      <c r="CF196" s="248"/>
      <c r="CG196" s="248"/>
    </row>
    <row r="197" spans="1:85" ht="12.75" x14ac:dyDescent="0.2">
      <c r="A197" s="29">
        <v>42826</v>
      </c>
      <c r="B197" s="243">
        <v>6.4848500453174016E-2</v>
      </c>
      <c r="D197" s="260">
        <v>41760</v>
      </c>
      <c r="E197" s="9">
        <v>37.153566741943358</v>
      </c>
      <c r="F197" s="9">
        <v>39.503566741943359</v>
      </c>
      <c r="G197" s="9">
        <v>41.853566741943361</v>
      </c>
      <c r="H197" s="8"/>
      <c r="I197" s="9">
        <v>24.75</v>
      </c>
      <c r="J197" s="9">
        <v>25</v>
      </c>
      <c r="K197" s="9">
        <v>25.75</v>
      </c>
      <c r="L197" s="7"/>
      <c r="M197" s="249">
        <v>42644</v>
      </c>
      <c r="N197" s="261">
        <v>25.996000289916992</v>
      </c>
      <c r="O197" s="261">
        <v>27.496000289916992</v>
      </c>
      <c r="P197" s="261">
        <v>28.996000289916992</v>
      </c>
      <c r="Q197" s="248"/>
      <c r="R197" s="261">
        <v>20.496500015258789</v>
      </c>
      <c r="S197" s="261">
        <v>21.996500015258789</v>
      </c>
      <c r="T197" s="261">
        <v>23.496500015258789</v>
      </c>
      <c r="U197" s="248"/>
      <c r="V197" s="261">
        <v>0</v>
      </c>
      <c r="W197" s="261">
        <v>0</v>
      </c>
      <c r="X197" s="261">
        <v>0</v>
      </c>
      <c r="Y197" s="248"/>
      <c r="Z197" s="261">
        <v>0.06</v>
      </c>
      <c r="AA197" s="261">
        <v>0.08</v>
      </c>
      <c r="AB197" s="261">
        <v>0.12</v>
      </c>
      <c r="AC197" s="248"/>
      <c r="AD197" s="261">
        <v>7.8750000000000001E-2</v>
      </c>
      <c r="AE197" s="261">
        <v>0.105</v>
      </c>
      <c r="AF197" s="261">
        <v>0.1575</v>
      </c>
      <c r="AG197" s="248"/>
      <c r="AH197" s="261">
        <v>-1</v>
      </c>
      <c r="AI197" s="261">
        <v>2.06</v>
      </c>
      <c r="AJ197" s="261">
        <v>2.5</v>
      </c>
      <c r="AK197" s="248"/>
      <c r="AL197" s="261">
        <v>-0.1</v>
      </c>
      <c r="AM197" s="261">
        <v>1</v>
      </c>
      <c r="AN197" s="261">
        <v>0.1</v>
      </c>
      <c r="AO197" s="248"/>
      <c r="AP197" s="7">
        <v>63</v>
      </c>
      <c r="AQ197" s="9">
        <v>0.4</v>
      </c>
      <c r="AR197" s="248"/>
      <c r="AS197" s="248"/>
      <c r="AT197" s="248"/>
      <c r="AU197" s="248"/>
      <c r="AV197" s="248"/>
      <c r="AW197" s="248"/>
      <c r="AX197" s="248"/>
      <c r="AY197" s="248"/>
      <c r="AZ197" s="248"/>
      <c r="BA197" s="248"/>
      <c r="BB197" s="248"/>
      <c r="BC197" s="248"/>
      <c r="BD197" s="248"/>
      <c r="BE197" s="248"/>
      <c r="BF197" s="248"/>
      <c r="BG197" s="248"/>
      <c r="BH197" s="249">
        <v>42644</v>
      </c>
      <c r="BI197" s="262">
        <v>0.75</v>
      </c>
      <c r="BJ197" s="248"/>
      <c r="BK197" s="248"/>
      <c r="BL197" s="248"/>
      <c r="BM197" s="248"/>
      <c r="BN197" s="248"/>
      <c r="BO197"/>
      <c r="BP197"/>
      <c r="BQ197"/>
      <c r="BR197"/>
      <c r="BS197"/>
      <c r="BT197" s="248"/>
      <c r="BU197" s="248"/>
      <c r="BV197" s="248"/>
      <c r="BW197" s="248"/>
      <c r="BX197" s="248"/>
      <c r="BY197" s="248"/>
      <c r="BZ197" s="248"/>
      <c r="CA197" s="248"/>
      <c r="CB197" s="248"/>
      <c r="CC197" s="248"/>
      <c r="CD197" s="248"/>
      <c r="CE197" s="248"/>
      <c r="CF197" s="248"/>
      <c r="CG197" s="248"/>
    </row>
    <row r="198" spans="1:85" ht="12.75" x14ac:dyDescent="0.2">
      <c r="A198" s="29">
        <v>42856</v>
      </c>
      <c r="B198" s="243">
        <v>6.4876564456132005E-2</v>
      </c>
      <c r="D198" s="260">
        <v>41791</v>
      </c>
      <c r="E198" s="9">
        <v>44.997856140136719</v>
      </c>
      <c r="F198" s="9">
        <v>49.997856140136719</v>
      </c>
      <c r="G198" s="9">
        <v>54.997856140136719</v>
      </c>
      <c r="H198" s="8"/>
      <c r="I198" s="9">
        <v>27.75</v>
      </c>
      <c r="J198" s="9">
        <v>28</v>
      </c>
      <c r="K198" s="9">
        <v>28.75</v>
      </c>
      <c r="L198" s="7"/>
      <c r="M198" s="249">
        <v>42675</v>
      </c>
      <c r="N198" s="261">
        <v>28</v>
      </c>
      <c r="O198" s="261">
        <v>29.5</v>
      </c>
      <c r="P198" s="261">
        <v>31</v>
      </c>
      <c r="Q198" s="248"/>
      <c r="R198" s="261">
        <v>20.5</v>
      </c>
      <c r="S198" s="261">
        <v>22</v>
      </c>
      <c r="T198" s="261">
        <v>23.5</v>
      </c>
      <c r="U198" s="248"/>
      <c r="V198" s="261">
        <v>0</v>
      </c>
      <c r="W198" s="261">
        <v>0</v>
      </c>
      <c r="X198" s="261">
        <v>0</v>
      </c>
      <c r="Y198" s="248"/>
      <c r="Z198" s="261">
        <v>0.06</v>
      </c>
      <c r="AA198" s="261">
        <v>0.08</v>
      </c>
      <c r="AB198" s="261">
        <v>0.12</v>
      </c>
      <c r="AC198" s="248"/>
      <c r="AD198" s="261">
        <v>7.8750000000000001E-2</v>
      </c>
      <c r="AE198" s="261">
        <v>0.105</v>
      </c>
      <c r="AF198" s="261">
        <v>0.1575</v>
      </c>
      <c r="AG198" s="248"/>
      <c r="AH198" s="261">
        <v>-0.5</v>
      </c>
      <c r="AI198" s="261">
        <v>2.052</v>
      </c>
      <c r="AJ198" s="261">
        <v>1</v>
      </c>
      <c r="AK198" s="248"/>
      <c r="AL198" s="261">
        <v>-0.1</v>
      </c>
      <c r="AM198" s="261">
        <v>1</v>
      </c>
      <c r="AN198" s="261">
        <v>0.1</v>
      </c>
      <c r="AO198" s="248"/>
      <c r="AP198" s="7">
        <v>64</v>
      </c>
      <c r="AQ198" s="9">
        <v>0.4</v>
      </c>
      <c r="AR198" s="248"/>
      <c r="AS198" s="248"/>
      <c r="AT198" s="248"/>
      <c r="AU198" s="248"/>
      <c r="AV198" s="248"/>
      <c r="AW198" s="248"/>
      <c r="AX198" s="248"/>
      <c r="AY198" s="248"/>
      <c r="AZ198" s="248"/>
      <c r="BA198" s="248"/>
      <c r="BB198" s="248"/>
      <c r="BC198" s="248"/>
      <c r="BD198" s="248"/>
      <c r="BE198" s="248"/>
      <c r="BF198" s="248"/>
      <c r="BG198" s="248"/>
      <c r="BH198" s="249">
        <v>42675</v>
      </c>
      <c r="BI198" s="262">
        <v>0.75</v>
      </c>
      <c r="BJ198" s="248"/>
      <c r="BK198" s="248"/>
      <c r="BL198" s="248"/>
      <c r="BM198" s="248"/>
      <c r="BN198" s="248"/>
      <c r="BO198"/>
      <c r="BP198"/>
      <c r="BQ198"/>
      <c r="BR198"/>
      <c r="BS198"/>
      <c r="BT198" s="248"/>
      <c r="BU198" s="248"/>
      <c r="BV198" s="248"/>
      <c r="BW198" s="248"/>
      <c r="BX198" s="248"/>
      <c r="BY198" s="248"/>
      <c r="BZ198" s="248"/>
      <c r="CA198" s="248"/>
      <c r="CB198" s="248"/>
      <c r="CC198" s="248"/>
      <c r="CD198" s="248"/>
      <c r="CE198" s="248"/>
      <c r="CF198" s="248"/>
      <c r="CG198" s="248"/>
    </row>
    <row r="199" spans="1:85" ht="12.75" x14ac:dyDescent="0.2">
      <c r="A199" s="29">
        <v>42887</v>
      </c>
      <c r="B199" s="243">
        <v>6.4903723168922012E-2</v>
      </c>
      <c r="D199" s="260">
        <v>41821</v>
      </c>
      <c r="E199" s="9">
        <v>69.997146606445312</v>
      </c>
      <c r="F199" s="9">
        <v>79.997146606445313</v>
      </c>
      <c r="G199" s="9">
        <v>89.997146606445313</v>
      </c>
      <c r="H199" s="8"/>
      <c r="I199" s="9">
        <v>28.25</v>
      </c>
      <c r="J199" s="9">
        <v>28.5</v>
      </c>
      <c r="K199" s="9">
        <v>29.25</v>
      </c>
      <c r="L199" s="7"/>
      <c r="M199" s="249">
        <v>42705</v>
      </c>
      <c r="N199" s="261">
        <v>33</v>
      </c>
      <c r="O199" s="261">
        <v>34.5</v>
      </c>
      <c r="P199" s="261">
        <v>36</v>
      </c>
      <c r="Q199" s="248"/>
      <c r="R199" s="261">
        <v>27.5</v>
      </c>
      <c r="S199" s="261">
        <v>29</v>
      </c>
      <c r="T199" s="261">
        <v>30.5</v>
      </c>
      <c r="U199" s="248"/>
      <c r="V199" s="261">
        <v>0</v>
      </c>
      <c r="W199" s="261">
        <v>0</v>
      </c>
      <c r="X199" s="261">
        <v>0</v>
      </c>
      <c r="Y199" s="248"/>
      <c r="Z199" s="261">
        <v>0.06</v>
      </c>
      <c r="AA199" s="261">
        <v>0.08</v>
      </c>
      <c r="AB199" s="261">
        <v>0.12</v>
      </c>
      <c r="AC199" s="248"/>
      <c r="AD199" s="261">
        <v>0.10875</v>
      </c>
      <c r="AE199" s="261">
        <v>0.14499999999999999</v>
      </c>
      <c r="AF199" s="261">
        <v>0.2175</v>
      </c>
      <c r="AG199" s="248"/>
      <c r="AH199" s="261">
        <v>-0.4</v>
      </c>
      <c r="AI199" s="261">
        <v>1.89</v>
      </c>
      <c r="AJ199" s="261">
        <v>0.5</v>
      </c>
      <c r="AK199" s="248"/>
      <c r="AL199" s="261">
        <v>-0.1</v>
      </c>
      <c r="AM199" s="261">
        <v>1</v>
      </c>
      <c r="AN199" s="261">
        <v>0.1</v>
      </c>
      <c r="AO199" s="248"/>
      <c r="AP199" s="7">
        <v>64</v>
      </c>
      <c r="AQ199" s="9">
        <v>0.4</v>
      </c>
      <c r="AR199" s="248"/>
      <c r="AS199" s="248"/>
      <c r="AT199" s="248"/>
      <c r="AU199" s="248"/>
      <c r="AV199" s="248"/>
      <c r="AW199" s="248"/>
      <c r="AX199" s="248"/>
      <c r="AY199" s="248"/>
      <c r="AZ199" s="248"/>
      <c r="BA199" s="248"/>
      <c r="BB199" s="248"/>
      <c r="BC199" s="248"/>
      <c r="BD199" s="248"/>
      <c r="BE199" s="248"/>
      <c r="BF199" s="248"/>
      <c r="BG199" s="248"/>
      <c r="BH199" s="249">
        <v>42705</v>
      </c>
      <c r="BI199" s="262">
        <v>0.75</v>
      </c>
      <c r="BJ199" s="248"/>
      <c r="BK199" s="248"/>
      <c r="BL199" s="248"/>
      <c r="BM199" s="248"/>
      <c r="BN199" s="248"/>
      <c r="BO199"/>
      <c r="BP199"/>
      <c r="BQ199"/>
      <c r="BR199"/>
      <c r="BS199"/>
      <c r="BT199" s="248"/>
      <c r="BU199" s="248"/>
      <c r="BV199" s="248"/>
      <c r="BW199" s="248"/>
      <c r="BX199" s="248"/>
      <c r="BY199" s="248"/>
      <c r="BZ199" s="248"/>
      <c r="CA199" s="248"/>
      <c r="CB199" s="248"/>
      <c r="CC199" s="248"/>
      <c r="CD199" s="248"/>
      <c r="CE199" s="248"/>
      <c r="CF199" s="248"/>
      <c r="CG199" s="248"/>
    </row>
    <row r="200" spans="1:85" ht="12.75" x14ac:dyDescent="0.2">
      <c r="A200" s="29">
        <v>42917</v>
      </c>
      <c r="B200" s="243">
        <v>6.4931787172394007E-2</v>
      </c>
      <c r="D200" s="260">
        <v>41852</v>
      </c>
      <c r="E200" s="9">
        <v>69.997146606445312</v>
      </c>
      <c r="F200" s="9">
        <v>79.997146606445313</v>
      </c>
      <c r="G200" s="9">
        <v>89.997146606445313</v>
      </c>
      <c r="H200" s="8"/>
      <c r="I200" s="9">
        <v>29.25</v>
      </c>
      <c r="J200" s="9">
        <v>29.5</v>
      </c>
      <c r="K200" s="9">
        <v>30.25</v>
      </c>
      <c r="L200" s="7"/>
      <c r="M200" s="249">
        <v>42736</v>
      </c>
      <c r="N200" s="261">
        <v>35.5</v>
      </c>
      <c r="O200" s="261">
        <v>37</v>
      </c>
      <c r="P200" s="261">
        <v>38.5</v>
      </c>
      <c r="Q200" s="248"/>
      <c r="R200" s="261">
        <v>25</v>
      </c>
      <c r="S200" s="261">
        <v>26.5</v>
      </c>
      <c r="T200" s="261">
        <v>28</v>
      </c>
      <c r="U200" s="248"/>
      <c r="V200" s="261">
        <v>0</v>
      </c>
      <c r="W200" s="261">
        <v>0</v>
      </c>
      <c r="X200" s="261">
        <v>0</v>
      </c>
      <c r="Y200" s="248"/>
      <c r="Z200" s="261">
        <v>0.06</v>
      </c>
      <c r="AA200" s="261">
        <v>0.08</v>
      </c>
      <c r="AB200" s="261">
        <v>0.12</v>
      </c>
      <c r="AC200" s="248"/>
      <c r="AD200" s="261">
        <v>0.10125000000000001</v>
      </c>
      <c r="AE200" s="261">
        <v>0.13500000000000001</v>
      </c>
      <c r="AF200" s="261">
        <v>0.20250000000000001</v>
      </c>
      <c r="AG200" s="248"/>
      <c r="AH200" s="261">
        <v>-0.4</v>
      </c>
      <c r="AI200" s="261">
        <v>2.3220000000000001</v>
      </c>
      <c r="AJ200" s="261">
        <v>0.5</v>
      </c>
      <c r="AK200" s="248"/>
      <c r="AL200" s="261">
        <v>-0.1</v>
      </c>
      <c r="AM200" s="261">
        <v>1</v>
      </c>
      <c r="AN200" s="261">
        <v>0.1</v>
      </c>
      <c r="AO200" s="248"/>
      <c r="AP200" s="7">
        <v>64</v>
      </c>
      <c r="AQ200" s="9">
        <v>0.4</v>
      </c>
      <c r="AR200" s="248"/>
      <c r="AS200" s="248"/>
      <c r="AT200" s="248"/>
      <c r="AU200" s="248"/>
      <c r="AV200" s="248"/>
      <c r="AW200" s="248"/>
      <c r="AX200" s="248"/>
      <c r="AY200" s="248"/>
      <c r="AZ200" s="248"/>
      <c r="BA200" s="248"/>
      <c r="BB200" s="248"/>
      <c r="BC200" s="248"/>
      <c r="BD200" s="248"/>
      <c r="BE200" s="248"/>
      <c r="BF200" s="248"/>
      <c r="BG200" s="248"/>
      <c r="BH200" s="249">
        <v>42736</v>
      </c>
      <c r="BI200" s="262">
        <v>0.75</v>
      </c>
      <c r="BJ200" s="248"/>
      <c r="BK200" s="248"/>
      <c r="BL200" s="248"/>
      <c r="BM200" s="248"/>
      <c r="BN200" s="248"/>
      <c r="BO200"/>
      <c r="BP200"/>
      <c r="BQ200"/>
      <c r="BR200"/>
      <c r="BS200"/>
      <c r="BT200" s="248"/>
      <c r="BU200" s="248"/>
      <c r="BV200" s="248"/>
      <c r="BW200" s="248"/>
      <c r="BX200" s="248"/>
      <c r="BY200" s="248"/>
      <c r="BZ200" s="248"/>
      <c r="CA200" s="248"/>
      <c r="CB200" s="248"/>
      <c r="CC200" s="248"/>
      <c r="CD200" s="248"/>
      <c r="CE200" s="248"/>
      <c r="CF200" s="248"/>
      <c r="CG200" s="248"/>
    </row>
    <row r="201" spans="1:85" ht="12.75" x14ac:dyDescent="0.2">
      <c r="A201" s="29">
        <v>42948</v>
      </c>
      <c r="B201" s="243">
        <v>6.4959851176127015E-2</v>
      </c>
      <c r="D201" s="260">
        <v>41883</v>
      </c>
      <c r="E201" s="9">
        <v>38.252143859863281</v>
      </c>
      <c r="F201" s="9">
        <v>39.752143859863281</v>
      </c>
      <c r="G201" s="9">
        <v>41.252143859863281</v>
      </c>
      <c r="H201" s="8"/>
      <c r="I201" s="9">
        <v>22.25</v>
      </c>
      <c r="J201" s="9">
        <v>22.5</v>
      </c>
      <c r="K201" s="9">
        <v>23.25</v>
      </c>
      <c r="L201" s="7"/>
      <c r="M201" s="249">
        <v>42767</v>
      </c>
      <c r="N201" s="261">
        <v>30.996002197265625</v>
      </c>
      <c r="O201" s="261">
        <v>32.496002197265625</v>
      </c>
      <c r="P201" s="261">
        <v>33.996002197265625</v>
      </c>
      <c r="Q201" s="248"/>
      <c r="R201" s="261">
        <v>22.496501922607422</v>
      </c>
      <c r="S201" s="261">
        <v>23.996501922607422</v>
      </c>
      <c r="T201" s="261">
        <v>25.496501922607422</v>
      </c>
      <c r="U201" s="248"/>
      <c r="V201" s="261">
        <v>0</v>
      </c>
      <c r="W201" s="261">
        <v>0</v>
      </c>
      <c r="X201" s="261">
        <v>0</v>
      </c>
      <c r="Y201" s="248"/>
      <c r="Z201" s="261">
        <v>0.06</v>
      </c>
      <c r="AA201" s="261">
        <v>0.08</v>
      </c>
      <c r="AB201" s="261">
        <v>0.12</v>
      </c>
      <c r="AC201" s="248"/>
      <c r="AD201" s="261">
        <v>0.10125000000000001</v>
      </c>
      <c r="AE201" s="261">
        <v>0.13500000000000001</v>
      </c>
      <c r="AF201" s="261">
        <v>0.20250000000000001</v>
      </c>
      <c r="AG201" s="248"/>
      <c r="AH201" s="261">
        <v>-0.4</v>
      </c>
      <c r="AI201" s="261">
        <v>2.3220000000000001</v>
      </c>
      <c r="AJ201" s="261">
        <v>0.6</v>
      </c>
      <c r="AK201" s="248"/>
      <c r="AL201" s="261">
        <v>-0.1</v>
      </c>
      <c r="AM201" s="261">
        <v>1</v>
      </c>
      <c r="AN201" s="261">
        <v>0.1</v>
      </c>
      <c r="AO201" s="248"/>
      <c r="AP201" s="7">
        <v>65</v>
      </c>
      <c r="AQ201" s="9">
        <v>0.4</v>
      </c>
      <c r="AR201" s="248"/>
      <c r="AS201" s="248"/>
      <c r="AT201" s="248"/>
      <c r="AU201" s="248"/>
      <c r="AV201" s="248"/>
      <c r="AW201" s="248"/>
      <c r="AX201" s="248"/>
      <c r="AY201" s="248"/>
      <c r="AZ201" s="248"/>
      <c r="BA201" s="248"/>
      <c r="BB201" s="248"/>
      <c r="BC201" s="248"/>
      <c r="BD201" s="248"/>
      <c r="BE201" s="248"/>
      <c r="BF201" s="248"/>
      <c r="BG201" s="248"/>
      <c r="BH201" s="249">
        <v>42767</v>
      </c>
      <c r="BI201" s="262">
        <v>0.75</v>
      </c>
      <c r="BJ201" s="248"/>
      <c r="BK201" s="248"/>
      <c r="BL201" s="248"/>
      <c r="BM201" s="248"/>
      <c r="BN201" s="248"/>
      <c r="BO201"/>
      <c r="BP201"/>
      <c r="BQ201"/>
      <c r="BR201"/>
      <c r="BS201"/>
      <c r="BT201" s="248"/>
      <c r="BU201" s="248"/>
      <c r="BV201" s="248"/>
      <c r="BW201" s="248"/>
      <c r="BX201" s="248"/>
      <c r="BY201" s="248"/>
      <c r="BZ201" s="248"/>
      <c r="CA201" s="248"/>
      <c r="CB201" s="248"/>
      <c r="CC201" s="248"/>
      <c r="CD201" s="248"/>
      <c r="CE201" s="248"/>
      <c r="CF201" s="248"/>
      <c r="CG201" s="248"/>
    </row>
    <row r="202" spans="1:85" ht="12.75" x14ac:dyDescent="0.2">
      <c r="A202" s="29">
        <v>42979</v>
      </c>
      <c r="B202" s="243">
        <v>6.498700988966602E-2</v>
      </c>
      <c r="D202" s="260">
        <v>41913</v>
      </c>
      <c r="E202" s="9">
        <v>36.148933410644531</v>
      </c>
      <c r="F202" s="9">
        <v>37.648933410644531</v>
      </c>
      <c r="G202" s="9">
        <v>39.148933410644531</v>
      </c>
      <c r="H202" s="8"/>
      <c r="I202" s="9">
        <v>19.750001907348633</v>
      </c>
      <c r="J202" s="9">
        <v>20.000001907348633</v>
      </c>
      <c r="K202" s="9">
        <v>20.750001907348633</v>
      </c>
      <c r="L202" s="7"/>
      <c r="M202" s="249">
        <v>42795</v>
      </c>
      <c r="N202" s="261">
        <v>26</v>
      </c>
      <c r="O202" s="261">
        <v>27.5</v>
      </c>
      <c r="P202" s="261">
        <v>29</v>
      </c>
      <c r="Q202" s="248"/>
      <c r="R202" s="261">
        <v>20.5</v>
      </c>
      <c r="S202" s="261">
        <v>22</v>
      </c>
      <c r="T202" s="261">
        <v>23.5</v>
      </c>
      <c r="U202" s="248"/>
      <c r="V202" s="261">
        <v>0</v>
      </c>
      <c r="W202" s="261">
        <v>0</v>
      </c>
      <c r="X202" s="261">
        <v>0</v>
      </c>
      <c r="Y202" s="248"/>
      <c r="Z202" s="261">
        <v>0.06</v>
      </c>
      <c r="AA202" s="261">
        <v>0.08</v>
      </c>
      <c r="AB202" s="261">
        <v>0.12</v>
      </c>
      <c r="AC202" s="248"/>
      <c r="AD202" s="261">
        <v>0.09</v>
      </c>
      <c r="AE202" s="261">
        <v>0.12</v>
      </c>
      <c r="AF202" s="261">
        <v>0.18</v>
      </c>
      <c r="AG202" s="248"/>
      <c r="AH202" s="261">
        <v>-0.5</v>
      </c>
      <c r="AI202" s="261">
        <v>2.052</v>
      </c>
      <c r="AJ202" s="261">
        <v>1</v>
      </c>
      <c r="AK202" s="248"/>
      <c r="AL202" s="261">
        <v>-0.1</v>
      </c>
      <c r="AM202" s="261">
        <v>1</v>
      </c>
      <c r="AN202" s="261">
        <v>0.1</v>
      </c>
      <c r="AO202" s="248"/>
      <c r="AP202" s="7">
        <v>65</v>
      </c>
      <c r="AQ202" s="9">
        <v>0.4</v>
      </c>
      <c r="AR202" s="248"/>
      <c r="AS202" s="248"/>
      <c r="AT202" s="248"/>
      <c r="AU202" s="248"/>
      <c r="AV202" s="248"/>
      <c r="AW202" s="248"/>
      <c r="AX202" s="248"/>
      <c r="AY202" s="248"/>
      <c r="AZ202" s="248"/>
      <c r="BA202" s="248"/>
      <c r="BB202" s="248"/>
      <c r="BC202" s="248"/>
      <c r="BD202" s="248"/>
      <c r="BE202" s="248"/>
      <c r="BF202" s="248"/>
      <c r="BG202" s="248"/>
      <c r="BH202" s="249">
        <v>42795</v>
      </c>
      <c r="BI202" s="262">
        <v>0.75</v>
      </c>
      <c r="BJ202" s="248"/>
      <c r="BK202" s="248"/>
      <c r="BL202" s="248"/>
      <c r="BM202" s="248"/>
      <c r="BN202" s="248"/>
      <c r="BO202"/>
      <c r="BP202"/>
      <c r="BQ202"/>
      <c r="BR202"/>
      <c r="BS202"/>
      <c r="BT202" s="248"/>
      <c r="BU202" s="248"/>
      <c r="BV202" s="248"/>
      <c r="BW202" s="248"/>
      <c r="BX202" s="248"/>
      <c r="BY202" s="248"/>
      <c r="BZ202" s="248"/>
      <c r="CA202" s="248"/>
      <c r="CB202" s="248"/>
      <c r="CC202" s="248"/>
      <c r="CD202" s="248"/>
      <c r="CE202" s="248"/>
      <c r="CF202" s="248"/>
      <c r="CG202" s="248"/>
    </row>
    <row r="203" spans="1:85" ht="12.75" x14ac:dyDescent="0.2">
      <c r="A203" s="29">
        <v>43009</v>
      </c>
      <c r="B203" s="243">
        <v>6.501507389391302E-2</v>
      </c>
      <c r="D203" s="260">
        <v>41944</v>
      </c>
      <c r="E203" s="9">
        <v>36.248931884765625</v>
      </c>
      <c r="F203" s="9">
        <v>37.748931884765625</v>
      </c>
      <c r="G203" s="9">
        <v>39.248931884765625</v>
      </c>
      <c r="H203" s="8"/>
      <c r="I203" s="9">
        <v>21.75</v>
      </c>
      <c r="J203" s="9">
        <v>22</v>
      </c>
      <c r="K203" s="9">
        <v>22.75</v>
      </c>
      <c r="L203" s="7"/>
      <c r="M203" s="249">
        <v>42826</v>
      </c>
      <c r="N203" s="261">
        <v>26</v>
      </c>
      <c r="O203" s="261">
        <v>27.5</v>
      </c>
      <c r="P203" s="261">
        <v>29</v>
      </c>
      <c r="Q203" s="248"/>
      <c r="R203" s="261">
        <v>20.495000839233398</v>
      </c>
      <c r="S203" s="261">
        <v>21.995000839233398</v>
      </c>
      <c r="T203" s="261">
        <v>23.495000839233398</v>
      </c>
      <c r="U203" s="248"/>
      <c r="V203" s="261">
        <v>0</v>
      </c>
      <c r="W203" s="261">
        <v>0</v>
      </c>
      <c r="X203" s="261">
        <v>0</v>
      </c>
      <c r="Y203" s="248"/>
      <c r="Z203" s="261">
        <v>0.06</v>
      </c>
      <c r="AA203" s="261">
        <v>0.08</v>
      </c>
      <c r="AB203" s="261">
        <v>0.12</v>
      </c>
      <c r="AC203" s="248"/>
      <c r="AD203" s="261">
        <v>0.09</v>
      </c>
      <c r="AE203" s="261">
        <v>0.12</v>
      </c>
      <c r="AF203" s="261">
        <v>0.18</v>
      </c>
      <c r="AG203" s="248"/>
      <c r="AH203" s="261">
        <v>-0.5</v>
      </c>
      <c r="AI203" s="261">
        <v>1.9980000000000004</v>
      </c>
      <c r="AJ203" s="261">
        <v>1</v>
      </c>
      <c r="AK203" s="248"/>
      <c r="AL203" s="261">
        <v>-0.1</v>
      </c>
      <c r="AM203" s="261">
        <v>1</v>
      </c>
      <c r="AN203" s="261">
        <v>0.1</v>
      </c>
      <c r="AO203" s="248"/>
      <c r="AP203" s="7">
        <v>65</v>
      </c>
      <c r="AQ203" s="9">
        <v>0.4</v>
      </c>
      <c r="AR203" s="248"/>
      <c r="AS203" s="248"/>
      <c r="AT203" s="248"/>
      <c r="AU203" s="248"/>
      <c r="AV203" s="248"/>
      <c r="AW203" s="248"/>
      <c r="AX203" s="248"/>
      <c r="AY203" s="248"/>
      <c r="AZ203" s="248"/>
      <c r="BA203" s="248"/>
      <c r="BB203" s="248"/>
      <c r="BC203" s="248"/>
      <c r="BD203" s="248"/>
      <c r="BE203" s="248"/>
      <c r="BF203" s="248"/>
      <c r="BG203" s="248"/>
      <c r="BH203" s="249">
        <v>42826</v>
      </c>
      <c r="BI203" s="262">
        <v>0.75</v>
      </c>
      <c r="BJ203" s="248"/>
      <c r="BK203" s="248"/>
      <c r="BL203" s="248"/>
      <c r="BM203" s="248"/>
      <c r="BN203" s="248"/>
      <c r="BO203"/>
      <c r="BP203"/>
      <c r="BQ203"/>
      <c r="BR203"/>
      <c r="BS203"/>
      <c r="BT203" s="248"/>
      <c r="BU203" s="248"/>
      <c r="BV203" s="248"/>
      <c r="BW203" s="248"/>
      <c r="BX203" s="248"/>
      <c r="BY203" s="248"/>
      <c r="BZ203" s="248"/>
      <c r="CA203" s="248"/>
      <c r="CB203" s="248"/>
      <c r="CC203" s="248"/>
      <c r="CD203" s="248"/>
      <c r="CE203" s="248"/>
      <c r="CF203" s="248"/>
      <c r="CG203" s="248"/>
    </row>
    <row r="204" spans="1:85" ht="12.75" x14ac:dyDescent="0.2">
      <c r="A204" s="29">
        <v>43040</v>
      </c>
      <c r="B204" s="243">
        <v>6.5042232607949016E-2</v>
      </c>
      <c r="D204" s="260">
        <v>41974</v>
      </c>
      <c r="E204" s="9">
        <v>36.348930358886719</v>
      </c>
      <c r="F204" s="9">
        <v>37.848930358886719</v>
      </c>
      <c r="G204" s="9">
        <v>39.348930358886719</v>
      </c>
      <c r="H204" s="8"/>
      <c r="I204" s="9">
        <v>20.860000610351563</v>
      </c>
      <c r="J204" s="9">
        <v>21.110000610351563</v>
      </c>
      <c r="K204" s="9">
        <v>21.860000610351563</v>
      </c>
      <c r="L204" s="7"/>
      <c r="M204" s="249">
        <v>42856</v>
      </c>
      <c r="N204" s="261">
        <v>28</v>
      </c>
      <c r="O204" s="261">
        <v>29.5</v>
      </c>
      <c r="P204" s="261">
        <v>31</v>
      </c>
      <c r="Q204" s="248"/>
      <c r="R204" s="261">
        <v>21.504999160766602</v>
      </c>
      <c r="S204" s="261">
        <v>23.004999160766602</v>
      </c>
      <c r="T204" s="261">
        <v>24.504999160766602</v>
      </c>
      <c r="U204" s="248"/>
      <c r="V204" s="261">
        <v>0</v>
      </c>
      <c r="W204" s="261">
        <v>0</v>
      </c>
      <c r="X204" s="261">
        <v>0</v>
      </c>
      <c r="Y204" s="248"/>
      <c r="Z204" s="261">
        <v>0.06</v>
      </c>
      <c r="AA204" s="261">
        <v>0.08</v>
      </c>
      <c r="AB204" s="261">
        <v>0.12</v>
      </c>
      <c r="AC204" s="248"/>
      <c r="AD204" s="261">
        <v>0.11625000000000001</v>
      </c>
      <c r="AE204" s="261">
        <v>0.155</v>
      </c>
      <c r="AF204" s="261">
        <v>0.23250000000000001</v>
      </c>
      <c r="AG204" s="248"/>
      <c r="AH204" s="261">
        <v>-0.4</v>
      </c>
      <c r="AI204" s="261">
        <v>2.15</v>
      </c>
      <c r="AJ204" s="261">
        <v>0.5</v>
      </c>
      <c r="AK204" s="248"/>
      <c r="AL204" s="261">
        <v>-0.1</v>
      </c>
      <c r="AM204" s="261">
        <v>1.05</v>
      </c>
      <c r="AN204" s="261">
        <v>0.1</v>
      </c>
      <c r="AO204" s="248"/>
      <c r="AP204" s="7">
        <v>66</v>
      </c>
      <c r="AQ204" s="9">
        <v>0.4</v>
      </c>
      <c r="AR204" s="248"/>
      <c r="AS204" s="248"/>
      <c r="AT204" s="248"/>
      <c r="AU204" s="248"/>
      <c r="AV204" s="248"/>
      <c r="AW204" s="248"/>
      <c r="AX204" s="248"/>
      <c r="AY204" s="248"/>
      <c r="AZ204" s="248"/>
      <c r="BA204" s="248"/>
      <c r="BB204" s="248"/>
      <c r="BC204" s="248"/>
      <c r="BD204" s="248"/>
      <c r="BE204" s="248"/>
      <c r="BF204" s="248"/>
      <c r="BG204" s="248"/>
      <c r="BH204" s="249">
        <v>42856</v>
      </c>
      <c r="BI204" s="262">
        <v>0.75</v>
      </c>
      <c r="BJ204" s="248"/>
      <c r="BK204" s="248"/>
      <c r="BL204" s="248"/>
      <c r="BM204" s="248"/>
      <c r="BN204" s="248"/>
      <c r="BO204"/>
      <c r="BP204"/>
      <c r="BQ204"/>
      <c r="BR204"/>
      <c r="BS204"/>
      <c r="BT204" s="248"/>
      <c r="BU204" s="248"/>
      <c r="BV204" s="248"/>
      <c r="BW204" s="248"/>
      <c r="BX204" s="248"/>
      <c r="BY204" s="248"/>
      <c r="BZ204" s="248"/>
      <c r="CA204" s="248"/>
      <c r="CB204" s="248"/>
      <c r="CC204" s="248"/>
      <c r="CD204" s="248"/>
      <c r="CE204" s="248"/>
      <c r="CF204" s="248"/>
      <c r="CG204" s="248"/>
    </row>
    <row r="205" spans="1:85" ht="12.75" x14ac:dyDescent="0.2">
      <c r="A205" s="29">
        <v>43070</v>
      </c>
      <c r="B205" s="243">
        <v>6.5070296612709994E-2</v>
      </c>
      <c r="D205" s="260">
        <v>42005</v>
      </c>
      <c r="E205" s="9">
        <v>45.537864685058594</v>
      </c>
      <c r="F205" s="9">
        <v>47.037864685058594</v>
      </c>
      <c r="G205" s="9">
        <v>48.537864685058594</v>
      </c>
      <c r="H205" s="8"/>
      <c r="I205" s="9">
        <v>25.75</v>
      </c>
      <c r="J205" s="9">
        <v>26</v>
      </c>
      <c r="K205" s="9">
        <v>26.75</v>
      </c>
      <c r="L205" s="7"/>
      <c r="M205" s="249">
        <v>42887</v>
      </c>
      <c r="N205" s="261">
        <v>35</v>
      </c>
      <c r="O205" s="261">
        <v>36.5</v>
      </c>
      <c r="P205" s="261">
        <v>38</v>
      </c>
      <c r="Q205" s="248"/>
      <c r="R205" s="261">
        <v>25.5</v>
      </c>
      <c r="S205" s="261">
        <v>27</v>
      </c>
      <c r="T205" s="261">
        <v>28.5</v>
      </c>
      <c r="U205" s="248"/>
      <c r="V205" s="261">
        <v>0</v>
      </c>
      <c r="W205" s="261">
        <v>0</v>
      </c>
      <c r="X205" s="261">
        <v>0</v>
      </c>
      <c r="Y205" s="248"/>
      <c r="Z205" s="261">
        <v>0.06</v>
      </c>
      <c r="AA205" s="261">
        <v>0.08</v>
      </c>
      <c r="AB205" s="261">
        <v>0.12</v>
      </c>
      <c r="AC205" s="248"/>
      <c r="AD205" s="261">
        <v>0.13125000000000001</v>
      </c>
      <c r="AE205" s="261">
        <v>0.17499999999999999</v>
      </c>
      <c r="AF205" s="261">
        <v>0.26250000000000001</v>
      </c>
      <c r="AG205" s="248"/>
      <c r="AH205" s="261">
        <v>-0.4</v>
      </c>
      <c r="AI205" s="261">
        <v>2.9</v>
      </c>
      <c r="AJ205" s="261">
        <v>0.5</v>
      </c>
      <c r="AK205" s="248"/>
      <c r="AL205" s="261">
        <v>-0.1</v>
      </c>
      <c r="AM205" s="261">
        <v>1.1499999999999999</v>
      </c>
      <c r="AN205" s="261">
        <v>0.1</v>
      </c>
      <c r="AO205" s="248"/>
      <c r="AP205" s="7">
        <v>66</v>
      </c>
      <c r="AQ205" s="9">
        <v>0.4</v>
      </c>
      <c r="AR205" s="248"/>
      <c r="AS205" s="248"/>
      <c r="AT205" s="248"/>
      <c r="AU205" s="248"/>
      <c r="AV205" s="248"/>
      <c r="AW205" s="248"/>
      <c r="AX205" s="248"/>
      <c r="AY205" s="248"/>
      <c r="AZ205" s="248"/>
      <c r="BA205" s="248"/>
      <c r="BB205" s="248"/>
      <c r="BC205" s="248"/>
      <c r="BD205" s="248"/>
      <c r="BE205" s="248"/>
      <c r="BF205" s="248"/>
      <c r="BG205" s="248"/>
      <c r="BH205" s="249">
        <v>42887</v>
      </c>
      <c r="BI205" s="262">
        <v>0.75</v>
      </c>
      <c r="BJ205" s="248"/>
      <c r="BK205" s="248"/>
      <c r="BL205" s="248"/>
      <c r="BM205" s="248"/>
      <c r="BN205" s="248"/>
      <c r="BO205"/>
      <c r="BP205"/>
      <c r="BQ205"/>
      <c r="BR205"/>
      <c r="BS205"/>
      <c r="BT205" s="248"/>
      <c r="BU205" s="248"/>
      <c r="BV205" s="248"/>
      <c r="BW205" s="248"/>
      <c r="BX205" s="248"/>
      <c r="BY205" s="248"/>
      <c r="BZ205" s="248"/>
      <c r="CA205" s="248"/>
      <c r="CB205" s="248"/>
      <c r="CC205" s="248"/>
      <c r="CD205" s="248"/>
      <c r="CE205" s="248"/>
      <c r="CF205" s="248"/>
      <c r="CG205" s="248"/>
    </row>
    <row r="206" spans="1:85" ht="12.75" x14ac:dyDescent="0.2">
      <c r="A206" s="29">
        <v>43101</v>
      </c>
      <c r="B206" s="243">
        <v>6.5098360617732012E-2</v>
      </c>
      <c r="D206" s="260">
        <v>42036</v>
      </c>
      <c r="E206" s="9">
        <v>45.187862396240234</v>
      </c>
      <c r="F206" s="9">
        <v>46.687862396240234</v>
      </c>
      <c r="G206" s="9">
        <v>48.187862396240234</v>
      </c>
      <c r="H206" s="8"/>
      <c r="I206" s="9">
        <v>24.25</v>
      </c>
      <c r="J206" s="9">
        <v>24.5</v>
      </c>
      <c r="K206" s="9">
        <v>25.25</v>
      </c>
      <c r="L206" s="7"/>
      <c r="M206" s="249">
        <v>42917</v>
      </c>
      <c r="N206" s="261">
        <v>41</v>
      </c>
      <c r="O206" s="261">
        <v>42.5</v>
      </c>
      <c r="P206" s="261">
        <v>44</v>
      </c>
      <c r="Q206" s="248"/>
      <c r="R206" s="261">
        <v>31.5</v>
      </c>
      <c r="S206" s="261">
        <v>33</v>
      </c>
      <c r="T206" s="261">
        <v>34.5</v>
      </c>
      <c r="U206" s="248"/>
      <c r="V206" s="261">
        <v>0</v>
      </c>
      <c r="W206" s="261">
        <v>0</v>
      </c>
      <c r="X206" s="261">
        <v>0</v>
      </c>
      <c r="Y206" s="248"/>
      <c r="Z206" s="261">
        <v>0.06</v>
      </c>
      <c r="AA206" s="261">
        <v>0.08</v>
      </c>
      <c r="AB206" s="261">
        <v>0.12</v>
      </c>
      <c r="AC206" s="248"/>
      <c r="AD206" s="261">
        <v>0.16125</v>
      </c>
      <c r="AE206" s="261">
        <v>0.215</v>
      </c>
      <c r="AF206" s="261">
        <v>0.32250000000000001</v>
      </c>
      <c r="AG206" s="248"/>
      <c r="AH206" s="261">
        <v>-0.4</v>
      </c>
      <c r="AI206" s="261">
        <v>3.9</v>
      </c>
      <c r="AJ206" s="261">
        <v>0.5</v>
      </c>
      <c r="AK206" s="248"/>
      <c r="AL206" s="261">
        <v>-0.1</v>
      </c>
      <c r="AM206" s="261">
        <v>1.1499999999999999</v>
      </c>
      <c r="AN206" s="261">
        <v>0.1</v>
      </c>
      <c r="AO206" s="248"/>
      <c r="AP206" s="7">
        <v>66</v>
      </c>
      <c r="AQ206" s="9">
        <v>0.4</v>
      </c>
      <c r="AR206" s="248"/>
      <c r="AS206" s="248"/>
      <c r="AT206" s="248"/>
      <c r="AU206" s="248"/>
      <c r="AV206" s="248"/>
      <c r="AW206" s="248"/>
      <c r="AX206" s="248"/>
      <c r="AY206" s="248"/>
      <c r="AZ206" s="248"/>
      <c r="BA206" s="248"/>
      <c r="BB206" s="248"/>
      <c r="BC206" s="248"/>
      <c r="BD206" s="248"/>
      <c r="BE206" s="248"/>
      <c r="BF206" s="248"/>
      <c r="BG206" s="248"/>
      <c r="BH206" s="249">
        <v>42917</v>
      </c>
      <c r="BI206" s="262">
        <v>0.75</v>
      </c>
      <c r="BJ206" s="248"/>
      <c r="BK206" s="248"/>
      <c r="BL206" s="248"/>
      <c r="BM206" s="248"/>
      <c r="BN206" s="248"/>
      <c r="BO206"/>
      <c r="BP206"/>
      <c r="BQ206"/>
      <c r="BR206"/>
      <c r="BS206"/>
      <c r="BT206" s="248"/>
      <c r="BU206" s="248"/>
      <c r="BV206" s="248"/>
      <c r="BW206" s="248"/>
      <c r="BX206" s="248"/>
      <c r="BY206" s="248"/>
      <c r="BZ206" s="248"/>
      <c r="CA206" s="248"/>
      <c r="CB206" s="248"/>
      <c r="CC206" s="248"/>
      <c r="CD206" s="248"/>
      <c r="CE206" s="248"/>
      <c r="CF206" s="248"/>
      <c r="CG206" s="248"/>
    </row>
    <row r="207" spans="1:85" ht="12.75" x14ac:dyDescent="0.2">
      <c r="A207" s="29">
        <v>43132</v>
      </c>
      <c r="B207" s="243">
        <v>6.5123708751524012E-2</v>
      </c>
      <c r="D207" s="260">
        <v>42064</v>
      </c>
      <c r="E207" s="9">
        <v>36.398544311523438</v>
      </c>
      <c r="F207" s="9">
        <v>37.898544311523437</v>
      </c>
      <c r="G207" s="9">
        <v>39.398544311523438</v>
      </c>
      <c r="H207" s="8"/>
      <c r="I207" s="9">
        <v>25.25</v>
      </c>
      <c r="J207" s="9">
        <v>25.5</v>
      </c>
      <c r="K207" s="9">
        <v>26.25</v>
      </c>
      <c r="L207" s="7"/>
      <c r="M207" s="249">
        <v>42948</v>
      </c>
      <c r="N207" s="261">
        <v>39.000003814697266</v>
      </c>
      <c r="O207" s="261">
        <v>40.500003814697266</v>
      </c>
      <c r="P207" s="261">
        <v>42.000003814697266</v>
      </c>
      <c r="Q207" s="248"/>
      <c r="R207" s="261">
        <v>31.5</v>
      </c>
      <c r="S207" s="261">
        <v>33</v>
      </c>
      <c r="T207" s="261">
        <v>34.5</v>
      </c>
      <c r="U207" s="248"/>
      <c r="V207" s="261">
        <v>0</v>
      </c>
      <c r="W207" s="261">
        <v>0</v>
      </c>
      <c r="X207" s="261">
        <v>0</v>
      </c>
      <c r="Y207" s="248"/>
      <c r="Z207" s="261">
        <v>0.06</v>
      </c>
      <c r="AA207" s="261">
        <v>0.08</v>
      </c>
      <c r="AB207" s="261">
        <v>0.12</v>
      </c>
      <c r="AC207" s="248"/>
      <c r="AD207" s="261">
        <v>0.16125</v>
      </c>
      <c r="AE207" s="261">
        <v>0.215</v>
      </c>
      <c r="AF207" s="261">
        <v>0.32250000000000001</v>
      </c>
      <c r="AG207" s="248"/>
      <c r="AH207" s="261">
        <v>-0.5</v>
      </c>
      <c r="AI207" s="261">
        <v>3.9</v>
      </c>
      <c r="AJ207" s="261">
        <v>1.75</v>
      </c>
      <c r="AK207" s="248"/>
      <c r="AL207" s="261">
        <v>-0.1</v>
      </c>
      <c r="AM207" s="261">
        <v>1.1499999999999999</v>
      </c>
      <c r="AN207" s="261">
        <v>0.1</v>
      </c>
      <c r="AO207" s="248"/>
      <c r="AP207" s="7">
        <v>67</v>
      </c>
      <c r="AQ207" s="9">
        <v>0.4</v>
      </c>
      <c r="AR207" s="248"/>
      <c r="AS207" s="248"/>
      <c r="AT207" s="248"/>
      <c r="AU207" s="248"/>
      <c r="AV207" s="248"/>
      <c r="AW207" s="248"/>
      <c r="AX207" s="248"/>
      <c r="AY207" s="248"/>
      <c r="AZ207" s="248"/>
      <c r="BA207" s="248"/>
      <c r="BB207" s="248"/>
      <c r="BC207" s="248"/>
      <c r="BD207" s="248"/>
      <c r="BE207" s="248"/>
      <c r="BF207" s="248"/>
      <c r="BG207" s="248"/>
      <c r="BH207" s="249">
        <v>42948</v>
      </c>
      <c r="BI207" s="262">
        <v>0.75</v>
      </c>
      <c r="BJ207" s="248"/>
      <c r="BK207" s="248"/>
      <c r="BL207" s="248"/>
      <c r="BM207" s="248"/>
      <c r="BN207" s="248"/>
      <c r="BO207"/>
      <c r="BP207"/>
      <c r="BQ207"/>
      <c r="BR207"/>
      <c r="BS207"/>
      <c r="BT207" s="248"/>
      <c r="BU207" s="248"/>
      <c r="BV207" s="248"/>
      <c r="BW207" s="248"/>
      <c r="BX207" s="248"/>
      <c r="BY207" s="248"/>
      <c r="BZ207" s="248"/>
      <c r="CA207" s="248"/>
      <c r="CB207" s="248"/>
      <c r="CC207" s="248"/>
      <c r="CD207" s="248"/>
      <c r="CE207" s="248"/>
      <c r="CF207" s="248"/>
      <c r="CG207" s="248"/>
    </row>
    <row r="208" spans="1:85" ht="12.75" x14ac:dyDescent="0.2">
      <c r="A208" s="29">
        <v>43160</v>
      </c>
      <c r="B208" s="243">
        <v>6.5151772757043022E-2</v>
      </c>
      <c r="D208" s="260">
        <v>42095</v>
      </c>
      <c r="E208" s="9">
        <v>36.848545074462891</v>
      </c>
      <c r="F208" s="9">
        <v>38.348545074462891</v>
      </c>
      <c r="G208" s="9">
        <v>39.848545074462891</v>
      </c>
      <c r="H208" s="8"/>
      <c r="I208" s="9">
        <v>23.25</v>
      </c>
      <c r="J208" s="9">
        <v>23.5</v>
      </c>
      <c r="K208" s="9">
        <v>24.25</v>
      </c>
      <c r="L208" s="7"/>
      <c r="M208" s="249">
        <v>42979</v>
      </c>
      <c r="N208" s="261">
        <v>31</v>
      </c>
      <c r="O208" s="261">
        <v>32.5</v>
      </c>
      <c r="P208" s="261">
        <v>34</v>
      </c>
      <c r="Q208" s="248"/>
      <c r="R208" s="261">
        <v>25.5</v>
      </c>
      <c r="S208" s="261">
        <v>27</v>
      </c>
      <c r="T208" s="261">
        <v>28.5</v>
      </c>
      <c r="U208" s="248"/>
      <c r="V208" s="261">
        <v>0</v>
      </c>
      <c r="W208" s="261">
        <v>0</v>
      </c>
      <c r="X208" s="261">
        <v>0</v>
      </c>
      <c r="Y208" s="248"/>
      <c r="Z208" s="261">
        <v>0.06</v>
      </c>
      <c r="AA208" s="261">
        <v>0.08</v>
      </c>
      <c r="AB208" s="261">
        <v>0.12</v>
      </c>
      <c r="AC208" s="248"/>
      <c r="AD208" s="261">
        <v>0.10125000000000001</v>
      </c>
      <c r="AE208" s="261">
        <v>0.13500000000000001</v>
      </c>
      <c r="AF208" s="261">
        <v>0.20250000000000001</v>
      </c>
      <c r="AG208" s="248"/>
      <c r="AH208" s="261">
        <v>-1</v>
      </c>
      <c r="AI208" s="261">
        <v>2.33</v>
      </c>
      <c r="AJ208" s="261">
        <v>2.5</v>
      </c>
      <c r="AK208" s="248"/>
      <c r="AL208" s="261">
        <v>-0.1</v>
      </c>
      <c r="AM208" s="261">
        <v>1.05</v>
      </c>
      <c r="AN208" s="261">
        <v>0.1</v>
      </c>
      <c r="AO208" s="248"/>
      <c r="AP208" s="7">
        <v>67</v>
      </c>
      <c r="AQ208" s="9">
        <v>0.4</v>
      </c>
      <c r="AR208" s="248"/>
      <c r="AS208" s="248"/>
      <c r="AT208" s="248"/>
      <c r="AU208" s="248"/>
      <c r="AV208" s="248"/>
      <c r="AW208" s="248"/>
      <c r="AX208" s="248"/>
      <c r="AY208" s="248"/>
      <c r="AZ208" s="248"/>
      <c r="BA208" s="248"/>
      <c r="BB208" s="248"/>
      <c r="BC208" s="248"/>
      <c r="BD208" s="248"/>
      <c r="BE208" s="248"/>
      <c r="BF208" s="248"/>
      <c r="BG208" s="248"/>
      <c r="BH208" s="249">
        <v>42979</v>
      </c>
      <c r="BI208" s="262">
        <v>0.75</v>
      </c>
      <c r="BJ208" s="248"/>
      <c r="BK208" s="248"/>
      <c r="BL208" s="248"/>
      <c r="BM208" s="248"/>
      <c r="BN208" s="248"/>
      <c r="BO208"/>
      <c r="BP208"/>
      <c r="BQ208"/>
      <c r="BR208"/>
      <c r="BS208"/>
      <c r="BT208" s="248"/>
      <c r="BU208" s="248"/>
      <c r="BV208" s="248"/>
      <c r="BW208" s="248"/>
      <c r="BX208" s="248"/>
      <c r="BY208" s="248"/>
      <c r="BZ208" s="248"/>
      <c r="CA208" s="248"/>
      <c r="CB208" s="248"/>
      <c r="CC208" s="248"/>
      <c r="CD208" s="248"/>
      <c r="CE208" s="248"/>
      <c r="CF208" s="248"/>
      <c r="CG208" s="248"/>
    </row>
    <row r="209" spans="1:85" ht="12.75" x14ac:dyDescent="0.2">
      <c r="A209" s="29">
        <v>43191</v>
      </c>
      <c r="B209" s="243">
        <v>6.5178931472309007E-2</v>
      </c>
      <c r="D209" s="260">
        <v>42125</v>
      </c>
      <c r="E209" s="9">
        <v>37.603566741943361</v>
      </c>
      <c r="F209" s="9">
        <v>40.003566741943359</v>
      </c>
      <c r="G209" s="9">
        <v>42.403566741943358</v>
      </c>
      <c r="H209" s="8"/>
      <c r="I209" s="9">
        <v>25.25</v>
      </c>
      <c r="J209" s="9">
        <v>25.5</v>
      </c>
      <c r="K209" s="9">
        <v>26.25</v>
      </c>
      <c r="L209" s="7"/>
      <c r="M209" s="249">
        <v>43009</v>
      </c>
      <c r="N209" s="261">
        <v>25.996000289916992</v>
      </c>
      <c r="O209" s="261">
        <v>27.496000289916992</v>
      </c>
      <c r="P209" s="261">
        <v>28.996000289916992</v>
      </c>
      <c r="Q209" s="248"/>
      <c r="R209" s="261">
        <v>20.496500015258789</v>
      </c>
      <c r="S209" s="261">
        <v>21.996500015258789</v>
      </c>
      <c r="T209" s="261">
        <v>23.496500015258789</v>
      </c>
      <c r="U209" s="248"/>
      <c r="V209" s="261">
        <v>0</v>
      </c>
      <c r="W209" s="261">
        <v>0</v>
      </c>
      <c r="X209" s="261">
        <v>0</v>
      </c>
      <c r="Y209" s="248"/>
      <c r="Z209" s="261">
        <v>0.06</v>
      </c>
      <c r="AA209" s="261">
        <v>0.08</v>
      </c>
      <c r="AB209" s="261">
        <v>0.12</v>
      </c>
      <c r="AC209" s="248"/>
      <c r="AD209" s="261">
        <v>7.8750000000000001E-2</v>
      </c>
      <c r="AE209" s="261">
        <v>0.105</v>
      </c>
      <c r="AF209" s="261">
        <v>0.1575</v>
      </c>
      <c r="AG209" s="248"/>
      <c r="AH209" s="261">
        <v>-1</v>
      </c>
      <c r="AI209" s="261">
        <v>2.06</v>
      </c>
      <c r="AJ209" s="261">
        <v>2.5</v>
      </c>
      <c r="AK209" s="248"/>
      <c r="AL209" s="261">
        <v>-0.1</v>
      </c>
      <c r="AM209" s="261">
        <v>1</v>
      </c>
      <c r="AN209" s="261">
        <v>0.1</v>
      </c>
      <c r="AO209" s="248"/>
      <c r="AP209" s="7">
        <v>67</v>
      </c>
      <c r="AQ209" s="9">
        <v>0.4</v>
      </c>
      <c r="AR209" s="248"/>
      <c r="AS209" s="248"/>
      <c r="AT209" s="248"/>
      <c r="AU209" s="248"/>
      <c r="AV209" s="248"/>
      <c r="AW209" s="248"/>
      <c r="AX209" s="248"/>
      <c r="AY209" s="248"/>
      <c r="AZ209" s="248"/>
      <c r="BA209" s="248"/>
      <c r="BB209" s="248"/>
      <c r="BC209" s="248"/>
      <c r="BD209" s="248"/>
      <c r="BE209" s="248"/>
      <c r="BF209" s="248"/>
      <c r="BG209" s="248"/>
      <c r="BH209" s="249">
        <v>43009</v>
      </c>
      <c r="BI209" s="262">
        <v>0.75</v>
      </c>
      <c r="BJ209" s="248"/>
      <c r="BK209" s="248"/>
      <c r="BL209" s="248"/>
      <c r="BM209" s="248"/>
      <c r="BN209" s="248"/>
      <c r="BO209"/>
      <c r="BP209"/>
      <c r="BQ209"/>
      <c r="BR209"/>
      <c r="BS209"/>
      <c r="BT209" s="248"/>
      <c r="BU209" s="248"/>
      <c r="BV209" s="248"/>
      <c r="BW209" s="248"/>
      <c r="BX209" s="248"/>
      <c r="BY209" s="248"/>
      <c r="BZ209" s="248"/>
      <c r="CA209" s="248"/>
      <c r="CB209" s="248"/>
      <c r="CC209" s="248"/>
      <c r="CD209" s="248"/>
      <c r="CE209" s="248"/>
      <c r="CF209" s="248"/>
      <c r="CG209" s="248"/>
    </row>
    <row r="210" spans="1:85" ht="12.75" x14ac:dyDescent="0.2">
      <c r="A210" s="29">
        <v>43221</v>
      </c>
      <c r="B210" s="243">
        <v>6.5206995478342022E-2</v>
      </c>
      <c r="D210" s="260">
        <v>42156</v>
      </c>
      <c r="E210" s="9">
        <v>45.997856140136719</v>
      </c>
      <c r="F210" s="9">
        <v>50.997856140136719</v>
      </c>
      <c r="G210" s="9">
        <v>55.997856140136719</v>
      </c>
      <c r="H210" s="8"/>
      <c r="I210" s="9">
        <v>28.25</v>
      </c>
      <c r="J210" s="9">
        <v>28.5</v>
      </c>
      <c r="K210" s="9">
        <v>29.25</v>
      </c>
      <c r="L210" s="7"/>
      <c r="M210" s="249">
        <v>43040</v>
      </c>
      <c r="N210" s="261">
        <v>28</v>
      </c>
      <c r="O210" s="261">
        <v>29.5</v>
      </c>
      <c r="P210" s="261">
        <v>31</v>
      </c>
      <c r="Q210" s="248"/>
      <c r="R210" s="261">
        <v>20.5</v>
      </c>
      <c r="S210" s="261">
        <v>22</v>
      </c>
      <c r="T210" s="261">
        <v>23.5</v>
      </c>
      <c r="U210" s="248"/>
      <c r="V210" s="261">
        <v>0</v>
      </c>
      <c r="W210" s="261">
        <v>0</v>
      </c>
      <c r="X210" s="261">
        <v>0</v>
      </c>
      <c r="Y210" s="248"/>
      <c r="Z210" s="261">
        <v>0.06</v>
      </c>
      <c r="AA210" s="261">
        <v>0.08</v>
      </c>
      <c r="AB210" s="261">
        <v>0.12</v>
      </c>
      <c r="AC210" s="248"/>
      <c r="AD210" s="261">
        <v>7.8750000000000001E-2</v>
      </c>
      <c r="AE210" s="261">
        <v>0.105</v>
      </c>
      <c r="AF210" s="261">
        <v>0.1575</v>
      </c>
      <c r="AG210" s="248"/>
      <c r="AH210" s="261">
        <v>-0.5</v>
      </c>
      <c r="AI210" s="261">
        <v>2.052</v>
      </c>
      <c r="AJ210" s="261">
        <v>1</v>
      </c>
      <c r="AK210" s="248"/>
      <c r="AL210" s="261">
        <v>-0.1</v>
      </c>
      <c r="AM210" s="261">
        <v>1</v>
      </c>
      <c r="AN210" s="261">
        <v>0.1</v>
      </c>
      <c r="AO210" s="248"/>
      <c r="AP210" s="7">
        <v>68</v>
      </c>
      <c r="AQ210" s="9">
        <v>0.4</v>
      </c>
      <c r="AR210" s="248"/>
      <c r="AS210" s="248"/>
      <c r="AT210" s="248"/>
      <c r="AU210" s="248"/>
      <c r="AV210" s="248"/>
      <c r="AW210" s="248"/>
      <c r="AX210" s="248"/>
      <c r="AY210" s="248"/>
      <c r="AZ210" s="248"/>
      <c r="BA210" s="248"/>
      <c r="BB210" s="248"/>
      <c r="BC210" s="248"/>
      <c r="BD210" s="248"/>
      <c r="BE210" s="248"/>
      <c r="BF210" s="248"/>
      <c r="BG210" s="248"/>
      <c r="BH210" s="249">
        <v>43040</v>
      </c>
      <c r="BI210" s="262">
        <v>0.75</v>
      </c>
      <c r="BJ210" s="248"/>
      <c r="BK210" s="248"/>
      <c r="BL210" s="248"/>
      <c r="BM210" s="248"/>
      <c r="BN210" s="248"/>
      <c r="BO210"/>
      <c r="BP210"/>
      <c r="BQ210"/>
      <c r="BR210"/>
      <c r="BS210"/>
      <c r="BT210" s="248"/>
      <c r="BU210" s="248"/>
      <c r="BV210" s="248"/>
      <c r="BW210" s="248"/>
      <c r="BX210" s="248"/>
      <c r="BY210" s="248"/>
      <c r="BZ210" s="248"/>
      <c r="CA210" s="248"/>
      <c r="CB210" s="248"/>
      <c r="CC210" s="248"/>
      <c r="CD210" s="248"/>
      <c r="CE210" s="248"/>
      <c r="CF210" s="248"/>
      <c r="CG210" s="248"/>
    </row>
    <row r="211" spans="1:85" ht="12.75" x14ac:dyDescent="0.2">
      <c r="A211" s="29">
        <v>43252</v>
      </c>
      <c r="B211" s="243">
        <v>6.5234154194105012E-2</v>
      </c>
      <c r="D211" s="260">
        <v>42186</v>
      </c>
      <c r="E211" s="9">
        <v>71.997146606445313</v>
      </c>
      <c r="F211" s="9">
        <v>81.997146606445313</v>
      </c>
      <c r="G211" s="9">
        <v>91.997146606445313</v>
      </c>
      <c r="H211" s="8"/>
      <c r="I211" s="9">
        <v>28.75</v>
      </c>
      <c r="J211" s="9">
        <v>29</v>
      </c>
      <c r="K211" s="9">
        <v>29.75</v>
      </c>
      <c r="L211" s="7"/>
      <c r="M211" s="249">
        <v>43070</v>
      </c>
      <c r="N211" s="261">
        <v>33</v>
      </c>
      <c r="O211" s="261">
        <v>34.5</v>
      </c>
      <c r="P211" s="261">
        <v>36</v>
      </c>
      <c r="Q211" s="248"/>
      <c r="R211" s="261">
        <v>27.5</v>
      </c>
      <c r="S211" s="261">
        <v>29</v>
      </c>
      <c r="T211" s="261">
        <v>30.5</v>
      </c>
      <c r="U211" s="248"/>
      <c r="V211" s="261">
        <v>0</v>
      </c>
      <c r="W211" s="261">
        <v>0</v>
      </c>
      <c r="X211" s="261">
        <v>0</v>
      </c>
      <c r="Y211" s="248"/>
      <c r="Z211" s="261">
        <v>0.06</v>
      </c>
      <c r="AA211" s="261">
        <v>0.08</v>
      </c>
      <c r="AB211" s="261">
        <v>0.12</v>
      </c>
      <c r="AC211" s="248"/>
      <c r="AD211" s="261">
        <v>0.10875</v>
      </c>
      <c r="AE211" s="261">
        <v>0.14499999999999999</v>
      </c>
      <c r="AF211" s="261">
        <v>0.2175</v>
      </c>
      <c r="AG211" s="248"/>
      <c r="AH211" s="261">
        <v>-0.4</v>
      </c>
      <c r="AI211" s="261">
        <v>1.89</v>
      </c>
      <c r="AJ211" s="261">
        <v>0.5</v>
      </c>
      <c r="AK211" s="248"/>
      <c r="AL211" s="261">
        <v>-0.1</v>
      </c>
      <c r="AM211" s="261">
        <v>1</v>
      </c>
      <c r="AN211" s="261">
        <v>0.1</v>
      </c>
      <c r="AO211" s="248"/>
      <c r="AP211" s="7">
        <v>68</v>
      </c>
      <c r="AQ211" s="9">
        <v>0.4</v>
      </c>
      <c r="AR211" s="248"/>
      <c r="AS211" s="248"/>
      <c r="AT211" s="248"/>
      <c r="AU211" s="248"/>
      <c r="AV211" s="248"/>
      <c r="AW211" s="248"/>
      <c r="AX211" s="248"/>
      <c r="AY211" s="248"/>
      <c r="AZ211" s="248"/>
      <c r="BA211" s="248"/>
      <c r="BB211" s="248"/>
      <c r="BC211" s="248"/>
      <c r="BD211" s="248"/>
      <c r="BE211" s="248"/>
      <c r="BF211" s="248"/>
      <c r="BG211" s="248"/>
      <c r="BH211" s="249">
        <v>43070</v>
      </c>
      <c r="BI211" s="262">
        <v>0.75</v>
      </c>
      <c r="BJ211" s="248"/>
      <c r="BK211" s="248"/>
      <c r="BL211" s="248"/>
      <c r="BM211" s="248"/>
      <c r="BN211" s="248"/>
      <c r="BO211"/>
      <c r="BP211"/>
      <c r="BQ211"/>
      <c r="BR211"/>
      <c r="BS211"/>
      <c r="BT211" s="248"/>
      <c r="BU211" s="248"/>
      <c r="BV211" s="248"/>
      <c r="BW211" s="248"/>
      <c r="BX211" s="248"/>
      <c r="BY211" s="248"/>
      <c r="BZ211" s="248"/>
      <c r="CA211" s="248"/>
      <c r="CB211" s="248"/>
      <c r="CC211" s="248"/>
      <c r="CD211" s="248"/>
      <c r="CE211" s="248"/>
      <c r="CF211" s="248"/>
      <c r="CG211" s="248"/>
    </row>
    <row r="212" spans="1:85" ht="12.75" x14ac:dyDescent="0.2">
      <c r="A212" s="29">
        <v>43282</v>
      </c>
      <c r="B212" s="243">
        <v>6.526221820065102E-2</v>
      </c>
      <c r="D212" s="260">
        <v>42217</v>
      </c>
      <c r="E212" s="9">
        <v>71.997146606445313</v>
      </c>
      <c r="F212" s="9">
        <v>81.997146606445313</v>
      </c>
      <c r="G212" s="9">
        <v>91.997146606445313</v>
      </c>
      <c r="H212" s="8"/>
      <c r="I212" s="9">
        <v>29.75</v>
      </c>
      <c r="J212" s="9">
        <v>30</v>
      </c>
      <c r="K212" s="9">
        <v>30.75</v>
      </c>
      <c r="L212" s="7"/>
      <c r="M212" s="249">
        <v>43101</v>
      </c>
      <c r="N212" s="261">
        <v>35.5</v>
      </c>
      <c r="O212" s="261">
        <v>37</v>
      </c>
      <c r="P212" s="261">
        <v>38.5</v>
      </c>
      <c r="Q212" s="248"/>
      <c r="R212" s="261">
        <v>25</v>
      </c>
      <c r="S212" s="261">
        <v>26.5</v>
      </c>
      <c r="T212" s="261">
        <v>28</v>
      </c>
      <c r="U212" s="248"/>
      <c r="V212" s="261">
        <v>0</v>
      </c>
      <c r="W212" s="261">
        <v>0</v>
      </c>
      <c r="X212" s="261">
        <v>0</v>
      </c>
      <c r="Y212" s="248"/>
      <c r="Z212" s="261">
        <v>0.06</v>
      </c>
      <c r="AA212" s="261">
        <v>0.08</v>
      </c>
      <c r="AB212" s="261">
        <v>0.12</v>
      </c>
      <c r="AC212" s="248"/>
      <c r="AD212" s="261">
        <v>0.10125000000000001</v>
      </c>
      <c r="AE212" s="261">
        <v>0.13500000000000001</v>
      </c>
      <c r="AF212" s="261">
        <v>0.20250000000000001</v>
      </c>
      <c r="AG212" s="248"/>
      <c r="AH212" s="261">
        <v>-0.4</v>
      </c>
      <c r="AI212" s="261">
        <v>2.3220000000000001</v>
      </c>
      <c r="AJ212" s="261">
        <v>0.5</v>
      </c>
      <c r="AK212" s="248"/>
      <c r="AL212" s="261">
        <v>-0.1</v>
      </c>
      <c r="AM212" s="261">
        <v>1</v>
      </c>
      <c r="AN212" s="261">
        <v>0.1</v>
      </c>
      <c r="AO212" s="248"/>
      <c r="AP212" s="7">
        <v>68</v>
      </c>
      <c r="AQ212" s="9">
        <v>0.4</v>
      </c>
      <c r="AR212" s="248"/>
      <c r="AS212" s="248"/>
      <c r="AT212" s="248"/>
      <c r="AU212" s="248"/>
      <c r="AV212" s="248"/>
      <c r="AW212" s="248"/>
      <c r="AX212" s="248"/>
      <c r="AY212" s="248"/>
      <c r="AZ212" s="248"/>
      <c r="BA212" s="248"/>
      <c r="BB212" s="248"/>
      <c r="BC212" s="248"/>
      <c r="BD212" s="248"/>
      <c r="BE212" s="248"/>
      <c r="BF212" s="248"/>
      <c r="BG212" s="248"/>
      <c r="BH212" s="249">
        <v>43101</v>
      </c>
      <c r="BI212" s="262">
        <v>0.75</v>
      </c>
      <c r="BJ212" s="248"/>
      <c r="BK212" s="248"/>
      <c r="BL212" s="248"/>
      <c r="BM212" s="248"/>
      <c r="BN212" s="248"/>
      <c r="BO212"/>
      <c r="BP212"/>
      <c r="BQ212"/>
      <c r="BR212"/>
      <c r="BS212"/>
      <c r="BT212" s="248"/>
      <c r="BU212" s="248"/>
      <c r="BV212" s="248"/>
      <c r="BW212" s="248"/>
      <c r="BX212" s="248"/>
      <c r="BY212" s="248"/>
      <c r="BZ212" s="248"/>
      <c r="CA212" s="248"/>
      <c r="CB212" s="248"/>
      <c r="CC212" s="248"/>
      <c r="CD212" s="248"/>
      <c r="CE212" s="248"/>
      <c r="CF212" s="248"/>
      <c r="CG212" s="248"/>
    </row>
    <row r="213" spans="1:85" ht="12.75" x14ac:dyDescent="0.2">
      <c r="A213" s="29">
        <v>43313</v>
      </c>
      <c r="B213" s="243">
        <v>6.5290282207458014E-2</v>
      </c>
      <c r="D213" s="260">
        <v>42248</v>
      </c>
      <c r="E213" s="9">
        <v>38.752143859863281</v>
      </c>
      <c r="F213" s="9">
        <v>40.252143859863281</v>
      </c>
      <c r="G213" s="9">
        <v>41.752143859863281</v>
      </c>
      <c r="H213" s="8"/>
      <c r="I213" s="9">
        <v>22.75</v>
      </c>
      <c r="J213" s="9">
        <v>23</v>
      </c>
      <c r="K213" s="9">
        <v>23.75</v>
      </c>
      <c r="L213" s="7"/>
      <c r="M213" s="249">
        <v>43132</v>
      </c>
      <c r="N213" s="261">
        <v>30.996002197265625</v>
      </c>
      <c r="O213" s="261">
        <v>32.496002197265625</v>
      </c>
      <c r="P213" s="261">
        <v>33.996002197265625</v>
      </c>
      <c r="Q213" s="248"/>
      <c r="R213" s="261">
        <v>22.496501922607422</v>
      </c>
      <c r="S213" s="261">
        <v>23.996501922607422</v>
      </c>
      <c r="T213" s="261">
        <v>25.496501922607422</v>
      </c>
      <c r="U213" s="248"/>
      <c r="V213" s="261">
        <v>0</v>
      </c>
      <c r="W213" s="261">
        <v>0</v>
      </c>
      <c r="X213" s="261">
        <v>0</v>
      </c>
      <c r="Y213" s="248"/>
      <c r="Z213" s="261">
        <v>0.06</v>
      </c>
      <c r="AA213" s="261">
        <v>0.08</v>
      </c>
      <c r="AB213" s="261">
        <v>0.12</v>
      </c>
      <c r="AC213" s="248"/>
      <c r="AD213" s="261">
        <v>0.10125000000000001</v>
      </c>
      <c r="AE213" s="261">
        <v>0.13500000000000001</v>
      </c>
      <c r="AF213" s="261">
        <v>0.20250000000000001</v>
      </c>
      <c r="AG213" s="248"/>
      <c r="AH213" s="261">
        <v>-0.4</v>
      </c>
      <c r="AI213" s="261">
        <v>2.3220000000000001</v>
      </c>
      <c r="AJ213" s="261">
        <v>0.6</v>
      </c>
      <c r="AK213" s="248"/>
      <c r="AL213" s="261">
        <v>-0.1</v>
      </c>
      <c r="AM213" s="261">
        <v>1</v>
      </c>
      <c r="AN213" s="261">
        <v>0.1</v>
      </c>
      <c r="AO213" s="248"/>
      <c r="AP213" s="7">
        <v>69</v>
      </c>
      <c r="AQ213" s="9">
        <v>0.4</v>
      </c>
      <c r="AR213" s="248"/>
      <c r="AS213" s="248"/>
      <c r="AT213" s="248"/>
      <c r="AU213" s="248"/>
      <c r="AV213" s="248"/>
      <c r="AW213" s="248"/>
      <c r="AX213" s="248"/>
      <c r="AY213" s="248"/>
      <c r="AZ213" s="248"/>
      <c r="BA213" s="248"/>
      <c r="BB213" s="248"/>
      <c r="BC213" s="248"/>
      <c r="BD213" s="248"/>
      <c r="BE213" s="248"/>
      <c r="BF213" s="248"/>
      <c r="BG213" s="248"/>
      <c r="BH213" s="249">
        <v>43132</v>
      </c>
      <c r="BI213" s="262">
        <v>0.75</v>
      </c>
      <c r="BJ213" s="248"/>
      <c r="BK213" s="248"/>
      <c r="BL213" s="248"/>
      <c r="BM213" s="248"/>
      <c r="BN213" s="248"/>
      <c r="BO213"/>
      <c r="BP213"/>
      <c r="BQ213"/>
      <c r="BR213"/>
      <c r="BS213"/>
      <c r="BT213" s="248"/>
      <c r="BU213" s="248"/>
      <c r="BV213" s="248"/>
      <c r="BW213" s="248"/>
      <c r="BX213" s="248"/>
      <c r="BY213" s="248"/>
      <c r="BZ213" s="248"/>
      <c r="CA213" s="248"/>
      <c r="CB213" s="248"/>
      <c r="CC213" s="248"/>
      <c r="CD213" s="248"/>
      <c r="CE213" s="248"/>
      <c r="CF213" s="248"/>
      <c r="CG213" s="248"/>
    </row>
    <row r="214" spans="1:85" ht="12.75" x14ac:dyDescent="0.2">
      <c r="A214" s="29">
        <v>43344</v>
      </c>
      <c r="B214" s="243">
        <v>6.5317440923972014E-2</v>
      </c>
      <c r="D214" s="260">
        <v>42278</v>
      </c>
      <c r="E214" s="9">
        <v>36.648933410644531</v>
      </c>
      <c r="F214" s="9">
        <v>38.148933410644531</v>
      </c>
      <c r="G214" s="9">
        <v>39.648933410644531</v>
      </c>
      <c r="H214" s="8"/>
      <c r="I214" s="9">
        <v>20.250001907348633</v>
      </c>
      <c r="J214" s="9">
        <v>20.500001907348633</v>
      </c>
      <c r="K214" s="9">
        <v>21.250001907348633</v>
      </c>
      <c r="L214" s="7"/>
      <c r="M214" s="249">
        <v>43160</v>
      </c>
      <c r="N214" s="261">
        <v>26</v>
      </c>
      <c r="O214" s="261">
        <v>27.5</v>
      </c>
      <c r="P214" s="261">
        <v>29</v>
      </c>
      <c r="Q214" s="248"/>
      <c r="R214" s="261">
        <v>20.5</v>
      </c>
      <c r="S214" s="261">
        <v>22</v>
      </c>
      <c r="T214" s="261">
        <v>23.5</v>
      </c>
      <c r="U214" s="248"/>
      <c r="V214" s="261">
        <v>0</v>
      </c>
      <c r="W214" s="261">
        <v>0</v>
      </c>
      <c r="X214" s="261">
        <v>0</v>
      </c>
      <c r="Y214" s="248"/>
      <c r="Z214" s="261">
        <v>0.06</v>
      </c>
      <c r="AA214" s="261">
        <v>0.08</v>
      </c>
      <c r="AB214" s="261">
        <v>0.12</v>
      </c>
      <c r="AC214" s="248"/>
      <c r="AD214" s="261">
        <v>0.09</v>
      </c>
      <c r="AE214" s="261">
        <v>0.12</v>
      </c>
      <c r="AF214" s="261">
        <v>0.18</v>
      </c>
      <c r="AG214" s="248"/>
      <c r="AH214" s="261">
        <v>-0.5</v>
      </c>
      <c r="AI214" s="261">
        <v>2.052</v>
      </c>
      <c r="AJ214" s="261">
        <v>1</v>
      </c>
      <c r="AK214" s="248"/>
      <c r="AL214" s="261">
        <v>-0.1</v>
      </c>
      <c r="AM214" s="261">
        <v>1</v>
      </c>
      <c r="AN214" s="261">
        <v>0.1</v>
      </c>
      <c r="AO214" s="248"/>
      <c r="AP214" s="7">
        <v>69</v>
      </c>
      <c r="AQ214" s="9">
        <v>0.4</v>
      </c>
      <c r="AR214" s="248"/>
      <c r="AS214" s="248"/>
      <c r="AT214" s="248"/>
      <c r="AU214" s="248"/>
      <c r="AV214" s="248"/>
      <c r="AW214" s="248"/>
      <c r="AX214" s="248"/>
      <c r="AY214" s="248"/>
      <c r="AZ214" s="248"/>
      <c r="BA214" s="248"/>
      <c r="BB214" s="248"/>
      <c r="BC214" s="248"/>
      <c r="BD214" s="248"/>
      <c r="BE214" s="248"/>
      <c r="BF214" s="248"/>
      <c r="BG214" s="248"/>
      <c r="BH214" s="249">
        <v>43160</v>
      </c>
      <c r="BI214" s="262">
        <v>0.75</v>
      </c>
      <c r="BJ214" s="248"/>
      <c r="BK214" s="248"/>
      <c r="BL214" s="248"/>
      <c r="BM214" s="248"/>
      <c r="BN214" s="248"/>
      <c r="BO214"/>
      <c r="BP214"/>
      <c r="BQ214"/>
      <c r="BR214"/>
      <c r="BS214"/>
      <c r="BT214" s="248"/>
      <c r="BU214" s="248"/>
      <c r="BV214" s="248"/>
      <c r="BW214" s="248"/>
      <c r="BX214" s="248"/>
      <c r="BY214" s="248"/>
      <c r="BZ214" s="248"/>
      <c r="CA214" s="248"/>
      <c r="CB214" s="248"/>
      <c r="CC214" s="248"/>
      <c r="CD214" s="248"/>
      <c r="CE214" s="248"/>
      <c r="CF214" s="248"/>
      <c r="CG214" s="248"/>
    </row>
    <row r="215" spans="1:85" ht="12.75" x14ac:dyDescent="0.2">
      <c r="A215" s="29">
        <v>43374</v>
      </c>
      <c r="B215" s="243">
        <v>6.5345504931292001E-2</v>
      </c>
      <c r="D215" s="260">
        <v>42309</v>
      </c>
      <c r="E215" s="9">
        <v>36.748931884765625</v>
      </c>
      <c r="F215" s="9">
        <v>38.248931884765625</v>
      </c>
      <c r="G215" s="9">
        <v>39.748931884765625</v>
      </c>
      <c r="H215" s="8"/>
      <c r="I215" s="9">
        <v>22.25</v>
      </c>
      <c r="J215" s="9">
        <v>22.5</v>
      </c>
      <c r="K215" s="9">
        <v>23.25</v>
      </c>
      <c r="L215" s="7"/>
      <c r="M215" s="249">
        <v>43191</v>
      </c>
      <c r="N215" s="261">
        <v>26</v>
      </c>
      <c r="O215" s="261">
        <v>27.5</v>
      </c>
      <c r="P215" s="261">
        <v>29</v>
      </c>
      <c r="Q215" s="248"/>
      <c r="R215" s="261">
        <v>20.495000839233398</v>
      </c>
      <c r="S215" s="261">
        <v>21.995000839233398</v>
      </c>
      <c r="T215" s="261">
        <v>23.495000839233398</v>
      </c>
      <c r="U215" s="248"/>
      <c r="V215" s="261">
        <v>0</v>
      </c>
      <c r="W215" s="261">
        <v>0</v>
      </c>
      <c r="X215" s="261">
        <v>0</v>
      </c>
      <c r="Y215" s="248"/>
      <c r="Z215" s="261">
        <v>0.06</v>
      </c>
      <c r="AA215" s="261">
        <v>0.08</v>
      </c>
      <c r="AB215" s="261">
        <v>0.12</v>
      </c>
      <c r="AC215" s="248"/>
      <c r="AD215" s="261">
        <v>0.09</v>
      </c>
      <c r="AE215" s="261">
        <v>0.12</v>
      </c>
      <c r="AF215" s="261">
        <v>0.18</v>
      </c>
      <c r="AG215" s="248"/>
      <c r="AH215" s="261">
        <v>-0.5</v>
      </c>
      <c r="AI215" s="261">
        <v>1.9980000000000004</v>
      </c>
      <c r="AJ215" s="261">
        <v>1</v>
      </c>
      <c r="AK215" s="248"/>
      <c r="AL215" s="261">
        <v>-0.1</v>
      </c>
      <c r="AM215" s="261">
        <v>1</v>
      </c>
      <c r="AN215" s="261">
        <v>0.1</v>
      </c>
      <c r="AO215" s="248"/>
      <c r="AP215" s="7">
        <v>69</v>
      </c>
      <c r="AQ215" s="9">
        <v>0.4</v>
      </c>
      <c r="AR215" s="248"/>
      <c r="AS215" s="248"/>
      <c r="AT215" s="248"/>
      <c r="AU215" s="248"/>
      <c r="AV215" s="248"/>
      <c r="AW215" s="248"/>
      <c r="AX215" s="248"/>
      <c r="AY215" s="248"/>
      <c r="AZ215" s="248"/>
      <c r="BA215" s="248"/>
      <c r="BB215" s="248"/>
      <c r="BC215" s="248"/>
      <c r="BD215" s="248"/>
      <c r="BE215" s="248"/>
      <c r="BF215" s="248"/>
      <c r="BG215" s="248"/>
      <c r="BH215" s="249">
        <v>43191</v>
      </c>
      <c r="BI215" s="262">
        <v>0.75</v>
      </c>
      <c r="BJ215" s="248"/>
      <c r="BK215" s="248"/>
      <c r="BL215" s="248"/>
      <c r="BM215" s="248"/>
      <c r="BN215" s="248"/>
      <c r="BO215"/>
      <c r="BP215"/>
      <c r="BQ215"/>
      <c r="BR215"/>
      <c r="BS215"/>
      <c r="BT215" s="248"/>
      <c r="BU215" s="248"/>
      <c r="BV215" s="248"/>
      <c r="BW215" s="248"/>
      <c r="BX215" s="248"/>
      <c r="BY215" s="248"/>
      <c r="BZ215" s="248"/>
      <c r="CA215" s="248"/>
      <c r="CB215" s="248"/>
      <c r="CC215" s="248"/>
      <c r="CD215" s="248"/>
      <c r="CE215" s="248"/>
      <c r="CF215" s="248"/>
      <c r="CG215" s="248"/>
    </row>
    <row r="216" spans="1:85" ht="12.75" x14ac:dyDescent="0.2">
      <c r="A216" s="29">
        <v>43405</v>
      </c>
      <c r="B216" s="243">
        <v>6.5372663648302021E-2</v>
      </c>
      <c r="D216" s="260">
        <v>42339</v>
      </c>
      <c r="E216" s="9">
        <v>36.848930358886719</v>
      </c>
      <c r="F216" s="9">
        <v>38.348930358886719</v>
      </c>
      <c r="G216" s="9">
        <v>39.848930358886719</v>
      </c>
      <c r="H216" s="8"/>
      <c r="I216" s="9">
        <v>21.360000610351563</v>
      </c>
      <c r="J216" s="9">
        <v>21.610000610351562</v>
      </c>
      <c r="K216" s="9">
        <v>22.360000610351563</v>
      </c>
      <c r="L216" s="7"/>
      <c r="M216" s="249">
        <v>43221</v>
      </c>
      <c r="N216" s="261">
        <v>28</v>
      </c>
      <c r="O216" s="261">
        <v>29.5</v>
      </c>
      <c r="P216" s="261">
        <v>31</v>
      </c>
      <c r="Q216" s="248"/>
      <c r="R216" s="261">
        <v>21.504999160766602</v>
      </c>
      <c r="S216" s="261">
        <v>23.004999160766602</v>
      </c>
      <c r="T216" s="261">
        <v>24.504999160766602</v>
      </c>
      <c r="U216" s="248"/>
      <c r="V216" s="261">
        <v>0</v>
      </c>
      <c r="W216" s="261">
        <v>0</v>
      </c>
      <c r="X216" s="261">
        <v>0</v>
      </c>
      <c r="Y216" s="248"/>
      <c r="Z216" s="261">
        <v>0.06</v>
      </c>
      <c r="AA216" s="261">
        <v>0.08</v>
      </c>
      <c r="AB216" s="261">
        <v>0.12</v>
      </c>
      <c r="AC216" s="248"/>
      <c r="AD216" s="261">
        <v>0.11625000000000001</v>
      </c>
      <c r="AE216" s="261">
        <v>0.155</v>
      </c>
      <c r="AF216" s="261">
        <v>0.23250000000000001</v>
      </c>
      <c r="AG216" s="248"/>
      <c r="AH216" s="261">
        <v>-0.4</v>
      </c>
      <c r="AI216" s="261">
        <v>2.15</v>
      </c>
      <c r="AJ216" s="261">
        <v>0.5</v>
      </c>
      <c r="AK216" s="248"/>
      <c r="AL216" s="261">
        <v>-0.1</v>
      </c>
      <c r="AM216" s="261">
        <v>1.05</v>
      </c>
      <c r="AN216" s="261">
        <v>0.1</v>
      </c>
      <c r="AO216" s="248"/>
      <c r="AP216" s="7">
        <v>70</v>
      </c>
      <c r="AQ216" s="9">
        <v>0.4</v>
      </c>
      <c r="AR216" s="248"/>
      <c r="AS216" s="248"/>
      <c r="AT216" s="248"/>
      <c r="AU216" s="248"/>
      <c r="AV216" s="248"/>
      <c r="AW216" s="248"/>
      <c r="AX216" s="248"/>
      <c r="AY216" s="248"/>
      <c r="AZ216" s="248"/>
      <c r="BA216" s="248"/>
      <c r="BB216" s="248"/>
      <c r="BC216" s="248"/>
      <c r="BD216" s="248"/>
      <c r="BE216" s="248"/>
      <c r="BF216" s="248"/>
      <c r="BG216" s="248"/>
      <c r="BH216" s="249">
        <v>43221</v>
      </c>
      <c r="BI216" s="262">
        <v>0.75</v>
      </c>
      <c r="BJ216" s="248"/>
      <c r="BK216" s="248"/>
      <c r="BL216" s="248"/>
      <c r="BM216" s="248"/>
      <c r="BN216" s="248"/>
      <c r="BO216"/>
      <c r="BP216"/>
      <c r="BQ216"/>
      <c r="BR216"/>
      <c r="BS216"/>
      <c r="BT216" s="248"/>
      <c r="BU216" s="248"/>
      <c r="BV216" s="248"/>
      <c r="BW216" s="248"/>
      <c r="BX216" s="248"/>
      <c r="BY216" s="248"/>
      <c r="BZ216" s="248"/>
      <c r="CA216" s="248"/>
      <c r="CB216" s="248"/>
      <c r="CC216" s="248"/>
      <c r="CD216" s="248"/>
      <c r="CE216" s="248"/>
      <c r="CF216" s="248"/>
      <c r="CG216" s="248"/>
    </row>
    <row r="217" spans="1:85" ht="12.75" x14ac:dyDescent="0.2">
      <c r="A217" s="29">
        <v>43435</v>
      </c>
      <c r="B217" s="243">
        <v>6.5400727656136026E-2</v>
      </c>
      <c r="D217" s="260">
        <v>42370</v>
      </c>
      <c r="E217" s="9">
        <v>46.037864685058594</v>
      </c>
      <c r="F217" s="9">
        <v>47.537864685058594</v>
      </c>
      <c r="G217" s="9">
        <v>49.037864685058594</v>
      </c>
      <c r="H217" s="8"/>
      <c r="I217" s="9">
        <v>26.25</v>
      </c>
      <c r="J217" s="9">
        <v>26.5</v>
      </c>
      <c r="K217" s="9">
        <v>27.25</v>
      </c>
      <c r="L217" s="7"/>
      <c r="M217" s="249">
        <v>43252</v>
      </c>
      <c r="N217" s="261">
        <v>35</v>
      </c>
      <c r="O217" s="261">
        <v>36.5</v>
      </c>
      <c r="P217" s="261">
        <v>38</v>
      </c>
      <c r="Q217" s="248"/>
      <c r="R217" s="261">
        <v>25.5</v>
      </c>
      <c r="S217" s="261">
        <v>27</v>
      </c>
      <c r="T217" s="261">
        <v>28.5</v>
      </c>
      <c r="U217" s="248"/>
      <c r="V217" s="261">
        <v>0</v>
      </c>
      <c r="W217" s="261">
        <v>0</v>
      </c>
      <c r="X217" s="261">
        <v>0</v>
      </c>
      <c r="Y217" s="248"/>
      <c r="Z217" s="261">
        <v>0.06</v>
      </c>
      <c r="AA217" s="261">
        <v>0.08</v>
      </c>
      <c r="AB217" s="261">
        <v>0.12</v>
      </c>
      <c r="AC217" s="248"/>
      <c r="AD217" s="261">
        <v>0.13125000000000001</v>
      </c>
      <c r="AE217" s="261">
        <v>0.17499999999999999</v>
      </c>
      <c r="AF217" s="261">
        <v>0.26250000000000001</v>
      </c>
      <c r="AG217" s="248"/>
      <c r="AH217" s="261">
        <v>-0.4</v>
      </c>
      <c r="AI217" s="261">
        <v>2.9</v>
      </c>
      <c r="AJ217" s="261">
        <v>0.5</v>
      </c>
      <c r="AK217" s="248"/>
      <c r="AL217" s="261">
        <v>-0.1</v>
      </c>
      <c r="AM217" s="261">
        <v>1.1499999999999999</v>
      </c>
      <c r="AN217" s="261">
        <v>0.1</v>
      </c>
      <c r="AO217" s="248"/>
      <c r="AP217" s="7">
        <v>70</v>
      </c>
      <c r="AQ217" s="9">
        <v>0.4</v>
      </c>
      <c r="AR217" s="248"/>
      <c r="AS217" s="248"/>
      <c r="AT217" s="248"/>
      <c r="AU217" s="248"/>
      <c r="AV217" s="248"/>
      <c r="AW217" s="248"/>
      <c r="AX217" s="248"/>
      <c r="AY217" s="248"/>
      <c r="AZ217" s="248"/>
      <c r="BA217" s="248"/>
      <c r="BB217" s="248"/>
      <c r="BC217" s="248"/>
      <c r="BD217" s="248"/>
      <c r="BE217" s="248"/>
      <c r="BF217" s="248"/>
      <c r="BG217" s="248"/>
      <c r="BH217" s="249">
        <v>43252</v>
      </c>
      <c r="BI217" s="262">
        <v>0.75</v>
      </c>
      <c r="BJ217" s="248"/>
      <c r="BK217" s="248"/>
      <c r="BL217" s="248"/>
      <c r="BM217" s="248"/>
      <c r="BN217" s="248"/>
      <c r="BO217"/>
      <c r="BP217"/>
      <c r="BQ217"/>
      <c r="BR217"/>
      <c r="BS217"/>
      <c r="BT217" s="248"/>
      <c r="BU217" s="248"/>
      <c r="BV217" s="248"/>
      <c r="BW217" s="248"/>
      <c r="BX217" s="248"/>
      <c r="BY217" s="248"/>
      <c r="BZ217" s="248"/>
      <c r="CA217" s="248"/>
      <c r="CB217" s="248"/>
      <c r="CC217" s="248"/>
      <c r="CD217" s="248"/>
      <c r="CE217" s="248"/>
      <c r="CF217" s="248"/>
      <c r="CG217" s="248"/>
    </row>
    <row r="218" spans="1:85" ht="12.75" x14ac:dyDescent="0.2">
      <c r="A218" s="29">
        <v>43466</v>
      </c>
      <c r="B218" s="243">
        <v>6.5428791664232003E-2</v>
      </c>
      <c r="D218" s="260">
        <v>42401</v>
      </c>
      <c r="E218" s="9">
        <v>45.687862396240234</v>
      </c>
      <c r="F218" s="9">
        <v>47.187862396240234</v>
      </c>
      <c r="G218" s="9">
        <v>48.687862396240234</v>
      </c>
      <c r="H218" s="8"/>
      <c r="I218" s="9">
        <v>24.75</v>
      </c>
      <c r="J218" s="9">
        <v>25</v>
      </c>
      <c r="K218" s="9">
        <v>25.75</v>
      </c>
      <c r="L218" s="7"/>
      <c r="M218" s="249">
        <v>43282</v>
      </c>
      <c r="N218" s="261">
        <v>41</v>
      </c>
      <c r="O218" s="261">
        <v>42.5</v>
      </c>
      <c r="P218" s="261">
        <v>44</v>
      </c>
      <c r="Q218" s="248"/>
      <c r="R218" s="261">
        <v>31.5</v>
      </c>
      <c r="S218" s="261">
        <v>33</v>
      </c>
      <c r="T218" s="261">
        <v>34.5</v>
      </c>
      <c r="U218" s="248"/>
      <c r="V218" s="261">
        <v>0</v>
      </c>
      <c r="W218" s="261">
        <v>0</v>
      </c>
      <c r="X218" s="261">
        <v>0</v>
      </c>
      <c r="Y218" s="248"/>
      <c r="Z218" s="261">
        <v>0.06</v>
      </c>
      <c r="AA218" s="261">
        <v>0.08</v>
      </c>
      <c r="AB218" s="261">
        <v>0.12</v>
      </c>
      <c r="AC218" s="248"/>
      <c r="AD218" s="261">
        <v>0.16125</v>
      </c>
      <c r="AE218" s="261">
        <v>0.215</v>
      </c>
      <c r="AF218" s="261">
        <v>0.32250000000000001</v>
      </c>
      <c r="AG218" s="248"/>
      <c r="AH218" s="261">
        <v>-0.4</v>
      </c>
      <c r="AI218" s="261">
        <v>3.9</v>
      </c>
      <c r="AJ218" s="261">
        <v>0.5</v>
      </c>
      <c r="AK218" s="248"/>
      <c r="AL218" s="261">
        <v>-0.1</v>
      </c>
      <c r="AM218" s="261">
        <v>1.1499999999999999</v>
      </c>
      <c r="AN218" s="261">
        <v>0.1</v>
      </c>
      <c r="AO218" s="248"/>
      <c r="AP218" s="7">
        <v>70</v>
      </c>
      <c r="AQ218" s="9">
        <v>0.4</v>
      </c>
      <c r="AR218" s="248"/>
      <c r="AS218" s="248"/>
      <c r="AT218" s="248"/>
      <c r="AU218" s="248"/>
      <c r="AV218" s="248"/>
      <c r="AW218" s="248"/>
      <c r="AX218" s="248"/>
      <c r="AY218" s="248"/>
      <c r="AZ218" s="248"/>
      <c r="BA218" s="248"/>
      <c r="BB218" s="248"/>
      <c r="BC218" s="248"/>
      <c r="BD218" s="248"/>
      <c r="BE218" s="248"/>
      <c r="BF218" s="248"/>
      <c r="BG218" s="248"/>
      <c r="BH218" s="249">
        <v>43282</v>
      </c>
      <c r="BI218" s="262">
        <v>0.75</v>
      </c>
      <c r="BJ218" s="248"/>
      <c r="BK218" s="248"/>
      <c r="BL218" s="248"/>
      <c r="BM218" s="248"/>
      <c r="BN218" s="248"/>
      <c r="BO218"/>
      <c r="BP218"/>
      <c r="BQ218"/>
      <c r="BR218"/>
      <c r="BS218"/>
      <c r="BT218" s="248"/>
      <c r="BU218" s="248"/>
      <c r="BV218" s="248"/>
      <c r="BW218" s="248"/>
      <c r="BX218" s="248"/>
      <c r="BY218" s="248"/>
      <c r="BZ218" s="248"/>
      <c r="CA218" s="248"/>
      <c r="CB218" s="248"/>
      <c r="CC218" s="248"/>
      <c r="CD218" s="248"/>
      <c r="CE218" s="248"/>
      <c r="CF218" s="248"/>
      <c r="CG218" s="248"/>
    </row>
    <row r="219" spans="1:85" ht="12.75" x14ac:dyDescent="0.2">
      <c r="A219" s="29">
        <v>43497</v>
      </c>
      <c r="B219" s="243">
        <v>6.5454139800800018E-2</v>
      </c>
      <c r="D219" s="260">
        <v>42430</v>
      </c>
      <c r="E219" s="9">
        <v>36.898544311523438</v>
      </c>
      <c r="F219" s="9">
        <v>38.398544311523438</v>
      </c>
      <c r="G219" s="9">
        <v>39.898544311523438</v>
      </c>
      <c r="H219" s="8"/>
      <c r="I219" s="9">
        <v>25.75</v>
      </c>
      <c r="J219" s="9">
        <v>26</v>
      </c>
      <c r="K219" s="9">
        <v>26.75</v>
      </c>
      <c r="L219" s="7"/>
      <c r="M219" s="249">
        <v>43313</v>
      </c>
      <c r="N219" s="261">
        <v>39.000003814697266</v>
      </c>
      <c r="O219" s="261">
        <v>40.500003814697266</v>
      </c>
      <c r="P219" s="261">
        <v>42.000003814697266</v>
      </c>
      <c r="Q219" s="248"/>
      <c r="R219" s="261">
        <v>31.5</v>
      </c>
      <c r="S219" s="261">
        <v>33</v>
      </c>
      <c r="T219" s="261">
        <v>34.5</v>
      </c>
      <c r="U219" s="248"/>
      <c r="V219" s="261">
        <v>0</v>
      </c>
      <c r="W219" s="261">
        <v>0</v>
      </c>
      <c r="X219" s="261">
        <v>0</v>
      </c>
      <c r="Y219" s="248"/>
      <c r="Z219" s="261">
        <v>0.06</v>
      </c>
      <c r="AA219" s="261">
        <v>0.08</v>
      </c>
      <c r="AB219" s="261">
        <v>0.12</v>
      </c>
      <c r="AC219" s="248"/>
      <c r="AD219" s="261">
        <v>0.16125</v>
      </c>
      <c r="AE219" s="261">
        <v>0.215</v>
      </c>
      <c r="AF219" s="261">
        <v>0.32250000000000001</v>
      </c>
      <c r="AG219" s="248"/>
      <c r="AH219" s="261">
        <v>-0.5</v>
      </c>
      <c r="AI219" s="261">
        <v>3.9</v>
      </c>
      <c r="AJ219" s="261">
        <v>1.75</v>
      </c>
      <c r="AK219" s="248"/>
      <c r="AL219" s="261">
        <v>-0.1</v>
      </c>
      <c r="AM219" s="261">
        <v>1.1499999999999999</v>
      </c>
      <c r="AN219" s="261">
        <v>0.1</v>
      </c>
      <c r="AO219" s="248"/>
      <c r="AP219" s="7">
        <v>71</v>
      </c>
      <c r="AQ219" s="9">
        <v>0.4</v>
      </c>
      <c r="AR219" s="248"/>
      <c r="AS219" s="248"/>
      <c r="AT219" s="248"/>
      <c r="AU219" s="248"/>
      <c r="AV219" s="248"/>
      <c r="AW219" s="248"/>
      <c r="AX219" s="248"/>
      <c r="AY219" s="248"/>
      <c r="AZ219" s="248"/>
      <c r="BA219" s="248"/>
      <c r="BB219" s="248"/>
      <c r="BC219" s="248"/>
      <c r="BD219" s="248"/>
      <c r="BE219" s="248"/>
      <c r="BF219" s="248"/>
      <c r="BG219" s="248"/>
      <c r="BH219" s="249">
        <v>43313</v>
      </c>
      <c r="BI219" s="262">
        <v>0.75</v>
      </c>
      <c r="BJ219" s="248"/>
      <c r="BK219" s="248"/>
      <c r="BL219" s="248"/>
      <c r="BM219" s="248"/>
      <c r="BN219" s="248"/>
      <c r="BO219"/>
      <c r="BP219"/>
      <c r="BQ219"/>
      <c r="BR219"/>
      <c r="BS219"/>
      <c r="BT219" s="248"/>
      <c r="BU219" s="248"/>
      <c r="BV219" s="248"/>
      <c r="BW219" s="248"/>
      <c r="BX219" s="248"/>
      <c r="BY219" s="248"/>
      <c r="BZ219" s="248"/>
      <c r="CA219" s="248"/>
      <c r="CB219" s="248"/>
      <c r="CC219" s="248"/>
      <c r="CD219" s="248"/>
      <c r="CE219" s="248"/>
      <c r="CF219" s="248"/>
      <c r="CG219" s="248"/>
    </row>
    <row r="220" spans="1:85" ht="12.75" x14ac:dyDescent="0.2">
      <c r="A220" s="29">
        <v>43525</v>
      </c>
      <c r="B220" s="243">
        <v>6.5482203809392014E-2</v>
      </c>
      <c r="D220" s="260">
        <v>42461</v>
      </c>
      <c r="E220" s="9">
        <v>37.348545074462891</v>
      </c>
      <c r="F220" s="9">
        <v>38.848545074462891</v>
      </c>
      <c r="G220" s="9">
        <v>40.348545074462891</v>
      </c>
      <c r="H220" s="8"/>
      <c r="I220" s="9">
        <v>23.75</v>
      </c>
      <c r="J220" s="9">
        <v>24</v>
      </c>
      <c r="K220" s="9">
        <v>24.75</v>
      </c>
      <c r="L220" s="7"/>
      <c r="M220" s="249">
        <v>43344</v>
      </c>
      <c r="N220" s="261">
        <v>31</v>
      </c>
      <c r="O220" s="261">
        <v>32.5</v>
      </c>
      <c r="P220" s="261">
        <v>34</v>
      </c>
      <c r="Q220" s="248"/>
      <c r="R220" s="261">
        <v>25.5</v>
      </c>
      <c r="S220" s="261">
        <v>27</v>
      </c>
      <c r="T220" s="261">
        <v>28.5</v>
      </c>
      <c r="U220" s="248"/>
      <c r="V220" s="261">
        <v>0</v>
      </c>
      <c r="W220" s="261">
        <v>0</v>
      </c>
      <c r="X220" s="261">
        <v>0</v>
      </c>
      <c r="Y220" s="248"/>
      <c r="Z220" s="261">
        <v>0.06</v>
      </c>
      <c r="AA220" s="261">
        <v>0.08</v>
      </c>
      <c r="AB220" s="261">
        <v>0.12</v>
      </c>
      <c r="AC220" s="248"/>
      <c r="AD220" s="261">
        <v>0.10125000000000001</v>
      </c>
      <c r="AE220" s="261">
        <v>0.13500000000000001</v>
      </c>
      <c r="AF220" s="261">
        <v>0.20250000000000001</v>
      </c>
      <c r="AG220" s="248"/>
      <c r="AH220" s="261">
        <v>-1</v>
      </c>
      <c r="AI220" s="261">
        <v>2.33</v>
      </c>
      <c r="AJ220" s="261">
        <v>2.5</v>
      </c>
      <c r="AK220" s="248"/>
      <c r="AL220" s="261">
        <v>-0.1</v>
      </c>
      <c r="AM220" s="261">
        <v>1.1499999999999999</v>
      </c>
      <c r="AN220" s="261">
        <v>0.1</v>
      </c>
      <c r="AO220" s="248"/>
      <c r="AP220" s="7">
        <v>71</v>
      </c>
      <c r="AQ220" s="9">
        <v>0.4</v>
      </c>
      <c r="AR220" s="248"/>
      <c r="AS220" s="248"/>
      <c r="AT220" s="248"/>
      <c r="AU220" s="248"/>
      <c r="AV220" s="248"/>
      <c r="AW220" s="248"/>
      <c r="AX220" s="248"/>
      <c r="AY220" s="248"/>
      <c r="AZ220" s="248"/>
      <c r="BA220" s="248"/>
      <c r="BB220" s="248"/>
      <c r="BC220" s="248"/>
      <c r="BD220" s="248"/>
      <c r="BE220" s="248"/>
      <c r="BF220" s="248"/>
      <c r="BG220" s="248"/>
      <c r="BH220" s="249">
        <v>43344</v>
      </c>
      <c r="BI220" s="262">
        <v>0.75</v>
      </c>
      <c r="BJ220" s="248"/>
      <c r="BK220" s="248"/>
      <c r="BL220" s="248"/>
      <c r="BM220" s="248"/>
      <c r="BN220" s="248"/>
      <c r="BO220"/>
      <c r="BP220"/>
      <c r="BQ220"/>
      <c r="BR220"/>
      <c r="BS220"/>
      <c r="BT220" s="248"/>
      <c r="BU220" s="248"/>
      <c r="BV220" s="248"/>
      <c r="BW220" s="248"/>
      <c r="BX220" s="248"/>
      <c r="BY220" s="248"/>
      <c r="BZ220" s="248"/>
      <c r="CA220" s="248"/>
      <c r="CB220" s="248"/>
      <c r="CC220" s="248"/>
      <c r="CD220" s="248"/>
      <c r="CE220" s="248"/>
      <c r="CF220" s="248"/>
      <c r="CG220" s="248"/>
    </row>
    <row r="221" spans="1:85" ht="12.75" x14ac:dyDescent="0.2">
      <c r="A221" s="29">
        <v>43556</v>
      </c>
      <c r="B221" s="243">
        <v>6.5509362527632023E-2</v>
      </c>
      <c r="D221" s="260">
        <v>42491</v>
      </c>
      <c r="E221" s="9">
        <v>38.053566741943364</v>
      </c>
      <c r="F221" s="9">
        <v>40.503566741943359</v>
      </c>
      <c r="G221" s="9">
        <v>42.953566741943355</v>
      </c>
      <c r="H221" s="8"/>
      <c r="I221" s="9">
        <v>25.75</v>
      </c>
      <c r="J221" s="9">
        <v>26</v>
      </c>
      <c r="K221" s="9">
        <v>26.75</v>
      </c>
      <c r="L221" s="7"/>
      <c r="M221" s="249">
        <v>43374</v>
      </c>
      <c r="N221" s="261">
        <v>25.996000289916992</v>
      </c>
      <c r="O221" s="261">
        <v>27.496000289916992</v>
      </c>
      <c r="P221" s="261">
        <v>28.996000289916992</v>
      </c>
      <c r="Q221" s="248"/>
      <c r="R221" s="261">
        <v>20.496500015258789</v>
      </c>
      <c r="S221" s="261">
        <v>21.996500015258789</v>
      </c>
      <c r="T221" s="261">
        <v>23.496500015258789</v>
      </c>
      <c r="U221" s="248"/>
      <c r="V221" s="261">
        <v>0</v>
      </c>
      <c r="W221" s="261">
        <v>0</v>
      </c>
      <c r="X221" s="261">
        <v>0</v>
      </c>
      <c r="Y221" s="248"/>
      <c r="Z221" s="261">
        <v>0.06</v>
      </c>
      <c r="AA221" s="261">
        <v>0.08</v>
      </c>
      <c r="AB221" s="261">
        <v>0.12</v>
      </c>
      <c r="AC221" s="248"/>
      <c r="AD221" s="261">
        <v>7.8750000000000001E-2</v>
      </c>
      <c r="AE221" s="261">
        <v>0.105</v>
      </c>
      <c r="AF221" s="261">
        <v>0.1575</v>
      </c>
      <c r="AG221" s="248"/>
      <c r="AH221" s="261">
        <v>-1</v>
      </c>
      <c r="AI221" s="261">
        <v>2.06</v>
      </c>
      <c r="AJ221" s="261">
        <v>2.5</v>
      </c>
      <c r="AK221" s="248"/>
      <c r="AL221" s="261">
        <v>-0.1</v>
      </c>
      <c r="AM221" s="261">
        <v>1.1499999999999999</v>
      </c>
      <c r="AN221" s="261">
        <v>0.1</v>
      </c>
      <c r="AO221" s="248"/>
      <c r="AP221" s="7">
        <v>71</v>
      </c>
      <c r="AQ221" s="9">
        <v>0.4</v>
      </c>
      <c r="AR221" s="248"/>
      <c r="AS221" s="248"/>
      <c r="AT221" s="248"/>
      <c r="AU221" s="248"/>
      <c r="AV221" s="248"/>
      <c r="AW221" s="248"/>
      <c r="AX221" s="248"/>
      <c r="AY221" s="248"/>
      <c r="AZ221" s="248"/>
      <c r="BA221" s="248"/>
      <c r="BB221" s="248"/>
      <c r="BC221" s="248"/>
      <c r="BD221" s="248"/>
      <c r="BE221" s="248"/>
      <c r="BF221" s="248"/>
      <c r="BG221" s="248"/>
      <c r="BH221" s="249">
        <v>43374</v>
      </c>
      <c r="BI221" s="262">
        <v>0.75</v>
      </c>
      <c r="BJ221" s="248"/>
      <c r="BK221" s="248"/>
      <c r="BL221" s="248"/>
      <c r="BM221" s="248"/>
      <c r="BN221" s="248"/>
      <c r="BO221"/>
      <c r="BP221"/>
      <c r="BQ221"/>
      <c r="BR221"/>
      <c r="BS221"/>
      <c r="BT221" s="248"/>
      <c r="BU221" s="248"/>
      <c r="BV221" s="248"/>
      <c r="BW221" s="248"/>
      <c r="BX221" s="248"/>
      <c r="BY221" s="248"/>
      <c r="BZ221" s="248"/>
      <c r="CA221" s="248"/>
      <c r="CB221" s="248"/>
      <c r="CC221" s="248"/>
      <c r="CD221" s="248"/>
      <c r="CE221" s="248"/>
      <c r="CF221" s="248"/>
      <c r="CG221" s="248"/>
    </row>
    <row r="222" spans="1:85" ht="12.75" x14ac:dyDescent="0.2">
      <c r="A222" s="29">
        <v>43586</v>
      </c>
      <c r="B222" s="243">
        <v>6.5537426536738025E-2</v>
      </c>
      <c r="D222" s="260">
        <v>42522</v>
      </c>
      <c r="E222" s="9">
        <v>46.997856140136719</v>
      </c>
      <c r="F222" s="9">
        <v>51.997856140136719</v>
      </c>
      <c r="G222" s="9">
        <v>56.997856140136719</v>
      </c>
      <c r="H222" s="8"/>
      <c r="I222" s="9">
        <v>28.75</v>
      </c>
      <c r="J222" s="9">
        <v>29</v>
      </c>
      <c r="K222" s="9">
        <v>29.75</v>
      </c>
      <c r="L222" s="7"/>
      <c r="M222" s="249">
        <v>43405</v>
      </c>
      <c r="N222" s="261">
        <v>28</v>
      </c>
      <c r="O222" s="261">
        <v>29.5</v>
      </c>
      <c r="P222" s="261">
        <v>31</v>
      </c>
      <c r="Q222" s="248"/>
      <c r="R222" s="261">
        <v>20.5</v>
      </c>
      <c r="S222" s="261">
        <v>22</v>
      </c>
      <c r="T222" s="261">
        <v>23.5</v>
      </c>
      <c r="U222" s="248"/>
      <c r="V222" s="261">
        <v>0</v>
      </c>
      <c r="W222" s="261">
        <v>0</v>
      </c>
      <c r="X222" s="261">
        <v>0</v>
      </c>
      <c r="Y222" s="248"/>
      <c r="Z222" s="261">
        <v>0.06</v>
      </c>
      <c r="AA222" s="261">
        <v>0.08</v>
      </c>
      <c r="AB222" s="261">
        <v>0.12</v>
      </c>
      <c r="AC222" s="248"/>
      <c r="AD222" s="261">
        <v>7.8750000000000001E-2</v>
      </c>
      <c r="AE222" s="261">
        <v>0.105</v>
      </c>
      <c r="AF222" s="261">
        <v>0.1575</v>
      </c>
      <c r="AG222" s="248"/>
      <c r="AH222" s="261">
        <v>-0.5</v>
      </c>
      <c r="AI222" s="261">
        <v>2.052</v>
      </c>
      <c r="AJ222" s="261">
        <v>1</v>
      </c>
      <c r="AK222" s="248"/>
      <c r="AL222" s="261">
        <v>-0.1</v>
      </c>
      <c r="AM222" s="261">
        <v>1.1499999999999999</v>
      </c>
      <c r="AN222" s="261">
        <v>0.1</v>
      </c>
      <c r="AO222" s="248"/>
      <c r="AP222" s="7">
        <v>72</v>
      </c>
      <c r="AQ222" s="9">
        <v>0.4</v>
      </c>
      <c r="AR222" s="248"/>
      <c r="AS222" s="248"/>
      <c r="AT222" s="248"/>
      <c r="AU222" s="248"/>
      <c r="AV222" s="248"/>
      <c r="AW222" s="248"/>
      <c r="AX222" s="248"/>
      <c r="AY222" s="248"/>
      <c r="AZ222" s="248"/>
      <c r="BA222" s="248"/>
      <c r="BB222" s="248"/>
      <c r="BC222" s="248"/>
      <c r="BD222" s="248"/>
      <c r="BE222" s="248"/>
      <c r="BF222" s="248"/>
      <c r="BG222" s="248"/>
      <c r="BH222" s="249">
        <v>43405</v>
      </c>
      <c r="BI222" s="262">
        <v>0.75</v>
      </c>
      <c r="BJ222" s="248"/>
      <c r="BK222" s="248"/>
      <c r="BL222" s="248"/>
      <c r="BM222" s="248"/>
      <c r="BN222" s="248"/>
      <c r="BO222"/>
      <c r="BP222"/>
      <c r="BQ222"/>
      <c r="BR222"/>
      <c r="BS222"/>
      <c r="BT222" s="248"/>
      <c r="BU222" s="248"/>
      <c r="BV222" s="248"/>
      <c r="BW222" s="248"/>
      <c r="BX222" s="248"/>
      <c r="BY222" s="248"/>
      <c r="BZ222" s="248"/>
      <c r="CA222" s="248"/>
      <c r="CB222" s="248"/>
      <c r="CC222" s="248"/>
      <c r="CD222" s="248"/>
      <c r="CE222" s="248"/>
      <c r="CF222" s="248"/>
      <c r="CG222" s="248"/>
    </row>
    <row r="223" spans="1:85" ht="12.75" x14ac:dyDescent="0.2">
      <c r="A223" s="29">
        <v>43617</v>
      </c>
      <c r="B223" s="243">
        <v>6.5564585255475011E-2</v>
      </c>
      <c r="D223" s="260">
        <v>42552</v>
      </c>
      <c r="E223" s="9">
        <v>73.997146606445312</v>
      </c>
      <c r="F223" s="9">
        <v>83.997146606445313</v>
      </c>
      <c r="G223" s="9">
        <v>93.997146606445313</v>
      </c>
      <c r="H223" s="8"/>
      <c r="I223" s="9">
        <v>29.25</v>
      </c>
      <c r="J223" s="9">
        <v>29.5</v>
      </c>
      <c r="K223" s="9">
        <v>30.25</v>
      </c>
      <c r="L223" s="7"/>
      <c r="M223" s="249">
        <v>43435</v>
      </c>
      <c r="N223" s="261">
        <v>33</v>
      </c>
      <c r="O223" s="261">
        <v>34.5</v>
      </c>
      <c r="P223" s="261">
        <v>36</v>
      </c>
      <c r="Q223" s="248"/>
      <c r="R223" s="261">
        <v>27.5</v>
      </c>
      <c r="S223" s="261">
        <v>29</v>
      </c>
      <c r="T223" s="261">
        <v>30.5</v>
      </c>
      <c r="U223" s="248"/>
      <c r="V223" s="261">
        <v>0</v>
      </c>
      <c r="W223" s="261">
        <v>0</v>
      </c>
      <c r="X223" s="261">
        <v>0</v>
      </c>
      <c r="Y223" s="248"/>
      <c r="Z223" s="261">
        <v>0.06</v>
      </c>
      <c r="AA223" s="261">
        <v>0.08</v>
      </c>
      <c r="AB223" s="261">
        <v>0.12</v>
      </c>
      <c r="AC223" s="248"/>
      <c r="AD223" s="261">
        <v>0.10875</v>
      </c>
      <c r="AE223" s="261">
        <v>0.14499999999999999</v>
      </c>
      <c r="AF223" s="261">
        <v>0.2175</v>
      </c>
      <c r="AG223" s="248"/>
      <c r="AH223" s="261">
        <v>-0.4</v>
      </c>
      <c r="AI223" s="261">
        <v>1.89</v>
      </c>
      <c r="AJ223" s="261">
        <v>0.5</v>
      </c>
      <c r="AK223" s="248"/>
      <c r="AL223" s="261">
        <v>-0.1</v>
      </c>
      <c r="AM223" s="261">
        <v>1.1499999999999999</v>
      </c>
      <c r="AN223" s="261">
        <v>0.1</v>
      </c>
      <c r="AO223" s="248"/>
      <c r="AP223" s="7">
        <v>72</v>
      </c>
      <c r="AQ223" s="9">
        <v>0.4</v>
      </c>
      <c r="AR223" s="248"/>
      <c r="AS223" s="248"/>
      <c r="AT223" s="248"/>
      <c r="AU223" s="248"/>
      <c r="AV223" s="248"/>
      <c r="AW223" s="248"/>
      <c r="AX223" s="248"/>
      <c r="AY223" s="248"/>
      <c r="AZ223" s="248"/>
      <c r="BA223" s="248"/>
      <c r="BB223" s="248"/>
      <c r="BC223" s="248"/>
      <c r="BD223" s="248"/>
      <c r="BE223" s="248"/>
      <c r="BF223" s="248"/>
      <c r="BG223" s="248"/>
      <c r="BH223" s="249">
        <v>43435</v>
      </c>
      <c r="BI223" s="262">
        <v>0.75</v>
      </c>
      <c r="BJ223" s="248"/>
      <c r="BK223" s="248"/>
      <c r="BL223" s="248"/>
      <c r="BM223" s="248"/>
      <c r="BN223" s="248"/>
      <c r="BO223"/>
      <c r="BP223"/>
      <c r="BQ223"/>
      <c r="BR223"/>
      <c r="BS223"/>
      <c r="BT223" s="248"/>
      <c r="BU223" s="248"/>
      <c r="BV223" s="248"/>
      <c r="BW223" s="248"/>
      <c r="BX223" s="248"/>
      <c r="BY223" s="248"/>
      <c r="BZ223" s="248"/>
      <c r="CA223" s="248"/>
      <c r="CB223" s="248"/>
      <c r="CC223" s="248"/>
      <c r="CD223" s="248"/>
      <c r="CE223" s="248"/>
      <c r="CF223" s="248"/>
      <c r="CG223" s="248"/>
    </row>
    <row r="224" spans="1:85" ht="12.75" x14ac:dyDescent="0.2">
      <c r="A224" s="29">
        <v>43647</v>
      </c>
      <c r="B224" s="243">
        <v>6.5592649265094005E-2</v>
      </c>
      <c r="D224" s="260">
        <v>42583</v>
      </c>
      <c r="E224" s="9">
        <v>73.997146606445312</v>
      </c>
      <c r="F224" s="9">
        <v>83.997146606445313</v>
      </c>
      <c r="G224" s="9">
        <v>93.997146606445313</v>
      </c>
      <c r="H224" s="8"/>
      <c r="I224" s="9">
        <v>30.25</v>
      </c>
      <c r="J224" s="9">
        <v>30.5</v>
      </c>
      <c r="K224" s="9">
        <v>31.25</v>
      </c>
      <c r="L224" s="7"/>
      <c r="M224" s="249">
        <v>43466</v>
      </c>
      <c r="N224" s="261">
        <v>35.5</v>
      </c>
      <c r="O224" s="261">
        <v>37</v>
      </c>
      <c r="P224" s="261">
        <v>38.5</v>
      </c>
      <c r="Q224" s="248"/>
      <c r="R224" s="261">
        <v>25</v>
      </c>
      <c r="S224" s="261">
        <v>26.5</v>
      </c>
      <c r="T224" s="261">
        <v>28</v>
      </c>
      <c r="U224" s="248"/>
      <c r="V224" s="261">
        <v>0</v>
      </c>
      <c r="W224" s="261">
        <v>0</v>
      </c>
      <c r="X224" s="261">
        <v>0</v>
      </c>
      <c r="Y224" s="248"/>
      <c r="Z224" s="261">
        <v>0.06</v>
      </c>
      <c r="AA224" s="261">
        <v>0.08</v>
      </c>
      <c r="AB224" s="261">
        <v>0.12</v>
      </c>
      <c r="AC224" s="248"/>
      <c r="AD224" s="261">
        <v>0.10125000000000001</v>
      </c>
      <c r="AE224" s="261">
        <v>0.13500000000000001</v>
      </c>
      <c r="AF224" s="261">
        <v>0.20250000000000001</v>
      </c>
      <c r="AG224" s="248"/>
      <c r="AH224" s="261">
        <v>-0.4</v>
      </c>
      <c r="AI224" s="261">
        <v>2.3220000000000001</v>
      </c>
      <c r="AJ224" s="261">
        <v>0.5</v>
      </c>
      <c r="AK224" s="248"/>
      <c r="AL224" s="261">
        <v>-0.1</v>
      </c>
      <c r="AM224" s="261">
        <v>1.1499999999999999</v>
      </c>
      <c r="AN224" s="261">
        <v>0.1</v>
      </c>
      <c r="AO224" s="248"/>
      <c r="AP224" s="7">
        <v>72</v>
      </c>
      <c r="AQ224" s="9">
        <v>0.4</v>
      </c>
      <c r="AR224" s="248"/>
      <c r="AS224" s="248"/>
      <c r="AT224" s="248"/>
      <c r="AU224" s="248"/>
      <c r="AV224" s="248"/>
      <c r="AW224" s="248"/>
      <c r="AX224" s="248"/>
      <c r="AY224" s="248"/>
      <c r="AZ224" s="248"/>
      <c r="BA224" s="248"/>
      <c r="BB224" s="248"/>
      <c r="BC224" s="248"/>
      <c r="BD224" s="248"/>
      <c r="BE224" s="248"/>
      <c r="BF224" s="248"/>
      <c r="BG224" s="248"/>
      <c r="BH224" s="249">
        <v>43466</v>
      </c>
      <c r="BI224" s="262">
        <v>0.75</v>
      </c>
      <c r="BJ224" s="248"/>
      <c r="BK224" s="248"/>
      <c r="BL224" s="248"/>
      <c r="BM224" s="248"/>
      <c r="BN224" s="248"/>
      <c r="BO224"/>
      <c r="BP224"/>
      <c r="BQ224"/>
      <c r="BR224"/>
      <c r="BS224"/>
      <c r="BT224" s="248"/>
      <c r="BU224" s="248"/>
      <c r="BV224" s="248"/>
      <c r="BW224" s="248"/>
      <c r="BX224" s="248"/>
      <c r="BY224" s="248"/>
      <c r="BZ224" s="248"/>
      <c r="CA224" s="248"/>
      <c r="CB224" s="248"/>
      <c r="CC224" s="248"/>
      <c r="CD224" s="248"/>
      <c r="CE224" s="248"/>
      <c r="CF224" s="248"/>
      <c r="CG224" s="248"/>
    </row>
    <row r="225" spans="1:85" ht="12.75" x14ac:dyDescent="0.2">
      <c r="A225" s="29">
        <v>43678</v>
      </c>
      <c r="B225" s="243">
        <v>6.5620713274974013E-2</v>
      </c>
      <c r="D225" s="260">
        <v>42614</v>
      </c>
      <c r="E225" s="9">
        <v>39.252143859863281</v>
      </c>
      <c r="F225" s="9">
        <v>40.752143859863281</v>
      </c>
      <c r="G225" s="9">
        <v>42.252143859863281</v>
      </c>
      <c r="H225" s="8"/>
      <c r="I225" s="9">
        <v>23.25</v>
      </c>
      <c r="J225" s="9">
        <v>23.5</v>
      </c>
      <c r="K225" s="9">
        <v>24.25</v>
      </c>
      <c r="L225" s="7"/>
      <c r="M225" s="249">
        <v>43497</v>
      </c>
      <c r="N225" s="261">
        <v>30.996002197265625</v>
      </c>
      <c r="O225" s="261">
        <v>32.496002197265625</v>
      </c>
      <c r="P225" s="261">
        <v>33.996002197265625</v>
      </c>
      <c r="Q225" s="248"/>
      <c r="R225" s="261">
        <v>22.496501922607422</v>
      </c>
      <c r="S225" s="261">
        <v>23.996501922607422</v>
      </c>
      <c r="T225" s="261">
        <v>25.496501922607422</v>
      </c>
      <c r="U225" s="248"/>
      <c r="V225" s="261">
        <v>0</v>
      </c>
      <c r="W225" s="261">
        <v>0</v>
      </c>
      <c r="X225" s="261">
        <v>0</v>
      </c>
      <c r="Y225" s="248"/>
      <c r="Z225" s="261">
        <v>0.06</v>
      </c>
      <c r="AA225" s="261">
        <v>0.08</v>
      </c>
      <c r="AB225" s="261">
        <v>0.12</v>
      </c>
      <c r="AC225" s="248"/>
      <c r="AD225" s="261">
        <v>0.10125000000000001</v>
      </c>
      <c r="AE225" s="261">
        <v>0.13500000000000001</v>
      </c>
      <c r="AF225" s="261">
        <v>0.20250000000000001</v>
      </c>
      <c r="AG225" s="248"/>
      <c r="AH225" s="261">
        <v>-0.4</v>
      </c>
      <c r="AI225" s="261">
        <v>2.3220000000000001</v>
      </c>
      <c r="AJ225" s="261">
        <v>0.6</v>
      </c>
      <c r="AK225" s="248"/>
      <c r="AL225" s="261">
        <v>-0.1</v>
      </c>
      <c r="AM225" s="261">
        <v>1.1499999999999999</v>
      </c>
      <c r="AN225" s="261">
        <v>0.1</v>
      </c>
      <c r="AO225" s="248"/>
      <c r="AP225" s="7">
        <v>73</v>
      </c>
      <c r="AQ225" s="9">
        <v>0.4</v>
      </c>
      <c r="AR225" s="248"/>
      <c r="AS225" s="248"/>
      <c r="AT225" s="248"/>
      <c r="AU225" s="248"/>
      <c r="AV225" s="248"/>
      <c r="AW225" s="248"/>
      <c r="AX225" s="248"/>
      <c r="AY225" s="248"/>
      <c r="AZ225" s="248"/>
      <c r="BA225" s="248"/>
      <c r="BB225" s="248"/>
      <c r="BC225" s="248"/>
      <c r="BD225" s="248"/>
      <c r="BE225" s="248"/>
      <c r="BF225" s="248"/>
      <c r="BG225" s="248"/>
      <c r="BH225" s="249">
        <v>43497</v>
      </c>
      <c r="BI225" s="262">
        <v>0.75</v>
      </c>
      <c r="BJ225" s="248"/>
      <c r="BK225" s="248"/>
      <c r="BL225" s="248"/>
      <c r="BM225" s="248"/>
      <c r="BN225" s="248"/>
      <c r="BO225"/>
      <c r="BP225"/>
      <c r="BQ225"/>
      <c r="BR225"/>
      <c r="BS225"/>
      <c r="BT225" s="248"/>
      <c r="BU225" s="248"/>
      <c r="BV225" s="248"/>
      <c r="BW225" s="248"/>
      <c r="BX225" s="248"/>
      <c r="BY225" s="248"/>
      <c r="BZ225" s="248"/>
      <c r="CA225" s="248"/>
      <c r="CB225" s="248"/>
      <c r="CC225" s="248"/>
      <c r="CD225" s="248"/>
      <c r="CE225" s="248"/>
      <c r="CF225" s="248"/>
      <c r="CG225" s="248"/>
    </row>
    <row r="226" spans="1:85" ht="12.75" x14ac:dyDescent="0.2">
      <c r="A226" s="29">
        <v>43709</v>
      </c>
      <c r="B226" s="243">
        <v>6.5647871994461024E-2</v>
      </c>
      <c r="D226" s="260">
        <v>42644</v>
      </c>
      <c r="E226" s="9">
        <v>37.148933410644531</v>
      </c>
      <c r="F226" s="9">
        <v>38.648933410644531</v>
      </c>
      <c r="G226" s="9">
        <v>40.148933410644531</v>
      </c>
      <c r="H226" s="8"/>
      <c r="I226" s="9">
        <v>20.750001907348633</v>
      </c>
      <c r="J226" s="9">
        <v>21.000001907348633</v>
      </c>
      <c r="K226" s="9">
        <v>21.750001907348633</v>
      </c>
      <c r="L226" s="7"/>
      <c r="M226" s="249">
        <v>43525</v>
      </c>
      <c r="N226" s="261">
        <v>26</v>
      </c>
      <c r="O226" s="261">
        <v>27.5</v>
      </c>
      <c r="P226" s="261">
        <v>29</v>
      </c>
      <c r="Q226" s="248"/>
      <c r="R226" s="261">
        <v>20.5</v>
      </c>
      <c r="S226" s="261">
        <v>22</v>
      </c>
      <c r="T226" s="261">
        <v>23.5</v>
      </c>
      <c r="U226" s="248"/>
      <c r="V226" s="261">
        <v>0</v>
      </c>
      <c r="W226" s="261">
        <v>0</v>
      </c>
      <c r="X226" s="261">
        <v>0</v>
      </c>
      <c r="Y226" s="248"/>
      <c r="Z226" s="261">
        <v>0.06</v>
      </c>
      <c r="AA226" s="261">
        <v>0.08</v>
      </c>
      <c r="AB226" s="261">
        <v>0.12</v>
      </c>
      <c r="AC226" s="248"/>
      <c r="AD226" s="261">
        <v>0.09</v>
      </c>
      <c r="AE226" s="261">
        <v>0.12</v>
      </c>
      <c r="AF226" s="261">
        <v>0.18</v>
      </c>
      <c r="AG226" s="248"/>
      <c r="AH226" s="261">
        <v>-0.5</v>
      </c>
      <c r="AI226" s="261">
        <v>2.052</v>
      </c>
      <c r="AJ226" s="261">
        <v>1</v>
      </c>
      <c r="AK226" s="248"/>
      <c r="AL226" s="261">
        <v>-0.1</v>
      </c>
      <c r="AM226" s="261">
        <v>1.1499999999999999</v>
      </c>
      <c r="AN226" s="261">
        <v>0.1</v>
      </c>
      <c r="AO226" s="248"/>
      <c r="AP226" s="7">
        <v>73</v>
      </c>
      <c r="AQ226" s="9">
        <v>0.4</v>
      </c>
      <c r="AR226" s="248"/>
      <c r="AS226" s="248"/>
      <c r="AT226" s="248"/>
      <c r="AU226" s="248"/>
      <c r="AV226" s="248"/>
      <c r="AW226" s="248"/>
      <c r="AX226" s="248"/>
      <c r="AY226" s="248"/>
      <c r="AZ226" s="248"/>
      <c r="BA226" s="248"/>
      <c r="BB226" s="248"/>
      <c r="BC226" s="248"/>
      <c r="BD226" s="248"/>
      <c r="BE226" s="248"/>
      <c r="BF226" s="248"/>
      <c r="BG226" s="248"/>
      <c r="BH226" s="249">
        <v>43525</v>
      </c>
      <c r="BI226" s="262">
        <v>0.75</v>
      </c>
      <c r="BJ226" s="248"/>
      <c r="BK226" s="248"/>
      <c r="BL226" s="248"/>
      <c r="BM226" s="248"/>
      <c r="BN226" s="248"/>
      <c r="BO226"/>
      <c r="BP226"/>
      <c r="BQ226"/>
      <c r="BR226"/>
      <c r="BS226"/>
      <c r="BT226" s="248"/>
      <c r="BU226" s="248"/>
      <c r="BV226" s="248"/>
      <c r="BW226" s="248"/>
      <c r="BX226" s="248"/>
      <c r="BY226" s="248"/>
      <c r="BZ226" s="248"/>
      <c r="CA226" s="248"/>
      <c r="CB226" s="248"/>
      <c r="CC226" s="248"/>
      <c r="CD226" s="248"/>
      <c r="CE226" s="248"/>
      <c r="CF226" s="248"/>
      <c r="CG226" s="248"/>
    </row>
    <row r="227" spans="1:85" ht="12.75" x14ac:dyDescent="0.2">
      <c r="A227" s="29">
        <v>43739</v>
      </c>
      <c r="B227" s="243">
        <v>6.5675936004854996E-2</v>
      </c>
      <c r="D227" s="260">
        <v>42675</v>
      </c>
      <c r="E227" s="9">
        <v>37.248931884765625</v>
      </c>
      <c r="F227" s="9">
        <v>38.748931884765625</v>
      </c>
      <c r="G227" s="9">
        <v>40.248931884765625</v>
      </c>
      <c r="H227" s="8"/>
      <c r="I227" s="9">
        <v>22.75</v>
      </c>
      <c r="J227" s="9">
        <v>23</v>
      </c>
      <c r="K227" s="9">
        <v>23.75</v>
      </c>
      <c r="L227" s="7"/>
      <c r="M227" s="249">
        <v>43556</v>
      </c>
      <c r="N227" s="261">
        <v>26</v>
      </c>
      <c r="O227" s="261">
        <v>27.5</v>
      </c>
      <c r="P227" s="261">
        <v>29</v>
      </c>
      <c r="Q227" s="248"/>
      <c r="R227" s="261">
        <v>20.495000839233398</v>
      </c>
      <c r="S227" s="261">
        <v>21.995000839233398</v>
      </c>
      <c r="T227" s="261">
        <v>23.495000839233398</v>
      </c>
      <c r="U227" s="248"/>
      <c r="V227" s="261">
        <v>0</v>
      </c>
      <c r="W227" s="261">
        <v>0</v>
      </c>
      <c r="X227" s="261">
        <v>0</v>
      </c>
      <c r="Y227" s="248"/>
      <c r="Z227" s="261">
        <v>0.06</v>
      </c>
      <c r="AA227" s="261">
        <v>0.08</v>
      </c>
      <c r="AB227" s="261">
        <v>0.12</v>
      </c>
      <c r="AC227" s="248"/>
      <c r="AD227" s="261">
        <v>0.09</v>
      </c>
      <c r="AE227" s="261">
        <v>0.12</v>
      </c>
      <c r="AF227" s="261">
        <v>0.18</v>
      </c>
      <c r="AG227" s="248"/>
      <c r="AH227" s="261">
        <v>-0.5</v>
      </c>
      <c r="AI227" s="261">
        <v>1.9980000000000004</v>
      </c>
      <c r="AJ227" s="261">
        <v>1</v>
      </c>
      <c r="AK227" s="248"/>
      <c r="AL227" s="261">
        <v>-0.1</v>
      </c>
      <c r="AM227" s="261">
        <v>1.1499999999999999</v>
      </c>
      <c r="AN227" s="261">
        <v>0.1</v>
      </c>
      <c r="AO227" s="248"/>
      <c r="AP227" s="7">
        <v>73</v>
      </c>
      <c r="AQ227" s="9">
        <v>0.4</v>
      </c>
      <c r="AR227" s="248"/>
      <c r="AS227" s="248"/>
      <c r="AT227" s="248"/>
      <c r="AU227" s="248"/>
      <c r="AV227" s="248"/>
      <c r="AW227" s="248"/>
      <c r="AX227" s="248"/>
      <c r="AY227" s="248"/>
      <c r="AZ227" s="248"/>
      <c r="BA227" s="248"/>
      <c r="BB227" s="248"/>
      <c r="BC227" s="248"/>
      <c r="BD227" s="248"/>
      <c r="BE227" s="248"/>
      <c r="BF227" s="248"/>
      <c r="BG227" s="248"/>
      <c r="BH227" s="249">
        <v>43556</v>
      </c>
      <c r="BI227" s="262">
        <v>0.75</v>
      </c>
      <c r="BJ227" s="248"/>
      <c r="BK227" s="248"/>
      <c r="BL227" s="248"/>
      <c r="BM227" s="248"/>
      <c r="BN227" s="248"/>
      <c r="BO227"/>
      <c r="BP227"/>
      <c r="BQ227"/>
      <c r="BR227"/>
      <c r="BS227"/>
      <c r="BT227" s="248"/>
      <c r="BU227" s="248"/>
      <c r="BV227" s="248"/>
      <c r="BW227" s="248"/>
      <c r="BX227" s="248"/>
      <c r="BY227" s="248"/>
      <c r="BZ227" s="248"/>
      <c r="CA227" s="248"/>
      <c r="CB227" s="248"/>
      <c r="CC227" s="248"/>
      <c r="CD227" s="248"/>
      <c r="CE227" s="248"/>
      <c r="CF227" s="248"/>
      <c r="CG227" s="248"/>
    </row>
    <row r="228" spans="1:85" ht="12.75" x14ac:dyDescent="0.2">
      <c r="A228" s="29">
        <v>43770</v>
      </c>
      <c r="B228" s="243">
        <v>6.5703094724839012E-2</v>
      </c>
      <c r="D228" s="260">
        <v>42705</v>
      </c>
      <c r="E228" s="9">
        <v>37.348930358886719</v>
      </c>
      <c r="F228" s="9">
        <v>38.848930358886719</v>
      </c>
      <c r="G228" s="9">
        <v>40.348930358886719</v>
      </c>
      <c r="H228" s="8"/>
      <c r="I228" s="9">
        <v>21.860000610351563</v>
      </c>
      <c r="J228" s="9">
        <v>22.110000610351563</v>
      </c>
      <c r="K228" s="9">
        <v>22.860000610351563</v>
      </c>
      <c r="L228" s="7"/>
      <c r="M228" s="249">
        <v>43586</v>
      </c>
      <c r="N228" s="261">
        <v>28</v>
      </c>
      <c r="O228" s="261">
        <v>29.5</v>
      </c>
      <c r="P228" s="261">
        <v>31</v>
      </c>
      <c r="Q228" s="248"/>
      <c r="R228" s="261">
        <v>21.504999160766602</v>
      </c>
      <c r="S228" s="261">
        <v>23.004999160766602</v>
      </c>
      <c r="T228" s="261">
        <v>24.504999160766602</v>
      </c>
      <c r="U228" s="248"/>
      <c r="V228" s="261">
        <v>0</v>
      </c>
      <c r="W228" s="261">
        <v>0</v>
      </c>
      <c r="X228" s="261">
        <v>0</v>
      </c>
      <c r="Y228" s="248"/>
      <c r="Z228" s="261">
        <v>0.06</v>
      </c>
      <c r="AA228" s="261">
        <v>0.08</v>
      </c>
      <c r="AB228" s="261">
        <v>0.12</v>
      </c>
      <c r="AC228" s="248"/>
      <c r="AD228" s="261">
        <v>0.11625000000000001</v>
      </c>
      <c r="AE228" s="261">
        <v>0.155</v>
      </c>
      <c r="AF228" s="261">
        <v>0.23250000000000001</v>
      </c>
      <c r="AG228" s="248"/>
      <c r="AH228" s="261">
        <v>-0.4</v>
      </c>
      <c r="AI228" s="261">
        <v>2.15</v>
      </c>
      <c r="AJ228" s="261">
        <v>0.5</v>
      </c>
      <c r="AK228" s="248"/>
      <c r="AL228" s="261">
        <v>-0.1</v>
      </c>
      <c r="AM228" s="261">
        <v>1.1499999999999999</v>
      </c>
      <c r="AN228" s="261">
        <v>0.1</v>
      </c>
      <c r="AO228" s="248"/>
      <c r="AP228" s="7">
        <v>74</v>
      </c>
      <c r="AQ228" s="9">
        <v>0.4</v>
      </c>
      <c r="AR228" s="248"/>
      <c r="AS228" s="248"/>
      <c r="AT228" s="248"/>
      <c r="AU228" s="248"/>
      <c r="AV228" s="248"/>
      <c r="AW228" s="248"/>
      <c r="AX228" s="248"/>
      <c r="AY228" s="248"/>
      <c r="AZ228" s="248"/>
      <c r="BA228" s="248"/>
      <c r="BB228" s="248"/>
      <c r="BC228" s="248"/>
      <c r="BD228" s="248"/>
      <c r="BE228" s="248"/>
      <c r="BF228" s="248"/>
      <c r="BG228" s="248"/>
      <c r="BH228" s="249">
        <v>43586</v>
      </c>
      <c r="BI228" s="262">
        <v>0.75</v>
      </c>
      <c r="BJ228" s="248"/>
      <c r="BK228" s="248"/>
      <c r="BL228" s="248"/>
      <c r="BM228" s="248"/>
      <c r="BN228" s="248"/>
      <c r="BO228"/>
      <c r="BP228"/>
      <c r="BQ228"/>
      <c r="BR228"/>
      <c r="BS228"/>
      <c r="BT228" s="248"/>
      <c r="BU228" s="248"/>
      <c r="BV228" s="248"/>
      <c r="BW228" s="248"/>
      <c r="BX228" s="248"/>
      <c r="BY228" s="248"/>
      <c r="BZ228" s="248"/>
      <c r="CA228" s="248"/>
      <c r="CB228" s="248"/>
      <c r="CC228" s="248"/>
      <c r="CD228" s="248"/>
      <c r="CE228" s="248"/>
      <c r="CF228" s="248"/>
      <c r="CG228" s="248"/>
    </row>
    <row r="229" spans="1:85" ht="12.75" x14ac:dyDescent="0.2">
      <c r="A229" s="29">
        <v>43800</v>
      </c>
      <c r="B229" s="243">
        <v>6.5731158735746031E-2</v>
      </c>
      <c r="D229" s="260">
        <v>42736</v>
      </c>
      <c r="E229" s="9">
        <v>46.537864685058594</v>
      </c>
      <c r="F229" s="9">
        <v>48.037864685058594</v>
      </c>
      <c r="G229" s="9">
        <v>49.537864685058594</v>
      </c>
      <c r="H229" s="8"/>
      <c r="I229" s="9">
        <v>26.75</v>
      </c>
      <c r="J229" s="9">
        <v>27</v>
      </c>
      <c r="K229" s="9">
        <v>27.75</v>
      </c>
      <c r="L229" s="7"/>
      <c r="M229" s="249">
        <v>43617</v>
      </c>
      <c r="N229" s="261">
        <v>35</v>
      </c>
      <c r="O229" s="261">
        <v>36.5</v>
      </c>
      <c r="P229" s="261">
        <v>38</v>
      </c>
      <c r="Q229" s="248"/>
      <c r="R229" s="261">
        <v>25.5</v>
      </c>
      <c r="S229" s="261">
        <v>27</v>
      </c>
      <c r="T229" s="261">
        <v>28.5</v>
      </c>
      <c r="U229" s="248"/>
      <c r="V229" s="261">
        <v>0</v>
      </c>
      <c r="W229" s="261">
        <v>0</v>
      </c>
      <c r="X229" s="261">
        <v>0</v>
      </c>
      <c r="Y229" s="248"/>
      <c r="Z229" s="261">
        <v>0.06</v>
      </c>
      <c r="AA229" s="261">
        <v>0.08</v>
      </c>
      <c r="AB229" s="261">
        <v>0.12</v>
      </c>
      <c r="AC229" s="248"/>
      <c r="AD229" s="261">
        <v>0.13125000000000001</v>
      </c>
      <c r="AE229" s="261">
        <v>0.17499999999999999</v>
      </c>
      <c r="AF229" s="261">
        <v>0.26250000000000001</v>
      </c>
      <c r="AG229" s="248"/>
      <c r="AH229" s="261">
        <v>-0.4</v>
      </c>
      <c r="AI229" s="261">
        <v>2.9</v>
      </c>
      <c r="AJ229" s="261">
        <v>0.5</v>
      </c>
      <c r="AK229" s="248"/>
      <c r="AL229" s="261">
        <v>-0.1</v>
      </c>
      <c r="AM229" s="261">
        <v>1.1499999999999999</v>
      </c>
      <c r="AN229" s="261">
        <v>0.1</v>
      </c>
      <c r="AO229" s="248"/>
      <c r="AP229" s="7">
        <v>74</v>
      </c>
      <c r="AQ229" s="9">
        <v>0.4</v>
      </c>
      <c r="AR229" s="248"/>
      <c r="AS229" s="248"/>
      <c r="AT229" s="248"/>
      <c r="AU229" s="248"/>
      <c r="AV229" s="248"/>
      <c r="AW229" s="248"/>
      <c r="AX229" s="248"/>
      <c r="AY229" s="248"/>
      <c r="AZ229" s="248"/>
      <c r="BA229" s="248"/>
      <c r="BB229" s="248"/>
      <c r="BC229" s="248"/>
      <c r="BD229" s="248"/>
      <c r="BE229" s="248"/>
      <c r="BF229" s="248"/>
      <c r="BG229" s="248"/>
      <c r="BH229" s="249">
        <v>43617</v>
      </c>
      <c r="BI229" s="262">
        <v>0.75</v>
      </c>
      <c r="BJ229" s="248"/>
      <c r="BK229" s="248"/>
      <c r="BL229" s="248"/>
      <c r="BM229" s="248"/>
      <c r="BN229" s="248"/>
      <c r="BO229"/>
      <c r="BP229"/>
      <c r="BQ229"/>
      <c r="BR229"/>
      <c r="BS229"/>
      <c r="BT229" s="248"/>
      <c r="BU229" s="248"/>
      <c r="BV229" s="248"/>
      <c r="BW229" s="248"/>
      <c r="BX229" s="248"/>
      <c r="BY229" s="248"/>
      <c r="BZ229" s="248"/>
      <c r="CA229" s="248"/>
      <c r="CB229" s="248"/>
      <c r="CC229" s="248"/>
      <c r="CD229" s="248"/>
      <c r="CE229" s="248"/>
      <c r="CF229" s="248"/>
      <c r="CG229" s="248"/>
    </row>
    <row r="230" spans="1:85" ht="12.75" x14ac:dyDescent="0.2">
      <c r="A230" s="29">
        <v>43831</v>
      </c>
      <c r="B230" s="243">
        <v>6.5759222746914009E-2</v>
      </c>
      <c r="D230" s="260">
        <v>42767</v>
      </c>
      <c r="E230" s="9">
        <v>46.187862396240234</v>
      </c>
      <c r="F230" s="9">
        <v>47.687862396240234</v>
      </c>
      <c r="G230" s="9">
        <v>49.187862396240234</v>
      </c>
      <c r="H230" s="8"/>
      <c r="I230" s="9">
        <v>25.25</v>
      </c>
      <c r="J230" s="9">
        <v>25.5</v>
      </c>
      <c r="K230" s="9">
        <v>26.25</v>
      </c>
      <c r="L230" s="7"/>
      <c r="M230" s="249">
        <v>43647</v>
      </c>
      <c r="N230" s="261">
        <v>41</v>
      </c>
      <c r="O230" s="261">
        <v>42.5</v>
      </c>
      <c r="P230" s="261">
        <v>44</v>
      </c>
      <c r="Q230" s="248"/>
      <c r="R230" s="261">
        <v>31.5</v>
      </c>
      <c r="S230" s="261">
        <v>33</v>
      </c>
      <c r="T230" s="261">
        <v>34.5</v>
      </c>
      <c r="U230" s="248"/>
      <c r="V230" s="261">
        <v>0</v>
      </c>
      <c r="W230" s="261">
        <v>0</v>
      </c>
      <c r="X230" s="261">
        <v>0</v>
      </c>
      <c r="Y230" s="248"/>
      <c r="Z230" s="261">
        <v>0.06</v>
      </c>
      <c r="AA230" s="261">
        <v>0.08</v>
      </c>
      <c r="AB230" s="261">
        <v>0.12</v>
      </c>
      <c r="AC230" s="248"/>
      <c r="AD230" s="261">
        <v>0.16125</v>
      </c>
      <c r="AE230" s="261">
        <v>0.215</v>
      </c>
      <c r="AF230" s="261">
        <v>0.32250000000000001</v>
      </c>
      <c r="AG230" s="248"/>
      <c r="AH230" s="261">
        <v>-0.4</v>
      </c>
      <c r="AI230" s="261">
        <v>3.9</v>
      </c>
      <c r="AJ230" s="261">
        <v>0.5</v>
      </c>
      <c r="AK230" s="248"/>
      <c r="AL230" s="261">
        <v>-0.1</v>
      </c>
      <c r="AM230" s="261">
        <v>1.1499999999999999</v>
      </c>
      <c r="AN230" s="261">
        <v>0.1</v>
      </c>
      <c r="AO230" s="248"/>
      <c r="AP230" s="7">
        <v>74</v>
      </c>
      <c r="AQ230" s="9">
        <v>0.4</v>
      </c>
      <c r="AR230" s="248"/>
      <c r="AS230" s="248"/>
      <c r="AT230" s="248"/>
      <c r="AU230" s="248"/>
      <c r="AV230" s="248"/>
      <c r="AW230" s="248"/>
      <c r="AX230" s="248"/>
      <c r="AY230" s="248"/>
      <c r="AZ230" s="248"/>
      <c r="BA230" s="248"/>
      <c r="BB230" s="248"/>
      <c r="BC230" s="248"/>
      <c r="BD230" s="248"/>
      <c r="BE230" s="248"/>
      <c r="BF230" s="248"/>
      <c r="BG230" s="248"/>
      <c r="BH230" s="249">
        <v>43647</v>
      </c>
      <c r="BI230" s="262">
        <v>0.75</v>
      </c>
      <c r="BJ230" s="248"/>
      <c r="BK230" s="248"/>
      <c r="BL230" s="248"/>
      <c r="BM230" s="248"/>
      <c r="BN230" s="248"/>
      <c r="BO230"/>
      <c r="BP230"/>
      <c r="BQ230"/>
      <c r="BR230"/>
      <c r="BS230"/>
      <c r="BT230" s="248"/>
      <c r="BU230" s="248"/>
      <c r="BV230" s="248"/>
      <c r="BW230" s="248"/>
      <c r="BX230" s="248"/>
      <c r="BY230" s="248"/>
      <c r="BZ230" s="248"/>
      <c r="CA230" s="248"/>
      <c r="CB230" s="248"/>
      <c r="CC230" s="248"/>
      <c r="CD230" s="248"/>
      <c r="CE230" s="248"/>
      <c r="CF230" s="248"/>
      <c r="CG230" s="248"/>
    </row>
    <row r="231" spans="1:85" ht="12.75" x14ac:dyDescent="0.2">
      <c r="A231" s="29">
        <v>43862</v>
      </c>
      <c r="B231" s="243">
        <v>6.5785476176953031E-2</v>
      </c>
      <c r="D231" s="260">
        <v>42795</v>
      </c>
      <c r="E231" s="9">
        <v>37.398544311523438</v>
      </c>
      <c r="F231" s="9">
        <v>38.898544311523438</v>
      </c>
      <c r="G231" s="9">
        <v>40.398544311523438</v>
      </c>
      <c r="H231" s="8"/>
      <c r="I231" s="9">
        <v>26.25</v>
      </c>
      <c r="J231" s="9">
        <v>26.5</v>
      </c>
      <c r="K231" s="9">
        <v>27.25</v>
      </c>
      <c r="L231" s="7"/>
      <c r="M231" s="249">
        <v>43678</v>
      </c>
      <c r="N231" s="261">
        <v>39.000003814697266</v>
      </c>
      <c r="O231" s="261">
        <v>40.500003814697266</v>
      </c>
      <c r="P231" s="261">
        <v>42.000003814697266</v>
      </c>
      <c r="Q231" s="248"/>
      <c r="R231" s="261">
        <v>31.5</v>
      </c>
      <c r="S231" s="261">
        <v>33</v>
      </c>
      <c r="T231" s="261">
        <v>34.5</v>
      </c>
      <c r="U231" s="248"/>
      <c r="V231" s="261">
        <v>0</v>
      </c>
      <c r="W231" s="261">
        <v>0</v>
      </c>
      <c r="X231" s="261">
        <v>0</v>
      </c>
      <c r="Y231" s="248"/>
      <c r="Z231" s="261">
        <v>0.06</v>
      </c>
      <c r="AA231" s="261">
        <v>0.08</v>
      </c>
      <c r="AB231" s="261">
        <v>0.12</v>
      </c>
      <c r="AC231" s="248"/>
      <c r="AD231" s="261">
        <v>0.16125</v>
      </c>
      <c r="AE231" s="261">
        <v>0.215</v>
      </c>
      <c r="AF231" s="261">
        <v>0.32250000000000001</v>
      </c>
      <c r="AG231" s="248"/>
      <c r="AH231" s="261">
        <v>-0.5</v>
      </c>
      <c r="AI231" s="261">
        <v>3.9</v>
      </c>
      <c r="AJ231" s="261">
        <v>1.75</v>
      </c>
      <c r="AK231" s="248"/>
      <c r="AL231" s="261">
        <v>-0.1</v>
      </c>
      <c r="AM231" s="261">
        <v>1.1499999999999999</v>
      </c>
      <c r="AN231" s="261">
        <v>0.1</v>
      </c>
      <c r="AO231" s="248"/>
      <c r="AP231" s="7">
        <v>74</v>
      </c>
      <c r="AQ231" s="9">
        <v>0.4</v>
      </c>
      <c r="AR231" s="248"/>
      <c r="AS231" s="248"/>
      <c r="AT231" s="248"/>
      <c r="AU231" s="248"/>
      <c r="AV231" s="248"/>
      <c r="AW231" s="248"/>
      <c r="AX231" s="248"/>
      <c r="AY231" s="248"/>
      <c r="AZ231" s="248"/>
      <c r="BA231" s="248"/>
      <c r="BB231" s="248"/>
      <c r="BC231" s="248"/>
      <c r="BD231" s="248"/>
      <c r="BE231" s="248"/>
      <c r="BF231" s="248"/>
      <c r="BG231" s="248"/>
      <c r="BH231" s="249">
        <v>43678</v>
      </c>
      <c r="BI231" s="262">
        <v>0.75</v>
      </c>
      <c r="BJ231" s="248"/>
      <c r="BK231" s="248"/>
      <c r="BL231" s="248"/>
      <c r="BM231" s="248"/>
      <c r="BN231" s="248"/>
      <c r="BO231"/>
      <c r="BP231"/>
      <c r="BQ231"/>
      <c r="BR231"/>
      <c r="BS231"/>
      <c r="BT231" s="248"/>
      <c r="BU231" s="248"/>
      <c r="BV231" s="248"/>
      <c r="BW231" s="248"/>
      <c r="BX231" s="248"/>
      <c r="BY231" s="248"/>
      <c r="BZ231" s="248"/>
      <c r="CA231" s="248"/>
      <c r="CB231" s="248"/>
      <c r="CC231" s="248"/>
      <c r="CD231" s="248"/>
      <c r="CE231" s="248"/>
      <c r="CF231" s="248"/>
      <c r="CG231" s="248"/>
    </row>
    <row r="232" spans="1:85" ht="12.75" x14ac:dyDescent="0.2">
      <c r="A232" s="29">
        <v>43891</v>
      </c>
      <c r="B232" s="243">
        <v>6.5813540188625008E-2</v>
      </c>
      <c r="D232" s="260">
        <v>42826</v>
      </c>
      <c r="E232" s="9">
        <v>37.848545074462891</v>
      </c>
      <c r="F232" s="9">
        <v>39.348545074462891</v>
      </c>
      <c r="G232" s="9">
        <v>40.848545074462891</v>
      </c>
      <c r="H232" s="8"/>
      <c r="I232" s="9">
        <v>24.25</v>
      </c>
      <c r="J232" s="9">
        <v>24.5</v>
      </c>
      <c r="K232" s="9">
        <v>25.25</v>
      </c>
      <c r="L232" s="7"/>
      <c r="M232" s="249">
        <v>43709</v>
      </c>
      <c r="N232" s="261">
        <v>31</v>
      </c>
      <c r="O232" s="261">
        <v>32.5</v>
      </c>
      <c r="P232" s="261">
        <v>34</v>
      </c>
      <c r="Q232" s="248"/>
      <c r="R232" s="261">
        <v>25.5</v>
      </c>
      <c r="S232" s="261">
        <v>27</v>
      </c>
      <c r="T232" s="261">
        <v>28.5</v>
      </c>
      <c r="U232" s="248"/>
      <c r="V232" s="261">
        <v>0</v>
      </c>
      <c r="W232" s="261">
        <v>0</v>
      </c>
      <c r="X232" s="261">
        <v>0</v>
      </c>
      <c r="Y232" s="248"/>
      <c r="Z232" s="261">
        <v>0.06</v>
      </c>
      <c r="AA232" s="261">
        <v>0.08</v>
      </c>
      <c r="AB232" s="261">
        <v>0.12</v>
      </c>
      <c r="AC232" s="248"/>
      <c r="AD232" s="261">
        <v>0.10125000000000001</v>
      </c>
      <c r="AE232" s="261">
        <v>0.13500000000000001</v>
      </c>
      <c r="AF232" s="261">
        <v>0.20250000000000001</v>
      </c>
      <c r="AG232" s="248"/>
      <c r="AH232" s="261">
        <v>-1</v>
      </c>
      <c r="AI232" s="261">
        <v>2.33</v>
      </c>
      <c r="AJ232" s="261">
        <v>2.5</v>
      </c>
      <c r="AK232" s="248"/>
      <c r="AL232" s="261">
        <v>-0.1</v>
      </c>
      <c r="AM232" s="261">
        <v>1.1499999999999999</v>
      </c>
      <c r="AN232" s="261">
        <v>0.1</v>
      </c>
      <c r="AO232" s="248"/>
      <c r="AP232" s="7">
        <v>74</v>
      </c>
      <c r="AQ232" s="9">
        <v>0.4</v>
      </c>
      <c r="AR232" s="248"/>
      <c r="AS232" s="248"/>
      <c r="AT232" s="248"/>
      <c r="AU232" s="248"/>
      <c r="AV232" s="248"/>
      <c r="AW232" s="248"/>
      <c r="AX232" s="248"/>
      <c r="AY232" s="248"/>
      <c r="AZ232" s="248"/>
      <c r="BA232" s="248"/>
      <c r="BB232" s="248"/>
      <c r="BC232" s="248"/>
      <c r="BD232" s="248"/>
      <c r="BE232" s="248"/>
      <c r="BF232" s="248"/>
      <c r="BG232" s="248"/>
      <c r="BH232" s="249">
        <v>43709</v>
      </c>
      <c r="BI232" s="262">
        <v>0.75</v>
      </c>
      <c r="BJ232" s="248"/>
      <c r="BK232" s="248"/>
      <c r="BL232" s="248"/>
      <c r="BM232" s="248"/>
      <c r="BN232" s="248"/>
      <c r="BO232"/>
      <c r="BP232"/>
      <c r="BQ232"/>
      <c r="BR232"/>
      <c r="BS232"/>
      <c r="BT232" s="248"/>
      <c r="BU232" s="248"/>
      <c r="BV232" s="248"/>
      <c r="BW232" s="248"/>
      <c r="BX232" s="248"/>
      <c r="BY232" s="248"/>
      <c r="BZ232" s="248"/>
      <c r="CA232" s="248"/>
      <c r="CB232" s="248"/>
      <c r="CC232" s="248"/>
      <c r="CD232" s="248"/>
      <c r="CE232" s="248"/>
      <c r="CF232" s="248"/>
      <c r="CG232" s="248"/>
    </row>
    <row r="233" spans="1:85" ht="12.75" x14ac:dyDescent="0.2">
      <c r="A233" s="29">
        <v>43922</v>
      </c>
      <c r="B233" s="243">
        <v>6.5840698909848006E-2</v>
      </c>
      <c r="D233" s="260">
        <v>42856</v>
      </c>
      <c r="E233" s="9">
        <v>38.503566741943359</v>
      </c>
      <c r="F233" s="9">
        <v>41.003566741943359</v>
      </c>
      <c r="G233" s="9">
        <v>43.503566741943359</v>
      </c>
      <c r="H233" s="8"/>
      <c r="I233" s="9">
        <v>26.25</v>
      </c>
      <c r="J233" s="9">
        <v>26.5</v>
      </c>
      <c r="K233" s="9">
        <v>27.25</v>
      </c>
      <c r="L233" s="7"/>
      <c r="M233" s="249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  <c r="AH233" s="248"/>
      <c r="AI233" s="248"/>
      <c r="AJ233" s="248"/>
      <c r="AK233" s="248"/>
      <c r="AL233" s="248"/>
      <c r="AM233" s="248"/>
      <c r="AN233" s="248"/>
      <c r="AO233" s="248"/>
      <c r="AP233" s="248"/>
      <c r="AQ233" s="248"/>
      <c r="AR233" s="248"/>
      <c r="AS233" s="248"/>
      <c r="AT233" s="248"/>
      <c r="AU233" s="248"/>
      <c r="AV233" s="248"/>
      <c r="AW233" s="248"/>
      <c r="AX233" s="248"/>
      <c r="AY233" s="248"/>
      <c r="AZ233" s="248"/>
      <c r="BA233" s="248"/>
      <c r="BB233" s="248"/>
      <c r="BC233" s="248"/>
      <c r="BD233" s="248"/>
      <c r="BE233" s="248"/>
      <c r="BF233" s="248"/>
      <c r="BG233" s="248"/>
      <c r="BH233" s="249"/>
      <c r="BI233" s="248"/>
      <c r="BJ233" s="248"/>
      <c r="BK233" s="248"/>
      <c r="BL233" s="248"/>
      <c r="BM233" s="248"/>
      <c r="BN233" s="248"/>
      <c r="BO233"/>
      <c r="BP233"/>
      <c r="BQ233"/>
      <c r="BR233"/>
      <c r="BS233"/>
      <c r="BT233" s="248"/>
      <c r="BU233" s="248"/>
      <c r="BV233" s="248"/>
      <c r="BW233" s="248"/>
      <c r="BX233" s="248"/>
      <c r="BY233" s="248"/>
      <c r="BZ233" s="248"/>
      <c r="CA233" s="248"/>
      <c r="CB233" s="248"/>
      <c r="CC233" s="248"/>
      <c r="CD233" s="248"/>
      <c r="CE233" s="248"/>
      <c r="CF233" s="248"/>
      <c r="CG233" s="248"/>
    </row>
    <row r="234" spans="1:85" ht="12.75" x14ac:dyDescent="0.2">
      <c r="A234" s="29">
        <v>43952</v>
      </c>
      <c r="B234" s="243">
        <v>6.5868762922034002E-2</v>
      </c>
      <c r="D234" s="260">
        <v>42887</v>
      </c>
      <c r="E234" s="9">
        <v>47.997856140136719</v>
      </c>
      <c r="F234" s="9">
        <v>52.997856140136719</v>
      </c>
      <c r="G234" s="9">
        <v>57.997856140136719</v>
      </c>
      <c r="H234" s="8"/>
      <c r="I234" s="9">
        <v>29.25</v>
      </c>
      <c r="J234" s="9">
        <v>29.5</v>
      </c>
      <c r="K234" s="9">
        <v>30.25</v>
      </c>
      <c r="L234" s="7"/>
      <c r="M234" s="249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  <c r="AH234" s="248"/>
      <c r="AI234" s="248"/>
      <c r="AJ234" s="248"/>
      <c r="AK234" s="248"/>
      <c r="AL234" s="248"/>
      <c r="AM234" s="248"/>
      <c r="AN234" s="248"/>
      <c r="AO234" s="248"/>
      <c r="AP234" s="248"/>
      <c r="AQ234" s="248"/>
      <c r="AR234" s="248"/>
      <c r="AS234" s="248"/>
      <c r="AT234" s="248"/>
      <c r="AU234" s="248"/>
      <c r="AV234" s="248"/>
      <c r="AW234" s="248"/>
      <c r="AX234" s="248"/>
      <c r="AY234" s="248"/>
      <c r="AZ234" s="248"/>
      <c r="BA234" s="248"/>
      <c r="BB234" s="248"/>
      <c r="BC234" s="248"/>
      <c r="BD234" s="248"/>
      <c r="BE234" s="248"/>
      <c r="BF234" s="248"/>
      <c r="BG234" s="248"/>
      <c r="BH234" s="249"/>
      <c r="BI234" s="248"/>
      <c r="BJ234" s="248"/>
      <c r="BK234" s="248"/>
      <c r="BL234" s="248"/>
      <c r="BM234" s="248"/>
      <c r="BN234" s="248"/>
      <c r="BO234"/>
      <c r="BP234"/>
      <c r="BQ234"/>
      <c r="BR234"/>
      <c r="BS234"/>
      <c r="BT234" s="248"/>
      <c r="BU234" s="248"/>
      <c r="BV234" s="248"/>
      <c r="BW234" s="248"/>
      <c r="BX234" s="248"/>
      <c r="BY234" s="248"/>
      <c r="BZ234" s="248"/>
      <c r="CA234" s="248"/>
      <c r="CB234" s="248"/>
      <c r="CC234" s="248"/>
      <c r="CD234" s="248"/>
      <c r="CE234" s="248"/>
      <c r="CF234" s="248"/>
      <c r="CG234" s="248"/>
    </row>
    <row r="235" spans="1:85" ht="12.75" x14ac:dyDescent="0.2">
      <c r="A235" s="29">
        <v>43983</v>
      </c>
      <c r="B235" s="243">
        <v>6.5895921643754019E-2</v>
      </c>
      <c r="D235" s="260">
        <v>42917</v>
      </c>
      <c r="E235" s="9">
        <v>75.997146606445313</v>
      </c>
      <c r="F235" s="9">
        <v>85.997146606445313</v>
      </c>
      <c r="G235" s="9">
        <v>95.997146606445312</v>
      </c>
      <c r="H235" s="8"/>
      <c r="I235" s="9">
        <v>29.75</v>
      </c>
      <c r="J235" s="9">
        <v>30</v>
      </c>
      <c r="K235" s="9">
        <v>30.75</v>
      </c>
      <c r="L235" s="7"/>
      <c r="M235" s="249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  <c r="AH235" s="248"/>
      <c r="AI235" s="248"/>
      <c r="AJ235" s="248"/>
      <c r="AK235" s="248"/>
      <c r="AL235" s="248"/>
      <c r="AM235" s="248"/>
      <c r="AN235" s="248"/>
      <c r="AO235" s="248"/>
      <c r="AP235" s="248"/>
      <c r="AQ235" s="248"/>
      <c r="AR235" s="248"/>
      <c r="AS235" s="248"/>
      <c r="AT235" s="248"/>
      <c r="AU235" s="248"/>
      <c r="AV235" s="248"/>
      <c r="AW235" s="248"/>
      <c r="AX235" s="248"/>
      <c r="AY235" s="248"/>
      <c r="AZ235" s="248"/>
      <c r="BA235" s="248"/>
      <c r="BB235" s="248"/>
      <c r="BC235" s="248"/>
      <c r="BD235" s="248"/>
      <c r="BE235" s="248"/>
      <c r="BF235" s="248"/>
      <c r="BG235" s="248"/>
      <c r="BH235" s="249"/>
      <c r="BI235" s="248"/>
      <c r="BJ235" s="248"/>
      <c r="BK235" s="248"/>
      <c r="BL235" s="248"/>
      <c r="BM235" s="248"/>
      <c r="BN235" s="248"/>
      <c r="BO235"/>
      <c r="BP235"/>
      <c r="BQ235"/>
      <c r="BR235"/>
      <c r="BS235"/>
      <c r="BT235" s="248"/>
      <c r="BU235" s="248"/>
      <c r="BV235" s="248"/>
      <c r="BW235" s="248"/>
      <c r="BX235" s="248"/>
      <c r="BY235" s="248"/>
      <c r="BZ235" s="248"/>
      <c r="CA235" s="248"/>
      <c r="CB235" s="248"/>
      <c r="CC235" s="248"/>
      <c r="CD235" s="248"/>
      <c r="CE235" s="248"/>
      <c r="CF235" s="248"/>
      <c r="CG235" s="248"/>
    </row>
    <row r="236" spans="1:85" ht="12.75" x14ac:dyDescent="0.2">
      <c r="A236" s="29">
        <v>44013</v>
      </c>
      <c r="B236" s="243">
        <v>6.5923985656454007E-2</v>
      </c>
      <c r="D236" s="260">
        <v>42948</v>
      </c>
      <c r="E236" s="9">
        <v>75.997146606445313</v>
      </c>
      <c r="F236" s="9">
        <v>85.997146606445313</v>
      </c>
      <c r="G236" s="9">
        <v>95.997146606445312</v>
      </c>
      <c r="H236" s="8"/>
      <c r="I236" s="9">
        <v>30.75</v>
      </c>
      <c r="J236" s="9">
        <v>31</v>
      </c>
      <c r="K236" s="9">
        <v>31.75</v>
      </c>
      <c r="L236" s="7"/>
      <c r="M236" s="249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  <c r="AH236" s="248"/>
      <c r="AI236" s="248"/>
      <c r="AJ236" s="248"/>
      <c r="AK236" s="248"/>
      <c r="AL236" s="248"/>
      <c r="AM236" s="248"/>
      <c r="AN236" s="248"/>
      <c r="AO236" s="248"/>
      <c r="AP236" s="248"/>
      <c r="AQ236" s="248"/>
      <c r="AR236" s="248"/>
      <c r="AS236" s="248"/>
      <c r="AT236" s="248"/>
      <c r="AU236" s="248"/>
      <c r="AV236" s="248"/>
      <c r="AW236" s="248"/>
      <c r="AX236" s="248"/>
      <c r="AY236" s="248"/>
      <c r="AZ236" s="248"/>
      <c r="BA236" s="248"/>
      <c r="BB236" s="248"/>
      <c r="BC236" s="248"/>
      <c r="BD236" s="248"/>
      <c r="BE236" s="248"/>
      <c r="BF236" s="248"/>
      <c r="BG236" s="248"/>
      <c r="BH236" s="249"/>
      <c r="BI236" s="248"/>
      <c r="BJ236" s="248"/>
      <c r="BK236" s="248"/>
      <c r="BL236" s="248"/>
      <c r="BM236" s="248"/>
      <c r="BN236" s="248"/>
      <c r="BO236"/>
      <c r="BP236"/>
      <c r="BQ236"/>
      <c r="BR236"/>
      <c r="BS236"/>
      <c r="BT236" s="248"/>
      <c r="BU236" s="248"/>
      <c r="BV236" s="248"/>
      <c r="BW236" s="248"/>
      <c r="BX236" s="248"/>
      <c r="BY236" s="248"/>
      <c r="BZ236" s="248"/>
      <c r="CA236" s="248"/>
      <c r="CB236" s="248"/>
      <c r="CC236" s="248"/>
      <c r="CD236" s="248"/>
      <c r="CE236" s="248"/>
      <c r="CF236" s="248"/>
      <c r="CG236" s="248"/>
    </row>
    <row r="237" spans="1:85" ht="12.75" x14ac:dyDescent="0.2">
      <c r="A237" s="29">
        <v>44044</v>
      </c>
      <c r="B237" s="243">
        <v>6.5952049669414023E-2</v>
      </c>
      <c r="D237" s="260">
        <v>42979</v>
      </c>
      <c r="E237" s="9">
        <v>39.752143859863281</v>
      </c>
      <c r="F237" s="9">
        <v>41.252143859863281</v>
      </c>
      <c r="G237" s="9">
        <v>42.752143859863281</v>
      </c>
      <c r="H237" s="8"/>
      <c r="I237" s="9">
        <v>23.75</v>
      </c>
      <c r="J237" s="9">
        <v>24</v>
      </c>
      <c r="K237" s="9">
        <v>24.75</v>
      </c>
      <c r="L237" s="7"/>
      <c r="M237" s="249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  <c r="AH237" s="248"/>
      <c r="AI237" s="248"/>
      <c r="AJ237" s="248"/>
      <c r="AK237" s="248"/>
      <c r="AL237" s="248"/>
      <c r="AM237" s="248"/>
      <c r="AN237" s="248"/>
      <c r="AO237" s="248"/>
      <c r="AP237" s="248"/>
      <c r="AQ237" s="248"/>
      <c r="AR237" s="248"/>
      <c r="AS237" s="248"/>
      <c r="AT237" s="248"/>
      <c r="AU237" s="248"/>
      <c r="AV237" s="248"/>
      <c r="AW237" s="248"/>
      <c r="AX237" s="248"/>
      <c r="AY237" s="248"/>
      <c r="AZ237" s="248"/>
      <c r="BA237" s="248"/>
      <c r="BB237" s="248"/>
      <c r="BC237" s="248"/>
      <c r="BD237" s="248"/>
      <c r="BE237" s="248"/>
      <c r="BF237" s="248"/>
      <c r="BG237" s="248"/>
      <c r="BH237" s="249"/>
      <c r="BI237" s="248"/>
      <c r="BJ237" s="248"/>
      <c r="BK237" s="248"/>
      <c r="BL237" s="248"/>
      <c r="BM237" s="248"/>
      <c r="BN237" s="248"/>
      <c r="BO237"/>
      <c r="BP237"/>
      <c r="BQ237"/>
      <c r="BR237"/>
      <c r="BS237"/>
      <c r="BT237" s="248"/>
      <c r="BU237" s="248"/>
      <c r="BV237" s="248"/>
      <c r="BW237" s="248"/>
      <c r="BX237" s="248"/>
      <c r="BY237" s="248"/>
      <c r="BZ237" s="248"/>
      <c r="CA237" s="248"/>
      <c r="CB237" s="248"/>
      <c r="CC237" s="248"/>
      <c r="CD237" s="248"/>
      <c r="CE237" s="248"/>
      <c r="CF237" s="248"/>
      <c r="CG237" s="248"/>
    </row>
    <row r="238" spans="1:85" ht="12.75" x14ac:dyDescent="0.2">
      <c r="A238" s="29">
        <v>44075</v>
      </c>
      <c r="B238" s="243">
        <v>6.597920839188301E-2</v>
      </c>
      <c r="D238" s="260">
        <v>43009</v>
      </c>
      <c r="E238" s="9">
        <v>37.648933410644531</v>
      </c>
      <c r="F238" s="9">
        <v>39.148933410644531</v>
      </c>
      <c r="G238" s="9">
        <v>40.648933410644531</v>
      </c>
      <c r="H238" s="8"/>
      <c r="I238" s="9">
        <v>21.250001907348633</v>
      </c>
      <c r="J238" s="9">
        <v>21.500001907348633</v>
      </c>
      <c r="K238" s="9">
        <v>22.250001907348633</v>
      </c>
      <c r="L238" s="7"/>
      <c r="M238" s="249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  <c r="AH238" s="248"/>
      <c r="AI238" s="248"/>
      <c r="AJ238" s="248"/>
      <c r="AK238" s="248"/>
      <c r="AL238" s="248"/>
      <c r="AM238" s="248"/>
      <c r="AN238" s="248"/>
      <c r="AO238" s="248"/>
      <c r="AP238" s="248"/>
      <c r="AQ238" s="248"/>
      <c r="AR238" s="248"/>
      <c r="AS238" s="248"/>
      <c r="AT238" s="248"/>
      <c r="AU238" s="248"/>
      <c r="AV238" s="248"/>
      <c r="AW238" s="248"/>
      <c r="AX238" s="248"/>
      <c r="AY238" s="248"/>
      <c r="AZ238" s="248"/>
      <c r="BA238" s="248"/>
      <c r="BB238" s="248"/>
      <c r="BC238" s="248"/>
      <c r="BD238" s="248"/>
      <c r="BE238" s="248"/>
      <c r="BF238" s="248"/>
      <c r="BG238" s="248"/>
      <c r="BH238" s="249"/>
      <c r="BI238" s="248"/>
      <c r="BJ238" s="248"/>
      <c r="BK238" s="248"/>
      <c r="BL238" s="248"/>
      <c r="BM238" s="248"/>
      <c r="BN238" s="248"/>
      <c r="BO238"/>
      <c r="BP238"/>
      <c r="BQ238"/>
      <c r="BR238"/>
      <c r="BS238"/>
      <c r="BT238" s="248"/>
      <c r="BU238" s="248"/>
      <c r="BV238" s="248"/>
      <c r="BW238" s="248"/>
      <c r="BX238" s="248"/>
      <c r="BY238" s="248"/>
      <c r="BZ238" s="248"/>
      <c r="CA238" s="248"/>
      <c r="CB238" s="248"/>
      <c r="CC238" s="248"/>
      <c r="CD238" s="248"/>
      <c r="CE238" s="248"/>
      <c r="CF238" s="248"/>
      <c r="CG238" s="248"/>
    </row>
    <row r="239" spans="1:85" ht="12.75" x14ac:dyDescent="0.2">
      <c r="A239" s="29">
        <v>44105</v>
      </c>
      <c r="B239" s="243">
        <v>6.6007272405358003E-2</v>
      </c>
      <c r="D239" s="260">
        <v>43040</v>
      </c>
      <c r="E239" s="9">
        <v>37.748931884765625</v>
      </c>
      <c r="F239" s="9">
        <v>39.248931884765625</v>
      </c>
      <c r="G239" s="9">
        <v>40.748931884765625</v>
      </c>
      <c r="H239" s="8"/>
      <c r="I239" s="9">
        <v>23.25</v>
      </c>
      <c r="J239" s="9">
        <v>23.5</v>
      </c>
      <c r="K239" s="9">
        <v>24.25</v>
      </c>
      <c r="L239" s="7"/>
      <c r="M239" s="249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  <c r="AH239" s="248"/>
      <c r="AI239" s="248"/>
      <c r="AJ239" s="248"/>
      <c r="AK239" s="248"/>
      <c r="AL239" s="248"/>
      <c r="AM239" s="248"/>
      <c r="AN239" s="248"/>
      <c r="AO239" s="248"/>
      <c r="AP239" s="248"/>
      <c r="AQ239" s="248"/>
      <c r="AR239" s="248"/>
      <c r="AS239" s="248"/>
      <c r="AT239" s="248"/>
      <c r="AU239" s="248"/>
      <c r="AV239" s="248"/>
      <c r="AW239" s="248"/>
      <c r="AX239" s="248"/>
      <c r="AY239" s="248"/>
      <c r="AZ239" s="248"/>
      <c r="BA239" s="248"/>
      <c r="BB239" s="248"/>
      <c r="BC239" s="248"/>
      <c r="BD239" s="248"/>
      <c r="BE239" s="248"/>
      <c r="BF239" s="248"/>
      <c r="BG239" s="248"/>
      <c r="BH239" s="249"/>
      <c r="BI239" s="248"/>
      <c r="BJ239" s="248"/>
      <c r="BK239" s="248"/>
      <c r="BL239" s="248"/>
      <c r="BM239" s="248"/>
      <c r="BN239" s="248"/>
      <c r="BO239"/>
      <c r="BP239"/>
      <c r="BQ239"/>
      <c r="BR239"/>
      <c r="BS239"/>
      <c r="BT239" s="248"/>
      <c r="BU239" s="248"/>
      <c r="BV239" s="248"/>
      <c r="BW239" s="248"/>
      <c r="BX239" s="248"/>
      <c r="BY239" s="248"/>
      <c r="BZ239" s="248"/>
      <c r="CA239" s="248"/>
      <c r="CB239" s="248"/>
      <c r="CC239" s="248"/>
      <c r="CD239" s="248"/>
      <c r="CE239" s="248"/>
      <c r="CF239" s="248"/>
      <c r="CG239" s="248"/>
    </row>
    <row r="240" spans="1:85" ht="12.75" x14ac:dyDescent="0.2">
      <c r="A240" s="29">
        <v>44136</v>
      </c>
      <c r="B240" s="243">
        <v>6.6034431128322996E-2</v>
      </c>
      <c r="D240" s="260">
        <v>43070</v>
      </c>
      <c r="E240" s="9">
        <v>37.848930358886719</v>
      </c>
      <c r="F240" s="9">
        <v>39.348930358886719</v>
      </c>
      <c r="G240" s="9">
        <v>40.848930358886719</v>
      </c>
      <c r="H240" s="8"/>
      <c r="I240" s="9">
        <v>22.360000610351563</v>
      </c>
      <c r="J240" s="9">
        <v>22.610000610351563</v>
      </c>
      <c r="K240" s="9">
        <v>23.360000610351563</v>
      </c>
      <c r="L240" s="7"/>
      <c r="M240" s="249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  <c r="AH240" s="248"/>
      <c r="AI240" s="248"/>
      <c r="AJ240" s="248"/>
      <c r="AK240" s="248"/>
      <c r="AL240" s="248"/>
      <c r="AM240" s="248"/>
      <c r="AN240" s="248"/>
      <c r="AO240" s="248"/>
      <c r="AP240" s="248"/>
      <c r="AQ240" s="248"/>
      <c r="AR240" s="248"/>
      <c r="AS240" s="248"/>
      <c r="AT240" s="248"/>
      <c r="AU240" s="248"/>
      <c r="AV240" s="248"/>
      <c r="AW240" s="248"/>
      <c r="AX240" s="248"/>
      <c r="AY240" s="248"/>
      <c r="AZ240" s="248"/>
      <c r="BA240" s="248"/>
      <c r="BB240" s="248"/>
      <c r="BC240" s="248"/>
      <c r="BD240" s="248"/>
      <c r="BE240" s="248"/>
      <c r="BF240" s="248"/>
      <c r="BG240" s="248"/>
      <c r="BH240" s="249"/>
      <c r="BI240" s="248"/>
      <c r="BJ240" s="248"/>
      <c r="BK240" s="248"/>
      <c r="BL240" s="248"/>
      <c r="BM240" s="248"/>
      <c r="BN240" s="248"/>
      <c r="BO240"/>
      <c r="BP240"/>
      <c r="BQ240"/>
      <c r="BR240"/>
      <c r="BS240"/>
      <c r="BT240" s="248"/>
      <c r="BU240" s="248"/>
      <c r="BV240" s="248"/>
      <c r="BW240" s="248"/>
      <c r="BX240" s="248"/>
      <c r="BY240" s="248"/>
      <c r="BZ240" s="248"/>
      <c r="CA240" s="248"/>
      <c r="CB240" s="248"/>
      <c r="CC240" s="248"/>
      <c r="CD240" s="248"/>
      <c r="CE240" s="248"/>
      <c r="CF240" s="248"/>
      <c r="CG240" s="248"/>
    </row>
    <row r="241" spans="1:85" ht="12.75" x14ac:dyDescent="0.2">
      <c r="A241" s="29">
        <v>44166</v>
      </c>
      <c r="B241" s="243">
        <v>6.6062495142311009E-2</v>
      </c>
      <c r="D241" s="260">
        <v>43101</v>
      </c>
      <c r="E241" s="9">
        <v>47.037864685058594</v>
      </c>
      <c r="F241" s="9">
        <v>48.537864685058594</v>
      </c>
      <c r="G241" s="9">
        <v>50.037864685058594</v>
      </c>
      <c r="H241" s="8"/>
      <c r="I241" s="9">
        <v>27.25</v>
      </c>
      <c r="J241" s="9">
        <v>27.5</v>
      </c>
      <c r="K241" s="9">
        <v>28.25</v>
      </c>
      <c r="L241" s="7"/>
      <c r="M241" s="249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  <c r="AH241" s="248"/>
      <c r="AI241" s="248"/>
      <c r="AJ241" s="248"/>
      <c r="AK241" s="248"/>
      <c r="AL241" s="248"/>
      <c r="AM241" s="248"/>
      <c r="AN241" s="248"/>
      <c r="AO241" s="248"/>
      <c r="AP241" s="248"/>
      <c r="AQ241" s="248"/>
      <c r="AR241" s="248"/>
      <c r="AS241" s="248"/>
      <c r="AT241" s="248"/>
      <c r="AU241" s="248"/>
      <c r="AV241" s="248"/>
      <c r="AW241" s="248"/>
      <c r="AX241" s="248"/>
      <c r="AY241" s="248"/>
      <c r="AZ241" s="248"/>
      <c r="BA241" s="248"/>
      <c r="BB241" s="248"/>
      <c r="BC241" s="248"/>
      <c r="BD241" s="248"/>
      <c r="BE241" s="248"/>
      <c r="BF241" s="248"/>
      <c r="BG241" s="248"/>
      <c r="BH241" s="249"/>
      <c r="BI241" s="248"/>
      <c r="BJ241" s="248"/>
      <c r="BK241" s="248"/>
      <c r="BL241" s="248"/>
      <c r="BM241" s="248"/>
      <c r="BN241" s="248"/>
      <c r="BO241"/>
      <c r="BP241"/>
      <c r="BQ241"/>
      <c r="BR241"/>
      <c r="BS241"/>
      <c r="BT241" s="248"/>
      <c r="BU241" s="248"/>
      <c r="BV241" s="248"/>
      <c r="BW241" s="248"/>
      <c r="BX241" s="248"/>
      <c r="BY241" s="248"/>
      <c r="BZ241" s="248"/>
      <c r="CA241" s="248"/>
      <c r="CB241" s="248"/>
      <c r="CC241" s="248"/>
      <c r="CD241" s="248"/>
      <c r="CE241" s="248"/>
      <c r="CF241" s="248"/>
      <c r="CG241" s="248"/>
    </row>
    <row r="242" spans="1:85" ht="12.75" x14ac:dyDescent="0.2">
      <c r="A242" s="29">
        <v>44197</v>
      </c>
      <c r="B242" s="243">
        <v>6.6084448498037032E-2</v>
      </c>
      <c r="D242" s="260">
        <v>43132</v>
      </c>
      <c r="E242" s="9">
        <v>46.687862396240234</v>
      </c>
      <c r="F242" s="9">
        <v>48.187862396240234</v>
      </c>
      <c r="G242" s="9">
        <v>49.687862396240234</v>
      </c>
      <c r="H242" s="8"/>
      <c r="I242" s="9">
        <v>25.75</v>
      </c>
      <c r="J242" s="9">
        <v>26</v>
      </c>
      <c r="K242" s="9">
        <v>26.75</v>
      </c>
      <c r="L242" s="7"/>
      <c r="M242" s="249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  <c r="AH242" s="248"/>
      <c r="AI242" s="248"/>
      <c r="AJ242" s="248"/>
      <c r="AK242" s="248"/>
      <c r="AL242" s="248"/>
      <c r="AM242" s="248"/>
      <c r="AN242" s="248"/>
      <c r="AO242" s="248"/>
      <c r="AP242" s="248"/>
      <c r="AQ242" s="248"/>
      <c r="AR242" s="248"/>
      <c r="AS242" s="248"/>
      <c r="AT242" s="248"/>
      <c r="AU242" s="248"/>
      <c r="AV242" s="248"/>
      <c r="AW242" s="248"/>
      <c r="AX242" s="248"/>
      <c r="AY242" s="248"/>
      <c r="AZ242" s="248"/>
      <c r="BA242" s="248"/>
      <c r="BB242" s="248"/>
      <c r="BC242" s="248"/>
      <c r="BD242" s="248"/>
      <c r="BE242" s="248"/>
      <c r="BF242" s="248"/>
      <c r="BG242" s="248"/>
      <c r="BH242" s="249"/>
      <c r="BI242" s="248"/>
      <c r="BJ242" s="248"/>
      <c r="BK242" s="248"/>
      <c r="BL242" s="248"/>
      <c r="BM242" s="248"/>
      <c r="BN242" s="248"/>
      <c r="BO242"/>
      <c r="BP242"/>
      <c r="BQ242"/>
      <c r="BR242"/>
      <c r="BS242"/>
      <c r="BT242" s="248"/>
      <c r="BU242" s="248"/>
      <c r="BV242" s="248"/>
      <c r="BW242" s="248"/>
      <c r="BX242" s="248"/>
      <c r="BY242" s="248"/>
      <c r="BZ242" s="248"/>
      <c r="CA242" s="248"/>
      <c r="CB242" s="248"/>
      <c r="CC242" s="248"/>
      <c r="CD242" s="248"/>
      <c r="CE242" s="248"/>
      <c r="CF242" s="248"/>
      <c r="CG242" s="248"/>
    </row>
    <row r="243" spans="1:85" ht="12.75" x14ac:dyDescent="0.2">
      <c r="A243" s="29">
        <v>44228</v>
      </c>
      <c r="B243" s="243">
        <v>6.6085354005938013E-2</v>
      </c>
      <c r="D243" s="260">
        <v>43160</v>
      </c>
      <c r="E243" s="9">
        <v>37.898544311523437</v>
      </c>
      <c r="F243" s="9">
        <v>39.398544311523438</v>
      </c>
      <c r="G243" s="9">
        <v>40.898544311523438</v>
      </c>
      <c r="H243" s="8"/>
      <c r="I243" s="9">
        <v>26.75</v>
      </c>
      <c r="J243" s="9">
        <v>27</v>
      </c>
      <c r="K243" s="9">
        <v>27.75</v>
      </c>
      <c r="L243" s="7"/>
      <c r="M243" s="249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  <c r="AH243" s="248"/>
      <c r="AI243" s="248"/>
      <c r="AJ243" s="248"/>
      <c r="AK243" s="248"/>
      <c r="AL243" s="248"/>
      <c r="AM243" s="248"/>
      <c r="AN243" s="248"/>
      <c r="AO243" s="248"/>
      <c r="AP243" s="248"/>
      <c r="AQ243" s="248"/>
      <c r="AR243" s="248"/>
      <c r="AS243" s="248"/>
      <c r="AT243" s="248"/>
      <c r="AU243" s="248"/>
      <c r="AV243" s="248"/>
      <c r="AW243" s="248"/>
      <c r="AX243" s="248"/>
      <c r="AY243" s="248"/>
      <c r="AZ243" s="248"/>
      <c r="BA243" s="248"/>
      <c r="BB243" s="248"/>
      <c r="BC243" s="248"/>
      <c r="BD243" s="248"/>
      <c r="BE243" s="248"/>
      <c r="BF243" s="248"/>
      <c r="BG243" s="248"/>
      <c r="BH243" s="249"/>
      <c r="BI243" s="248"/>
      <c r="BJ243" s="248"/>
      <c r="BK243" s="248"/>
      <c r="BL243" s="248"/>
      <c r="BM243" s="248"/>
      <c r="BN243" s="248"/>
      <c r="BO243"/>
      <c r="BP243"/>
      <c r="BQ243"/>
      <c r="BR243"/>
      <c r="BS243"/>
      <c r="BT243" s="248"/>
      <c r="BU243" s="248"/>
      <c r="BV243" s="248"/>
      <c r="BW243" s="248"/>
      <c r="BX243" s="248"/>
      <c r="BY243" s="248"/>
      <c r="BZ243" s="248"/>
      <c r="CA243" s="248"/>
      <c r="CB243" s="248"/>
      <c r="CC243" s="248"/>
      <c r="CD243" s="248"/>
      <c r="CE243" s="248"/>
      <c r="CF243" s="248"/>
      <c r="CG243" s="248"/>
    </row>
    <row r="244" spans="1:85" ht="12.75" x14ac:dyDescent="0.2">
      <c r="A244" s="29">
        <v>44256</v>
      </c>
      <c r="B244" s="243">
        <v>6.6086356532543022E-2</v>
      </c>
      <c r="D244" s="260">
        <v>43191</v>
      </c>
      <c r="E244" s="9">
        <v>38.348545074462891</v>
      </c>
      <c r="F244" s="9">
        <v>39.848545074462891</v>
      </c>
      <c r="G244" s="9">
        <v>41.348545074462891</v>
      </c>
      <c r="H244" s="8"/>
      <c r="I244" s="9">
        <v>24.75</v>
      </c>
      <c r="J244" s="9">
        <v>25</v>
      </c>
      <c r="K244" s="9">
        <v>25.75</v>
      </c>
      <c r="L244" s="7"/>
      <c r="M244" s="249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  <c r="AH244" s="248"/>
      <c r="AI244" s="248"/>
      <c r="AJ244" s="248"/>
      <c r="AK244" s="248"/>
      <c r="AL244" s="248"/>
      <c r="AM244" s="248"/>
      <c r="AN244" s="248"/>
      <c r="AO244" s="248"/>
      <c r="AP244" s="248"/>
      <c r="AQ244" s="248"/>
      <c r="AR244" s="248"/>
      <c r="AS244" s="248"/>
      <c r="AT244" s="248"/>
      <c r="AU244" s="248"/>
      <c r="AV244" s="248"/>
      <c r="AW244" s="248"/>
      <c r="AX244" s="248"/>
      <c r="AY244" s="248"/>
      <c r="AZ244" s="248"/>
      <c r="BA244" s="248"/>
      <c r="BB244" s="248"/>
      <c r="BC244" s="248"/>
      <c r="BD244" s="248"/>
      <c r="BE244" s="248"/>
      <c r="BF244" s="248"/>
      <c r="BG244" s="248"/>
      <c r="BH244" s="249"/>
      <c r="BI244" s="248"/>
      <c r="BJ244" s="248"/>
      <c r="BK244" s="248"/>
      <c r="BL244" s="248"/>
      <c r="BM244" s="248"/>
      <c r="BN244" s="248"/>
      <c r="BO244"/>
      <c r="BP244"/>
      <c r="BQ244"/>
      <c r="BR244"/>
      <c r="BS244"/>
      <c r="BT244" s="248"/>
      <c r="BU244" s="248"/>
      <c r="BV244" s="248"/>
      <c r="BW244" s="248"/>
      <c r="BX244" s="248"/>
      <c r="BY244" s="248"/>
      <c r="BZ244" s="248"/>
      <c r="CA244" s="248"/>
      <c r="CB244" s="248"/>
      <c r="CC244" s="248"/>
      <c r="CD244" s="248"/>
      <c r="CE244" s="248"/>
      <c r="CF244" s="248"/>
      <c r="CG244" s="248"/>
    </row>
    <row r="245" spans="1:85" ht="12.75" x14ac:dyDescent="0.2">
      <c r="A245" s="29">
        <v>44287</v>
      </c>
      <c r="B245" s="243">
        <v>6.6087326719580008E-2</v>
      </c>
      <c r="D245" s="260">
        <v>43221</v>
      </c>
      <c r="E245" s="9">
        <v>39.003566741943359</v>
      </c>
      <c r="F245" s="9">
        <v>41.503566741943359</v>
      </c>
      <c r="G245" s="9">
        <v>44.003566741943359</v>
      </c>
      <c r="H245" s="8"/>
      <c r="I245" s="9">
        <v>26.75</v>
      </c>
      <c r="J245" s="9">
        <v>27</v>
      </c>
      <c r="K245" s="9">
        <v>27.75</v>
      </c>
      <c r="L245" s="7"/>
      <c r="M245" s="249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  <c r="AH245" s="248"/>
      <c r="AI245" s="248"/>
      <c r="AJ245" s="248"/>
      <c r="AK245" s="248"/>
      <c r="AL245" s="248"/>
      <c r="AM245" s="248"/>
      <c r="AN245" s="248"/>
      <c r="AO245" s="248"/>
      <c r="AP245" s="248"/>
      <c r="AQ245" s="248"/>
      <c r="AR245" s="248"/>
      <c r="AS245" s="248"/>
      <c r="AT245" s="248"/>
      <c r="AU245" s="248"/>
      <c r="AV245" s="248"/>
      <c r="AW245" s="248"/>
      <c r="AX245" s="248"/>
      <c r="AY245" s="248"/>
      <c r="AZ245" s="248"/>
      <c r="BA245" s="248"/>
      <c r="BB245" s="248"/>
      <c r="BC245" s="248"/>
      <c r="BD245" s="248"/>
      <c r="BE245" s="248"/>
      <c r="BF245" s="248"/>
      <c r="BG245" s="248"/>
      <c r="BH245" s="249"/>
      <c r="BI245" s="248"/>
      <c r="BJ245" s="248"/>
      <c r="BK245" s="248"/>
      <c r="BL245" s="248"/>
      <c r="BM245" s="248"/>
      <c r="BN245" s="248"/>
      <c r="BO245"/>
      <c r="BP245"/>
      <c r="BQ245"/>
      <c r="BR245"/>
      <c r="BS245"/>
      <c r="BT245" s="248"/>
      <c r="BU245" s="248"/>
      <c r="BV245" s="248"/>
      <c r="BW245" s="248"/>
      <c r="BX245" s="248"/>
      <c r="BY245" s="248"/>
      <c r="BZ245" s="248"/>
      <c r="CA245" s="248"/>
      <c r="CB245" s="248"/>
      <c r="CC245" s="248"/>
      <c r="CD245" s="248"/>
      <c r="CE245" s="248"/>
      <c r="CF245" s="248"/>
      <c r="CG245" s="248"/>
    </row>
    <row r="246" spans="1:85" ht="12.75" x14ac:dyDescent="0.2">
      <c r="A246" s="29">
        <v>44317</v>
      </c>
      <c r="B246" s="243">
        <v>6.6088329246186017E-2</v>
      </c>
      <c r="D246" s="260">
        <v>43252</v>
      </c>
      <c r="E246" s="9">
        <v>48.997856140136719</v>
      </c>
      <c r="F246" s="9">
        <v>53.997856140136719</v>
      </c>
      <c r="G246" s="9">
        <v>58.997856140136719</v>
      </c>
      <c r="H246" s="8"/>
      <c r="I246" s="9">
        <v>29.75</v>
      </c>
      <c r="J246" s="9">
        <v>30</v>
      </c>
      <c r="K246" s="9">
        <v>30.75</v>
      </c>
      <c r="L246" s="7"/>
      <c r="M246" s="249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  <c r="AH246" s="248"/>
      <c r="AI246" s="248"/>
      <c r="AJ246" s="248"/>
      <c r="AK246" s="248"/>
      <c r="AL246" s="248"/>
      <c r="AM246" s="248"/>
      <c r="AN246" s="248"/>
      <c r="AO246" s="248"/>
      <c r="AP246" s="248"/>
      <c r="AQ246" s="248"/>
      <c r="AR246" s="248"/>
      <c r="AS246" s="248"/>
      <c r="AT246" s="248"/>
      <c r="AU246" s="248"/>
      <c r="AV246" s="248"/>
      <c r="AW246" s="248"/>
      <c r="AX246" s="248"/>
      <c r="AY246" s="248"/>
      <c r="AZ246" s="248"/>
      <c r="BA246" s="248"/>
      <c r="BB246" s="248"/>
      <c r="BC246" s="248"/>
      <c r="BD246" s="248"/>
      <c r="BE246" s="248"/>
      <c r="BF246" s="248"/>
      <c r="BG246" s="248"/>
      <c r="BH246" s="249"/>
      <c r="BI246" s="248"/>
      <c r="BJ246" s="248"/>
      <c r="BK246" s="248"/>
      <c r="BL246" s="248"/>
      <c r="BM246" s="248"/>
      <c r="BN246" s="248"/>
      <c r="BO246"/>
      <c r="BP246"/>
      <c r="BQ246"/>
      <c r="BR246"/>
      <c r="BS246"/>
      <c r="BT246" s="248"/>
      <c r="BU246" s="248"/>
      <c r="BV246" s="248"/>
      <c r="BW246" s="248"/>
      <c r="BX246" s="248"/>
      <c r="BY246" s="248"/>
      <c r="BZ246" s="248"/>
      <c r="CA246" s="248"/>
      <c r="CB246" s="248"/>
      <c r="CC246" s="248"/>
      <c r="CD246" s="248"/>
      <c r="CE246" s="248"/>
      <c r="CF246" s="248"/>
      <c r="CG246" s="248"/>
    </row>
    <row r="247" spans="1:85" ht="12.75" x14ac:dyDescent="0.2">
      <c r="A247" s="29">
        <v>44348</v>
      </c>
      <c r="B247" s="243">
        <v>6.6089299433225016E-2</v>
      </c>
      <c r="D247" s="260">
        <v>43282</v>
      </c>
      <c r="E247" s="9">
        <v>77.997146606445313</v>
      </c>
      <c r="F247" s="9">
        <v>87.997146606445313</v>
      </c>
      <c r="G247" s="9">
        <v>97.997146606445313</v>
      </c>
      <c r="H247" s="8"/>
      <c r="I247" s="9">
        <v>30.25</v>
      </c>
      <c r="J247" s="9">
        <v>30.5</v>
      </c>
      <c r="K247" s="9">
        <v>31.25</v>
      </c>
      <c r="L247" s="7"/>
      <c r="M247" s="249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  <c r="AH247" s="248"/>
      <c r="AI247" s="248"/>
      <c r="AJ247" s="248"/>
      <c r="AK247" s="248"/>
      <c r="AL247" s="248"/>
      <c r="AM247" s="248"/>
      <c r="AN247" s="248"/>
      <c r="AO247" s="248"/>
      <c r="AP247" s="248"/>
      <c r="AQ247" s="248"/>
      <c r="AR247" s="248"/>
      <c r="AS247" s="248"/>
      <c r="AT247" s="248"/>
      <c r="AU247" s="248"/>
      <c r="AV247" s="248"/>
      <c r="AW247" s="248"/>
      <c r="AX247" s="248"/>
      <c r="AY247" s="248"/>
      <c r="AZ247" s="248"/>
      <c r="BA247" s="248"/>
      <c r="BB247" s="248"/>
      <c r="BC247" s="248"/>
      <c r="BD247" s="248"/>
      <c r="BE247" s="248"/>
      <c r="BF247" s="248"/>
      <c r="BG247" s="248"/>
      <c r="BH247" s="249"/>
      <c r="BI247" s="248"/>
      <c r="BJ247" s="248"/>
      <c r="BK247" s="248"/>
      <c r="BL247" s="248"/>
      <c r="BM247" s="248"/>
      <c r="BN247" s="248"/>
      <c r="BO247"/>
      <c r="BP247"/>
      <c r="BQ247"/>
      <c r="BR247"/>
      <c r="BS247"/>
      <c r="BT247" s="248"/>
      <c r="BU247" s="248"/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</row>
    <row r="248" spans="1:85" ht="12.75" x14ac:dyDescent="0.2">
      <c r="A248" s="29">
        <v>44378</v>
      </c>
      <c r="B248" s="243">
        <v>6.6090301959831024E-2</v>
      </c>
      <c r="D248" s="260">
        <v>43313</v>
      </c>
      <c r="E248" s="9">
        <v>77.997146606445313</v>
      </c>
      <c r="F248" s="9">
        <v>87.997146606445313</v>
      </c>
      <c r="G248" s="9">
        <v>97.997146606445313</v>
      </c>
      <c r="H248" s="11"/>
      <c r="I248" s="9">
        <v>31.25</v>
      </c>
      <c r="J248" s="9">
        <v>31.5</v>
      </c>
      <c r="K248" s="9">
        <v>32.25</v>
      </c>
      <c r="L248" s="7"/>
      <c r="M248" s="249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  <c r="AH248" s="248"/>
      <c r="AI248" s="248"/>
      <c r="AJ248" s="248"/>
      <c r="AK248" s="248"/>
      <c r="AL248" s="248"/>
      <c r="AM248" s="248"/>
      <c r="AN248" s="248"/>
      <c r="AO248" s="248"/>
      <c r="AP248" s="248"/>
      <c r="AQ248" s="248"/>
      <c r="AR248" s="248"/>
      <c r="AS248" s="248"/>
      <c r="AT248" s="248"/>
      <c r="AU248" s="248"/>
      <c r="AV248" s="248"/>
      <c r="AW248" s="248"/>
      <c r="AX248" s="248"/>
      <c r="AY248" s="248"/>
      <c r="AZ248" s="248"/>
      <c r="BA248" s="248"/>
      <c r="BB248" s="248"/>
      <c r="BC248" s="248"/>
      <c r="BD248" s="248"/>
      <c r="BE248" s="248"/>
      <c r="BF248" s="248"/>
      <c r="BG248" s="248"/>
      <c r="BH248" s="249"/>
      <c r="BI248" s="248"/>
      <c r="BJ248" s="248"/>
      <c r="BK248" s="248"/>
      <c r="BL248" s="248"/>
      <c r="BM248" s="248"/>
      <c r="BN248" s="248"/>
      <c r="BO248"/>
      <c r="BP248"/>
      <c r="BQ248"/>
      <c r="BR248"/>
      <c r="BS248"/>
      <c r="BT248" s="248"/>
      <c r="BU248" s="248"/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</row>
    <row r="249" spans="1:85" ht="12.75" x14ac:dyDescent="0.2">
      <c r="A249" s="29">
        <v>44409</v>
      </c>
      <c r="B249" s="243">
        <v>6.6091304486438004E-2</v>
      </c>
      <c r="D249" s="260">
        <v>43344</v>
      </c>
      <c r="E249" s="9">
        <v>40.252143859863281</v>
      </c>
      <c r="F249" s="9">
        <v>41.752143859863281</v>
      </c>
      <c r="G249" s="9">
        <v>43.252143859863281</v>
      </c>
      <c r="H249" s="11"/>
      <c r="I249" s="9">
        <v>24.25</v>
      </c>
      <c r="J249" s="9">
        <v>24.5</v>
      </c>
      <c r="K249" s="9">
        <v>25.25</v>
      </c>
      <c r="L249" s="7"/>
      <c r="M249" s="249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  <c r="AH249" s="248"/>
      <c r="AI249" s="248"/>
      <c r="AJ249" s="248"/>
      <c r="AK249" s="248"/>
      <c r="AL249" s="248"/>
      <c r="AM249" s="248"/>
      <c r="AN249" s="248"/>
      <c r="AO249" s="248"/>
      <c r="AP249" s="248"/>
      <c r="AQ249" s="248"/>
      <c r="AR249" s="248"/>
      <c r="AS249" s="248"/>
      <c r="AT249" s="248"/>
      <c r="AU249" s="248"/>
      <c r="AV249" s="248"/>
      <c r="AW249" s="248"/>
      <c r="AX249" s="248"/>
      <c r="AY249" s="248"/>
      <c r="AZ249" s="248"/>
      <c r="BA249" s="248"/>
      <c r="BB249" s="248"/>
      <c r="BC249" s="248"/>
      <c r="BD249" s="248"/>
      <c r="BE249" s="248"/>
      <c r="BF249" s="248"/>
      <c r="BG249" s="248"/>
      <c r="BH249" s="249"/>
      <c r="BI249" s="248"/>
      <c r="BJ249" s="248"/>
      <c r="BK249" s="248"/>
      <c r="BL249" s="248"/>
      <c r="BM249" s="248"/>
      <c r="BN249" s="248"/>
      <c r="BO249"/>
      <c r="BP249"/>
      <c r="BQ249"/>
      <c r="BR249"/>
      <c r="BS249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</row>
    <row r="250" spans="1:85" ht="12.75" x14ac:dyDescent="0.2">
      <c r="A250" s="29">
        <v>44440</v>
      </c>
      <c r="B250" s="243">
        <v>6.6092274673477017E-2</v>
      </c>
      <c r="D250" s="260">
        <v>43374</v>
      </c>
      <c r="E250" s="9">
        <v>38.148933410644531</v>
      </c>
      <c r="F250" s="9">
        <v>39.648933410644531</v>
      </c>
      <c r="G250" s="9">
        <v>41.148933410644531</v>
      </c>
      <c r="H250" s="11"/>
      <c r="I250" s="9">
        <v>21.750001907348633</v>
      </c>
      <c r="J250" s="9">
        <v>22.000001907348633</v>
      </c>
      <c r="K250" s="9">
        <v>22.750001907348633</v>
      </c>
      <c r="L250" s="7"/>
      <c r="M250" s="249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  <c r="AH250" s="248"/>
      <c r="AI250" s="248"/>
      <c r="AJ250" s="248"/>
      <c r="AK250" s="248"/>
      <c r="AL250" s="248"/>
      <c r="AM250" s="248"/>
      <c r="AN250" s="248"/>
      <c r="AO250" s="248"/>
      <c r="AP250" s="248"/>
      <c r="AQ250" s="248"/>
      <c r="AR250" s="248"/>
      <c r="AS250" s="248"/>
      <c r="AT250" s="248"/>
      <c r="AU250" s="248"/>
      <c r="AV250" s="248"/>
      <c r="AW250" s="248"/>
      <c r="AX250" s="248"/>
      <c r="AY250" s="248"/>
      <c r="AZ250" s="248"/>
      <c r="BA250" s="248"/>
      <c r="BB250" s="248"/>
      <c r="BC250" s="248"/>
      <c r="BD250" s="248"/>
      <c r="BE250" s="248"/>
      <c r="BF250" s="248"/>
      <c r="BG250" s="248"/>
      <c r="BH250" s="249"/>
      <c r="BI250" s="248"/>
      <c r="BJ250" s="248"/>
      <c r="BK250" s="248"/>
      <c r="BL250" s="248"/>
      <c r="BM250" s="248"/>
      <c r="BN250" s="248"/>
      <c r="BO250"/>
      <c r="BP250"/>
      <c r="BQ250"/>
      <c r="BR250"/>
      <c r="BS250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</row>
    <row r="251" spans="1:85" ht="12.75" x14ac:dyDescent="0.2">
      <c r="A251" s="29">
        <v>44470</v>
      </c>
      <c r="B251" s="243">
        <v>6.6093277200084996E-2</v>
      </c>
      <c r="D251" s="260">
        <v>43405</v>
      </c>
      <c r="E251" s="9">
        <v>38.248931884765625</v>
      </c>
      <c r="F251" s="9">
        <v>39.748931884765625</v>
      </c>
      <c r="G251" s="9">
        <v>41.248931884765625</v>
      </c>
      <c r="H251" s="11"/>
      <c r="I251" s="9">
        <v>23.75</v>
      </c>
      <c r="J251" s="9">
        <v>24</v>
      </c>
      <c r="K251" s="9">
        <v>24.75</v>
      </c>
      <c r="L251" s="7"/>
      <c r="M251" s="249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  <c r="AH251" s="248"/>
      <c r="AI251" s="248"/>
      <c r="AJ251" s="248"/>
      <c r="AK251" s="248"/>
      <c r="AL251" s="248"/>
      <c r="AM251" s="248"/>
      <c r="AN251" s="248"/>
      <c r="AO251" s="248"/>
      <c r="AP251" s="248"/>
      <c r="AQ251" s="248"/>
      <c r="AR251" s="248"/>
      <c r="AS251" s="248"/>
      <c r="AT251" s="248"/>
      <c r="AU251" s="248"/>
      <c r="AV251" s="248"/>
      <c r="AW251" s="248"/>
      <c r="AX251" s="248"/>
      <c r="AY251" s="248"/>
      <c r="AZ251" s="248"/>
      <c r="BA251" s="248"/>
      <c r="BB251" s="248"/>
      <c r="BC251" s="248"/>
      <c r="BD251" s="248"/>
      <c r="BE251" s="248"/>
      <c r="BF251" s="248"/>
      <c r="BG251" s="248"/>
      <c r="BH251" s="249"/>
      <c r="BI251" s="248"/>
      <c r="BJ251" s="248"/>
      <c r="BK251" s="248"/>
      <c r="BL251" s="248"/>
      <c r="BM251" s="248"/>
      <c r="BN251" s="248"/>
      <c r="BO251"/>
      <c r="BP251"/>
      <c r="BQ251"/>
      <c r="BR251"/>
      <c r="BS251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</row>
    <row r="252" spans="1:85" ht="12.75" x14ac:dyDescent="0.2">
      <c r="A252" s="29">
        <v>44501</v>
      </c>
      <c r="B252" s="243">
        <v>6.6094247387124008E-2</v>
      </c>
      <c r="D252" s="260">
        <v>43435</v>
      </c>
      <c r="E252" s="9">
        <v>38.348930358886719</v>
      </c>
      <c r="F252" s="9">
        <v>39.848930358886719</v>
      </c>
      <c r="G252" s="9">
        <v>41.348930358886719</v>
      </c>
      <c r="H252" s="11"/>
      <c r="I252" s="9">
        <v>22.860000610351563</v>
      </c>
      <c r="J252" s="9">
        <v>23.110000610351563</v>
      </c>
      <c r="K252" s="9">
        <v>23.860000610351563</v>
      </c>
      <c r="L252" s="7"/>
      <c r="M252" s="249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8"/>
      <c r="AR252" s="248"/>
      <c r="AS252" s="248"/>
      <c r="AT252" s="248"/>
      <c r="AU252" s="248"/>
      <c r="AV252" s="248"/>
      <c r="AW252" s="248"/>
      <c r="AX252" s="248"/>
      <c r="AY252" s="248"/>
      <c r="AZ252" s="248"/>
      <c r="BA252" s="248"/>
      <c r="BB252" s="248"/>
      <c r="BC252" s="248"/>
      <c r="BD252" s="248"/>
      <c r="BE252" s="248"/>
      <c r="BF252" s="248"/>
      <c r="BG252" s="248"/>
      <c r="BH252" s="249"/>
      <c r="BI252" s="248"/>
      <c r="BJ252" s="248"/>
      <c r="BK252" s="248"/>
      <c r="BL252" s="248"/>
      <c r="BM252" s="248"/>
      <c r="BN252" s="248"/>
      <c r="BO252"/>
      <c r="BP252"/>
      <c r="BQ252"/>
      <c r="BR252"/>
      <c r="BS252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</row>
    <row r="253" spans="1:85" ht="12.75" x14ac:dyDescent="0.2">
      <c r="A253" s="29">
        <v>44531</v>
      </c>
      <c r="B253" s="243">
        <v>6.6095249913732015E-2</v>
      </c>
      <c r="D253" s="260">
        <v>43466</v>
      </c>
      <c r="E253" s="9">
        <v>47.537864685058594</v>
      </c>
      <c r="F253" s="9">
        <v>49.037864685058594</v>
      </c>
      <c r="G253" s="9">
        <v>50.537864685058594</v>
      </c>
      <c r="H253" s="11"/>
      <c r="I253" s="9">
        <v>27.75</v>
      </c>
      <c r="J253" s="9">
        <v>28</v>
      </c>
      <c r="K253" s="9">
        <v>28.75</v>
      </c>
      <c r="L253" s="7"/>
      <c r="M253" s="249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  <c r="AH253" s="248"/>
      <c r="AI253" s="248"/>
      <c r="AJ253" s="248"/>
      <c r="AK253" s="248"/>
      <c r="AL253" s="248"/>
      <c r="AM253" s="248"/>
      <c r="AN253" s="248"/>
      <c r="AO253" s="248"/>
      <c r="AP253" s="248"/>
      <c r="AQ253" s="248"/>
      <c r="AR253" s="248"/>
      <c r="AS253" s="248"/>
      <c r="AT253" s="248"/>
      <c r="AU253" s="248"/>
      <c r="AV253" s="248"/>
      <c r="AW253" s="248"/>
      <c r="AX253" s="248"/>
      <c r="AY253" s="248"/>
      <c r="AZ253" s="248"/>
      <c r="BA253" s="248"/>
      <c r="BB253" s="248"/>
      <c r="BC253" s="248"/>
      <c r="BD253" s="248"/>
      <c r="BE253" s="248"/>
      <c r="BF253" s="248"/>
      <c r="BG253" s="248"/>
      <c r="BH253" s="249"/>
      <c r="BI253" s="248"/>
      <c r="BJ253" s="248"/>
      <c r="BK253" s="248"/>
      <c r="BL253" s="248"/>
      <c r="BM253" s="248"/>
      <c r="BN253" s="248"/>
      <c r="BO253"/>
      <c r="BP253"/>
      <c r="BQ253"/>
      <c r="BR253"/>
      <c r="BS253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</row>
    <row r="254" spans="1:85" ht="12.75" x14ac:dyDescent="0.2">
      <c r="A254" s="29">
        <v>44562</v>
      </c>
      <c r="B254" s="243">
        <v>6.6096252440340009E-2</v>
      </c>
      <c r="D254" s="260">
        <v>43497</v>
      </c>
      <c r="E254" s="9">
        <v>47.187862396240234</v>
      </c>
      <c r="F254" s="9">
        <v>48.687862396240234</v>
      </c>
      <c r="G254" s="9">
        <v>50.187862396240234</v>
      </c>
      <c r="H254" s="11"/>
      <c r="I254" s="9">
        <v>26.25</v>
      </c>
      <c r="J254" s="9">
        <v>26.5</v>
      </c>
      <c r="K254" s="9">
        <v>27.25</v>
      </c>
      <c r="L254" s="7"/>
      <c r="M254" s="249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  <c r="AH254" s="248"/>
      <c r="AI254" s="248"/>
      <c r="AJ254" s="248"/>
      <c r="AK254" s="248"/>
      <c r="AL254" s="248"/>
      <c r="AM254" s="248"/>
      <c r="AN254" s="248"/>
      <c r="AO254" s="248"/>
      <c r="AP254" s="248"/>
      <c r="AQ254" s="248"/>
      <c r="AR254" s="248"/>
      <c r="AS254" s="248"/>
      <c r="AT254" s="248"/>
      <c r="AU254" s="248"/>
      <c r="AV254" s="248"/>
      <c r="AW254" s="248"/>
      <c r="AX254" s="248"/>
      <c r="AY254" s="248"/>
      <c r="AZ254" s="248"/>
      <c r="BA254" s="248"/>
      <c r="BB254" s="248"/>
      <c r="BC254" s="248"/>
      <c r="BD254" s="248"/>
      <c r="BE254" s="248"/>
      <c r="BF254" s="248"/>
      <c r="BG254" s="248"/>
      <c r="BH254" s="249"/>
      <c r="BI254" s="248"/>
      <c r="BJ254" s="248"/>
      <c r="BK254" s="248"/>
      <c r="BL254" s="248"/>
      <c r="BM254" s="248"/>
      <c r="BN254" s="248"/>
      <c r="BO254"/>
      <c r="BP254"/>
      <c r="BQ254"/>
      <c r="BR254"/>
      <c r="BS254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</row>
    <row r="255" spans="1:85" ht="12.75" x14ac:dyDescent="0.2">
      <c r="A255" s="29">
        <v>44593</v>
      </c>
      <c r="B255" s="243">
        <v>6.6097157948246013E-2</v>
      </c>
      <c r="D255" s="260">
        <v>43525</v>
      </c>
      <c r="E255" s="9">
        <v>38.398544311523438</v>
      </c>
      <c r="F255" s="9">
        <v>39.898544311523438</v>
      </c>
      <c r="G255" s="9">
        <v>41.398544311523438</v>
      </c>
      <c r="H255" s="11"/>
      <c r="I255" s="9">
        <v>27.25</v>
      </c>
      <c r="J255" s="9">
        <v>27.5</v>
      </c>
      <c r="K255" s="9">
        <v>28.25</v>
      </c>
      <c r="L255" s="7"/>
      <c r="M255" s="249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  <c r="AH255" s="248"/>
      <c r="AI255" s="248"/>
      <c r="AJ255" s="248"/>
      <c r="AK255" s="248"/>
      <c r="AL255" s="248"/>
      <c r="AM255" s="248"/>
      <c r="AN255" s="248"/>
      <c r="AO255" s="248"/>
      <c r="AP255" s="248"/>
      <c r="AQ255" s="248"/>
      <c r="AR255" s="248"/>
      <c r="AS255" s="248"/>
      <c r="AT255" s="248"/>
      <c r="AU255" s="248"/>
      <c r="AV255" s="248"/>
      <c r="AW255" s="248"/>
      <c r="AX255" s="248"/>
      <c r="AY255" s="248"/>
      <c r="AZ255" s="248"/>
      <c r="BA255" s="248"/>
      <c r="BB255" s="248"/>
      <c r="BC255" s="248"/>
      <c r="BD255" s="248"/>
      <c r="BE255" s="248"/>
      <c r="BF255" s="248"/>
      <c r="BG255" s="248"/>
      <c r="BH255" s="249"/>
      <c r="BI255" s="248"/>
      <c r="BJ255" s="248"/>
      <c r="BK255" s="248"/>
      <c r="BL255" s="248"/>
      <c r="BM255" s="248"/>
      <c r="BN255" s="248"/>
      <c r="BO255"/>
      <c r="BP255"/>
      <c r="BQ255"/>
      <c r="BR255"/>
      <c r="BS255"/>
      <c r="BT255" s="248"/>
      <c r="BU255" s="248"/>
      <c r="BV255" s="248"/>
      <c r="BW255" s="248"/>
      <c r="BX255" s="248"/>
      <c r="BY255" s="248"/>
      <c r="BZ255" s="248"/>
      <c r="CA255" s="248"/>
      <c r="CB255" s="248"/>
      <c r="CC255" s="248"/>
      <c r="CD255" s="248"/>
      <c r="CE255" s="248"/>
      <c r="CF255" s="248"/>
      <c r="CG255" s="248"/>
    </row>
    <row r="256" spans="1:85" ht="12.75" x14ac:dyDescent="0.2">
      <c r="A256" s="29">
        <v>44621</v>
      </c>
      <c r="B256" s="243">
        <v>6.6098160474855006E-2</v>
      </c>
      <c r="D256" s="260">
        <v>43556</v>
      </c>
      <c r="E256" s="9">
        <v>38.848545074462891</v>
      </c>
      <c r="F256" s="9">
        <v>40.348545074462891</v>
      </c>
      <c r="G256" s="9">
        <v>41.848545074462891</v>
      </c>
      <c r="H256" s="11"/>
      <c r="I256" s="9">
        <v>25.25</v>
      </c>
      <c r="J256" s="9">
        <v>25.5</v>
      </c>
      <c r="K256" s="9">
        <v>26.25</v>
      </c>
      <c r="L256" s="7"/>
      <c r="M256" s="249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  <c r="AH256" s="248"/>
      <c r="AI256" s="248"/>
      <c r="AJ256" s="248"/>
      <c r="AK256" s="248"/>
      <c r="AL256" s="248"/>
      <c r="AM256" s="248"/>
      <c r="AN256" s="248"/>
      <c r="AO256" s="248"/>
      <c r="AP256" s="248"/>
      <c r="AQ256" s="248"/>
      <c r="AR256" s="248"/>
      <c r="AS256" s="248"/>
      <c r="AT256" s="248"/>
      <c r="AU256" s="248"/>
      <c r="AV256" s="248"/>
      <c r="AW256" s="248"/>
      <c r="AX256" s="248"/>
      <c r="AY256" s="248"/>
      <c r="AZ256" s="248"/>
      <c r="BA256" s="248"/>
      <c r="BB256" s="248"/>
      <c r="BC256" s="248"/>
      <c r="BD256" s="248"/>
      <c r="BE256" s="248"/>
      <c r="BF256" s="248"/>
      <c r="BG256" s="248"/>
      <c r="BH256" s="249"/>
      <c r="BI256" s="248"/>
      <c r="BJ256" s="248"/>
      <c r="BK256" s="248"/>
      <c r="BL256" s="248"/>
      <c r="BM256" s="248"/>
      <c r="BN256" s="248"/>
      <c r="BO256"/>
      <c r="BP256"/>
      <c r="BQ256"/>
      <c r="BR256"/>
      <c r="BS256"/>
      <c r="BT256" s="248"/>
      <c r="BU256" s="248"/>
      <c r="BV256" s="248"/>
      <c r="BW256" s="248"/>
      <c r="BX256" s="248"/>
      <c r="BY256" s="248"/>
      <c r="BZ256" s="248"/>
      <c r="CA256" s="248"/>
      <c r="CB256" s="248"/>
      <c r="CC256" s="248"/>
      <c r="CD256" s="248"/>
      <c r="CE256" s="248"/>
      <c r="CF256" s="248"/>
      <c r="CG256" s="248"/>
    </row>
    <row r="257" spans="1:85" ht="12.75" x14ac:dyDescent="0.2">
      <c r="A257" s="29">
        <v>44652</v>
      </c>
      <c r="B257" s="243">
        <v>6.6099130661896002E-2</v>
      </c>
      <c r="D257" s="260">
        <v>43586</v>
      </c>
      <c r="E257" s="9">
        <v>39.503566741943359</v>
      </c>
      <c r="F257" s="9">
        <v>42.003566741943359</v>
      </c>
      <c r="G257" s="9">
        <v>44.503566741943359</v>
      </c>
      <c r="H257" s="11"/>
      <c r="I257" s="9">
        <v>27.25</v>
      </c>
      <c r="J257" s="9">
        <v>27.5</v>
      </c>
      <c r="K257" s="9">
        <v>28.25</v>
      </c>
      <c r="L257" s="7"/>
      <c r="M257" s="249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  <c r="AH257" s="248"/>
      <c r="AI257" s="248"/>
      <c r="AJ257" s="248"/>
      <c r="AK257" s="248"/>
      <c r="AL257" s="248"/>
      <c r="AM257" s="248"/>
      <c r="AN257" s="248"/>
      <c r="AO257" s="248"/>
      <c r="AP257" s="248"/>
      <c r="AQ257" s="248"/>
      <c r="AR257" s="248"/>
      <c r="AS257" s="248"/>
      <c r="AT257" s="248"/>
      <c r="AU257" s="248"/>
      <c r="AV257" s="248"/>
      <c r="AW257" s="248"/>
      <c r="AX257" s="248"/>
      <c r="AY257" s="248"/>
      <c r="AZ257" s="248"/>
      <c r="BA257" s="248"/>
      <c r="BB257" s="248"/>
      <c r="BC257" s="248"/>
      <c r="BD257" s="248"/>
      <c r="BE257" s="248"/>
      <c r="BF257" s="248"/>
      <c r="BG257" s="248"/>
      <c r="BH257" s="249"/>
      <c r="BI257" s="248"/>
      <c r="BJ257" s="248"/>
      <c r="BK257" s="248"/>
      <c r="BL257" s="248"/>
      <c r="BM257" s="248"/>
      <c r="BN257" s="248"/>
      <c r="BO257"/>
      <c r="BP257"/>
      <c r="BQ257"/>
      <c r="BR257"/>
      <c r="BS257"/>
      <c r="BT257" s="248"/>
      <c r="BU257" s="248"/>
      <c r="BV257" s="248"/>
      <c r="BW257" s="248"/>
      <c r="BX257" s="248"/>
      <c r="BY257" s="248"/>
      <c r="BZ257" s="248"/>
      <c r="CA257" s="248"/>
      <c r="CB257" s="248"/>
      <c r="CC257" s="248"/>
      <c r="CD257" s="248"/>
      <c r="CE257" s="248"/>
      <c r="CF257" s="248"/>
      <c r="CG257" s="248"/>
    </row>
    <row r="258" spans="1:85" ht="12.75" x14ac:dyDescent="0.2">
      <c r="A258" s="29">
        <v>44682</v>
      </c>
      <c r="B258" s="243">
        <v>6.6100133188506008E-2</v>
      </c>
      <c r="D258" s="260">
        <v>43617</v>
      </c>
      <c r="E258" s="9">
        <v>49.997856140136719</v>
      </c>
      <c r="F258" s="9">
        <v>54.997856140136719</v>
      </c>
      <c r="G258" s="9">
        <v>59.997856140136719</v>
      </c>
      <c r="H258" s="11"/>
      <c r="I258" s="9">
        <v>30.25</v>
      </c>
      <c r="J258" s="9">
        <v>30.5</v>
      </c>
      <c r="K258" s="9">
        <v>31.25</v>
      </c>
      <c r="L258" s="7"/>
      <c r="M258" s="249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  <c r="AH258" s="248"/>
      <c r="AI258" s="248"/>
      <c r="AJ258" s="248"/>
      <c r="AK258" s="248"/>
      <c r="AL258" s="248"/>
      <c r="AM258" s="248"/>
      <c r="AN258" s="248"/>
      <c r="AO258" s="248"/>
      <c r="AP258" s="248"/>
      <c r="AQ258" s="248"/>
      <c r="AR258" s="248"/>
      <c r="AS258" s="248"/>
      <c r="AT258" s="248"/>
      <c r="AU258" s="248"/>
      <c r="AV258" s="248"/>
      <c r="AW258" s="248"/>
      <c r="AX258" s="248"/>
      <c r="AY258" s="248"/>
      <c r="AZ258" s="248"/>
      <c r="BA258" s="248"/>
      <c r="BB258" s="248"/>
      <c r="BC258" s="248"/>
      <c r="BD258" s="248"/>
      <c r="BE258" s="248"/>
      <c r="BF258" s="248"/>
      <c r="BG258" s="248"/>
      <c r="BH258" s="249"/>
      <c r="BI258" s="248"/>
      <c r="BJ258" s="248"/>
      <c r="BK258" s="248"/>
      <c r="BL258" s="248"/>
      <c r="BM258" s="248"/>
      <c r="BN258" s="248"/>
      <c r="BO258"/>
      <c r="BP258"/>
      <c r="BQ258"/>
      <c r="BR258"/>
      <c r="BS258"/>
      <c r="BT258" s="248"/>
      <c r="BU258" s="248"/>
      <c r="BV258" s="248"/>
      <c r="BW258" s="248"/>
      <c r="BX258" s="248"/>
      <c r="BY258" s="248"/>
      <c r="BZ258" s="248"/>
      <c r="CA258" s="248"/>
      <c r="CB258" s="248"/>
      <c r="CC258" s="248"/>
      <c r="CD258" s="248"/>
      <c r="CE258" s="248"/>
      <c r="CF258" s="248"/>
      <c r="CG258" s="248"/>
    </row>
    <row r="259" spans="1:85" ht="12.75" x14ac:dyDescent="0.2">
      <c r="A259" s="29">
        <v>44713</v>
      </c>
      <c r="B259" s="243">
        <v>6.6101103375548004E-2</v>
      </c>
      <c r="D259" s="260">
        <v>43647</v>
      </c>
      <c r="E259" s="9">
        <v>79.997146606445313</v>
      </c>
      <c r="F259" s="9">
        <v>89.997146606445313</v>
      </c>
      <c r="G259" s="9">
        <v>99.997146606445312</v>
      </c>
      <c r="H259" s="11"/>
      <c r="I259" s="9">
        <v>30.75</v>
      </c>
      <c r="J259" s="9">
        <v>31</v>
      </c>
      <c r="K259" s="9">
        <v>31.75</v>
      </c>
      <c r="L259" s="7"/>
      <c r="M259" s="249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  <c r="AH259" s="248"/>
      <c r="AI259" s="248"/>
      <c r="AJ259" s="248"/>
      <c r="AK259" s="248"/>
      <c r="AL259" s="248"/>
      <c r="AM259" s="248"/>
      <c r="AN259" s="248"/>
      <c r="AO259" s="248"/>
      <c r="AP259" s="248"/>
      <c r="AQ259" s="248"/>
      <c r="AR259" s="248"/>
      <c r="AS259" s="248"/>
      <c r="AT259" s="248"/>
      <c r="AU259" s="248"/>
      <c r="AV259" s="248"/>
      <c r="AW259" s="248"/>
      <c r="AX259" s="248"/>
      <c r="AY259" s="248"/>
      <c r="AZ259" s="248"/>
      <c r="BA259" s="248"/>
      <c r="BB259" s="248"/>
      <c r="BC259" s="248"/>
      <c r="BD259" s="248"/>
      <c r="BE259" s="248"/>
      <c r="BF259" s="248"/>
      <c r="BG259" s="248"/>
      <c r="BH259" s="249"/>
      <c r="BI259" s="248"/>
      <c r="BJ259" s="248"/>
      <c r="BK259" s="248"/>
      <c r="BL259" s="248"/>
      <c r="BM259" s="248"/>
      <c r="BN259" s="248"/>
      <c r="BO259"/>
      <c r="BP259"/>
      <c r="BQ259"/>
      <c r="BR259"/>
      <c r="BS259"/>
      <c r="BT259" s="248"/>
      <c r="BU259" s="248"/>
      <c r="BV259" s="248"/>
      <c r="BW259" s="248"/>
      <c r="BX259" s="248"/>
      <c r="BY259" s="248"/>
      <c r="BZ259" s="248"/>
      <c r="CA259" s="248"/>
      <c r="CB259" s="248"/>
      <c r="CC259" s="248"/>
      <c r="CD259" s="248"/>
      <c r="CE259" s="248"/>
      <c r="CF259" s="248"/>
      <c r="CG259" s="248"/>
    </row>
    <row r="260" spans="1:85" ht="12.75" x14ac:dyDescent="0.2">
      <c r="A260" s="29">
        <v>44743</v>
      </c>
      <c r="B260" s="243">
        <v>6.6102105902158009E-2</v>
      </c>
      <c r="D260" s="260">
        <v>43678</v>
      </c>
      <c r="E260" s="9">
        <v>79.997146606445313</v>
      </c>
      <c r="F260" s="9">
        <v>89.997146606445313</v>
      </c>
      <c r="G260" s="9">
        <v>99.997146606445312</v>
      </c>
      <c r="H260" s="11"/>
      <c r="I260" s="9">
        <v>31.75</v>
      </c>
      <c r="J260" s="9">
        <v>32</v>
      </c>
      <c r="K260" s="9">
        <v>32.75</v>
      </c>
      <c r="L260" s="7"/>
      <c r="M260" s="249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  <c r="AH260" s="248"/>
      <c r="AI260" s="248"/>
      <c r="AJ260" s="248"/>
      <c r="AK260" s="248"/>
      <c r="AL260" s="248"/>
      <c r="AM260" s="248"/>
      <c r="AN260" s="248"/>
      <c r="AO260" s="248"/>
      <c r="AP260" s="248"/>
      <c r="AQ260" s="248"/>
      <c r="AR260" s="248"/>
      <c r="AS260" s="248"/>
      <c r="AT260" s="248"/>
      <c r="AU260" s="248"/>
      <c r="AV260" s="248"/>
      <c r="AW260" s="248"/>
      <c r="AX260" s="248"/>
      <c r="AY260" s="248"/>
      <c r="AZ260" s="248"/>
      <c r="BA260" s="248"/>
      <c r="BB260" s="248"/>
      <c r="BC260" s="248"/>
      <c r="BD260" s="248"/>
      <c r="BE260" s="248"/>
      <c r="BF260" s="248"/>
      <c r="BG260" s="248"/>
      <c r="BH260" s="249"/>
      <c r="BI260" s="248"/>
      <c r="BJ260" s="248"/>
      <c r="BK260" s="248"/>
      <c r="BL260" s="248"/>
      <c r="BM260" s="248"/>
      <c r="BN260" s="248"/>
      <c r="BO260"/>
      <c r="BP260"/>
      <c r="BQ260"/>
      <c r="BR260"/>
      <c r="BS260"/>
      <c r="BT260" s="248"/>
      <c r="BU260" s="248"/>
      <c r="BV260" s="248"/>
      <c r="BW260" s="248"/>
      <c r="BX260" s="248"/>
      <c r="BY260" s="248"/>
      <c r="BZ260" s="248"/>
      <c r="CA260" s="248"/>
      <c r="CB260" s="248"/>
      <c r="CC260" s="248"/>
      <c r="CD260" s="248"/>
      <c r="CE260" s="248"/>
      <c r="CF260" s="248"/>
      <c r="CG260" s="248"/>
    </row>
    <row r="261" spans="1:85" ht="12.75" x14ac:dyDescent="0.2">
      <c r="A261" s="29">
        <v>44774</v>
      </c>
      <c r="B261" s="243">
        <v>6.6103108428769014E-2</v>
      </c>
      <c r="D261" s="260">
        <v>43709</v>
      </c>
      <c r="E261" s="9">
        <v>40.752143859863281</v>
      </c>
      <c r="F261" s="9">
        <v>42.252143859863281</v>
      </c>
      <c r="G261" s="9">
        <v>43.752143859863281</v>
      </c>
      <c r="H261" s="11"/>
      <c r="I261" s="9">
        <v>24.75</v>
      </c>
      <c r="J261" s="9">
        <v>25</v>
      </c>
      <c r="K261" s="9">
        <v>25.75</v>
      </c>
      <c r="L261" s="7"/>
      <c r="M261" s="249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  <c r="AH261" s="248"/>
      <c r="AI261" s="248"/>
      <c r="AJ261" s="248"/>
      <c r="AK261" s="248"/>
      <c r="AL261" s="248"/>
      <c r="AM261" s="248"/>
      <c r="AN261" s="248"/>
      <c r="AO261" s="248"/>
      <c r="AP261" s="248"/>
      <c r="AQ261" s="248"/>
      <c r="AR261" s="248"/>
      <c r="AS261" s="248"/>
      <c r="AT261" s="248"/>
      <c r="AU261" s="248"/>
      <c r="AV261" s="248"/>
      <c r="AW261" s="248"/>
      <c r="AX261" s="248"/>
      <c r="AY261" s="248"/>
      <c r="AZ261" s="248"/>
      <c r="BA261" s="248"/>
      <c r="BB261" s="248"/>
      <c r="BC261" s="248"/>
      <c r="BD261" s="248"/>
      <c r="BE261" s="248"/>
      <c r="BF261" s="248"/>
      <c r="BG261" s="248"/>
      <c r="BH261" s="249"/>
      <c r="BI261" s="248"/>
      <c r="BJ261" s="248"/>
      <c r="BK261" s="248"/>
      <c r="BL261" s="248"/>
      <c r="BM261" s="248"/>
      <c r="BN261" s="248"/>
      <c r="BO261"/>
      <c r="BP261"/>
      <c r="BQ261"/>
      <c r="BR261"/>
      <c r="BS261"/>
      <c r="BT261" s="248"/>
      <c r="BU261" s="248"/>
      <c r="BV261" s="248"/>
      <c r="BW261" s="248"/>
      <c r="BX261" s="248"/>
      <c r="BY261" s="248"/>
      <c r="BZ261" s="248"/>
      <c r="CA261" s="248"/>
      <c r="CB261" s="248"/>
      <c r="CC261" s="248"/>
      <c r="CD261" s="248"/>
      <c r="CE261" s="248"/>
      <c r="CF261" s="248"/>
      <c r="CG261" s="248"/>
    </row>
    <row r="262" spans="1:85" ht="12.75" x14ac:dyDescent="0.2">
      <c r="B262" s="243">
        <v>6.6104078615812009E-2</v>
      </c>
      <c r="D262" s="248"/>
      <c r="E262" s="248"/>
      <c r="F262" s="248"/>
      <c r="G262" s="248"/>
      <c r="H262" s="248"/>
      <c r="I262" s="248"/>
      <c r="J262" s="248"/>
      <c r="K262" s="248"/>
      <c r="L262" s="248"/>
      <c r="M262" s="249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  <c r="AH262" s="248"/>
      <c r="AI262" s="248"/>
      <c r="AJ262" s="248"/>
      <c r="AK262" s="248"/>
      <c r="AL262" s="248"/>
      <c r="AM262" s="248"/>
      <c r="AN262" s="248"/>
      <c r="AO262" s="248"/>
      <c r="AP262" s="248"/>
      <c r="AQ262" s="248"/>
      <c r="AR262" s="248"/>
      <c r="AS262" s="248"/>
      <c r="AT262" s="248"/>
      <c r="AU262" s="248"/>
      <c r="AV262" s="248"/>
      <c r="AW262" s="248"/>
      <c r="AX262" s="248"/>
      <c r="AY262" s="248"/>
      <c r="AZ262" s="248"/>
      <c r="BA262" s="248"/>
      <c r="BB262" s="248"/>
      <c r="BC262" s="248"/>
      <c r="BD262" s="248"/>
      <c r="BE262" s="248"/>
      <c r="BF262" s="248"/>
      <c r="BG262" s="248"/>
      <c r="BH262" s="249"/>
      <c r="BI262" s="248"/>
      <c r="BJ262" s="248"/>
      <c r="BK262" s="248"/>
      <c r="BL262" s="248"/>
      <c r="BM262" s="248"/>
      <c r="BN262" s="248"/>
      <c r="BO262"/>
      <c r="BP262"/>
      <c r="BQ262"/>
      <c r="BR262"/>
      <c r="BS262"/>
      <c r="BT262" s="248"/>
      <c r="BU262" s="248"/>
      <c r="BV262" s="248"/>
      <c r="BW262" s="248"/>
      <c r="BX262" s="248"/>
      <c r="BY262" s="248"/>
      <c r="BZ262" s="248"/>
      <c r="CA262" s="248"/>
      <c r="CB262" s="248"/>
      <c r="CC262" s="248"/>
      <c r="CD262" s="248"/>
      <c r="CE262" s="248"/>
      <c r="CF262" s="248"/>
      <c r="CG262" s="248"/>
    </row>
    <row r="263" spans="1:85" ht="12.75" x14ac:dyDescent="0.2">
      <c r="B263" s="243">
        <v>6.6105081142423999E-2</v>
      </c>
      <c r="D263" s="248"/>
      <c r="E263" s="248"/>
      <c r="F263" s="248"/>
      <c r="G263" s="248"/>
      <c r="H263" s="248"/>
      <c r="I263" s="248"/>
      <c r="J263" s="248"/>
      <c r="K263" s="248"/>
      <c r="L263" s="248"/>
      <c r="M263" s="249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  <c r="AH263" s="248"/>
      <c r="AI263" s="248"/>
      <c r="AJ263" s="248"/>
      <c r="AK263" s="248"/>
      <c r="AL263" s="248"/>
      <c r="AM263" s="248"/>
      <c r="AN263" s="248"/>
      <c r="AO263" s="248"/>
      <c r="AP263" s="248"/>
      <c r="AQ263" s="248"/>
      <c r="AR263" s="248"/>
      <c r="AS263" s="248"/>
      <c r="AT263" s="248"/>
      <c r="AU263" s="248"/>
      <c r="AV263" s="248"/>
      <c r="AW263" s="248"/>
      <c r="AX263" s="248"/>
      <c r="AY263" s="248"/>
      <c r="AZ263" s="248"/>
      <c r="BA263" s="248"/>
      <c r="BB263" s="248"/>
      <c r="BC263" s="248"/>
      <c r="BD263" s="248"/>
      <c r="BE263" s="248"/>
      <c r="BF263" s="248"/>
      <c r="BG263" s="248"/>
      <c r="BH263" s="249"/>
      <c r="BI263" s="248"/>
      <c r="BJ263" s="248"/>
      <c r="BK263" s="248"/>
      <c r="BL263" s="248"/>
      <c r="BM263" s="248"/>
      <c r="BN263" s="248"/>
      <c r="BO263"/>
      <c r="BP263"/>
      <c r="BQ263"/>
      <c r="BR263"/>
      <c r="BS263"/>
      <c r="BT263" s="248"/>
      <c r="BU263" s="248"/>
      <c r="BV263" s="248"/>
      <c r="BW263" s="248"/>
      <c r="BX263" s="248"/>
      <c r="BY263" s="248"/>
      <c r="BZ263" s="248"/>
      <c r="CA263" s="248"/>
      <c r="CB263" s="248"/>
      <c r="CC263" s="248"/>
      <c r="CD263" s="248"/>
      <c r="CE263" s="248"/>
      <c r="CF263" s="248"/>
      <c r="CG263" s="248"/>
    </row>
    <row r="264" spans="1:85" ht="12.75" x14ac:dyDescent="0.2">
      <c r="B264" s="243">
        <v>6.6106051329466994E-2</v>
      </c>
      <c r="D264" s="248"/>
      <c r="E264" s="248"/>
      <c r="F264" s="248"/>
      <c r="G264" s="248"/>
      <c r="H264" s="248"/>
      <c r="I264" s="248"/>
      <c r="J264" s="248"/>
      <c r="K264" s="248"/>
      <c r="L264" s="248"/>
      <c r="M264" s="249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  <c r="AH264" s="248"/>
      <c r="AI264" s="248"/>
      <c r="AJ264" s="248"/>
      <c r="AK264" s="248"/>
      <c r="AL264" s="248"/>
      <c r="AM264" s="248"/>
      <c r="AN264" s="248"/>
      <c r="AO264" s="248"/>
      <c r="AP264" s="248"/>
      <c r="AQ264" s="248"/>
      <c r="AR264" s="248"/>
      <c r="AS264" s="248"/>
      <c r="AT264" s="248"/>
      <c r="AU264" s="248"/>
      <c r="AV264" s="248"/>
      <c r="AW264" s="248"/>
      <c r="AX264" s="248"/>
      <c r="AY264" s="248"/>
      <c r="AZ264" s="248"/>
      <c r="BA264" s="248"/>
      <c r="BB264" s="248"/>
      <c r="BC264" s="248"/>
      <c r="BD264" s="248"/>
      <c r="BE264" s="248"/>
      <c r="BF264" s="248"/>
      <c r="BG264" s="248"/>
      <c r="BH264" s="249"/>
      <c r="BI264" s="248"/>
      <c r="BJ264" s="248"/>
      <c r="BK264" s="248"/>
      <c r="BL264" s="248"/>
      <c r="BM264" s="248"/>
      <c r="BN264" s="248"/>
      <c r="BO264"/>
      <c r="BP264"/>
      <c r="BQ264"/>
      <c r="BR264"/>
      <c r="BS264"/>
      <c r="BT264" s="248"/>
      <c r="BU264" s="248"/>
      <c r="BV264" s="248"/>
      <c r="BW264" s="248"/>
      <c r="BX264" s="248"/>
      <c r="BY264" s="248"/>
      <c r="BZ264" s="248"/>
      <c r="CA264" s="248"/>
      <c r="CB264" s="248"/>
      <c r="CC264" s="248"/>
      <c r="CD264" s="248"/>
      <c r="CE264" s="248"/>
      <c r="CF264" s="248"/>
      <c r="CG264" s="248"/>
    </row>
    <row r="265" spans="1:85" ht="12.75" x14ac:dyDescent="0.2">
      <c r="B265" s="243">
        <v>6.6107053856079012E-2</v>
      </c>
      <c r="D265" s="248"/>
      <c r="E265" s="248"/>
      <c r="F265" s="248"/>
      <c r="G265" s="248"/>
      <c r="H265" s="248"/>
      <c r="I265" s="248"/>
      <c r="J265" s="248"/>
      <c r="K265" s="248"/>
      <c r="L265" s="248"/>
      <c r="M265" s="249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  <c r="AH265" s="248"/>
      <c r="AI265" s="248"/>
      <c r="AJ265" s="248"/>
      <c r="AK265" s="248"/>
      <c r="AL265" s="248"/>
      <c r="AM265" s="248"/>
      <c r="AN265" s="248"/>
      <c r="AO265" s="248"/>
      <c r="AP265" s="248"/>
      <c r="AQ265" s="248"/>
      <c r="AR265" s="248"/>
      <c r="AS265" s="248"/>
      <c r="AT265" s="248"/>
      <c r="AU265" s="248"/>
      <c r="AV265" s="248"/>
      <c r="AW265" s="248"/>
      <c r="AX265" s="248"/>
      <c r="AY265" s="248"/>
      <c r="AZ265" s="248"/>
      <c r="BA265" s="248"/>
      <c r="BB265" s="248"/>
      <c r="BC265" s="248"/>
      <c r="BD265" s="248"/>
      <c r="BE265" s="248"/>
      <c r="BF265" s="248"/>
      <c r="BG265" s="248"/>
      <c r="BH265" s="249"/>
      <c r="BI265" s="248"/>
      <c r="BJ265" s="248"/>
      <c r="BK265" s="248"/>
      <c r="BL265" s="248"/>
      <c r="BM265" s="248"/>
      <c r="BN265" s="248"/>
      <c r="BO265"/>
      <c r="BP265"/>
      <c r="BQ265"/>
      <c r="BR265"/>
      <c r="BS265"/>
      <c r="BT265" s="248"/>
      <c r="BU265" s="248"/>
      <c r="BV265" s="248"/>
      <c r="BW265" s="248"/>
      <c r="BX265" s="248"/>
      <c r="BY265" s="248"/>
      <c r="BZ265" s="248"/>
      <c r="CA265" s="248"/>
      <c r="CB265" s="248"/>
      <c r="CC265" s="248"/>
      <c r="CD265" s="248"/>
      <c r="CE265" s="248"/>
      <c r="CF265" s="248"/>
      <c r="CG265" s="248"/>
    </row>
    <row r="266" spans="1:85" ht="12.75" x14ac:dyDescent="0.2">
      <c r="B266" s="243">
        <v>6.6108056382692015E-2</v>
      </c>
      <c r="D266" s="248"/>
      <c r="E266" s="248"/>
      <c r="F266" s="248"/>
      <c r="G266" s="248"/>
      <c r="H266" s="248"/>
      <c r="I266" s="248"/>
      <c r="J266" s="248"/>
      <c r="K266" s="248"/>
      <c r="L266" s="248"/>
      <c r="M266" s="249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  <c r="AH266" s="248"/>
      <c r="AI266" s="248"/>
      <c r="AJ266" s="248"/>
      <c r="AK266" s="248"/>
      <c r="AL266" s="248"/>
      <c r="AM266" s="248"/>
      <c r="AN266" s="248"/>
      <c r="AO266" s="248"/>
      <c r="AP266" s="248"/>
      <c r="AQ266" s="248"/>
      <c r="AR266" s="248"/>
      <c r="AS266" s="248"/>
      <c r="AT266" s="248"/>
      <c r="AU266" s="248"/>
      <c r="AV266" s="248"/>
      <c r="AW266" s="248"/>
      <c r="AX266" s="248"/>
      <c r="AY266" s="248"/>
      <c r="AZ266" s="248"/>
      <c r="BA266" s="248"/>
      <c r="BB266" s="248"/>
      <c r="BC266" s="248"/>
      <c r="BD266" s="248"/>
      <c r="BE266" s="248"/>
      <c r="BF266" s="248"/>
      <c r="BG266" s="248"/>
      <c r="BH266" s="249"/>
      <c r="BI266" s="248"/>
      <c r="BJ266" s="248"/>
      <c r="BK266" s="248"/>
      <c r="BL266" s="248"/>
      <c r="BM266" s="248"/>
      <c r="BN266" s="248"/>
      <c r="BO266"/>
      <c r="BP266"/>
      <c r="BQ266"/>
      <c r="BR266"/>
      <c r="BS266"/>
      <c r="BT266" s="248"/>
      <c r="BU266" s="248"/>
      <c r="BV266" s="248"/>
      <c r="BW266" s="248"/>
      <c r="BX266" s="248"/>
      <c r="BY266" s="248"/>
      <c r="BZ266" s="248"/>
      <c r="CA266" s="248"/>
      <c r="CB266" s="248"/>
      <c r="CC266" s="248"/>
      <c r="CD266" s="248"/>
      <c r="CE266" s="248"/>
      <c r="CF266" s="248"/>
      <c r="CG266" s="248"/>
    </row>
    <row r="267" spans="1:85" ht="12.75" x14ac:dyDescent="0.2">
      <c r="B267" s="243">
        <v>6.6108961890600018E-2</v>
      </c>
      <c r="D267" s="248"/>
      <c r="E267" s="248"/>
      <c r="F267" s="248"/>
      <c r="G267" s="248"/>
      <c r="H267" s="248"/>
      <c r="I267" s="248"/>
      <c r="J267" s="248"/>
      <c r="K267" s="248"/>
      <c r="L267" s="248"/>
      <c r="M267" s="249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  <c r="AH267" s="248"/>
      <c r="AI267" s="248"/>
      <c r="AJ267" s="248"/>
      <c r="AK267" s="248"/>
      <c r="AL267" s="248"/>
      <c r="AM267" s="248"/>
      <c r="AN267" s="248"/>
      <c r="AO267" s="248"/>
      <c r="AP267" s="248"/>
      <c r="AQ267" s="248"/>
      <c r="AR267" s="248"/>
      <c r="AS267" s="248"/>
      <c r="AT267" s="248"/>
      <c r="AU267" s="248"/>
      <c r="AV267" s="248"/>
      <c r="AW267" s="248"/>
      <c r="AX267" s="248"/>
      <c r="AY267" s="248"/>
      <c r="AZ267" s="248"/>
      <c r="BA267" s="248"/>
      <c r="BB267" s="248"/>
      <c r="BC267" s="248"/>
      <c r="BD267" s="248"/>
      <c r="BE267" s="248"/>
      <c r="BF267" s="248"/>
      <c r="BG267" s="248"/>
      <c r="BH267" s="249"/>
      <c r="BI267" s="248"/>
      <c r="BJ267" s="248"/>
      <c r="BK267" s="248"/>
      <c r="BL267" s="248"/>
      <c r="BM267" s="248"/>
      <c r="BN267" s="248"/>
      <c r="BO267"/>
      <c r="BP267"/>
      <c r="BQ267"/>
      <c r="BR267"/>
      <c r="BS267"/>
      <c r="BT267" s="248"/>
      <c r="BU267" s="248"/>
      <c r="BV267" s="248"/>
      <c r="BW267" s="248"/>
      <c r="BX267" s="248"/>
      <c r="BY267" s="248"/>
      <c r="BZ267" s="248"/>
      <c r="CA267" s="248"/>
      <c r="CB267" s="248"/>
      <c r="CC267" s="248"/>
      <c r="CD267" s="248"/>
      <c r="CE267" s="248"/>
      <c r="CF267" s="248"/>
      <c r="CG267" s="248"/>
    </row>
    <row r="268" spans="1:85" ht="12.75" x14ac:dyDescent="0.2">
      <c r="B268" s="243">
        <v>6.6109964417212994E-2</v>
      </c>
      <c r="D268" s="248"/>
      <c r="E268" s="248"/>
      <c r="F268" s="248"/>
      <c r="G268" s="248"/>
      <c r="H268" s="248"/>
      <c r="I268" s="248"/>
      <c r="J268" s="248"/>
      <c r="K268" s="248"/>
      <c r="L268" s="248"/>
      <c r="M268" s="249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  <c r="AH268" s="248"/>
      <c r="AI268" s="248"/>
      <c r="AJ268" s="248"/>
      <c r="AK268" s="248"/>
      <c r="AL268" s="248"/>
      <c r="AM268" s="248"/>
      <c r="AN268" s="248"/>
      <c r="AO268" s="248"/>
      <c r="AP268" s="248"/>
      <c r="AQ268" s="248"/>
      <c r="AR268" s="248"/>
      <c r="AS268" s="248"/>
      <c r="AT268" s="248"/>
      <c r="AU268" s="248"/>
      <c r="AV268" s="248"/>
      <c r="AW268" s="248"/>
      <c r="AX268" s="248"/>
      <c r="AY268" s="248"/>
      <c r="AZ268" s="248"/>
      <c r="BA268" s="248"/>
      <c r="BB268" s="248"/>
      <c r="BC268" s="248"/>
      <c r="BD268" s="248"/>
      <c r="BE268" s="248"/>
      <c r="BF268" s="248"/>
      <c r="BG268" s="248"/>
      <c r="BH268" s="249"/>
      <c r="BI268" s="248"/>
      <c r="BJ268" s="248"/>
      <c r="BK268" s="248"/>
      <c r="BL268" s="248"/>
      <c r="BM268" s="248"/>
      <c r="BN268" s="248"/>
      <c r="BO268"/>
      <c r="BP268"/>
      <c r="BQ268"/>
      <c r="BR268"/>
      <c r="BS268"/>
      <c r="BT268" s="248"/>
      <c r="BU268" s="248"/>
      <c r="BV268" s="248"/>
      <c r="BW268" s="248"/>
      <c r="BX268" s="248"/>
      <c r="BY268" s="248"/>
      <c r="BZ268" s="248"/>
      <c r="CA268" s="248"/>
      <c r="CB268" s="248"/>
      <c r="CC268" s="248"/>
      <c r="CD268" s="248"/>
      <c r="CE268" s="248"/>
      <c r="CF268" s="248"/>
      <c r="CG268" s="248"/>
    </row>
    <row r="269" spans="1:85" ht="12.75" x14ac:dyDescent="0.2">
      <c r="B269" s="243">
        <v>6.6110934604258015E-2</v>
      </c>
      <c r="D269" s="248"/>
      <c r="E269" s="248"/>
      <c r="F269" s="248"/>
      <c r="G269" s="248"/>
      <c r="H269" s="248"/>
      <c r="I269" s="248"/>
      <c r="J269" s="248"/>
      <c r="K269" s="248"/>
      <c r="L269" s="248"/>
      <c r="M269" s="249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  <c r="AH269" s="248"/>
      <c r="AI269" s="248"/>
      <c r="AJ269" s="248"/>
      <c r="AK269" s="248"/>
      <c r="AL269" s="248"/>
      <c r="AM269" s="248"/>
      <c r="AN269" s="248"/>
      <c r="AO269" s="248"/>
      <c r="AP269" s="248"/>
      <c r="AQ269" s="248"/>
      <c r="AR269" s="248"/>
      <c r="AS269" s="248"/>
      <c r="AT269" s="248"/>
      <c r="AU269" s="248"/>
      <c r="AV269" s="248"/>
      <c r="AW269" s="248"/>
      <c r="AX269" s="248"/>
      <c r="AY269" s="248"/>
      <c r="AZ269" s="248"/>
      <c r="BA269" s="248"/>
      <c r="BB269" s="248"/>
      <c r="BC269" s="248"/>
      <c r="BD269" s="248"/>
      <c r="BE269" s="248"/>
      <c r="BF269" s="248"/>
      <c r="BG269" s="248"/>
      <c r="BH269" s="249"/>
      <c r="BI269" s="248"/>
      <c r="BJ269" s="248"/>
      <c r="BK269" s="248"/>
      <c r="BL269" s="248"/>
      <c r="BM269" s="248"/>
      <c r="BN269" s="248"/>
      <c r="BO269"/>
      <c r="BP269"/>
      <c r="BQ269"/>
      <c r="BR269"/>
      <c r="BS269"/>
      <c r="BT269" s="248"/>
      <c r="BU269" s="248"/>
      <c r="BV269" s="248"/>
      <c r="BW269" s="248"/>
      <c r="BX269" s="248"/>
      <c r="BY269" s="248"/>
      <c r="BZ269" s="248"/>
      <c r="CA269" s="248"/>
      <c r="CB269" s="248"/>
      <c r="CC269" s="248"/>
      <c r="CD269" s="248"/>
      <c r="CE269" s="248"/>
      <c r="CF269" s="248"/>
      <c r="CG269" s="248"/>
    </row>
    <row r="270" spans="1:85" ht="12.75" x14ac:dyDescent="0.2">
      <c r="B270" s="243">
        <v>6.6111937130872003E-2</v>
      </c>
      <c r="D270" s="248"/>
      <c r="E270" s="248"/>
      <c r="F270" s="248"/>
      <c r="G270" s="248"/>
      <c r="H270" s="248"/>
      <c r="I270" s="248"/>
      <c r="J270" s="248"/>
      <c r="K270" s="248"/>
      <c r="L270" s="248"/>
      <c r="M270" s="249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  <c r="AH270" s="248"/>
      <c r="AI270" s="248"/>
      <c r="AJ270" s="248"/>
      <c r="AK270" s="248"/>
      <c r="AL270" s="248"/>
      <c r="AM270" s="248"/>
      <c r="AN270" s="248"/>
      <c r="AO270" s="248"/>
      <c r="AP270" s="248"/>
      <c r="AQ270" s="248"/>
      <c r="AR270" s="248"/>
      <c r="AS270" s="248"/>
      <c r="AT270" s="248"/>
      <c r="AU270" s="248"/>
      <c r="AV270" s="248"/>
      <c r="AW270" s="248"/>
      <c r="AX270" s="248"/>
      <c r="AY270" s="248"/>
      <c r="AZ270" s="248"/>
      <c r="BA270" s="248"/>
      <c r="BB270" s="248"/>
      <c r="BC270" s="248"/>
      <c r="BD270" s="248"/>
      <c r="BE270" s="248"/>
      <c r="BF270" s="248"/>
      <c r="BG270" s="248"/>
      <c r="BH270" s="249"/>
      <c r="BI270" s="248"/>
      <c r="BJ270" s="248"/>
      <c r="BK270" s="248"/>
      <c r="BL270" s="248"/>
      <c r="BM270" s="248"/>
      <c r="BN270" s="248"/>
      <c r="BO270"/>
      <c r="BP270"/>
      <c r="BQ270"/>
      <c r="BR270"/>
      <c r="BS270"/>
      <c r="BT270" s="248"/>
      <c r="BU270" s="248"/>
      <c r="BV270" s="248"/>
      <c r="BW270" s="248"/>
      <c r="BX270" s="248"/>
      <c r="BY270" s="248"/>
      <c r="BZ270" s="248"/>
      <c r="CA270" s="248"/>
      <c r="CB270" s="248"/>
      <c r="CC270" s="248"/>
      <c r="CD270" s="248"/>
      <c r="CE270" s="248"/>
      <c r="CF270" s="248"/>
      <c r="CG270" s="248"/>
    </row>
    <row r="271" spans="1:85" ht="12.75" x14ac:dyDescent="0.2">
      <c r="B271" s="243">
        <v>6.6112907317918024E-2</v>
      </c>
      <c r="D271" s="248"/>
      <c r="E271" s="248"/>
      <c r="F271" s="248"/>
      <c r="G271" s="248"/>
      <c r="H271" s="248"/>
      <c r="I271" s="248"/>
      <c r="J271" s="248"/>
      <c r="K271" s="248"/>
      <c r="L271" s="248"/>
      <c r="M271" s="249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  <c r="AA271" s="248"/>
      <c r="AB271" s="248"/>
      <c r="AC271" s="248"/>
      <c r="AD271" s="248"/>
      <c r="AE271" s="248"/>
      <c r="AF271" s="248"/>
      <c r="AG271" s="248"/>
      <c r="AH271" s="248"/>
      <c r="AI271" s="248"/>
      <c r="AJ271" s="248"/>
      <c r="AK271" s="248"/>
      <c r="AL271" s="248"/>
      <c r="AM271" s="248"/>
      <c r="AN271" s="248"/>
      <c r="AO271" s="248"/>
      <c r="AP271" s="248"/>
      <c r="AQ271" s="248"/>
      <c r="AR271" s="248"/>
      <c r="AS271" s="248"/>
      <c r="AT271" s="248"/>
      <c r="AU271" s="248"/>
      <c r="AV271" s="248"/>
      <c r="AW271" s="248"/>
      <c r="AX271" s="248"/>
      <c r="AY271" s="248"/>
      <c r="AZ271" s="248"/>
      <c r="BA271" s="248"/>
      <c r="BB271" s="248"/>
      <c r="BC271" s="248"/>
      <c r="BD271" s="248"/>
      <c r="BE271" s="248"/>
      <c r="BF271" s="248"/>
      <c r="BG271" s="248"/>
      <c r="BH271" s="249"/>
      <c r="BI271" s="248"/>
      <c r="BJ271" s="248"/>
      <c r="BK271" s="248"/>
      <c r="BL271" s="248"/>
      <c r="BM271" s="248"/>
      <c r="BN271" s="248"/>
      <c r="BO271"/>
      <c r="BP271"/>
      <c r="BQ271"/>
      <c r="BR271"/>
      <c r="BS271"/>
      <c r="BT271" s="248"/>
      <c r="BU271" s="248"/>
      <c r="BV271" s="248"/>
      <c r="BW271" s="248"/>
      <c r="BX271" s="248"/>
      <c r="BY271" s="248"/>
      <c r="BZ271" s="248"/>
      <c r="CA271" s="248"/>
      <c r="CB271" s="248"/>
      <c r="CC271" s="248"/>
      <c r="CD271" s="248"/>
      <c r="CE271" s="248"/>
      <c r="CF271" s="248"/>
      <c r="CG271" s="248"/>
    </row>
    <row r="272" spans="1:85" ht="12.75" x14ac:dyDescent="0.2">
      <c r="B272" s="243">
        <v>6.6113909844531998E-2</v>
      </c>
      <c r="D272" s="248"/>
      <c r="E272" s="248"/>
      <c r="F272" s="248"/>
      <c r="G272" s="248"/>
      <c r="H272" s="248"/>
      <c r="I272" s="248"/>
      <c r="J272" s="248"/>
      <c r="K272" s="248"/>
      <c r="L272" s="248"/>
      <c r="M272" s="249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  <c r="AA272" s="248"/>
      <c r="AB272" s="248"/>
      <c r="AC272" s="248"/>
      <c r="AD272" s="248"/>
      <c r="AE272" s="248"/>
      <c r="AF272" s="248"/>
      <c r="AG272" s="248"/>
      <c r="AH272" s="248"/>
      <c r="AI272" s="248"/>
      <c r="AJ272" s="248"/>
      <c r="AK272" s="248"/>
      <c r="AL272" s="248"/>
      <c r="AM272" s="248"/>
      <c r="AN272" s="248"/>
      <c r="AO272" s="248"/>
      <c r="AP272" s="248"/>
      <c r="AQ272" s="248"/>
      <c r="AR272" s="248"/>
      <c r="AS272" s="248"/>
      <c r="AT272" s="248"/>
      <c r="AU272" s="248"/>
      <c r="AV272" s="248"/>
      <c r="AW272" s="248"/>
      <c r="AX272" s="248"/>
      <c r="AY272" s="248"/>
      <c r="AZ272" s="248"/>
      <c r="BA272" s="248"/>
      <c r="BB272" s="248"/>
      <c r="BC272" s="248"/>
      <c r="BD272" s="248"/>
      <c r="BE272" s="248"/>
      <c r="BF272" s="248"/>
      <c r="BG272" s="248"/>
      <c r="BH272" s="249"/>
      <c r="BI272" s="248"/>
      <c r="BJ272" s="248"/>
      <c r="BK272" s="248"/>
      <c r="BL272" s="248"/>
      <c r="BM272" s="248"/>
      <c r="BN272" s="248"/>
      <c r="BO272"/>
      <c r="BP272"/>
      <c r="BQ272"/>
      <c r="BR272"/>
      <c r="BS272"/>
      <c r="BT272" s="248"/>
      <c r="BU272" s="248"/>
      <c r="BV272" s="248"/>
      <c r="BW272" s="248"/>
      <c r="BX272" s="248"/>
      <c r="BY272" s="248"/>
      <c r="BZ272" s="248"/>
      <c r="CA272" s="248"/>
      <c r="CB272" s="248"/>
      <c r="CC272" s="248"/>
      <c r="CD272" s="248"/>
      <c r="CE272" s="248"/>
      <c r="CF272" s="248"/>
      <c r="CG272" s="248"/>
    </row>
    <row r="273" spans="2:85" ht="12.75" x14ac:dyDescent="0.2">
      <c r="B273" s="243">
        <v>6.6114912371147E-2</v>
      </c>
      <c r="D273" s="248"/>
      <c r="E273" s="248"/>
      <c r="F273" s="248"/>
      <c r="G273" s="248"/>
      <c r="H273" s="248"/>
      <c r="I273" s="248"/>
      <c r="J273" s="248"/>
      <c r="K273" s="248"/>
      <c r="L273" s="248"/>
      <c r="M273" s="249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  <c r="AA273" s="248"/>
      <c r="AB273" s="248"/>
      <c r="AC273" s="248"/>
      <c r="AD273" s="248"/>
      <c r="AE273" s="248"/>
      <c r="AF273" s="248"/>
      <c r="AG273" s="248"/>
      <c r="AH273" s="248"/>
      <c r="AI273" s="248"/>
      <c r="AJ273" s="248"/>
      <c r="AK273" s="248"/>
      <c r="AL273" s="248"/>
      <c r="AM273" s="248"/>
      <c r="AN273" s="248"/>
      <c r="AO273" s="248"/>
      <c r="AP273" s="248"/>
      <c r="AQ273" s="248"/>
      <c r="AR273" s="248"/>
      <c r="AS273" s="248"/>
      <c r="AT273" s="248"/>
      <c r="AU273" s="248"/>
      <c r="AV273" s="248"/>
      <c r="AW273" s="248"/>
      <c r="AX273" s="248"/>
      <c r="AY273" s="248"/>
      <c r="AZ273" s="248"/>
      <c r="BA273" s="248"/>
      <c r="BB273" s="248"/>
      <c r="BC273" s="248"/>
      <c r="BD273" s="248"/>
      <c r="BE273" s="248"/>
      <c r="BF273" s="248"/>
      <c r="BG273" s="248"/>
      <c r="BH273" s="249"/>
      <c r="BI273" s="248"/>
      <c r="BJ273" s="248"/>
      <c r="BK273" s="248"/>
      <c r="BL273" s="248"/>
      <c r="BM273" s="248"/>
      <c r="BN273" s="248"/>
      <c r="BO273"/>
      <c r="BP273"/>
      <c r="BQ273"/>
      <c r="BR273"/>
      <c r="BS273"/>
      <c r="BT273" s="248"/>
      <c r="BU273" s="248"/>
      <c r="BV273" s="248"/>
      <c r="BW273" s="248"/>
      <c r="BX273" s="248"/>
      <c r="BY273" s="248"/>
      <c r="BZ273" s="248"/>
      <c r="CA273" s="248"/>
      <c r="CB273" s="248"/>
      <c r="CC273" s="248"/>
      <c r="CD273" s="248"/>
      <c r="CE273" s="248"/>
      <c r="CF273" s="248"/>
      <c r="CG273" s="248"/>
    </row>
    <row r="274" spans="2:85" ht="12.75" x14ac:dyDescent="0.2">
      <c r="B274" s="243">
        <v>6.6115882558194006E-2</v>
      </c>
      <c r="D274" s="248"/>
      <c r="E274" s="248"/>
      <c r="F274" s="248"/>
      <c r="G274" s="248"/>
      <c r="H274" s="248"/>
      <c r="I274" s="248"/>
      <c r="J274" s="248"/>
      <c r="K274" s="248"/>
      <c r="L274" s="248"/>
      <c r="M274" s="249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  <c r="AA274" s="248"/>
      <c r="AB274" s="248"/>
      <c r="AC274" s="248"/>
      <c r="AD274" s="248"/>
      <c r="AE274" s="248"/>
      <c r="AF274" s="248"/>
      <c r="AG274" s="248"/>
      <c r="AH274" s="248"/>
      <c r="AI274" s="248"/>
      <c r="AJ274" s="248"/>
      <c r="AK274" s="248"/>
      <c r="AL274" s="248"/>
      <c r="AM274" s="248"/>
      <c r="AN274" s="248"/>
      <c r="AO274" s="248"/>
      <c r="AP274" s="248"/>
      <c r="AQ274" s="248"/>
      <c r="AR274" s="248"/>
      <c r="AS274" s="248"/>
      <c r="AT274" s="248"/>
      <c r="AU274" s="248"/>
      <c r="AV274" s="248"/>
      <c r="AW274" s="248"/>
      <c r="AX274" s="248"/>
      <c r="AY274" s="248"/>
      <c r="AZ274" s="248"/>
      <c r="BA274" s="248"/>
      <c r="BB274" s="248"/>
      <c r="BC274" s="248"/>
      <c r="BD274" s="248"/>
      <c r="BE274" s="248"/>
      <c r="BF274" s="248"/>
      <c r="BG274" s="248"/>
      <c r="BH274" s="249"/>
      <c r="BI274" s="248"/>
      <c r="BJ274" s="248"/>
      <c r="BK274" s="248"/>
      <c r="BL274" s="248"/>
      <c r="BM274" s="248"/>
      <c r="BN274" s="248"/>
      <c r="BO274"/>
      <c r="BP274"/>
      <c r="BQ274"/>
      <c r="BR274"/>
      <c r="BS274"/>
      <c r="BT274" s="248"/>
      <c r="BU274" s="248"/>
      <c r="BV274" s="248"/>
      <c r="BW274" s="248"/>
      <c r="BX274" s="248"/>
      <c r="BY274" s="248"/>
      <c r="BZ274" s="248"/>
      <c r="CA274" s="248"/>
      <c r="CB274" s="248"/>
      <c r="CC274" s="248"/>
      <c r="CD274" s="248"/>
      <c r="CE274" s="248"/>
      <c r="CF274" s="248"/>
      <c r="CG274" s="248"/>
    </row>
    <row r="275" spans="2:85" ht="12.75" x14ac:dyDescent="0.2">
      <c r="B275" s="243">
        <v>6.6116885084809007E-2</v>
      </c>
      <c r="D275" s="248"/>
      <c r="E275" s="248"/>
      <c r="F275" s="248"/>
      <c r="G275" s="248"/>
      <c r="H275" s="248"/>
      <c r="I275" s="248"/>
      <c r="J275" s="248"/>
      <c r="K275" s="248"/>
      <c r="L275" s="248"/>
      <c r="M275" s="249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  <c r="AA275" s="248"/>
      <c r="AB275" s="248"/>
      <c r="AC275" s="248"/>
      <c r="AD275" s="248"/>
      <c r="AE275" s="248"/>
      <c r="AF275" s="248"/>
      <c r="AG275" s="248"/>
      <c r="AH275" s="248"/>
      <c r="AI275" s="248"/>
      <c r="AJ275" s="248"/>
      <c r="AK275" s="248"/>
      <c r="AL275" s="248"/>
      <c r="AM275" s="248"/>
      <c r="AN275" s="248"/>
      <c r="AO275" s="248"/>
      <c r="AP275" s="248"/>
      <c r="AQ275" s="248"/>
      <c r="AR275" s="248"/>
      <c r="AS275" s="248"/>
      <c r="AT275" s="248"/>
      <c r="AU275" s="248"/>
      <c r="AV275" s="248"/>
      <c r="AW275" s="248"/>
      <c r="AX275" s="248"/>
      <c r="AY275" s="248"/>
      <c r="AZ275" s="248"/>
      <c r="BA275" s="248"/>
      <c r="BB275" s="248"/>
      <c r="BC275" s="248"/>
      <c r="BD275" s="248"/>
      <c r="BE275" s="248"/>
      <c r="BF275" s="248"/>
      <c r="BG275" s="248"/>
      <c r="BH275" s="249"/>
      <c r="BI275" s="248"/>
      <c r="BJ275" s="248"/>
      <c r="BK275" s="248"/>
      <c r="BL275" s="248"/>
      <c r="BM275" s="248"/>
      <c r="BN275" s="248"/>
      <c r="BO275"/>
      <c r="BP275"/>
      <c r="BQ275"/>
      <c r="BR275"/>
      <c r="BS275"/>
      <c r="BT275" s="248"/>
      <c r="BU275" s="248"/>
      <c r="BV275" s="248"/>
      <c r="BW275" s="248"/>
      <c r="BX275" s="248"/>
      <c r="BY275" s="248"/>
      <c r="BZ275" s="248"/>
      <c r="CA275" s="248"/>
      <c r="CB275" s="248"/>
      <c r="CC275" s="248"/>
      <c r="CD275" s="248"/>
      <c r="CE275" s="248"/>
      <c r="CF275" s="248"/>
      <c r="CG275" s="248"/>
    </row>
    <row r="276" spans="2:85" ht="12.75" x14ac:dyDescent="0.2">
      <c r="B276" s="243">
        <v>6.6117855271856013E-2</v>
      </c>
      <c r="D276" s="248"/>
      <c r="E276" s="248"/>
      <c r="F276" s="248"/>
      <c r="G276" s="248"/>
      <c r="H276" s="248"/>
      <c r="I276" s="248"/>
      <c r="J276" s="248"/>
      <c r="K276" s="248"/>
      <c r="L276" s="248"/>
      <c r="M276" s="249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  <c r="AA276" s="248"/>
      <c r="AB276" s="248"/>
      <c r="AC276" s="248"/>
      <c r="AD276" s="248"/>
      <c r="AE276" s="248"/>
      <c r="AF276" s="248"/>
      <c r="AG276" s="248"/>
      <c r="AH276" s="248"/>
      <c r="AI276" s="248"/>
      <c r="AJ276" s="248"/>
      <c r="AK276" s="248"/>
      <c r="AL276" s="248"/>
      <c r="AM276" s="248"/>
      <c r="AN276" s="248"/>
      <c r="AO276" s="248"/>
      <c r="AP276" s="248"/>
      <c r="AQ276" s="248"/>
      <c r="AR276" s="248"/>
      <c r="AS276" s="248"/>
      <c r="AT276" s="248"/>
      <c r="AU276" s="248"/>
      <c r="AV276" s="248"/>
      <c r="AW276" s="248"/>
      <c r="AX276" s="248"/>
      <c r="AY276" s="248"/>
      <c r="AZ276" s="248"/>
      <c r="BA276" s="248"/>
      <c r="BB276" s="248"/>
      <c r="BC276" s="248"/>
      <c r="BD276" s="248"/>
      <c r="BE276" s="248"/>
      <c r="BF276" s="248"/>
      <c r="BG276" s="248"/>
      <c r="BH276" s="249"/>
      <c r="BI276" s="248"/>
      <c r="BJ276" s="248"/>
      <c r="BK276" s="248"/>
      <c r="BL276" s="248"/>
      <c r="BM276" s="248"/>
      <c r="BN276" s="248"/>
      <c r="BO276"/>
      <c r="BP276"/>
      <c r="BQ276"/>
      <c r="BR276"/>
      <c r="BS276"/>
      <c r="BT276" s="248"/>
      <c r="BU276" s="248"/>
      <c r="BV276" s="248"/>
      <c r="BW276" s="248"/>
      <c r="BX276" s="248"/>
      <c r="BY276" s="248"/>
      <c r="BZ276" s="248"/>
      <c r="CA276" s="248"/>
      <c r="CB276" s="248"/>
      <c r="CC276" s="248"/>
      <c r="CD276" s="248"/>
      <c r="CE276" s="248"/>
      <c r="CF276" s="248"/>
      <c r="CG276" s="248"/>
    </row>
    <row r="277" spans="2:85" ht="12.75" x14ac:dyDescent="0.2">
      <c r="B277" s="243">
        <v>6.6118857798472E-2</v>
      </c>
      <c r="D277" s="248"/>
      <c r="E277" s="248"/>
      <c r="F277" s="248"/>
      <c r="G277" s="248"/>
      <c r="H277" s="248"/>
      <c r="I277" s="248"/>
      <c r="J277" s="248"/>
      <c r="K277" s="248"/>
      <c r="L277" s="248"/>
      <c r="M277" s="249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  <c r="AA277" s="248"/>
      <c r="AB277" s="248"/>
      <c r="AC277" s="248"/>
      <c r="AD277" s="248"/>
      <c r="AE277" s="248"/>
      <c r="AF277" s="248"/>
      <c r="AG277" s="248"/>
      <c r="AH277" s="248"/>
      <c r="AI277" s="248"/>
      <c r="AJ277" s="248"/>
      <c r="AK277" s="248"/>
      <c r="AL277" s="248"/>
      <c r="AM277" s="248"/>
      <c r="AN277" s="248"/>
      <c r="AO277" s="248"/>
      <c r="AP277" s="248"/>
      <c r="AQ277" s="248"/>
      <c r="AR277" s="248"/>
      <c r="AS277" s="248"/>
      <c r="AT277" s="248"/>
      <c r="AU277" s="248"/>
      <c r="AV277" s="248"/>
      <c r="AW277" s="248"/>
      <c r="AX277" s="248"/>
      <c r="AY277" s="248"/>
      <c r="AZ277" s="248"/>
      <c r="BA277" s="248"/>
      <c r="BB277" s="248"/>
      <c r="BC277" s="248"/>
      <c r="BD277" s="248"/>
      <c r="BE277" s="248"/>
      <c r="BF277" s="248"/>
      <c r="BG277" s="248"/>
      <c r="BH277" s="249"/>
      <c r="BI277" s="248"/>
      <c r="BJ277" s="248"/>
      <c r="BK277" s="248"/>
      <c r="BL277" s="248"/>
      <c r="BM277" s="248"/>
      <c r="BN277" s="248"/>
      <c r="BO277"/>
      <c r="BP277"/>
      <c r="BQ277"/>
      <c r="BR277"/>
      <c r="BS277"/>
      <c r="BT277" s="248"/>
      <c r="BU277" s="248"/>
      <c r="BV277" s="248"/>
      <c r="BW277" s="248"/>
      <c r="BX277" s="248"/>
      <c r="BY277" s="248"/>
      <c r="BZ277" s="248"/>
      <c r="CA277" s="248"/>
      <c r="CB277" s="248"/>
      <c r="CC277" s="248"/>
      <c r="CD277" s="248"/>
      <c r="CE277" s="248"/>
      <c r="CF277" s="248"/>
      <c r="CG277" s="248"/>
    </row>
    <row r="278" spans="2:85" ht="12.75" x14ac:dyDescent="0.2">
      <c r="B278" s="243">
        <v>6.6119860325089014E-2</v>
      </c>
      <c r="D278" s="248"/>
      <c r="E278" s="248"/>
      <c r="F278" s="248"/>
      <c r="G278" s="248"/>
      <c r="H278" s="248"/>
      <c r="I278" s="248"/>
      <c r="J278" s="248"/>
      <c r="K278" s="248"/>
      <c r="L278" s="248"/>
      <c r="M278" s="249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  <c r="AA278" s="248"/>
      <c r="AB278" s="248"/>
      <c r="AC278" s="248"/>
      <c r="AD278" s="248"/>
      <c r="AE278" s="248"/>
      <c r="AF278" s="248"/>
      <c r="AG278" s="248"/>
      <c r="AH278" s="248"/>
      <c r="AI278" s="248"/>
      <c r="AJ278" s="248"/>
      <c r="AK278" s="248"/>
      <c r="AL278" s="248"/>
      <c r="AM278" s="248"/>
      <c r="AN278" s="248"/>
      <c r="AO278" s="248"/>
      <c r="AP278" s="248"/>
      <c r="AQ278" s="248"/>
      <c r="AR278" s="248"/>
      <c r="AS278" s="248"/>
      <c r="AT278" s="248"/>
      <c r="AU278" s="248"/>
      <c r="AV278" s="248"/>
      <c r="AW278" s="248"/>
      <c r="AX278" s="248"/>
      <c r="AY278" s="248"/>
      <c r="AZ278" s="248"/>
      <c r="BA278" s="248"/>
      <c r="BB278" s="248"/>
      <c r="BC278" s="248"/>
      <c r="BD278" s="248"/>
      <c r="BE278" s="248"/>
      <c r="BF278" s="248"/>
      <c r="BG278" s="248"/>
      <c r="BH278" s="249"/>
      <c r="BI278" s="248"/>
      <c r="BJ278" s="248"/>
      <c r="BK278" s="248"/>
      <c r="BL278" s="248"/>
      <c r="BM278" s="248"/>
      <c r="BN278" s="248"/>
      <c r="BO278"/>
      <c r="BP278"/>
      <c r="BQ278"/>
      <c r="BR278"/>
      <c r="BS278"/>
      <c r="BT278" s="248"/>
      <c r="BU278" s="248"/>
      <c r="BV278" s="248"/>
      <c r="BW278" s="248"/>
      <c r="BX278" s="248"/>
      <c r="BY278" s="248"/>
      <c r="BZ278" s="248"/>
      <c r="CA278" s="248"/>
      <c r="CB278" s="248"/>
      <c r="CC278" s="248"/>
      <c r="CD278" s="248"/>
      <c r="CE278" s="248"/>
      <c r="CF278" s="248"/>
      <c r="CG278" s="248"/>
    </row>
    <row r="279" spans="2:85" ht="12.75" x14ac:dyDescent="0.2">
      <c r="B279" s="243">
        <v>6.6120798172569023E-2</v>
      </c>
      <c r="D279" s="248"/>
      <c r="E279" s="248"/>
      <c r="F279" s="248"/>
      <c r="G279" s="248"/>
      <c r="H279" s="248"/>
      <c r="I279" s="248"/>
      <c r="J279" s="248"/>
      <c r="K279" s="248"/>
      <c r="L279" s="248"/>
      <c r="M279" s="249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  <c r="AA279" s="248"/>
      <c r="AB279" s="248"/>
      <c r="AC279" s="248"/>
      <c r="AD279" s="248"/>
      <c r="AE279" s="248"/>
      <c r="AF279" s="248"/>
      <c r="AG279" s="248"/>
      <c r="AH279" s="248"/>
      <c r="AI279" s="248"/>
      <c r="AJ279" s="248"/>
      <c r="AK279" s="248"/>
      <c r="AL279" s="248"/>
      <c r="AM279" s="248"/>
      <c r="AN279" s="248"/>
      <c r="AO279" s="248"/>
      <c r="AP279" s="248"/>
      <c r="AQ279" s="248"/>
      <c r="AR279" s="248"/>
      <c r="AS279" s="248"/>
      <c r="AT279" s="248"/>
      <c r="AU279" s="248"/>
      <c r="AV279" s="248"/>
      <c r="AW279" s="248"/>
      <c r="AX279" s="248"/>
      <c r="AY279" s="248"/>
      <c r="AZ279" s="248"/>
      <c r="BA279" s="248"/>
      <c r="BB279" s="248"/>
      <c r="BC279" s="248"/>
      <c r="BD279" s="248"/>
      <c r="BE279" s="248"/>
      <c r="BF279" s="248"/>
      <c r="BG279" s="248"/>
      <c r="BH279" s="249"/>
      <c r="BI279" s="248"/>
      <c r="BJ279" s="248"/>
      <c r="BK279" s="248"/>
      <c r="BL279" s="248"/>
      <c r="BM279" s="248"/>
      <c r="BN279" s="248"/>
      <c r="BO279"/>
      <c r="BP279"/>
      <c r="BQ279"/>
      <c r="BR279"/>
      <c r="BS279"/>
      <c r="BT279" s="248"/>
      <c r="BU279" s="248"/>
      <c r="BV279" s="248"/>
      <c r="BW279" s="248"/>
      <c r="BX279" s="248"/>
      <c r="BY279" s="248"/>
      <c r="BZ279" s="248"/>
      <c r="CA279" s="248"/>
      <c r="CB279" s="248"/>
      <c r="CC279" s="248"/>
      <c r="CD279" s="248"/>
      <c r="CE279" s="248"/>
      <c r="CF279" s="248"/>
      <c r="CG279" s="248"/>
    </row>
    <row r="280" spans="2:85" ht="12.75" x14ac:dyDescent="0.2">
      <c r="B280" s="243">
        <v>6.6121800699184996E-2</v>
      </c>
      <c r="D280" s="248"/>
      <c r="E280" s="248"/>
      <c r="F280" s="248"/>
      <c r="G280" s="248"/>
      <c r="H280" s="248"/>
      <c r="I280" s="248"/>
      <c r="J280" s="248"/>
      <c r="K280" s="248"/>
      <c r="L280" s="248"/>
      <c r="M280" s="249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  <c r="AA280" s="248"/>
      <c r="AB280" s="248"/>
      <c r="AC280" s="248"/>
      <c r="AD280" s="248"/>
      <c r="AE280" s="248"/>
      <c r="AF280" s="248"/>
      <c r="AG280" s="248"/>
      <c r="AH280" s="248"/>
      <c r="AI280" s="248"/>
      <c r="AJ280" s="248"/>
      <c r="AK280" s="248"/>
      <c r="AL280" s="248"/>
      <c r="AM280" s="248"/>
      <c r="AN280" s="248"/>
      <c r="AO280" s="248"/>
      <c r="AP280" s="248"/>
      <c r="AQ280" s="248"/>
      <c r="AR280" s="248"/>
      <c r="AS280" s="248"/>
      <c r="AT280" s="248"/>
      <c r="AU280" s="248"/>
      <c r="AV280" s="248"/>
      <c r="AW280" s="248"/>
      <c r="AX280" s="248"/>
      <c r="AY280" s="248"/>
      <c r="AZ280" s="248"/>
      <c r="BA280" s="248"/>
      <c r="BB280" s="248"/>
      <c r="BC280" s="248"/>
      <c r="BD280" s="248"/>
      <c r="BE280" s="248"/>
      <c r="BF280" s="248"/>
      <c r="BG280" s="248"/>
      <c r="BH280" s="249"/>
      <c r="BI280" s="248"/>
      <c r="BJ280" s="248"/>
      <c r="BK280" s="248"/>
      <c r="BL280" s="248"/>
      <c r="BM280" s="248"/>
      <c r="BN280" s="248"/>
      <c r="BO280"/>
      <c r="BP280"/>
      <c r="BQ280"/>
      <c r="BR280"/>
      <c r="BS280"/>
      <c r="BT280" s="248"/>
      <c r="BU280" s="248"/>
      <c r="BV280" s="248"/>
      <c r="BW280" s="248"/>
      <c r="BX280" s="248"/>
      <c r="BY280" s="248"/>
      <c r="BZ280" s="248"/>
      <c r="CA280" s="248"/>
      <c r="CB280" s="248"/>
      <c r="CC280" s="248"/>
      <c r="CD280" s="248"/>
      <c r="CE280" s="248"/>
      <c r="CF280" s="248"/>
      <c r="CG280" s="248"/>
    </row>
    <row r="281" spans="2:85" ht="12.75" x14ac:dyDescent="0.2">
      <c r="B281" s="243">
        <v>6.6122770886235013E-2</v>
      </c>
      <c r="D281" s="248"/>
      <c r="E281" s="248"/>
      <c r="F281" s="248"/>
      <c r="G281" s="248"/>
      <c r="H281" s="248"/>
      <c r="I281" s="248"/>
      <c r="J281" s="248"/>
      <c r="K281" s="248"/>
      <c r="L281" s="248"/>
      <c r="M281" s="249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  <c r="AA281" s="248"/>
      <c r="AB281" s="248"/>
      <c r="AC281" s="248"/>
      <c r="AD281" s="248"/>
      <c r="AE281" s="248"/>
      <c r="AF281" s="248"/>
      <c r="AG281" s="248"/>
      <c r="AH281" s="248"/>
      <c r="AI281" s="248"/>
      <c r="AJ281" s="248"/>
      <c r="AK281" s="248"/>
      <c r="AL281" s="248"/>
      <c r="AM281" s="248"/>
      <c r="AN281" s="248"/>
      <c r="AO281" s="248"/>
      <c r="AP281" s="248"/>
      <c r="AQ281" s="248"/>
      <c r="AR281" s="248"/>
      <c r="AS281" s="248"/>
      <c r="AT281" s="248"/>
      <c r="AU281" s="248"/>
      <c r="AV281" s="248"/>
      <c r="AW281" s="248"/>
      <c r="AX281" s="248"/>
      <c r="AY281" s="248"/>
      <c r="AZ281" s="248"/>
      <c r="BA281" s="248"/>
      <c r="BB281" s="248"/>
      <c r="BC281" s="248"/>
      <c r="BD281" s="248"/>
      <c r="BE281" s="248"/>
      <c r="BF281" s="248"/>
      <c r="BG281" s="248"/>
      <c r="BH281" s="249"/>
      <c r="BI281" s="248"/>
      <c r="BJ281" s="248"/>
      <c r="BK281" s="248"/>
      <c r="BL281" s="248"/>
      <c r="BM281" s="248"/>
      <c r="BN281" s="248"/>
      <c r="BO281"/>
      <c r="BP281"/>
      <c r="BQ281"/>
      <c r="BR281"/>
      <c r="BS281"/>
      <c r="BT281" s="248"/>
      <c r="BU281" s="248"/>
      <c r="BV281" s="248"/>
      <c r="BW281" s="248"/>
      <c r="BX281" s="248"/>
      <c r="BY281" s="248"/>
      <c r="BZ281" s="248"/>
      <c r="CA281" s="248"/>
      <c r="CB281" s="248"/>
      <c r="CC281" s="248"/>
      <c r="CD281" s="248"/>
      <c r="CE281" s="248"/>
      <c r="CF281" s="248"/>
      <c r="CG281" s="248"/>
    </row>
    <row r="282" spans="2:85" ht="12.75" x14ac:dyDescent="0.2">
      <c r="B282" s="243">
        <v>6.6123773412851999E-2</v>
      </c>
      <c r="D282" s="248"/>
      <c r="E282" s="248"/>
      <c r="F282" s="248"/>
      <c r="G282" s="248"/>
      <c r="H282" s="248"/>
      <c r="I282" s="248"/>
      <c r="J282" s="248"/>
      <c r="K282" s="248"/>
      <c r="L282" s="248"/>
      <c r="M282" s="249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  <c r="AA282" s="248"/>
      <c r="AB282" s="248"/>
      <c r="AC282" s="248"/>
      <c r="AD282" s="248"/>
      <c r="AE282" s="248"/>
      <c r="AF282" s="248"/>
      <c r="AG282" s="248"/>
      <c r="AH282" s="248"/>
      <c r="AI282" s="248"/>
      <c r="AJ282" s="248"/>
      <c r="AK282" s="248"/>
      <c r="AL282" s="248"/>
      <c r="AM282" s="248"/>
      <c r="AN282" s="248"/>
      <c r="AO282" s="248"/>
      <c r="AP282" s="248"/>
      <c r="AQ282" s="248"/>
      <c r="AR282" s="248"/>
      <c r="AS282" s="248"/>
      <c r="AT282" s="248"/>
      <c r="AU282" s="248"/>
      <c r="AV282" s="248"/>
      <c r="AW282" s="248"/>
      <c r="AX282" s="248"/>
      <c r="AY282" s="248"/>
      <c r="AZ282" s="248"/>
      <c r="BA282" s="248"/>
      <c r="BB282" s="248"/>
      <c r="BC282" s="248"/>
      <c r="BD282" s="248"/>
      <c r="BE282" s="248"/>
      <c r="BF282" s="248"/>
      <c r="BG282" s="248"/>
      <c r="BH282" s="249"/>
      <c r="BI282" s="248"/>
      <c r="BJ282" s="248"/>
      <c r="BK282" s="248"/>
      <c r="BL282" s="248"/>
      <c r="BM282" s="248"/>
      <c r="BN282" s="248"/>
      <c r="BO282"/>
      <c r="BP282"/>
      <c r="BQ282"/>
      <c r="BR282"/>
      <c r="BS282"/>
      <c r="BT282" s="248"/>
      <c r="BU282" s="248"/>
      <c r="BV282" s="248"/>
      <c r="BW282" s="248"/>
      <c r="BX282" s="248"/>
      <c r="BY282" s="248"/>
      <c r="BZ282" s="248"/>
      <c r="CA282" s="248"/>
      <c r="CB282" s="248"/>
      <c r="CC282" s="248"/>
      <c r="CD282" s="248"/>
      <c r="CE282" s="248"/>
      <c r="CF282" s="248"/>
      <c r="CG282" s="248"/>
    </row>
    <row r="283" spans="2:85" ht="12.75" x14ac:dyDescent="0.2">
      <c r="B283" s="243">
        <v>6.6124743599902003E-2</v>
      </c>
      <c r="D283" s="248"/>
      <c r="E283" s="248"/>
      <c r="F283" s="248"/>
      <c r="G283" s="248"/>
      <c r="H283" s="248"/>
      <c r="I283" s="248"/>
      <c r="J283" s="248"/>
      <c r="K283" s="248"/>
      <c r="L283" s="248"/>
      <c r="M283" s="249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  <c r="AA283" s="248"/>
      <c r="AB283" s="248"/>
      <c r="AC283" s="248"/>
      <c r="AD283" s="248"/>
      <c r="AE283" s="248"/>
      <c r="AF283" s="248"/>
      <c r="AG283" s="248"/>
      <c r="AH283" s="248"/>
      <c r="AI283" s="248"/>
      <c r="AJ283" s="248"/>
      <c r="AK283" s="248"/>
      <c r="AL283" s="248"/>
      <c r="AM283" s="248"/>
      <c r="AN283" s="248"/>
      <c r="AO283" s="248"/>
      <c r="AP283" s="248"/>
      <c r="AQ283" s="248"/>
      <c r="AR283" s="248"/>
      <c r="AS283" s="248"/>
      <c r="AT283" s="248"/>
      <c r="AU283" s="248"/>
      <c r="AV283" s="248"/>
      <c r="AW283" s="248"/>
      <c r="AX283" s="248"/>
      <c r="AY283" s="248"/>
      <c r="AZ283" s="248"/>
      <c r="BA283" s="248"/>
      <c r="BB283" s="248"/>
      <c r="BC283" s="248"/>
      <c r="BD283" s="248"/>
      <c r="BE283" s="248"/>
      <c r="BF283" s="248"/>
      <c r="BG283" s="248"/>
      <c r="BH283" s="249"/>
      <c r="BI283" s="248"/>
      <c r="BJ283" s="248"/>
      <c r="BK283" s="248"/>
      <c r="BL283" s="248"/>
      <c r="BM283" s="248"/>
      <c r="BN283" s="248"/>
      <c r="BO283"/>
      <c r="BP283"/>
      <c r="BQ283"/>
      <c r="BR283"/>
      <c r="BS283"/>
      <c r="BT283" s="248"/>
      <c r="BU283" s="248"/>
      <c r="BV283" s="248"/>
      <c r="BW283" s="248"/>
      <c r="BX283" s="248"/>
      <c r="BY283" s="248"/>
      <c r="BZ283" s="248"/>
      <c r="CA283" s="248"/>
      <c r="CB283" s="248"/>
      <c r="CC283" s="248"/>
      <c r="CD283" s="248"/>
      <c r="CE283" s="248"/>
      <c r="CF283" s="248"/>
      <c r="CG283" s="248"/>
    </row>
    <row r="284" spans="2:85" ht="12.75" x14ac:dyDescent="0.2">
      <c r="B284" s="243">
        <v>6.6125746126520002E-2</v>
      </c>
      <c r="D284" s="248"/>
      <c r="E284" s="248"/>
      <c r="F284" s="248"/>
      <c r="G284" s="248"/>
      <c r="H284" s="248"/>
      <c r="I284" s="248"/>
      <c r="J284" s="248"/>
      <c r="K284" s="248"/>
      <c r="L284" s="248"/>
      <c r="M284" s="249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  <c r="AA284" s="248"/>
      <c r="AB284" s="248"/>
      <c r="AC284" s="248"/>
      <c r="AD284" s="248"/>
      <c r="AE284" s="248"/>
      <c r="AF284" s="248"/>
      <c r="AG284" s="248"/>
      <c r="AH284" s="248"/>
      <c r="AI284" s="248"/>
      <c r="AJ284" s="248"/>
      <c r="AK284" s="248"/>
      <c r="AL284" s="248"/>
      <c r="AM284" s="248"/>
      <c r="AN284" s="248"/>
      <c r="AO284" s="248"/>
      <c r="AP284" s="248"/>
      <c r="AQ284" s="248"/>
      <c r="AR284" s="248"/>
      <c r="AS284" s="248"/>
      <c r="AT284" s="248"/>
      <c r="AU284" s="248"/>
      <c r="AV284" s="248"/>
      <c r="AW284" s="248"/>
      <c r="AX284" s="248"/>
      <c r="AY284" s="248"/>
      <c r="AZ284" s="248"/>
      <c r="BA284" s="248"/>
      <c r="BB284" s="248"/>
      <c r="BC284" s="248"/>
      <c r="BD284" s="248"/>
      <c r="BE284" s="248"/>
      <c r="BF284" s="248"/>
      <c r="BG284" s="248"/>
      <c r="BH284" s="249"/>
      <c r="BI284" s="248"/>
      <c r="BJ284" s="248"/>
      <c r="BK284" s="248"/>
      <c r="BL284" s="248"/>
      <c r="BM284" s="248"/>
      <c r="BN284" s="248"/>
      <c r="BO284"/>
      <c r="BP284"/>
      <c r="BQ284"/>
      <c r="BR284"/>
      <c r="BS284"/>
      <c r="BT284" s="248"/>
      <c r="BU284" s="248"/>
      <c r="BV284" s="248"/>
      <c r="BW284" s="248"/>
      <c r="BX284" s="248"/>
      <c r="BY284" s="248"/>
      <c r="BZ284" s="248"/>
      <c r="CA284" s="248"/>
      <c r="CB284" s="248"/>
      <c r="CC284" s="248"/>
      <c r="CD284" s="248"/>
      <c r="CE284" s="248"/>
      <c r="CF284" s="248"/>
      <c r="CG284" s="248"/>
    </row>
    <row r="285" spans="2:85" ht="12.75" x14ac:dyDescent="0.2">
      <c r="B285" s="243">
        <v>6.6126748653139014E-2</v>
      </c>
      <c r="D285" s="248"/>
      <c r="E285" s="248"/>
      <c r="F285" s="248"/>
      <c r="G285" s="248"/>
      <c r="H285" s="248"/>
      <c r="I285" s="248"/>
      <c r="J285" s="248"/>
      <c r="K285" s="248"/>
      <c r="L285" s="248"/>
      <c r="M285" s="249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  <c r="AA285" s="248"/>
      <c r="AB285" s="248"/>
      <c r="AC285" s="248"/>
      <c r="AD285" s="248"/>
      <c r="AE285" s="248"/>
      <c r="AF285" s="248"/>
      <c r="AG285" s="248"/>
      <c r="AH285" s="248"/>
      <c r="AI285" s="248"/>
      <c r="AJ285" s="248"/>
      <c r="AK285" s="248"/>
      <c r="AL285" s="248"/>
      <c r="AM285" s="248"/>
      <c r="AN285" s="248"/>
      <c r="AO285" s="248"/>
      <c r="AP285" s="248"/>
      <c r="AQ285" s="248"/>
      <c r="AR285" s="248"/>
      <c r="AS285" s="248"/>
      <c r="AT285" s="248"/>
      <c r="AU285" s="248"/>
      <c r="AV285" s="248"/>
      <c r="AW285" s="248"/>
      <c r="AX285" s="248"/>
      <c r="AY285" s="248"/>
      <c r="AZ285" s="248"/>
      <c r="BA285" s="248"/>
      <c r="BB285" s="248"/>
      <c r="BC285" s="248"/>
      <c r="BD285" s="248"/>
      <c r="BE285" s="248"/>
      <c r="BF285" s="248"/>
      <c r="BG285" s="248"/>
      <c r="BH285" s="249"/>
      <c r="BI285" s="248"/>
      <c r="BJ285" s="248"/>
      <c r="BK285" s="248"/>
      <c r="BL285" s="248"/>
      <c r="BM285" s="248"/>
      <c r="BN285" s="248"/>
      <c r="BO285"/>
      <c r="BP285"/>
      <c r="BQ285"/>
      <c r="BR285"/>
      <c r="BS285"/>
      <c r="BT285" s="248"/>
      <c r="BU285" s="248"/>
      <c r="BV285" s="248"/>
      <c r="BW285" s="248"/>
      <c r="BX285" s="248"/>
      <c r="BY285" s="248"/>
      <c r="BZ285" s="248"/>
      <c r="CA285" s="248"/>
      <c r="CB285" s="248"/>
      <c r="CC285" s="248"/>
      <c r="CD285" s="248"/>
      <c r="CE285" s="248"/>
      <c r="CF285" s="248"/>
      <c r="CG285" s="248"/>
    </row>
    <row r="286" spans="2:85" ht="12.75" x14ac:dyDescent="0.2">
      <c r="B286" s="243">
        <v>6.6127718840189018E-2</v>
      </c>
      <c r="D286" s="248"/>
      <c r="E286" s="248"/>
      <c r="F286" s="248"/>
      <c r="G286" s="248"/>
      <c r="H286" s="248"/>
      <c r="I286" s="248"/>
      <c r="J286" s="248"/>
      <c r="K286" s="248"/>
      <c r="L286" s="248"/>
      <c r="M286" s="249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  <c r="AA286" s="248"/>
      <c r="AB286" s="248"/>
      <c r="AC286" s="248"/>
      <c r="AD286" s="248"/>
      <c r="AE286" s="248"/>
      <c r="AF286" s="248"/>
      <c r="AG286" s="248"/>
      <c r="AH286" s="248"/>
      <c r="AI286" s="248"/>
      <c r="AJ286" s="248"/>
      <c r="AK286" s="248"/>
      <c r="AL286" s="248"/>
      <c r="AM286" s="248"/>
      <c r="AN286" s="248"/>
      <c r="AO286" s="248"/>
      <c r="AP286" s="248"/>
      <c r="AQ286" s="248"/>
      <c r="AR286" s="248"/>
      <c r="AS286" s="248"/>
      <c r="AT286" s="248"/>
      <c r="AU286" s="248"/>
      <c r="AV286" s="248"/>
      <c r="AW286" s="248"/>
      <c r="AX286" s="248"/>
      <c r="AY286" s="248"/>
      <c r="AZ286" s="248"/>
      <c r="BA286" s="248"/>
      <c r="BB286" s="248"/>
      <c r="BC286" s="248"/>
      <c r="BD286" s="248"/>
      <c r="BE286" s="248"/>
      <c r="BF286" s="248"/>
      <c r="BG286" s="248"/>
      <c r="BH286" s="249"/>
      <c r="BI286" s="248"/>
      <c r="BJ286" s="248"/>
      <c r="BK286" s="248"/>
      <c r="BL286" s="248"/>
      <c r="BM286" s="248"/>
      <c r="BN286" s="248"/>
      <c r="BO286"/>
      <c r="BP286"/>
      <c r="BQ286"/>
      <c r="BR286"/>
      <c r="BS286"/>
      <c r="BT286" s="248"/>
      <c r="BU286" s="248"/>
      <c r="BV286" s="248"/>
      <c r="BW286" s="248"/>
      <c r="BX286" s="248"/>
      <c r="BY286" s="248"/>
      <c r="BZ286" s="248"/>
      <c r="CA286" s="248"/>
      <c r="CB286" s="248"/>
      <c r="CC286" s="248"/>
      <c r="CD286" s="248"/>
      <c r="CE286" s="248"/>
      <c r="CF286" s="248"/>
      <c r="CG286" s="248"/>
    </row>
    <row r="287" spans="2:85" ht="12.75" x14ac:dyDescent="0.2">
      <c r="B287" s="243">
        <v>6.6128721366808002E-2</v>
      </c>
      <c r="D287" s="248"/>
      <c r="E287" s="248"/>
      <c r="F287" s="248"/>
      <c r="G287" s="248"/>
      <c r="H287" s="248"/>
      <c r="I287" s="248"/>
      <c r="J287" s="248"/>
      <c r="K287" s="248"/>
      <c r="L287" s="248"/>
      <c r="M287" s="249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  <c r="AA287" s="248"/>
      <c r="AB287" s="248"/>
      <c r="AC287" s="248"/>
      <c r="AD287" s="248"/>
      <c r="AE287" s="248"/>
      <c r="AF287" s="248"/>
      <c r="AG287" s="248"/>
      <c r="AH287" s="248"/>
      <c r="AI287" s="248"/>
      <c r="AJ287" s="248"/>
      <c r="AK287" s="248"/>
      <c r="AL287" s="248"/>
      <c r="AM287" s="248"/>
      <c r="AN287" s="248"/>
      <c r="AO287" s="248"/>
      <c r="AP287" s="248"/>
      <c r="AQ287" s="248"/>
      <c r="AR287" s="248"/>
      <c r="AS287" s="248"/>
      <c r="AT287" s="248"/>
      <c r="AU287" s="248"/>
      <c r="AV287" s="248"/>
      <c r="AW287" s="248"/>
      <c r="AX287" s="248"/>
      <c r="AY287" s="248"/>
      <c r="AZ287" s="248"/>
      <c r="BA287" s="248"/>
      <c r="BB287" s="248"/>
      <c r="BC287" s="248"/>
      <c r="BD287" s="248"/>
      <c r="BE287" s="248"/>
      <c r="BF287" s="248"/>
      <c r="BG287" s="248"/>
      <c r="BH287" s="249"/>
      <c r="BI287" s="248"/>
      <c r="BJ287" s="248"/>
      <c r="BK287" s="248"/>
      <c r="BL287" s="248"/>
      <c r="BM287" s="248"/>
      <c r="BN287" s="248"/>
      <c r="BO287"/>
      <c r="BP287"/>
      <c r="BQ287"/>
      <c r="BR287"/>
      <c r="BS287"/>
      <c r="BT287" s="248"/>
      <c r="BU287" s="248"/>
      <c r="BV287" s="248"/>
      <c r="BW287" s="248"/>
      <c r="BX287" s="248"/>
      <c r="BY287" s="248"/>
      <c r="BZ287" s="248"/>
      <c r="CA287" s="248"/>
      <c r="CB287" s="248"/>
      <c r="CC287" s="248"/>
      <c r="CD287" s="248"/>
      <c r="CE287" s="248"/>
      <c r="CF287" s="248"/>
      <c r="CG287" s="248"/>
    </row>
    <row r="288" spans="2:85" ht="12.75" x14ac:dyDescent="0.2">
      <c r="B288" s="243">
        <v>6.6129691553860004E-2</v>
      </c>
      <c r="D288" s="248"/>
      <c r="E288" s="248"/>
      <c r="F288" s="248"/>
      <c r="G288" s="248"/>
      <c r="H288" s="248"/>
      <c r="I288" s="248"/>
      <c r="J288" s="248"/>
      <c r="K288" s="248"/>
      <c r="L288" s="248"/>
      <c r="M288" s="249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  <c r="AA288" s="248"/>
      <c r="AB288" s="248"/>
      <c r="AC288" s="248"/>
      <c r="AD288" s="248"/>
      <c r="AE288" s="248"/>
      <c r="AF288" s="248"/>
      <c r="AG288" s="248"/>
      <c r="AH288" s="248"/>
      <c r="AI288" s="248"/>
      <c r="AJ288" s="248"/>
      <c r="AK288" s="248"/>
      <c r="AL288" s="248"/>
      <c r="AM288" s="248"/>
      <c r="AN288" s="248"/>
      <c r="AO288" s="248"/>
      <c r="AP288" s="248"/>
      <c r="AQ288" s="248"/>
      <c r="AR288" s="248"/>
      <c r="AS288" s="248"/>
      <c r="AT288" s="248"/>
      <c r="AU288" s="248"/>
      <c r="AV288" s="248"/>
      <c r="AW288" s="248"/>
      <c r="AX288" s="248"/>
      <c r="AY288" s="248"/>
      <c r="AZ288" s="248"/>
      <c r="BA288" s="248"/>
      <c r="BB288" s="248"/>
      <c r="BC288" s="248"/>
      <c r="BD288" s="248"/>
      <c r="BE288" s="248"/>
      <c r="BF288" s="248"/>
      <c r="BG288" s="248"/>
      <c r="BH288" s="249"/>
      <c r="BI288" s="248"/>
      <c r="BJ288" s="248"/>
      <c r="BK288" s="248"/>
      <c r="BL288" s="248"/>
      <c r="BM288" s="248"/>
      <c r="BN288" s="248"/>
      <c r="BO288"/>
      <c r="BP288"/>
      <c r="BQ288"/>
      <c r="BR288"/>
      <c r="BS288"/>
      <c r="BT288" s="248"/>
      <c r="BU288" s="248"/>
      <c r="BV288" s="248"/>
      <c r="BW288" s="248"/>
      <c r="BX288" s="248"/>
      <c r="BY288" s="248"/>
      <c r="BZ288" s="248"/>
      <c r="CA288" s="248"/>
      <c r="CB288" s="248"/>
      <c r="CC288" s="248"/>
      <c r="CD288" s="248"/>
      <c r="CE288" s="248"/>
      <c r="CF288" s="248"/>
      <c r="CG288" s="248"/>
    </row>
    <row r="289" spans="2:85" ht="12.75" x14ac:dyDescent="0.2">
      <c r="B289" s="243">
        <v>6.6130694080480001E-2</v>
      </c>
      <c r="D289" s="248"/>
      <c r="E289" s="248"/>
      <c r="F289" s="248"/>
      <c r="G289" s="248"/>
      <c r="H289" s="248"/>
      <c r="I289" s="248"/>
      <c r="J289" s="248"/>
      <c r="K289" s="248"/>
      <c r="L289" s="248"/>
      <c r="M289" s="249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  <c r="AA289" s="248"/>
      <c r="AB289" s="248"/>
      <c r="AC289" s="248"/>
      <c r="AD289" s="248"/>
      <c r="AE289" s="248"/>
      <c r="AF289" s="248"/>
      <c r="AG289" s="248"/>
      <c r="AH289" s="248"/>
      <c r="AI289" s="248"/>
      <c r="AJ289" s="248"/>
      <c r="AK289" s="248"/>
      <c r="AL289" s="248"/>
      <c r="AM289" s="248"/>
      <c r="AN289" s="248"/>
      <c r="AO289" s="248"/>
      <c r="AP289" s="248"/>
      <c r="AQ289" s="248"/>
      <c r="AR289" s="248"/>
      <c r="AS289" s="248"/>
      <c r="AT289" s="248"/>
      <c r="AU289" s="248"/>
      <c r="AV289" s="248"/>
      <c r="AW289" s="248"/>
      <c r="AX289" s="248"/>
      <c r="AY289" s="248"/>
      <c r="AZ289" s="248"/>
      <c r="BA289" s="248"/>
      <c r="BB289" s="248"/>
      <c r="BC289" s="248"/>
      <c r="BD289" s="248"/>
      <c r="BE289" s="248"/>
      <c r="BF289" s="248"/>
      <c r="BG289" s="248"/>
      <c r="BH289" s="249"/>
      <c r="BI289" s="248"/>
      <c r="BJ289" s="248"/>
      <c r="BK289" s="248"/>
      <c r="BL289" s="248"/>
      <c r="BM289" s="248"/>
      <c r="BN289" s="248"/>
      <c r="BO289"/>
      <c r="BP289"/>
      <c r="BQ289"/>
      <c r="BR289"/>
      <c r="BS289"/>
      <c r="BT289" s="248"/>
      <c r="BU289" s="248"/>
      <c r="BV289" s="248"/>
      <c r="BW289" s="248"/>
      <c r="BX289" s="248"/>
      <c r="BY289" s="248"/>
      <c r="BZ289" s="248"/>
      <c r="CA289" s="248"/>
      <c r="CB289" s="248"/>
      <c r="CC289" s="248"/>
      <c r="CD289" s="248"/>
      <c r="CE289" s="248"/>
      <c r="CF289" s="248"/>
      <c r="CG289" s="248"/>
    </row>
    <row r="290" spans="2:85" ht="12.75" x14ac:dyDescent="0.2">
      <c r="B290" s="243">
        <v>6.6131696607099999E-2</v>
      </c>
      <c r="D290" s="248"/>
      <c r="E290" s="248"/>
      <c r="F290" s="248"/>
      <c r="G290" s="248"/>
      <c r="H290" s="248"/>
      <c r="I290" s="248"/>
      <c r="J290" s="248"/>
      <c r="K290" s="248"/>
      <c r="L290" s="248"/>
      <c r="M290" s="249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  <c r="AA290" s="248"/>
      <c r="AB290" s="248"/>
      <c r="AC290" s="248"/>
      <c r="AD290" s="248"/>
      <c r="AE290" s="248"/>
      <c r="AF290" s="248"/>
      <c r="AG290" s="248"/>
      <c r="AH290" s="248"/>
      <c r="AI290" s="248"/>
      <c r="AJ290" s="248"/>
      <c r="AK290" s="248"/>
      <c r="AL290" s="248"/>
      <c r="AM290" s="248"/>
      <c r="AN290" s="248"/>
      <c r="AO290" s="248"/>
      <c r="AP290" s="248"/>
      <c r="AQ290" s="248"/>
      <c r="AR290" s="248"/>
      <c r="AS290" s="248"/>
      <c r="AT290" s="248"/>
      <c r="AU290" s="248"/>
      <c r="AV290" s="248"/>
      <c r="AW290" s="248"/>
      <c r="AX290" s="248"/>
      <c r="AY290" s="248"/>
      <c r="AZ290" s="248"/>
      <c r="BA290" s="248"/>
      <c r="BB290" s="248"/>
      <c r="BC290" s="248"/>
      <c r="BD290" s="248"/>
      <c r="BE290" s="248"/>
      <c r="BF290" s="248"/>
      <c r="BG290" s="248"/>
      <c r="BH290" s="249"/>
      <c r="BI290" s="248"/>
      <c r="BJ290" s="248"/>
      <c r="BK290" s="248"/>
      <c r="BL290" s="248"/>
      <c r="BM290" s="248"/>
      <c r="BN290" s="248"/>
      <c r="BO290"/>
      <c r="BP290"/>
      <c r="BQ290"/>
      <c r="BR290"/>
      <c r="BS290"/>
      <c r="BT290" s="248"/>
      <c r="BU290" s="248"/>
      <c r="BV290" s="248"/>
      <c r="BW290" s="248"/>
      <c r="BX290" s="248"/>
      <c r="BY290" s="248"/>
      <c r="BZ290" s="248"/>
      <c r="CA290" s="248"/>
      <c r="CB290" s="248"/>
      <c r="CC290" s="248"/>
      <c r="CD290" s="248"/>
      <c r="CE290" s="248"/>
      <c r="CF290" s="248"/>
      <c r="CG290" s="248"/>
    </row>
    <row r="291" spans="2:85" ht="12.75" x14ac:dyDescent="0.2">
      <c r="B291" s="243">
        <v>6.613260211501501E-2</v>
      </c>
      <c r="D291" s="248"/>
      <c r="E291" s="248"/>
      <c r="F291" s="248"/>
      <c r="G291" s="248"/>
      <c r="H291" s="248"/>
      <c r="I291" s="248"/>
      <c r="J291" s="248"/>
      <c r="K291" s="248"/>
      <c r="L291" s="248"/>
      <c r="M291" s="249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  <c r="AA291" s="248"/>
      <c r="AB291" s="248"/>
      <c r="AC291" s="248"/>
      <c r="AD291" s="248"/>
      <c r="AE291" s="248"/>
      <c r="AF291" s="248"/>
      <c r="AG291" s="248"/>
      <c r="AH291" s="248"/>
      <c r="AI291" s="248"/>
      <c r="AJ291" s="248"/>
      <c r="AK291" s="248"/>
      <c r="AL291" s="248"/>
      <c r="AM291" s="248"/>
      <c r="AN291" s="248"/>
      <c r="AO291" s="248"/>
      <c r="AP291" s="248"/>
      <c r="AQ291" s="248"/>
      <c r="AR291" s="248"/>
      <c r="AS291" s="248"/>
      <c r="AT291" s="248"/>
      <c r="AU291" s="248"/>
      <c r="AV291" s="248"/>
      <c r="AW291" s="248"/>
      <c r="AX291" s="248"/>
      <c r="AY291" s="248"/>
      <c r="AZ291" s="248"/>
      <c r="BA291" s="248"/>
      <c r="BB291" s="248"/>
      <c r="BC291" s="248"/>
      <c r="BD291" s="248"/>
      <c r="BE291" s="248"/>
      <c r="BF291" s="248"/>
      <c r="BG291" s="248"/>
      <c r="BH291" s="249"/>
      <c r="BI291" s="248"/>
      <c r="BJ291" s="248"/>
      <c r="BK291" s="248"/>
      <c r="BL291" s="248"/>
      <c r="BM291" s="248"/>
      <c r="BN291" s="248"/>
      <c r="BO291"/>
      <c r="BP291"/>
      <c r="BQ291"/>
      <c r="BR291"/>
      <c r="BS291"/>
      <c r="BT291" s="248"/>
      <c r="BU291" s="248"/>
      <c r="BV291" s="248"/>
      <c r="BW291" s="248"/>
      <c r="BX291" s="248"/>
      <c r="BY291" s="248"/>
      <c r="BZ291" s="248"/>
      <c r="CA291" s="248"/>
      <c r="CB291" s="248"/>
      <c r="CC291" s="248"/>
      <c r="CD291" s="248"/>
      <c r="CE291" s="248"/>
      <c r="CF291" s="248"/>
      <c r="CG291" s="248"/>
    </row>
    <row r="292" spans="2:85" ht="12.75" x14ac:dyDescent="0.2">
      <c r="B292" s="243">
        <v>6.6133604641636021E-2</v>
      </c>
      <c r="D292" s="248"/>
      <c r="E292" s="248"/>
      <c r="F292" s="248"/>
      <c r="G292" s="248"/>
      <c r="H292" s="248"/>
      <c r="I292" s="248"/>
      <c r="J292" s="248"/>
      <c r="K292" s="248"/>
      <c r="L292" s="248"/>
      <c r="M292" s="249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  <c r="AA292" s="248"/>
      <c r="AB292" s="248"/>
      <c r="AC292" s="248"/>
      <c r="AD292" s="248"/>
      <c r="AE292" s="248"/>
      <c r="AF292" s="248"/>
      <c r="AG292" s="248"/>
      <c r="AH292" s="248"/>
      <c r="AI292" s="248"/>
      <c r="AJ292" s="248"/>
      <c r="AK292" s="248"/>
      <c r="AL292" s="248"/>
      <c r="AM292" s="248"/>
      <c r="AN292" s="248"/>
      <c r="AO292" s="248"/>
      <c r="AP292" s="248"/>
      <c r="AQ292" s="248"/>
      <c r="AR292" s="248"/>
      <c r="AS292" s="248"/>
      <c r="AT292" s="248"/>
      <c r="AU292" s="248"/>
      <c r="AV292" s="248"/>
      <c r="AW292" s="248"/>
      <c r="AX292" s="248"/>
      <c r="AY292" s="248"/>
      <c r="AZ292" s="248"/>
      <c r="BA292" s="248"/>
      <c r="BB292" s="248"/>
      <c r="BC292" s="248"/>
      <c r="BD292" s="248"/>
      <c r="BE292" s="248"/>
      <c r="BF292" s="248"/>
      <c r="BG292" s="248"/>
      <c r="BH292" s="249"/>
      <c r="BI292" s="248"/>
      <c r="BJ292" s="248"/>
      <c r="BK292" s="248"/>
      <c r="BL292" s="248"/>
      <c r="BM292" s="248"/>
      <c r="BN292" s="248"/>
      <c r="BO292"/>
      <c r="BP292"/>
      <c r="BQ292"/>
      <c r="BR292"/>
      <c r="BS292"/>
      <c r="BT292" s="248"/>
      <c r="BU292" s="248"/>
      <c r="BV292" s="248"/>
      <c r="BW292" s="248"/>
      <c r="BX292" s="248"/>
      <c r="BY292" s="248"/>
      <c r="BZ292" s="248"/>
      <c r="CA292" s="248"/>
      <c r="CB292" s="248"/>
      <c r="CC292" s="248"/>
      <c r="CD292" s="248"/>
      <c r="CE292" s="248"/>
      <c r="CF292" s="248"/>
      <c r="CG292" s="248"/>
    </row>
    <row r="293" spans="2:85" ht="12.75" x14ac:dyDescent="0.2">
      <c r="B293" s="243">
        <v>6.6134574828689008E-2</v>
      </c>
      <c r="D293" s="248"/>
      <c r="E293" s="248"/>
      <c r="F293" s="248"/>
      <c r="G293" s="248"/>
      <c r="H293" s="248"/>
      <c r="I293" s="248"/>
      <c r="J293" s="248"/>
      <c r="K293" s="248"/>
      <c r="L293" s="248"/>
      <c r="M293" s="249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  <c r="AA293" s="248"/>
      <c r="AB293" s="248"/>
      <c r="AC293" s="248"/>
      <c r="AD293" s="248"/>
      <c r="AE293" s="248"/>
      <c r="AF293" s="248"/>
      <c r="AG293" s="248"/>
      <c r="AH293" s="248"/>
      <c r="AI293" s="248"/>
      <c r="AJ293" s="248"/>
      <c r="AK293" s="248"/>
      <c r="AL293" s="248"/>
      <c r="AM293" s="248"/>
      <c r="AN293" s="248"/>
      <c r="AO293" s="248"/>
      <c r="AP293" s="248"/>
      <c r="AQ293" s="248"/>
      <c r="AR293" s="248"/>
      <c r="AS293" s="248"/>
      <c r="AT293" s="248"/>
      <c r="AU293" s="248"/>
      <c r="AV293" s="248"/>
      <c r="AW293" s="248"/>
      <c r="AX293" s="248"/>
      <c r="AY293" s="248"/>
      <c r="AZ293" s="248"/>
      <c r="BA293" s="248"/>
      <c r="BB293" s="248"/>
      <c r="BC293" s="248"/>
      <c r="BD293" s="248"/>
      <c r="BE293" s="248"/>
      <c r="BF293" s="248"/>
      <c r="BG293" s="248"/>
      <c r="BH293" s="249"/>
      <c r="BI293" s="248"/>
      <c r="BJ293" s="248"/>
      <c r="BK293" s="248"/>
      <c r="BL293" s="248"/>
      <c r="BM293" s="248"/>
      <c r="BN293" s="248"/>
      <c r="BO293"/>
      <c r="BP293"/>
      <c r="BQ293"/>
      <c r="BR293"/>
      <c r="BS293"/>
      <c r="BT293" s="248"/>
      <c r="BU293" s="248"/>
      <c r="BV293" s="248"/>
      <c r="BW293" s="248"/>
      <c r="BX293" s="248"/>
      <c r="BY293" s="248"/>
      <c r="BZ293" s="248"/>
      <c r="CA293" s="248"/>
      <c r="CB293" s="248"/>
      <c r="CC293" s="248"/>
      <c r="CD293" s="248"/>
      <c r="CE293" s="248"/>
      <c r="CF293" s="248"/>
      <c r="CG293" s="248"/>
    </row>
    <row r="294" spans="2:85" ht="12.75" x14ac:dyDescent="0.2">
      <c r="B294" s="243">
        <v>6.6135577355311018E-2</v>
      </c>
      <c r="D294" s="248"/>
      <c r="E294" s="248"/>
      <c r="F294" s="248"/>
      <c r="G294" s="248"/>
      <c r="H294" s="248"/>
      <c r="I294" s="248"/>
      <c r="J294" s="248"/>
      <c r="K294" s="248"/>
      <c r="L294" s="248"/>
      <c r="M294" s="249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  <c r="AA294" s="248"/>
      <c r="AB294" s="248"/>
      <c r="AC294" s="248"/>
      <c r="AD294" s="248"/>
      <c r="AE294" s="248"/>
      <c r="AF294" s="248"/>
      <c r="AG294" s="248"/>
      <c r="AH294" s="248"/>
      <c r="AI294" s="248"/>
      <c r="AJ294" s="248"/>
      <c r="AK294" s="248"/>
      <c r="AL294" s="248"/>
      <c r="AM294" s="248"/>
      <c r="AN294" s="248"/>
      <c r="AO294" s="248"/>
      <c r="AP294" s="248"/>
      <c r="AQ294" s="248"/>
      <c r="AR294" s="248"/>
      <c r="AS294" s="248"/>
      <c r="AT294" s="248"/>
      <c r="AU294" s="248"/>
      <c r="AV294" s="248"/>
      <c r="AW294" s="248"/>
      <c r="AX294" s="248"/>
      <c r="AY294" s="248"/>
      <c r="AZ294" s="248"/>
      <c r="BA294" s="248"/>
      <c r="BB294" s="248"/>
      <c r="BC294" s="248"/>
      <c r="BD294" s="248"/>
      <c r="BE294" s="248"/>
      <c r="BF294" s="248"/>
      <c r="BG294" s="248"/>
      <c r="BH294" s="249"/>
      <c r="BI294" s="248"/>
      <c r="BJ294" s="248"/>
      <c r="BK294" s="248"/>
      <c r="BL294" s="248"/>
      <c r="BM294" s="248"/>
      <c r="BN294" s="248"/>
      <c r="BO294"/>
      <c r="BP294"/>
      <c r="BQ294"/>
      <c r="BR294"/>
      <c r="BS294"/>
      <c r="BT294" s="248"/>
      <c r="BU294" s="248"/>
      <c r="BV294" s="248"/>
      <c r="BW294" s="248"/>
      <c r="BX294" s="248"/>
      <c r="BY294" s="248"/>
      <c r="BZ294" s="248"/>
      <c r="CA294" s="248"/>
      <c r="CB294" s="248"/>
      <c r="CC294" s="248"/>
      <c r="CD294" s="248"/>
      <c r="CE294" s="248"/>
      <c r="CF294" s="248"/>
      <c r="CG294" s="248"/>
    </row>
    <row r="295" spans="2:85" ht="12.75" x14ac:dyDescent="0.2">
      <c r="B295" s="243">
        <v>6.6136547542364019E-2</v>
      </c>
      <c r="D295" s="248"/>
      <c r="E295" s="248"/>
      <c r="F295" s="248"/>
      <c r="G295" s="248"/>
      <c r="H295" s="248"/>
      <c r="I295" s="248"/>
      <c r="J295" s="248"/>
      <c r="K295" s="248"/>
      <c r="L295" s="248"/>
      <c r="M295" s="249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  <c r="AA295" s="248"/>
      <c r="AB295" s="248"/>
      <c r="AC295" s="248"/>
      <c r="AD295" s="248"/>
      <c r="AE295" s="248"/>
      <c r="AF295" s="248"/>
      <c r="AG295" s="248"/>
      <c r="AH295" s="248"/>
      <c r="AI295" s="248"/>
      <c r="AJ295" s="248"/>
      <c r="AK295" s="248"/>
      <c r="AL295" s="248"/>
      <c r="AM295" s="248"/>
      <c r="AN295" s="248"/>
      <c r="AO295" s="248"/>
      <c r="AP295" s="248"/>
      <c r="AQ295" s="248"/>
      <c r="AR295" s="248"/>
      <c r="AS295" s="248"/>
      <c r="AT295" s="248"/>
      <c r="AU295" s="248"/>
      <c r="AV295" s="248"/>
      <c r="AW295" s="248"/>
      <c r="AX295" s="248"/>
      <c r="AY295" s="248"/>
      <c r="AZ295" s="248"/>
      <c r="BA295" s="248"/>
      <c r="BB295" s="248"/>
      <c r="BC295" s="248"/>
      <c r="BD295" s="248"/>
      <c r="BE295" s="248"/>
      <c r="BF295" s="248"/>
      <c r="BG295" s="248"/>
      <c r="BH295" s="249"/>
      <c r="BI295" s="248"/>
      <c r="BJ295" s="248"/>
      <c r="BK295" s="248"/>
      <c r="BL295" s="248"/>
      <c r="BM295" s="248"/>
      <c r="BN295" s="248"/>
      <c r="BO295"/>
      <c r="BP295"/>
      <c r="BQ295"/>
      <c r="BR295"/>
      <c r="BS295"/>
      <c r="BT295" s="248"/>
      <c r="BU295" s="248"/>
      <c r="BV295" s="248"/>
      <c r="BW295" s="248"/>
      <c r="BX295" s="248"/>
      <c r="BY295" s="248"/>
      <c r="BZ295" s="248"/>
      <c r="CA295" s="248"/>
      <c r="CB295" s="248"/>
      <c r="CC295" s="248"/>
      <c r="CD295" s="248"/>
      <c r="CE295" s="248"/>
      <c r="CF295" s="248"/>
      <c r="CG295" s="248"/>
    </row>
    <row r="296" spans="2:85" ht="12.75" x14ac:dyDescent="0.2">
      <c r="B296" s="243">
        <v>6.6137550068986029E-2</v>
      </c>
      <c r="D296" s="248"/>
      <c r="E296" s="248"/>
      <c r="F296" s="248"/>
      <c r="G296" s="248"/>
      <c r="H296" s="248"/>
      <c r="I296" s="248"/>
      <c r="J296" s="248"/>
      <c r="K296" s="248"/>
      <c r="L296" s="248"/>
      <c r="M296" s="249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  <c r="AA296" s="248"/>
      <c r="AB296" s="248"/>
      <c r="AC296" s="248"/>
      <c r="AD296" s="248"/>
      <c r="AE296" s="248"/>
      <c r="AF296" s="248"/>
      <c r="AG296" s="248"/>
      <c r="AH296" s="248"/>
      <c r="AI296" s="248"/>
      <c r="AJ296" s="248"/>
      <c r="AK296" s="248"/>
      <c r="AL296" s="248"/>
      <c r="AM296" s="248"/>
      <c r="AN296" s="248"/>
      <c r="AO296" s="248"/>
      <c r="AP296" s="248"/>
      <c r="AQ296" s="248"/>
      <c r="AR296" s="248"/>
      <c r="AS296" s="248"/>
      <c r="AT296" s="248"/>
      <c r="AU296" s="248"/>
      <c r="AV296" s="248"/>
      <c r="AW296" s="248"/>
      <c r="AX296" s="248"/>
      <c r="AY296" s="248"/>
      <c r="AZ296" s="248"/>
      <c r="BA296" s="248"/>
      <c r="BB296" s="248"/>
      <c r="BC296" s="248"/>
      <c r="BD296" s="248"/>
      <c r="BE296" s="248"/>
      <c r="BF296" s="248"/>
      <c r="BG296" s="248"/>
      <c r="BH296" s="249"/>
      <c r="BI296" s="248"/>
      <c r="BJ296" s="248"/>
      <c r="BK296" s="248"/>
      <c r="BL296" s="248"/>
      <c r="BM296" s="248"/>
      <c r="BN296" s="248"/>
      <c r="BO296"/>
      <c r="BP296"/>
      <c r="BQ296"/>
      <c r="BR296"/>
      <c r="BS296"/>
      <c r="BT296" s="248"/>
      <c r="BU296" s="248"/>
      <c r="BV296" s="248"/>
      <c r="BW296" s="248"/>
      <c r="BX296" s="248"/>
      <c r="BY296" s="248"/>
      <c r="BZ296" s="248"/>
      <c r="CA296" s="248"/>
      <c r="CB296" s="248"/>
      <c r="CC296" s="248"/>
      <c r="CD296" s="248"/>
      <c r="CE296" s="248"/>
      <c r="CF296" s="248"/>
      <c r="CG296" s="248"/>
    </row>
    <row r="297" spans="2:85" ht="12.75" x14ac:dyDescent="0.2">
      <c r="B297" s="243">
        <v>6.6138552595609024E-2</v>
      </c>
      <c r="D297" s="248"/>
      <c r="E297" s="248"/>
      <c r="F297" s="248"/>
      <c r="G297" s="248"/>
      <c r="H297" s="248"/>
      <c r="I297" s="248"/>
      <c r="J297" s="248"/>
      <c r="K297" s="248"/>
      <c r="L297" s="248"/>
      <c r="M297" s="249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  <c r="AA297" s="248"/>
      <c r="AB297" s="248"/>
      <c r="AC297" s="248"/>
      <c r="AD297" s="248"/>
      <c r="AE297" s="248"/>
      <c r="AF297" s="248"/>
      <c r="AG297" s="248"/>
      <c r="AH297" s="248"/>
      <c r="AI297" s="248"/>
      <c r="AJ297" s="248"/>
      <c r="AK297" s="248"/>
      <c r="AL297" s="248"/>
      <c r="AM297" s="248"/>
      <c r="AN297" s="248"/>
      <c r="AO297" s="248"/>
      <c r="AP297" s="248"/>
      <c r="AQ297" s="248"/>
      <c r="AR297" s="248"/>
      <c r="AS297" s="248"/>
      <c r="AT297" s="248"/>
      <c r="AU297" s="248"/>
      <c r="AV297" s="248"/>
      <c r="AW297" s="248"/>
      <c r="AX297" s="248"/>
      <c r="AY297" s="248"/>
      <c r="AZ297" s="248"/>
      <c r="BA297" s="248"/>
      <c r="BB297" s="248"/>
      <c r="BC297" s="248"/>
      <c r="BD297" s="248"/>
      <c r="BE297" s="248"/>
      <c r="BF297" s="248"/>
      <c r="BG297" s="248"/>
      <c r="BH297" s="249"/>
      <c r="BI297" s="248"/>
      <c r="BJ297" s="248"/>
      <c r="BK297" s="248"/>
      <c r="BL297" s="248"/>
      <c r="BM297" s="248"/>
      <c r="BN297" s="248"/>
      <c r="BO297"/>
      <c r="BP297"/>
      <c r="BQ297"/>
      <c r="BR297"/>
      <c r="BS297"/>
      <c r="BT297" s="248"/>
      <c r="BU297" s="248"/>
      <c r="BV297" s="248"/>
      <c r="BW297" s="248"/>
      <c r="BX297" s="248"/>
      <c r="BY297" s="248"/>
      <c r="BZ297" s="248"/>
      <c r="CA297" s="248"/>
      <c r="CB297" s="248"/>
      <c r="CC297" s="248"/>
      <c r="CD297" s="248"/>
      <c r="CE297" s="248"/>
      <c r="CF297" s="248"/>
      <c r="CG297" s="248"/>
    </row>
    <row r="298" spans="2:85" ht="12.75" x14ac:dyDescent="0.2">
      <c r="B298" s="243">
        <v>6.613952278266301E-2</v>
      </c>
      <c r="D298" s="248"/>
      <c r="E298" s="248"/>
      <c r="F298" s="248"/>
      <c r="G298" s="248"/>
      <c r="H298" s="248"/>
      <c r="I298" s="248"/>
      <c r="J298" s="248"/>
      <c r="K298" s="248"/>
      <c r="L298" s="248"/>
      <c r="M298" s="249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  <c r="AA298" s="248"/>
      <c r="AB298" s="248"/>
      <c r="AC298" s="248"/>
      <c r="AD298" s="248"/>
      <c r="AE298" s="248"/>
      <c r="AF298" s="248"/>
      <c r="AG298" s="248"/>
      <c r="AH298" s="248"/>
      <c r="AI298" s="248"/>
      <c r="AJ298" s="248"/>
      <c r="AK298" s="248"/>
      <c r="AL298" s="248"/>
      <c r="AM298" s="248"/>
      <c r="AN298" s="248"/>
      <c r="AO298" s="248"/>
      <c r="AP298" s="248"/>
      <c r="AQ298" s="248"/>
      <c r="AR298" s="248"/>
      <c r="AS298" s="248"/>
      <c r="AT298" s="248"/>
      <c r="AU298" s="248"/>
      <c r="AV298" s="248"/>
      <c r="AW298" s="248"/>
      <c r="AX298" s="248"/>
      <c r="AY298" s="248"/>
      <c r="AZ298" s="248"/>
      <c r="BA298" s="248"/>
      <c r="BB298" s="248"/>
      <c r="BC298" s="248"/>
      <c r="BD298" s="248"/>
      <c r="BE298" s="248"/>
      <c r="BF298" s="248"/>
      <c r="BG298" s="248"/>
      <c r="BH298" s="249"/>
      <c r="BI298" s="248"/>
      <c r="BJ298" s="248"/>
      <c r="BK298" s="248"/>
      <c r="BL298" s="248"/>
      <c r="BM298" s="248"/>
      <c r="BN298" s="248"/>
      <c r="BO298"/>
      <c r="BP298"/>
      <c r="BQ298"/>
      <c r="BR298"/>
      <c r="BS298"/>
      <c r="BT298" s="248"/>
      <c r="BU298" s="248"/>
      <c r="BV298" s="248"/>
      <c r="BW298" s="248"/>
      <c r="BX298" s="248"/>
      <c r="BY298" s="248"/>
      <c r="BZ298" s="248"/>
      <c r="CA298" s="248"/>
      <c r="CB298" s="248"/>
      <c r="CC298" s="248"/>
      <c r="CD298" s="248"/>
      <c r="CE298" s="248"/>
      <c r="CF298" s="248"/>
      <c r="CG298" s="248"/>
    </row>
    <row r="299" spans="2:85" ht="12.75" x14ac:dyDescent="0.2">
      <c r="B299" s="243">
        <v>6.6140525309286019E-2</v>
      </c>
      <c r="D299" s="248"/>
      <c r="E299" s="248"/>
      <c r="F299" s="248"/>
      <c r="G299" s="248"/>
      <c r="H299" s="248"/>
      <c r="I299" s="248"/>
      <c r="J299" s="248"/>
      <c r="K299" s="248"/>
      <c r="L299" s="248"/>
      <c r="M299" s="249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  <c r="AA299" s="248"/>
      <c r="AB299" s="248"/>
      <c r="AC299" s="248"/>
      <c r="AD299" s="248"/>
      <c r="AE299" s="248"/>
      <c r="AF299" s="248"/>
      <c r="AG299" s="248"/>
      <c r="AH299" s="248"/>
      <c r="AI299" s="248"/>
      <c r="AJ299" s="248"/>
      <c r="AK299" s="248"/>
      <c r="AL299" s="248"/>
      <c r="AM299" s="248"/>
      <c r="AN299" s="248"/>
      <c r="AO299" s="248"/>
      <c r="AP299" s="248"/>
      <c r="AQ299" s="248"/>
      <c r="AR299" s="248"/>
      <c r="AS299" s="248"/>
      <c r="AT299" s="248"/>
      <c r="AU299" s="248"/>
      <c r="AV299" s="248"/>
      <c r="AW299" s="248"/>
      <c r="AX299" s="248"/>
      <c r="AY299" s="248"/>
      <c r="AZ299" s="248"/>
      <c r="BA299" s="248"/>
      <c r="BB299" s="248"/>
      <c r="BC299" s="248"/>
      <c r="BD299" s="248"/>
      <c r="BE299" s="248"/>
      <c r="BF299" s="248"/>
      <c r="BG299" s="248"/>
      <c r="BH299" s="249"/>
      <c r="BI299" s="248"/>
      <c r="BJ299" s="248"/>
      <c r="BK299" s="248"/>
      <c r="BL299" s="248"/>
      <c r="BM299" s="248"/>
      <c r="BN299" s="248"/>
      <c r="BO299"/>
      <c r="BP299"/>
      <c r="BQ299"/>
      <c r="BR299"/>
      <c r="BS299"/>
      <c r="BT299" s="248"/>
      <c r="BU299" s="248"/>
      <c r="BV299" s="248"/>
      <c r="BW299" s="248"/>
      <c r="BX299" s="248"/>
      <c r="BY299" s="248"/>
      <c r="BZ299" s="248"/>
      <c r="CA299" s="248"/>
      <c r="CB299" s="248"/>
      <c r="CC299" s="248"/>
      <c r="CD299" s="248"/>
      <c r="CE299" s="248"/>
      <c r="CF299" s="248"/>
      <c r="CG299" s="248"/>
    </row>
    <row r="300" spans="2:85" ht="12.75" x14ac:dyDescent="0.2">
      <c r="B300" s="243">
        <v>6.6141495496341018E-2</v>
      </c>
      <c r="D300" s="248"/>
      <c r="E300" s="248"/>
      <c r="F300" s="248"/>
      <c r="G300" s="248"/>
      <c r="H300" s="248"/>
      <c r="I300" s="248"/>
      <c r="J300" s="248"/>
      <c r="K300" s="248"/>
      <c r="L300" s="248"/>
      <c r="M300" s="249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  <c r="AA300" s="248"/>
      <c r="AB300" s="248"/>
      <c r="AC300" s="248"/>
      <c r="AD300" s="248"/>
      <c r="AE300" s="248"/>
      <c r="AF300" s="248"/>
      <c r="AG300" s="248"/>
      <c r="AH300" s="248"/>
      <c r="AI300" s="248"/>
      <c r="AJ300" s="248"/>
      <c r="AK300" s="248"/>
      <c r="AL300" s="248"/>
      <c r="AM300" s="248"/>
      <c r="AN300" s="248"/>
      <c r="AO300" s="248"/>
      <c r="AP300" s="248"/>
      <c r="AQ300" s="248"/>
      <c r="AR300" s="248"/>
      <c r="AS300" s="248"/>
      <c r="AT300" s="248"/>
      <c r="AU300" s="248"/>
      <c r="AV300" s="248"/>
      <c r="AW300" s="248"/>
      <c r="AX300" s="248"/>
      <c r="AY300" s="248"/>
      <c r="AZ300" s="248"/>
      <c r="BA300" s="248"/>
      <c r="BB300" s="248"/>
      <c r="BC300" s="248"/>
      <c r="BD300" s="248"/>
      <c r="BE300" s="248"/>
      <c r="BF300" s="248"/>
      <c r="BG300" s="248"/>
      <c r="BH300" s="249"/>
      <c r="BI300" s="248"/>
      <c r="BJ300" s="248"/>
      <c r="BK300" s="248"/>
      <c r="BL300" s="248"/>
      <c r="BM300" s="248"/>
      <c r="BN300" s="248"/>
      <c r="BO300"/>
      <c r="BP300"/>
      <c r="BQ300"/>
      <c r="BR300"/>
      <c r="BS300"/>
      <c r="BT300" s="248"/>
      <c r="BU300" s="248"/>
      <c r="BV300" s="248"/>
      <c r="BW300" s="248"/>
      <c r="BX300" s="248"/>
      <c r="BY300" s="248"/>
      <c r="BZ300" s="248"/>
      <c r="CA300" s="248"/>
      <c r="CB300" s="248"/>
      <c r="CC300" s="248"/>
      <c r="CD300" s="248"/>
      <c r="CE300" s="248"/>
      <c r="CF300" s="248"/>
      <c r="CG300" s="248"/>
    </row>
    <row r="301" spans="2:85" ht="12.75" x14ac:dyDescent="0.2">
      <c r="B301" s="243">
        <v>6.6142498022965013E-2</v>
      </c>
      <c r="D301" s="248"/>
      <c r="E301" s="248"/>
      <c r="F301" s="248"/>
      <c r="G301" s="248"/>
      <c r="H301" s="248"/>
      <c r="I301" s="248"/>
      <c r="J301" s="248"/>
      <c r="K301" s="248"/>
      <c r="L301" s="248"/>
      <c r="M301" s="249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  <c r="AA301" s="248"/>
      <c r="AB301" s="248"/>
      <c r="AC301" s="248"/>
      <c r="AD301" s="248"/>
      <c r="AE301" s="248"/>
      <c r="AF301" s="248"/>
      <c r="AG301" s="248"/>
      <c r="AH301" s="248"/>
      <c r="AI301" s="248"/>
      <c r="AJ301" s="248"/>
      <c r="AK301" s="248"/>
      <c r="AL301" s="248"/>
      <c r="AM301" s="248"/>
      <c r="AN301" s="248"/>
      <c r="AO301" s="248"/>
      <c r="AP301" s="248"/>
      <c r="AQ301" s="248"/>
      <c r="AR301" s="248"/>
      <c r="AS301" s="248"/>
      <c r="AT301" s="248"/>
      <c r="AU301" s="248"/>
      <c r="AV301" s="248"/>
      <c r="AW301" s="248"/>
      <c r="AX301" s="248"/>
      <c r="AY301" s="248"/>
      <c r="AZ301" s="248"/>
      <c r="BA301" s="248"/>
      <c r="BB301" s="248"/>
      <c r="BC301" s="248"/>
      <c r="BD301" s="248"/>
      <c r="BE301" s="248"/>
      <c r="BF301" s="248"/>
      <c r="BG301" s="248"/>
      <c r="BH301" s="249"/>
      <c r="BI301" s="248"/>
      <c r="BJ301" s="248"/>
      <c r="BK301" s="248"/>
      <c r="BL301" s="248"/>
      <c r="BM301" s="248"/>
      <c r="BN301" s="248"/>
      <c r="BO301"/>
      <c r="BP301"/>
      <c r="BQ301"/>
      <c r="BR301"/>
      <c r="BS301"/>
      <c r="BT301" s="248"/>
      <c r="BU301" s="248"/>
      <c r="BV301" s="248"/>
      <c r="BW301" s="248"/>
      <c r="BX301" s="248"/>
      <c r="BY301" s="248"/>
      <c r="BZ301" s="248"/>
      <c r="CA301" s="248"/>
      <c r="CB301" s="248"/>
      <c r="CC301" s="248"/>
      <c r="CD301" s="248"/>
      <c r="CE301" s="248"/>
      <c r="CF301" s="248"/>
      <c r="CG301" s="248"/>
    </row>
    <row r="302" spans="2:85" ht="12.75" x14ac:dyDescent="0.2">
      <c r="B302" s="243">
        <v>6.6143500549589021E-2</v>
      </c>
      <c r="D302" s="248"/>
      <c r="E302" s="248"/>
      <c r="F302" s="248"/>
      <c r="G302" s="248"/>
      <c r="H302" s="248"/>
      <c r="I302" s="248"/>
      <c r="J302" s="248"/>
      <c r="K302" s="248"/>
      <c r="L302" s="248"/>
      <c r="M302" s="249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  <c r="AA302" s="248"/>
      <c r="AB302" s="248"/>
      <c r="AC302" s="248"/>
      <c r="AD302" s="248"/>
      <c r="AE302" s="248"/>
      <c r="AF302" s="248"/>
      <c r="AG302" s="248"/>
      <c r="AH302" s="248"/>
      <c r="AI302" s="248"/>
      <c r="AJ302" s="248"/>
      <c r="AK302" s="248"/>
      <c r="AL302" s="248"/>
      <c r="AM302" s="248"/>
      <c r="AN302" s="248"/>
      <c r="AO302" s="248"/>
      <c r="AP302" s="248"/>
      <c r="AQ302" s="248"/>
      <c r="AR302" s="248"/>
      <c r="AS302" s="248"/>
      <c r="AT302" s="248"/>
      <c r="AU302" s="248"/>
      <c r="AV302" s="248"/>
      <c r="AW302" s="248"/>
      <c r="AX302" s="248"/>
      <c r="AY302" s="248"/>
      <c r="AZ302" s="248"/>
      <c r="BA302" s="248"/>
      <c r="BB302" s="248"/>
      <c r="BC302" s="248"/>
      <c r="BD302" s="248"/>
      <c r="BE302" s="248"/>
      <c r="BF302" s="248"/>
      <c r="BG302" s="248"/>
      <c r="BH302" s="249"/>
      <c r="BI302" s="248"/>
      <c r="BJ302" s="248"/>
      <c r="BK302" s="248"/>
      <c r="BL302" s="248"/>
      <c r="BM302" s="248"/>
      <c r="BN302" s="248"/>
      <c r="BO302"/>
      <c r="BP302"/>
      <c r="BQ302"/>
      <c r="BR302"/>
      <c r="BS302"/>
      <c r="BT302" s="248"/>
      <c r="BU302" s="248"/>
      <c r="BV302" s="248"/>
      <c r="BW302" s="248"/>
      <c r="BX302" s="248"/>
      <c r="BY302" s="248"/>
      <c r="BZ302" s="248"/>
      <c r="CA302" s="248"/>
      <c r="CB302" s="248"/>
      <c r="CC302" s="248"/>
      <c r="CD302" s="248"/>
      <c r="CE302" s="248"/>
      <c r="CF302" s="248"/>
      <c r="CG302" s="248"/>
    </row>
    <row r="303" spans="2:85" ht="12.75" x14ac:dyDescent="0.2">
      <c r="B303" s="243">
        <v>6.6144406057508015E-2</v>
      </c>
      <c r="D303" s="248"/>
      <c r="E303" s="248"/>
      <c r="F303" s="248"/>
      <c r="G303" s="248"/>
      <c r="H303" s="248"/>
      <c r="I303" s="248"/>
      <c r="J303" s="248"/>
      <c r="K303" s="248"/>
      <c r="L303" s="248"/>
      <c r="M303" s="249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  <c r="AA303" s="248"/>
      <c r="AB303" s="248"/>
      <c r="AC303" s="248"/>
      <c r="AD303" s="248"/>
      <c r="AE303" s="248"/>
      <c r="AF303" s="248"/>
      <c r="AG303" s="248"/>
      <c r="AH303" s="248"/>
      <c r="AI303" s="248"/>
      <c r="AJ303" s="248"/>
      <c r="AK303" s="248"/>
      <c r="AL303" s="248"/>
      <c r="AM303" s="248"/>
      <c r="AN303" s="248"/>
      <c r="AO303" s="248"/>
      <c r="AP303" s="248"/>
      <c r="AQ303" s="248"/>
      <c r="AR303" s="248"/>
      <c r="AS303" s="248"/>
      <c r="AT303" s="248"/>
      <c r="AU303" s="248"/>
      <c r="AV303" s="248"/>
      <c r="AW303" s="248"/>
      <c r="AX303" s="248"/>
      <c r="AY303" s="248"/>
      <c r="AZ303" s="248"/>
      <c r="BA303" s="248"/>
      <c r="BB303" s="248"/>
      <c r="BC303" s="248"/>
      <c r="BD303" s="248"/>
      <c r="BE303" s="248"/>
      <c r="BF303" s="248"/>
      <c r="BG303" s="248"/>
      <c r="BH303" s="249"/>
      <c r="BI303" s="248"/>
      <c r="BJ303" s="248"/>
      <c r="BK303" s="248"/>
      <c r="BL303" s="248"/>
      <c r="BM303" s="248"/>
      <c r="BN303" s="248"/>
      <c r="BO303"/>
      <c r="BP303"/>
      <c r="BQ303"/>
      <c r="BR303"/>
      <c r="BS303"/>
      <c r="BT303" s="248"/>
      <c r="BU303" s="248"/>
      <c r="BV303" s="248"/>
      <c r="BW303" s="248"/>
      <c r="BX303" s="248"/>
      <c r="BY303" s="248"/>
      <c r="BZ303" s="248"/>
      <c r="CA303" s="248"/>
      <c r="CB303" s="248"/>
      <c r="CC303" s="248"/>
      <c r="CD303" s="248"/>
      <c r="CE303" s="248"/>
      <c r="CF303" s="248"/>
      <c r="CG303" s="248"/>
    </row>
    <row r="304" spans="2:85" ht="12.75" x14ac:dyDescent="0.2">
      <c r="B304" s="243">
        <v>6.6145408584133009E-2</v>
      </c>
      <c r="D304" s="248"/>
      <c r="E304" s="248"/>
      <c r="F304" s="248"/>
      <c r="G304" s="248"/>
      <c r="H304" s="248"/>
      <c r="I304" s="248"/>
      <c r="J304" s="248"/>
      <c r="K304" s="248"/>
      <c r="L304" s="248"/>
      <c r="M304" s="249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  <c r="AA304" s="248"/>
      <c r="AB304" s="248"/>
      <c r="AC304" s="248"/>
      <c r="AD304" s="248"/>
      <c r="AE304" s="248"/>
      <c r="AF304" s="248"/>
      <c r="AG304" s="248"/>
      <c r="AH304" s="248"/>
      <c r="AI304" s="248"/>
      <c r="AJ304" s="248"/>
      <c r="AK304" s="248"/>
      <c r="AL304" s="248"/>
      <c r="AM304" s="248"/>
      <c r="AN304" s="248"/>
      <c r="AO304" s="248"/>
      <c r="AP304" s="248"/>
      <c r="AQ304" s="248"/>
      <c r="AR304" s="248"/>
      <c r="AS304" s="248"/>
      <c r="AT304" s="248"/>
      <c r="AU304" s="248"/>
      <c r="AV304" s="248"/>
      <c r="AW304" s="248"/>
      <c r="AX304" s="248"/>
      <c r="AY304" s="248"/>
      <c r="AZ304" s="248"/>
      <c r="BA304" s="248"/>
      <c r="BB304" s="248"/>
      <c r="BC304" s="248"/>
      <c r="BD304" s="248"/>
      <c r="BE304" s="248"/>
      <c r="BF304" s="248"/>
      <c r="BG304" s="248"/>
      <c r="BH304" s="249"/>
      <c r="BI304" s="248"/>
      <c r="BJ304" s="248"/>
      <c r="BK304" s="248"/>
      <c r="BL304" s="248"/>
      <c r="BM304" s="248"/>
      <c r="BN304" s="248"/>
      <c r="BO304"/>
      <c r="BP304"/>
      <c r="BQ304"/>
      <c r="BR304"/>
      <c r="BS304"/>
      <c r="BT304" s="248"/>
      <c r="BU304" s="248"/>
      <c r="BV304" s="248"/>
      <c r="BW304" s="248"/>
      <c r="BX304" s="248"/>
      <c r="BY304" s="248"/>
      <c r="BZ304" s="248"/>
      <c r="CA304" s="248"/>
      <c r="CB304" s="248"/>
      <c r="CC304" s="248"/>
      <c r="CD304" s="248"/>
      <c r="CE304" s="248"/>
      <c r="CF304" s="248"/>
      <c r="CG304" s="248"/>
    </row>
    <row r="305" spans="2:85" ht="12.75" x14ac:dyDescent="0.2">
      <c r="B305" s="243">
        <v>6.6146378771190006E-2</v>
      </c>
      <c r="D305" s="248"/>
      <c r="E305" s="248"/>
      <c r="F305" s="248"/>
      <c r="G305" s="248"/>
      <c r="H305" s="248"/>
      <c r="I305" s="248"/>
      <c r="J305" s="248"/>
      <c r="K305" s="248"/>
      <c r="L305" s="248"/>
      <c r="M305" s="249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  <c r="AA305" s="248"/>
      <c r="AB305" s="248"/>
      <c r="AC305" s="248"/>
      <c r="AD305" s="248"/>
      <c r="AE305" s="248"/>
      <c r="AF305" s="248"/>
      <c r="AG305" s="248"/>
      <c r="AH305" s="248"/>
      <c r="AI305" s="248"/>
      <c r="AJ305" s="248"/>
      <c r="AK305" s="248"/>
      <c r="AL305" s="248"/>
      <c r="AM305" s="248"/>
      <c r="AN305" s="248"/>
      <c r="AO305" s="248"/>
      <c r="AP305" s="248"/>
      <c r="AQ305" s="248"/>
      <c r="AR305" s="248"/>
      <c r="AS305" s="248"/>
      <c r="AT305" s="248"/>
      <c r="AU305" s="248"/>
      <c r="AV305" s="248"/>
      <c r="AW305" s="248"/>
      <c r="AX305" s="248"/>
      <c r="AY305" s="248"/>
      <c r="AZ305" s="248"/>
      <c r="BA305" s="248"/>
      <c r="BB305" s="248"/>
      <c r="BC305" s="248"/>
      <c r="BD305" s="248"/>
      <c r="BE305" s="248"/>
      <c r="BF305" s="248"/>
      <c r="BG305" s="248"/>
      <c r="BH305" s="249"/>
      <c r="BI305" s="248"/>
      <c r="BJ305" s="248"/>
      <c r="BK305" s="248"/>
      <c r="BL305" s="248"/>
      <c r="BM305" s="248"/>
      <c r="BN305" s="248"/>
      <c r="BO305"/>
      <c r="BP305"/>
      <c r="BQ305"/>
      <c r="BR305"/>
      <c r="BS305"/>
      <c r="BT305" s="248"/>
      <c r="BU305" s="248"/>
      <c r="BV305" s="248"/>
      <c r="BW305" s="248"/>
      <c r="BX305" s="248"/>
      <c r="BY305" s="248"/>
      <c r="BZ305" s="248"/>
      <c r="CA305" s="248"/>
      <c r="CB305" s="248"/>
      <c r="CC305" s="248"/>
      <c r="CD305" s="248"/>
      <c r="CE305" s="248"/>
      <c r="CF305" s="248"/>
      <c r="CG305" s="248"/>
    </row>
    <row r="306" spans="2:85" ht="12.75" x14ac:dyDescent="0.2">
      <c r="B306" s="243">
        <v>6.6147381297815014E-2</v>
      </c>
      <c r="D306" s="248"/>
      <c r="E306" s="248"/>
      <c r="F306" s="248"/>
      <c r="G306" s="248"/>
      <c r="H306" s="248"/>
      <c r="I306" s="248"/>
      <c r="J306" s="248"/>
      <c r="K306" s="248"/>
      <c r="L306" s="248"/>
      <c r="M306" s="249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  <c r="AA306" s="248"/>
      <c r="AB306" s="248"/>
      <c r="AC306" s="248"/>
      <c r="AD306" s="248"/>
      <c r="AE306" s="248"/>
      <c r="AF306" s="248"/>
      <c r="AG306" s="248"/>
      <c r="AH306" s="248"/>
      <c r="AI306" s="248"/>
      <c r="AJ306" s="248"/>
      <c r="AK306" s="248"/>
      <c r="AL306" s="248"/>
      <c r="AM306" s="248"/>
      <c r="AN306" s="248"/>
      <c r="AO306" s="248"/>
      <c r="AP306" s="248"/>
      <c r="AQ306" s="248"/>
      <c r="AR306" s="248"/>
      <c r="AS306" s="248"/>
      <c r="AT306" s="248"/>
      <c r="AU306" s="248"/>
      <c r="AV306" s="248"/>
      <c r="AW306" s="248"/>
      <c r="AX306" s="248"/>
      <c r="AY306" s="248"/>
      <c r="AZ306" s="248"/>
      <c r="BA306" s="248"/>
      <c r="BB306" s="248"/>
      <c r="BC306" s="248"/>
      <c r="BD306" s="248"/>
      <c r="BE306" s="248"/>
      <c r="BF306" s="248"/>
      <c r="BG306" s="248"/>
      <c r="BH306" s="249"/>
      <c r="BI306" s="248"/>
      <c r="BJ306" s="248"/>
      <c r="BK306" s="248"/>
      <c r="BL306" s="248"/>
      <c r="BM306" s="248"/>
      <c r="BN306" s="248"/>
      <c r="BO306"/>
      <c r="BP306"/>
      <c r="BQ306"/>
      <c r="BR306"/>
      <c r="BS306"/>
      <c r="BT306" s="248"/>
      <c r="BU306" s="248"/>
      <c r="BV306" s="248"/>
      <c r="BW306" s="248"/>
      <c r="BX306" s="248"/>
      <c r="BY306" s="248"/>
      <c r="BZ306" s="248"/>
      <c r="CA306" s="248"/>
      <c r="CB306" s="248"/>
      <c r="CC306" s="248"/>
      <c r="CD306" s="248"/>
      <c r="CE306" s="248"/>
      <c r="CF306" s="248"/>
      <c r="CG306" s="248"/>
    </row>
    <row r="307" spans="2:85" ht="12.75" x14ac:dyDescent="0.2">
      <c r="B307" s="243">
        <v>6.6148351484872012E-2</v>
      </c>
      <c r="D307" s="248"/>
      <c r="E307" s="248"/>
      <c r="F307" s="248"/>
      <c r="G307" s="248"/>
      <c r="H307" s="248"/>
      <c r="I307" s="248"/>
      <c r="J307" s="248"/>
      <c r="K307" s="248"/>
      <c r="L307" s="248"/>
      <c r="M307" s="249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  <c r="AA307" s="248"/>
      <c r="AB307" s="248"/>
      <c r="AC307" s="248"/>
      <c r="AD307" s="248"/>
      <c r="AE307" s="248"/>
      <c r="AF307" s="248"/>
      <c r="AG307" s="248"/>
      <c r="AH307" s="248"/>
      <c r="AI307" s="248"/>
      <c r="AJ307" s="248"/>
      <c r="AK307" s="248"/>
      <c r="AL307" s="248"/>
      <c r="AM307" s="248"/>
      <c r="AN307" s="248"/>
      <c r="AO307" s="248"/>
      <c r="AP307" s="248"/>
      <c r="AQ307" s="248"/>
      <c r="AR307" s="248"/>
      <c r="AS307" s="248"/>
      <c r="AT307" s="248"/>
      <c r="AU307" s="248"/>
      <c r="AV307" s="248"/>
      <c r="AW307" s="248"/>
      <c r="AX307" s="248"/>
      <c r="AY307" s="248"/>
      <c r="AZ307" s="248"/>
      <c r="BA307" s="248"/>
      <c r="BB307" s="248"/>
      <c r="BC307" s="248"/>
      <c r="BD307" s="248"/>
      <c r="BE307" s="248"/>
      <c r="BF307" s="248"/>
      <c r="BG307" s="248"/>
      <c r="BH307" s="249"/>
      <c r="BI307" s="248"/>
      <c r="BJ307" s="248"/>
      <c r="BK307" s="248"/>
      <c r="BL307" s="248"/>
      <c r="BM307" s="248"/>
      <c r="BN307" s="248"/>
      <c r="BO307"/>
      <c r="BP307"/>
      <c r="BQ307"/>
      <c r="BR307"/>
      <c r="BS307"/>
      <c r="BT307" s="248"/>
      <c r="BU307" s="248"/>
      <c r="BV307" s="248"/>
      <c r="BW307" s="248"/>
      <c r="BX307" s="248"/>
      <c r="BY307" s="248"/>
      <c r="BZ307" s="248"/>
      <c r="CA307" s="248"/>
      <c r="CB307" s="248"/>
      <c r="CC307" s="248"/>
      <c r="CD307" s="248"/>
      <c r="CE307" s="248"/>
      <c r="CF307" s="248"/>
      <c r="CG307" s="248"/>
    </row>
    <row r="308" spans="2:85" ht="12.75" x14ac:dyDescent="0.2">
      <c r="B308" s="243">
        <v>6.6149354011497991E-2</v>
      </c>
      <c r="D308" s="248"/>
      <c r="E308" s="248"/>
      <c r="F308" s="248"/>
      <c r="G308" s="248"/>
      <c r="H308" s="248"/>
      <c r="I308" s="248"/>
      <c r="J308" s="248"/>
      <c r="K308" s="248"/>
      <c r="L308" s="248"/>
      <c r="M308" s="249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  <c r="AA308" s="248"/>
      <c r="AB308" s="248"/>
      <c r="AC308" s="248"/>
      <c r="AD308" s="248"/>
      <c r="AE308" s="248"/>
      <c r="AF308" s="248"/>
      <c r="AG308" s="248"/>
      <c r="AH308" s="248"/>
      <c r="AI308" s="248"/>
      <c r="AJ308" s="248"/>
      <c r="AK308" s="248"/>
      <c r="AL308" s="248"/>
      <c r="AM308" s="248"/>
      <c r="AN308" s="248"/>
      <c r="AO308" s="248"/>
      <c r="AP308" s="248"/>
      <c r="AQ308" s="248"/>
      <c r="AR308" s="248"/>
      <c r="AS308" s="248"/>
      <c r="AT308" s="248"/>
      <c r="AU308" s="248"/>
      <c r="AV308" s="248"/>
      <c r="AW308" s="248"/>
      <c r="AX308" s="248"/>
      <c r="AY308" s="248"/>
      <c r="AZ308" s="248"/>
      <c r="BA308" s="248"/>
      <c r="BB308" s="248"/>
      <c r="BC308" s="248"/>
      <c r="BD308" s="248"/>
      <c r="BE308" s="248"/>
      <c r="BF308" s="248"/>
      <c r="BG308" s="248"/>
      <c r="BH308" s="249"/>
      <c r="BI308" s="248"/>
      <c r="BJ308" s="248"/>
      <c r="BK308" s="248"/>
      <c r="BL308" s="248"/>
      <c r="BM308" s="248"/>
      <c r="BN308" s="248"/>
      <c r="BO308"/>
      <c r="BP308"/>
      <c r="BQ308"/>
      <c r="BR308"/>
      <c r="BS308"/>
      <c r="BT308" s="248"/>
      <c r="BU308" s="248"/>
      <c r="BV308" s="248"/>
      <c r="BW308" s="248"/>
      <c r="BX308" s="248"/>
      <c r="BY308" s="248"/>
      <c r="BZ308" s="248"/>
      <c r="CA308" s="248"/>
      <c r="CB308" s="248"/>
      <c r="CC308" s="248"/>
      <c r="CD308" s="248"/>
      <c r="CE308" s="248"/>
      <c r="CF308" s="248"/>
      <c r="CG308" s="248"/>
    </row>
    <row r="309" spans="2:85" ht="12.75" x14ac:dyDescent="0.2">
      <c r="B309" s="243">
        <v>6.615035653812501E-2</v>
      </c>
      <c r="D309" s="248"/>
      <c r="E309" s="248"/>
      <c r="F309" s="248"/>
      <c r="G309" s="248"/>
      <c r="H309" s="248"/>
      <c r="I309" s="248"/>
      <c r="J309" s="248"/>
      <c r="K309" s="248"/>
      <c r="L309" s="248"/>
      <c r="M309" s="249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  <c r="AA309" s="248"/>
      <c r="AB309" s="248"/>
      <c r="AC309" s="248"/>
      <c r="AD309" s="248"/>
      <c r="AE309" s="248"/>
      <c r="AF309" s="248"/>
      <c r="AG309" s="248"/>
      <c r="AH309" s="248"/>
      <c r="AI309" s="248"/>
      <c r="AJ309" s="248"/>
      <c r="AK309" s="248"/>
      <c r="AL309" s="248"/>
      <c r="AM309" s="248"/>
      <c r="AN309" s="248"/>
      <c r="AO309" s="248"/>
      <c r="AP309" s="248"/>
      <c r="AQ309" s="248"/>
      <c r="AR309" s="248"/>
      <c r="AS309" s="248"/>
      <c r="AT309" s="248"/>
      <c r="AU309" s="248"/>
      <c r="AV309" s="248"/>
      <c r="AW309" s="248"/>
      <c r="AX309" s="248"/>
      <c r="AY309" s="248"/>
      <c r="AZ309" s="248"/>
      <c r="BA309" s="248"/>
      <c r="BB309" s="248"/>
      <c r="BC309" s="248"/>
      <c r="BD309" s="248"/>
      <c r="BE309" s="248"/>
      <c r="BF309" s="248"/>
      <c r="BG309" s="248"/>
      <c r="BH309" s="249"/>
      <c r="BI309" s="248"/>
      <c r="BJ309" s="248"/>
      <c r="BK309" s="248"/>
      <c r="BL309" s="248"/>
      <c r="BM309" s="248"/>
      <c r="BN309" s="248"/>
      <c r="BO309"/>
      <c r="BP309"/>
      <c r="BQ309"/>
      <c r="BR309"/>
      <c r="BS309"/>
      <c r="BT309" s="248"/>
      <c r="BU309" s="248"/>
      <c r="BV309" s="248"/>
      <c r="BW309" s="248"/>
      <c r="BX309" s="248"/>
      <c r="BY309" s="248"/>
      <c r="BZ309" s="248"/>
      <c r="CA309" s="248"/>
      <c r="CB309" s="248"/>
      <c r="CC309" s="248"/>
      <c r="CD309" s="248"/>
      <c r="CE309" s="248"/>
      <c r="CF309" s="248"/>
      <c r="CG309" s="248"/>
    </row>
    <row r="310" spans="2:85" ht="12.75" x14ac:dyDescent="0.2">
      <c r="B310" s="243">
        <v>6.6151326725183007E-2</v>
      </c>
      <c r="D310" s="248"/>
      <c r="E310" s="248"/>
      <c r="F310" s="248"/>
      <c r="G310" s="248"/>
      <c r="H310" s="248"/>
      <c r="I310" s="248"/>
      <c r="J310" s="248"/>
      <c r="K310" s="248"/>
      <c r="L310" s="248"/>
      <c r="M310" s="249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  <c r="AA310" s="248"/>
      <c r="AB310" s="248"/>
      <c r="AC310" s="248"/>
      <c r="AD310" s="248"/>
      <c r="AE310" s="248"/>
      <c r="AF310" s="248"/>
      <c r="AG310" s="248"/>
      <c r="AH310" s="248"/>
      <c r="AI310" s="248"/>
      <c r="AJ310" s="248"/>
      <c r="AK310" s="248"/>
      <c r="AL310" s="248"/>
      <c r="AM310" s="248"/>
      <c r="AN310" s="248"/>
      <c r="AO310" s="248"/>
      <c r="AP310" s="248"/>
      <c r="AQ310" s="248"/>
      <c r="AR310" s="248"/>
      <c r="AS310" s="248"/>
      <c r="AT310" s="248"/>
      <c r="AU310" s="248"/>
      <c r="AV310" s="248"/>
      <c r="AW310" s="248"/>
      <c r="AX310" s="248"/>
      <c r="AY310" s="248"/>
      <c r="AZ310" s="248"/>
      <c r="BA310" s="248"/>
      <c r="BB310" s="248"/>
      <c r="BC310" s="248"/>
      <c r="BD310" s="248"/>
      <c r="BE310" s="248"/>
      <c r="BF310" s="248"/>
      <c r="BG310" s="248"/>
      <c r="BH310" s="249"/>
      <c r="BI310" s="248"/>
      <c r="BJ310" s="248"/>
      <c r="BK310" s="248"/>
      <c r="BL310" s="248"/>
      <c r="BM310" s="248"/>
      <c r="BN310" s="248"/>
      <c r="BO310"/>
      <c r="BP310"/>
      <c r="BQ310"/>
      <c r="BR310"/>
      <c r="BS310"/>
      <c r="BT310" s="248"/>
      <c r="BU310" s="248"/>
      <c r="BV310" s="248"/>
      <c r="BW310" s="248"/>
      <c r="BX310" s="248"/>
      <c r="BY310" s="248"/>
      <c r="BZ310" s="248"/>
      <c r="CA310" s="248"/>
      <c r="CB310" s="248"/>
      <c r="CC310" s="248"/>
      <c r="CD310" s="248"/>
      <c r="CE310" s="248"/>
      <c r="CF310" s="248"/>
      <c r="CG310" s="248"/>
    </row>
    <row r="311" spans="2:85" ht="12.75" x14ac:dyDescent="0.2">
      <c r="B311" s="243">
        <v>6.6152329251810013E-2</v>
      </c>
      <c r="D311" s="248"/>
      <c r="E311" s="248"/>
      <c r="F311" s="248"/>
      <c r="G311" s="248"/>
      <c r="H311" s="248"/>
      <c r="I311" s="248"/>
      <c r="J311" s="248"/>
      <c r="K311" s="248"/>
      <c r="L311" s="248"/>
      <c r="M311" s="249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  <c r="AA311" s="248"/>
      <c r="AB311" s="248"/>
      <c r="AC311" s="248"/>
      <c r="AD311" s="248"/>
      <c r="AE311" s="248"/>
      <c r="AF311" s="248"/>
      <c r="AG311" s="248"/>
      <c r="AH311" s="248"/>
      <c r="AI311" s="248"/>
      <c r="AJ311" s="248"/>
      <c r="AK311" s="248"/>
      <c r="AL311" s="248"/>
      <c r="AM311" s="248"/>
      <c r="AN311" s="248"/>
      <c r="AO311" s="248"/>
      <c r="AP311" s="248"/>
      <c r="AQ311" s="248"/>
      <c r="AR311" s="248"/>
      <c r="AS311" s="248"/>
      <c r="AT311" s="248"/>
      <c r="AU311" s="248"/>
      <c r="AV311" s="248"/>
      <c r="AW311" s="248"/>
      <c r="AX311" s="248"/>
      <c r="AY311" s="248"/>
      <c r="AZ311" s="248"/>
      <c r="BA311" s="248"/>
      <c r="BB311" s="248"/>
      <c r="BC311" s="248"/>
      <c r="BD311" s="248"/>
      <c r="BE311" s="248"/>
      <c r="BF311" s="248"/>
      <c r="BG311" s="248"/>
      <c r="BH311" s="249"/>
      <c r="BI311" s="248"/>
      <c r="BJ311" s="248"/>
      <c r="BK311" s="248"/>
      <c r="BL311" s="248"/>
      <c r="BM311" s="248"/>
      <c r="BN311" s="248"/>
      <c r="BO311"/>
      <c r="BP311"/>
      <c r="BQ311"/>
      <c r="BR311"/>
      <c r="BS311"/>
      <c r="BT311" s="248"/>
      <c r="BU311" s="248"/>
      <c r="BV311" s="248"/>
      <c r="BW311" s="248"/>
      <c r="BX311" s="248"/>
      <c r="BY311" s="248"/>
      <c r="BZ311" s="248"/>
      <c r="CA311" s="248"/>
      <c r="CB311" s="248"/>
      <c r="CC311" s="248"/>
      <c r="CD311" s="248"/>
      <c r="CE311" s="248"/>
      <c r="CF311" s="248"/>
      <c r="CG311" s="248"/>
    </row>
    <row r="312" spans="2:85" ht="12.75" x14ac:dyDescent="0.2">
      <c r="B312" s="243">
        <v>6.6153299438869009E-2</v>
      </c>
      <c r="D312" s="248"/>
      <c r="E312" s="248"/>
      <c r="F312" s="248"/>
      <c r="G312" s="248"/>
      <c r="H312" s="248"/>
      <c r="I312" s="248"/>
      <c r="J312" s="248"/>
      <c r="K312" s="248"/>
      <c r="L312" s="248"/>
      <c r="M312" s="249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  <c r="AA312" s="248"/>
      <c r="AB312" s="248"/>
      <c r="AC312" s="248"/>
      <c r="AD312" s="248"/>
      <c r="AE312" s="248"/>
      <c r="AF312" s="248"/>
      <c r="AG312" s="248"/>
      <c r="AH312" s="248"/>
      <c r="AI312" s="248"/>
      <c r="AJ312" s="248"/>
      <c r="AK312" s="248"/>
      <c r="AL312" s="248"/>
      <c r="AM312" s="248"/>
      <c r="AN312" s="248"/>
      <c r="AO312" s="248"/>
      <c r="AP312" s="248"/>
      <c r="AQ312" s="248"/>
      <c r="AR312" s="248"/>
      <c r="AS312" s="248"/>
      <c r="AT312" s="248"/>
      <c r="AU312" s="248"/>
      <c r="AV312" s="248"/>
      <c r="AW312" s="248"/>
      <c r="AX312" s="248"/>
      <c r="AY312" s="248"/>
      <c r="AZ312" s="248"/>
      <c r="BA312" s="248"/>
      <c r="BB312" s="248"/>
      <c r="BC312" s="248"/>
      <c r="BD312" s="248"/>
      <c r="BE312" s="248"/>
      <c r="BF312" s="248"/>
      <c r="BG312" s="248"/>
      <c r="BH312" s="249"/>
      <c r="BI312" s="248"/>
      <c r="BJ312" s="248"/>
      <c r="BK312" s="248"/>
      <c r="BL312" s="248"/>
      <c r="BM312" s="248"/>
      <c r="BN312" s="248"/>
      <c r="BO312"/>
      <c r="BP312"/>
      <c r="BQ312"/>
      <c r="BR312"/>
      <c r="BS312"/>
      <c r="BT312" s="248"/>
      <c r="BU312" s="248"/>
      <c r="BV312" s="248"/>
      <c r="BW312" s="248"/>
      <c r="BX312" s="248"/>
      <c r="BY312" s="248"/>
      <c r="BZ312" s="248"/>
      <c r="CA312" s="248"/>
      <c r="CB312" s="248"/>
      <c r="CC312" s="248"/>
      <c r="CD312" s="248"/>
      <c r="CE312" s="248"/>
      <c r="CF312" s="248"/>
      <c r="CG312" s="248"/>
    </row>
    <row r="313" spans="2:85" ht="12.75" x14ac:dyDescent="0.2">
      <c r="B313" s="243">
        <v>6.6154301965497014E-2</v>
      </c>
      <c r="D313" s="248"/>
      <c r="E313" s="248"/>
      <c r="F313" s="248"/>
      <c r="G313" s="248"/>
      <c r="H313" s="248"/>
      <c r="I313" s="248"/>
      <c r="J313" s="248"/>
      <c r="K313" s="248"/>
      <c r="L313" s="248"/>
      <c r="M313" s="249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  <c r="AA313" s="248"/>
      <c r="AB313" s="248"/>
      <c r="AC313" s="248"/>
      <c r="AD313" s="248"/>
      <c r="AE313" s="248"/>
      <c r="AF313" s="248"/>
      <c r="AG313" s="248"/>
      <c r="AH313" s="248"/>
      <c r="AI313" s="248"/>
      <c r="AJ313" s="248"/>
      <c r="AK313" s="248"/>
      <c r="AL313" s="248"/>
      <c r="AM313" s="248"/>
      <c r="AN313" s="248"/>
      <c r="AO313" s="248"/>
      <c r="AP313" s="248"/>
      <c r="AQ313" s="248"/>
      <c r="AR313" s="248"/>
      <c r="AS313" s="248"/>
      <c r="AT313" s="248"/>
      <c r="AU313" s="248"/>
      <c r="AV313" s="248"/>
      <c r="AW313" s="248"/>
      <c r="AX313" s="248"/>
      <c r="AY313" s="248"/>
      <c r="AZ313" s="248"/>
      <c r="BA313" s="248"/>
      <c r="BB313" s="248"/>
      <c r="BC313" s="248"/>
      <c r="BD313" s="248"/>
      <c r="BE313" s="248"/>
      <c r="BF313" s="248"/>
      <c r="BG313" s="248"/>
      <c r="BH313" s="249"/>
      <c r="BI313" s="248"/>
      <c r="BJ313" s="248"/>
      <c r="BK313" s="248"/>
      <c r="BL313" s="248"/>
      <c r="BM313" s="248"/>
      <c r="BN313" s="248"/>
      <c r="BO313"/>
      <c r="BP313"/>
      <c r="BQ313"/>
      <c r="BR313"/>
      <c r="BS313"/>
      <c r="BT313" s="248"/>
      <c r="BU313" s="248"/>
      <c r="BV313" s="248"/>
      <c r="BW313" s="248"/>
      <c r="BX313" s="248"/>
      <c r="BY313" s="248"/>
      <c r="BZ313" s="248"/>
      <c r="CA313" s="248"/>
      <c r="CB313" s="248"/>
      <c r="CC313" s="248"/>
      <c r="CD313" s="248"/>
      <c r="CE313" s="248"/>
      <c r="CF313" s="248"/>
      <c r="CG313" s="248"/>
    </row>
    <row r="314" spans="2:85" ht="12.75" x14ac:dyDescent="0.2">
      <c r="B314" s="243">
        <v>6.6155304492125006E-2</v>
      </c>
      <c r="D314" s="248"/>
      <c r="E314" s="248"/>
      <c r="F314" s="248"/>
      <c r="G314" s="248"/>
      <c r="H314" s="248"/>
      <c r="I314" s="248"/>
      <c r="J314" s="248"/>
      <c r="K314" s="248"/>
      <c r="L314" s="248"/>
      <c r="M314" s="249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  <c r="AA314" s="248"/>
      <c r="AB314" s="248"/>
      <c r="AC314" s="248"/>
      <c r="AD314" s="248"/>
      <c r="AE314" s="248"/>
      <c r="AF314" s="248"/>
      <c r="AG314" s="248"/>
      <c r="AH314" s="248"/>
      <c r="AI314" s="248"/>
      <c r="AJ314" s="248"/>
      <c r="AK314" s="248"/>
      <c r="AL314" s="248"/>
      <c r="AM314" s="248"/>
      <c r="AN314" s="248"/>
      <c r="AO314" s="248"/>
      <c r="AP314" s="248"/>
      <c r="AQ314" s="248"/>
      <c r="AR314" s="248"/>
      <c r="AS314" s="248"/>
      <c r="AT314" s="248"/>
      <c r="AU314" s="248"/>
      <c r="AV314" s="248"/>
      <c r="AW314" s="248"/>
      <c r="AX314" s="248"/>
      <c r="AY314" s="248"/>
      <c r="AZ314" s="248"/>
      <c r="BA314" s="248"/>
      <c r="BB314" s="248"/>
      <c r="BC314" s="248"/>
      <c r="BD314" s="248"/>
      <c r="BE314" s="248"/>
      <c r="BF314" s="248"/>
      <c r="BG314" s="248"/>
      <c r="BH314" s="249"/>
      <c r="BI314" s="248"/>
      <c r="BJ314" s="248"/>
      <c r="BK314" s="248"/>
      <c r="BL314" s="248"/>
      <c r="BM314" s="248"/>
      <c r="BN314" s="248"/>
      <c r="BO314"/>
      <c r="BP314"/>
      <c r="BQ314"/>
      <c r="BR314"/>
      <c r="BS314"/>
      <c r="BT314" s="248"/>
      <c r="BU314" s="248"/>
      <c r="BV314" s="248"/>
      <c r="BW314" s="248"/>
      <c r="BX314" s="248"/>
      <c r="BY314" s="248"/>
      <c r="BZ314" s="248"/>
      <c r="CA314" s="248"/>
      <c r="CB314" s="248"/>
      <c r="CC314" s="248"/>
      <c r="CD314" s="248"/>
      <c r="CE314" s="248"/>
      <c r="CF314" s="248"/>
      <c r="CG314" s="248"/>
    </row>
    <row r="315" spans="2:85" ht="12.75" x14ac:dyDescent="0.2">
      <c r="B315" s="243">
        <v>6.6156210000047011E-2</v>
      </c>
      <c r="D315" s="248"/>
      <c r="E315" s="248"/>
      <c r="F315" s="248"/>
      <c r="G315" s="248"/>
      <c r="H315" s="248"/>
      <c r="I315" s="248"/>
      <c r="J315" s="248"/>
      <c r="K315" s="248"/>
      <c r="L315" s="248"/>
      <c r="M315" s="249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  <c r="AA315" s="248"/>
      <c r="AB315" s="248"/>
      <c r="AC315" s="248"/>
      <c r="AD315" s="248"/>
      <c r="AE315" s="248"/>
      <c r="AF315" s="248"/>
      <c r="AG315" s="248"/>
      <c r="AH315" s="248"/>
      <c r="AI315" s="248"/>
      <c r="AJ315" s="248"/>
      <c r="AK315" s="248"/>
      <c r="AL315" s="248"/>
      <c r="AM315" s="248"/>
      <c r="AN315" s="248"/>
      <c r="AO315" s="248"/>
      <c r="AP315" s="248"/>
      <c r="AQ315" s="248"/>
      <c r="AR315" s="248"/>
      <c r="AS315" s="248"/>
      <c r="AT315" s="248"/>
      <c r="AU315" s="248"/>
      <c r="AV315" s="248"/>
      <c r="AW315" s="248"/>
      <c r="AX315" s="248"/>
      <c r="AY315" s="248"/>
      <c r="AZ315" s="248"/>
      <c r="BA315" s="248"/>
      <c r="BB315" s="248"/>
      <c r="BC315" s="248"/>
      <c r="BD315" s="248"/>
      <c r="BE315" s="248"/>
      <c r="BF315" s="248"/>
      <c r="BG315" s="248"/>
      <c r="BH315" s="249"/>
      <c r="BI315" s="248"/>
      <c r="BJ315" s="248"/>
      <c r="BK315" s="248"/>
      <c r="BL315" s="248"/>
      <c r="BM315" s="248"/>
      <c r="BN315" s="248"/>
      <c r="BO315"/>
      <c r="BP315"/>
      <c r="BQ315"/>
      <c r="BR315"/>
      <c r="BS315"/>
      <c r="BT315" s="248"/>
      <c r="BU315" s="248"/>
      <c r="BV315" s="248"/>
      <c r="BW315" s="248"/>
      <c r="BX315" s="248"/>
      <c r="BY315" s="248"/>
      <c r="BZ315" s="248"/>
      <c r="CA315" s="248"/>
      <c r="CB315" s="248"/>
      <c r="CC315" s="248"/>
      <c r="CD315" s="248"/>
      <c r="CE315" s="248"/>
      <c r="CF315" s="248"/>
      <c r="CG315" s="248"/>
    </row>
    <row r="316" spans="2:85" ht="12.75" x14ac:dyDescent="0.2">
      <c r="B316" s="243">
        <v>6.6157212526676029E-2</v>
      </c>
      <c r="D316" s="248"/>
      <c r="E316" s="248"/>
      <c r="F316" s="248"/>
      <c r="G316" s="248"/>
      <c r="H316" s="248"/>
      <c r="I316" s="248"/>
      <c r="J316" s="248"/>
      <c r="K316" s="248"/>
      <c r="L316" s="248"/>
      <c r="M316" s="249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  <c r="AA316" s="248"/>
      <c r="AB316" s="248"/>
      <c r="AC316" s="248"/>
      <c r="AD316" s="248"/>
      <c r="AE316" s="248"/>
      <c r="AF316" s="248"/>
      <c r="AG316" s="248"/>
      <c r="AH316" s="248"/>
      <c r="AI316" s="248"/>
      <c r="AJ316" s="248"/>
      <c r="AK316" s="248"/>
      <c r="AL316" s="248"/>
      <c r="AM316" s="248"/>
      <c r="AN316" s="248"/>
      <c r="AO316" s="248"/>
      <c r="AP316" s="248"/>
      <c r="AQ316" s="248"/>
      <c r="AR316" s="248"/>
      <c r="AS316" s="248"/>
      <c r="AT316" s="248"/>
      <c r="AU316" s="248"/>
      <c r="AV316" s="248"/>
      <c r="AW316" s="248"/>
      <c r="AX316" s="248"/>
      <c r="AY316" s="248"/>
      <c r="AZ316" s="248"/>
      <c r="BA316" s="248"/>
      <c r="BB316" s="248"/>
      <c r="BC316" s="248"/>
      <c r="BD316" s="248"/>
      <c r="BE316" s="248"/>
      <c r="BF316" s="248"/>
      <c r="BG316" s="248"/>
      <c r="BH316" s="249"/>
      <c r="BI316" s="248"/>
      <c r="BJ316" s="248"/>
      <c r="BK316" s="248"/>
      <c r="BL316" s="248"/>
      <c r="BM316" s="248"/>
      <c r="BN316" s="248"/>
      <c r="BO316"/>
      <c r="BP316"/>
      <c r="BQ316"/>
      <c r="BR316"/>
      <c r="BS316"/>
      <c r="BT316" s="248"/>
      <c r="BU316" s="248"/>
      <c r="BV316" s="248"/>
      <c r="BW316" s="248"/>
      <c r="BX316" s="248"/>
      <c r="BY316" s="248"/>
      <c r="BZ316" s="248"/>
      <c r="CA316" s="248"/>
      <c r="CB316" s="248"/>
      <c r="CC316" s="248"/>
      <c r="CD316" s="248"/>
      <c r="CE316" s="248"/>
      <c r="CF316" s="248"/>
      <c r="CG316" s="248"/>
    </row>
    <row r="317" spans="2:85" ht="12.75" x14ac:dyDescent="0.2">
      <c r="B317" s="243">
        <v>6.6158182713736011E-2</v>
      </c>
      <c r="D317" s="248"/>
      <c r="E317" s="248"/>
      <c r="F317" s="248"/>
      <c r="G317" s="248"/>
      <c r="H317" s="248"/>
      <c r="I317" s="248"/>
      <c r="J317" s="248"/>
      <c r="K317" s="248"/>
      <c r="L317" s="248"/>
      <c r="M317" s="249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  <c r="AA317" s="248"/>
      <c r="AB317" s="248"/>
      <c r="AC317" s="248"/>
      <c r="AD317" s="248"/>
      <c r="AE317" s="248"/>
      <c r="AF317" s="248"/>
      <c r="AG317" s="248"/>
      <c r="AH317" s="248"/>
      <c r="AI317" s="248"/>
      <c r="AJ317" s="248"/>
      <c r="AK317" s="248"/>
      <c r="AL317" s="248"/>
      <c r="AM317" s="248"/>
      <c r="AN317" s="248"/>
      <c r="AO317" s="248"/>
      <c r="AP317" s="248"/>
      <c r="AQ317" s="248"/>
      <c r="AR317" s="248"/>
      <c r="AS317" s="248"/>
      <c r="AT317" s="248"/>
      <c r="AU317" s="248"/>
      <c r="AV317" s="248"/>
      <c r="AW317" s="248"/>
      <c r="AX317" s="248"/>
      <c r="AY317" s="248"/>
      <c r="AZ317" s="248"/>
      <c r="BA317" s="248"/>
      <c r="BB317" s="248"/>
      <c r="BC317" s="248"/>
      <c r="BD317" s="248"/>
      <c r="BE317" s="248"/>
      <c r="BF317" s="248"/>
      <c r="BG317" s="248"/>
      <c r="BH317" s="249"/>
      <c r="BI317" s="248"/>
      <c r="BJ317" s="248"/>
      <c r="BK317" s="248"/>
      <c r="BL317" s="248"/>
      <c r="BM317" s="248"/>
      <c r="BN317" s="248"/>
      <c r="BO317"/>
      <c r="BP317"/>
      <c r="BQ317"/>
      <c r="BR317"/>
      <c r="BS317"/>
      <c r="BT317" s="248"/>
      <c r="BU317" s="248"/>
      <c r="BV317" s="248"/>
      <c r="BW317" s="248"/>
      <c r="BX317" s="248"/>
      <c r="BY317" s="248"/>
      <c r="BZ317" s="248"/>
      <c r="CA317" s="248"/>
      <c r="CB317" s="248"/>
      <c r="CC317" s="248"/>
      <c r="CD317" s="248"/>
      <c r="CE317" s="248"/>
      <c r="CF317" s="248"/>
      <c r="CG317" s="248"/>
    </row>
    <row r="318" spans="2:85" ht="12.75" x14ac:dyDescent="0.2">
      <c r="B318" s="243">
        <v>6.6159185240365015E-2</v>
      </c>
      <c r="D318" s="248"/>
      <c r="E318" s="248"/>
      <c r="F318" s="248"/>
      <c r="G318" s="248"/>
      <c r="H318" s="248"/>
      <c r="I318" s="248"/>
      <c r="J318" s="248"/>
      <c r="K318" s="248"/>
      <c r="L318" s="248"/>
      <c r="M318" s="249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  <c r="AA318" s="248"/>
      <c r="AB318" s="248"/>
      <c r="AC318" s="248"/>
      <c r="AD318" s="248"/>
      <c r="AE318" s="248"/>
      <c r="AF318" s="248"/>
      <c r="AG318" s="248"/>
      <c r="AH318" s="248"/>
      <c r="AI318" s="248"/>
      <c r="AJ318" s="248"/>
      <c r="AK318" s="248"/>
      <c r="AL318" s="248"/>
      <c r="AM318" s="248"/>
      <c r="AN318" s="248"/>
      <c r="AO318" s="248"/>
      <c r="AP318" s="248"/>
      <c r="AQ318" s="248"/>
      <c r="AR318" s="248"/>
      <c r="AS318" s="248"/>
      <c r="AT318" s="248"/>
      <c r="AU318" s="248"/>
      <c r="AV318" s="248"/>
      <c r="AW318" s="248"/>
      <c r="AX318" s="248"/>
      <c r="AY318" s="248"/>
      <c r="AZ318" s="248"/>
      <c r="BA318" s="248"/>
      <c r="BB318" s="248"/>
      <c r="BC318" s="248"/>
      <c r="BD318" s="248"/>
      <c r="BE318" s="248"/>
      <c r="BF318" s="248"/>
      <c r="BG318" s="248"/>
      <c r="BH318" s="249"/>
      <c r="BI318" s="248"/>
      <c r="BJ318" s="248"/>
      <c r="BK318" s="248"/>
      <c r="BL318" s="248"/>
      <c r="BM318" s="248"/>
      <c r="BN318" s="248"/>
      <c r="BO318"/>
      <c r="BP318"/>
      <c r="BQ318"/>
      <c r="BR318"/>
      <c r="BS318"/>
      <c r="BT318" s="248"/>
      <c r="BU318" s="248"/>
      <c r="BV318" s="248"/>
      <c r="BW318" s="248"/>
      <c r="BX318" s="248"/>
      <c r="BY318" s="248"/>
      <c r="BZ318" s="248"/>
      <c r="CA318" s="248"/>
      <c r="CB318" s="248"/>
      <c r="CC318" s="248"/>
      <c r="CD318" s="248"/>
      <c r="CE318" s="248"/>
      <c r="CF318" s="248"/>
      <c r="CG318" s="248"/>
    </row>
    <row r="319" spans="2:85" ht="12.75" x14ac:dyDescent="0.2">
      <c r="B319" s="243">
        <v>6.6160155427426023E-2</v>
      </c>
      <c r="D319" s="248"/>
      <c r="E319" s="248"/>
      <c r="F319" s="248"/>
      <c r="G319" s="248"/>
      <c r="H319" s="248"/>
      <c r="I319" s="248"/>
      <c r="J319" s="248"/>
      <c r="K319" s="248"/>
      <c r="L319" s="248"/>
      <c r="M319" s="249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  <c r="AA319" s="248"/>
      <c r="AB319" s="248"/>
      <c r="AC319" s="248"/>
      <c r="AD319" s="248"/>
      <c r="AE319" s="248"/>
      <c r="AF319" s="248"/>
      <c r="AG319" s="248"/>
      <c r="AH319" s="248"/>
      <c r="AI319" s="248"/>
      <c r="AJ319" s="248"/>
      <c r="AK319" s="248"/>
      <c r="AL319" s="248"/>
      <c r="AM319" s="248"/>
      <c r="AN319" s="248"/>
      <c r="AO319" s="248"/>
      <c r="AP319" s="248"/>
      <c r="AQ319" s="248"/>
      <c r="AR319" s="248"/>
      <c r="AS319" s="248"/>
      <c r="AT319" s="248"/>
      <c r="AU319" s="248"/>
      <c r="AV319" s="248"/>
      <c r="AW319" s="248"/>
      <c r="AX319" s="248"/>
      <c r="AY319" s="248"/>
      <c r="AZ319" s="248"/>
      <c r="BA319" s="248"/>
      <c r="BB319" s="248"/>
      <c r="BC319" s="248"/>
      <c r="BD319" s="248"/>
      <c r="BE319" s="248"/>
      <c r="BF319" s="248"/>
      <c r="BG319" s="248"/>
      <c r="BH319" s="249"/>
      <c r="BI319" s="248"/>
      <c r="BJ319" s="248"/>
      <c r="BK319" s="248"/>
      <c r="BL319" s="248"/>
      <c r="BM319" s="248"/>
      <c r="BN319" s="248"/>
      <c r="BO319"/>
      <c r="BP319"/>
      <c r="BQ319"/>
      <c r="BR319"/>
      <c r="BS319"/>
      <c r="BT319" s="248"/>
      <c r="BU319" s="248"/>
      <c r="BV319" s="248"/>
      <c r="BW319" s="248"/>
      <c r="BX319" s="248"/>
      <c r="BY319" s="248"/>
      <c r="BZ319" s="248"/>
      <c r="CA319" s="248"/>
      <c r="CB319" s="248"/>
      <c r="CC319" s="248"/>
      <c r="CD319" s="248"/>
      <c r="CE319" s="248"/>
      <c r="CF319" s="248"/>
      <c r="CG319" s="248"/>
    </row>
    <row r="320" spans="2:85" ht="12.75" x14ac:dyDescent="0.2">
      <c r="B320" s="243">
        <v>6.6161157954057026E-2</v>
      </c>
      <c r="D320" s="248"/>
      <c r="E320" s="248"/>
      <c r="F320" s="248"/>
      <c r="G320" s="248"/>
      <c r="H320" s="248"/>
      <c r="I320" s="248"/>
      <c r="J320" s="248"/>
      <c r="K320" s="248"/>
      <c r="L320" s="248"/>
      <c r="M320" s="249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  <c r="AA320" s="248"/>
      <c r="AB320" s="248"/>
      <c r="AC320" s="248"/>
      <c r="AD320" s="248"/>
      <c r="AE320" s="248"/>
      <c r="AF320" s="248"/>
      <c r="AG320" s="248"/>
      <c r="AH320" s="248"/>
      <c r="AI320" s="248"/>
      <c r="AJ320" s="248"/>
      <c r="AK320" s="248"/>
      <c r="AL320" s="248"/>
      <c r="AM320" s="248"/>
      <c r="AN320" s="248"/>
      <c r="AO320" s="248"/>
      <c r="AP320" s="248"/>
      <c r="AQ320" s="248"/>
      <c r="AR320" s="248"/>
      <c r="AS320" s="248"/>
      <c r="AT320" s="248"/>
      <c r="AU320" s="248"/>
      <c r="AV320" s="248"/>
      <c r="AW320" s="248"/>
      <c r="AX320" s="248"/>
      <c r="AY320" s="248"/>
      <c r="AZ320" s="248"/>
      <c r="BA320" s="248"/>
      <c r="BB320" s="248"/>
      <c r="BC320" s="248"/>
      <c r="BD320" s="248"/>
      <c r="BE320" s="248"/>
      <c r="BF320" s="248"/>
      <c r="BG320" s="248"/>
      <c r="BH320" s="249"/>
      <c r="BI320" s="248"/>
      <c r="BJ320" s="248"/>
      <c r="BK320" s="248"/>
      <c r="BL320" s="248"/>
      <c r="BM320" s="248"/>
      <c r="BN320" s="248"/>
      <c r="BO320"/>
      <c r="BP320"/>
      <c r="BQ320"/>
      <c r="BR320"/>
      <c r="BS320"/>
      <c r="BT320" s="248"/>
      <c r="BU320" s="248"/>
      <c r="BV320" s="248"/>
      <c r="BW320" s="248"/>
      <c r="BX320" s="248"/>
      <c r="BY320" s="248"/>
      <c r="BZ320" s="248"/>
      <c r="CA320" s="248"/>
      <c r="CB320" s="248"/>
      <c r="CC320" s="248"/>
      <c r="CD320" s="248"/>
      <c r="CE320" s="248"/>
      <c r="CF320" s="248"/>
      <c r="CG320" s="248"/>
    </row>
    <row r="321" spans="2:85" ht="12.75" x14ac:dyDescent="0.2">
      <c r="B321" s="243">
        <v>6.6162160480687029E-2</v>
      </c>
      <c r="D321" s="248"/>
      <c r="E321" s="248"/>
      <c r="F321" s="248"/>
      <c r="G321" s="248"/>
      <c r="H321" s="248"/>
      <c r="I321" s="248"/>
      <c r="J321" s="248"/>
      <c r="K321" s="248"/>
      <c r="L321" s="248"/>
      <c r="M321" s="249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  <c r="AA321" s="248"/>
      <c r="AB321" s="248"/>
      <c r="AC321" s="248"/>
      <c r="AD321" s="248"/>
      <c r="AE321" s="248"/>
      <c r="AF321" s="248"/>
      <c r="AG321" s="248"/>
      <c r="AH321" s="248"/>
      <c r="AI321" s="248"/>
      <c r="AJ321" s="248"/>
      <c r="AK321" s="248"/>
      <c r="AL321" s="248"/>
      <c r="AM321" s="248"/>
      <c r="AN321" s="248"/>
      <c r="AO321" s="248"/>
      <c r="AP321" s="248"/>
      <c r="AQ321" s="248"/>
      <c r="AR321" s="248"/>
      <c r="AS321" s="248"/>
      <c r="AT321" s="248"/>
      <c r="AU321" s="248"/>
      <c r="AV321" s="248"/>
      <c r="AW321" s="248"/>
      <c r="AX321" s="248"/>
      <c r="AY321" s="248"/>
      <c r="AZ321" s="248"/>
      <c r="BA321" s="248"/>
      <c r="BB321" s="248"/>
      <c r="BC321" s="248"/>
      <c r="BD321" s="248"/>
      <c r="BE321" s="248"/>
      <c r="BF321" s="248"/>
      <c r="BG321" s="248"/>
      <c r="BH321" s="249"/>
      <c r="BI321" s="248"/>
      <c r="BJ321" s="248"/>
      <c r="BK321" s="248"/>
      <c r="BL321" s="248"/>
      <c r="BM321" s="248"/>
      <c r="BN321" s="248"/>
      <c r="BO321"/>
      <c r="BP321"/>
      <c r="BQ321"/>
      <c r="BR321"/>
      <c r="BS321"/>
      <c r="BT321" s="248"/>
      <c r="BU321" s="248"/>
      <c r="BV321" s="248"/>
      <c r="BW321" s="248"/>
      <c r="BX321" s="248"/>
      <c r="BY321" s="248"/>
      <c r="BZ321" s="248"/>
      <c r="CA321" s="248"/>
      <c r="CB321" s="248"/>
      <c r="CC321" s="248"/>
      <c r="CD321" s="248"/>
      <c r="CE321" s="248"/>
      <c r="CF321" s="248"/>
      <c r="CG321" s="248"/>
    </row>
    <row r="322" spans="2:85" ht="12.75" x14ac:dyDescent="0.2">
      <c r="B322" s="243">
        <v>6.6163130667749009E-2</v>
      </c>
      <c r="D322" s="248"/>
      <c r="E322" s="248"/>
      <c r="F322" s="248"/>
      <c r="G322" s="248"/>
      <c r="H322" s="248"/>
      <c r="I322" s="248"/>
      <c r="J322" s="248"/>
      <c r="K322" s="248"/>
      <c r="L322" s="248"/>
      <c r="M322" s="249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  <c r="AA322" s="248"/>
      <c r="AB322" s="248"/>
      <c r="AC322" s="248"/>
      <c r="AD322" s="248"/>
      <c r="AE322" s="248"/>
      <c r="AF322" s="248"/>
      <c r="AG322" s="248"/>
      <c r="AH322" s="248"/>
      <c r="AI322" s="248"/>
      <c r="AJ322" s="248"/>
      <c r="AK322" s="248"/>
      <c r="AL322" s="248"/>
      <c r="AM322" s="248"/>
      <c r="AN322" s="248"/>
      <c r="AO322" s="248"/>
      <c r="AP322" s="248"/>
      <c r="AQ322" s="248"/>
      <c r="AR322" s="248"/>
      <c r="AS322" s="248"/>
      <c r="AT322" s="248"/>
      <c r="AU322" s="248"/>
      <c r="AV322" s="248"/>
      <c r="AW322" s="248"/>
      <c r="AX322" s="248"/>
      <c r="AY322" s="248"/>
      <c r="AZ322" s="248"/>
      <c r="BA322" s="248"/>
      <c r="BB322" s="248"/>
      <c r="BC322" s="248"/>
      <c r="BD322" s="248"/>
      <c r="BE322" s="248"/>
      <c r="BF322" s="248"/>
      <c r="BG322" s="248"/>
      <c r="BH322" s="249"/>
      <c r="BI322" s="248"/>
      <c r="BJ322" s="248"/>
      <c r="BK322" s="248"/>
      <c r="BL322" s="248"/>
      <c r="BM322" s="248"/>
      <c r="BN322" s="248"/>
      <c r="BO322"/>
      <c r="BP322"/>
      <c r="BQ322"/>
      <c r="BR322"/>
      <c r="BS322"/>
      <c r="BT322" s="248"/>
      <c r="BU322" s="248"/>
      <c r="BV322" s="248"/>
      <c r="BW322" s="248"/>
      <c r="BX322" s="248"/>
      <c r="BY322" s="248"/>
      <c r="BZ322" s="248"/>
      <c r="CA322" s="248"/>
      <c r="CB322" s="248"/>
      <c r="CC322" s="248"/>
      <c r="CD322" s="248"/>
      <c r="CE322" s="248"/>
      <c r="CF322" s="248"/>
      <c r="CG322" s="248"/>
    </row>
    <row r="323" spans="2:85" ht="12.75" x14ac:dyDescent="0.2">
      <c r="B323" s="243">
        <v>6.6164133194380026E-2</v>
      </c>
      <c r="D323" s="248"/>
      <c r="E323" s="248"/>
      <c r="F323" s="248"/>
      <c r="G323" s="248"/>
      <c r="H323" s="248"/>
      <c r="I323" s="248"/>
      <c r="J323" s="248"/>
      <c r="K323" s="248"/>
      <c r="L323" s="248"/>
      <c r="M323" s="249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  <c r="AA323" s="248"/>
      <c r="AB323" s="248"/>
      <c r="AC323" s="248"/>
      <c r="AD323" s="248"/>
      <c r="AE323" s="248"/>
      <c r="AF323" s="248"/>
      <c r="AG323" s="248"/>
      <c r="AH323" s="248"/>
      <c r="AI323" s="248"/>
      <c r="AJ323" s="248"/>
      <c r="AK323" s="248"/>
      <c r="AL323" s="248"/>
      <c r="AM323" s="248"/>
      <c r="AN323" s="248"/>
      <c r="AO323" s="248"/>
      <c r="AP323" s="248"/>
      <c r="AQ323" s="248"/>
      <c r="AR323" s="248"/>
      <c r="AS323" s="248"/>
      <c r="AT323" s="248"/>
      <c r="AU323" s="248"/>
      <c r="AV323" s="248"/>
      <c r="AW323" s="248"/>
      <c r="AX323" s="248"/>
      <c r="AY323" s="248"/>
      <c r="AZ323" s="248"/>
      <c r="BA323" s="248"/>
      <c r="BB323" s="248"/>
      <c r="BC323" s="248"/>
      <c r="BD323" s="248"/>
      <c r="BE323" s="248"/>
      <c r="BF323" s="248"/>
      <c r="BG323" s="248"/>
      <c r="BH323" s="249"/>
      <c r="BI323" s="248"/>
      <c r="BJ323" s="248"/>
      <c r="BK323" s="248"/>
      <c r="BL323" s="248"/>
      <c r="BM323" s="248"/>
      <c r="BN323" s="248"/>
      <c r="BO323"/>
      <c r="BP323"/>
      <c r="BQ323"/>
      <c r="BR323"/>
      <c r="BS323"/>
      <c r="BT323" s="248"/>
      <c r="BU323" s="248"/>
      <c r="BV323" s="248"/>
      <c r="BW323" s="248"/>
      <c r="BX323" s="248"/>
      <c r="BY323" s="248"/>
      <c r="BZ323" s="248"/>
      <c r="CA323" s="248"/>
      <c r="CB323" s="248"/>
      <c r="CC323" s="248"/>
      <c r="CD323" s="248"/>
      <c r="CE323" s="248"/>
      <c r="CF323" s="248"/>
      <c r="CG323" s="248"/>
    </row>
    <row r="324" spans="2:85" ht="12.75" x14ac:dyDescent="0.2">
      <c r="B324" s="243">
        <v>6.6165103381443005E-2</v>
      </c>
      <c r="D324" s="248"/>
      <c r="E324" s="248"/>
      <c r="F324" s="248"/>
      <c r="G324" s="248"/>
      <c r="H324" s="248"/>
      <c r="I324" s="248"/>
      <c r="J324" s="248"/>
      <c r="K324" s="248"/>
      <c r="L324" s="248"/>
      <c r="M324" s="249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  <c r="AA324" s="248"/>
      <c r="AB324" s="248"/>
      <c r="AC324" s="248"/>
      <c r="AD324" s="248"/>
      <c r="AE324" s="248"/>
      <c r="AF324" s="248"/>
      <c r="AG324" s="248"/>
      <c r="AH324" s="248"/>
      <c r="AI324" s="248"/>
      <c r="AJ324" s="248"/>
      <c r="AK324" s="248"/>
      <c r="AL324" s="248"/>
      <c r="AM324" s="248"/>
      <c r="AN324" s="248"/>
      <c r="AO324" s="248"/>
      <c r="AP324" s="248"/>
      <c r="AQ324" s="248"/>
      <c r="AR324" s="248"/>
      <c r="AS324" s="248"/>
      <c r="AT324" s="248"/>
      <c r="AU324" s="248"/>
      <c r="AV324" s="248"/>
      <c r="AW324" s="248"/>
      <c r="AX324" s="248"/>
      <c r="AY324" s="248"/>
      <c r="AZ324" s="248"/>
      <c r="BA324" s="248"/>
      <c r="BB324" s="248"/>
      <c r="BC324" s="248"/>
      <c r="BD324" s="248"/>
      <c r="BE324" s="248"/>
      <c r="BF324" s="248"/>
      <c r="BG324" s="248"/>
      <c r="BH324" s="249"/>
      <c r="BI324" s="248"/>
      <c r="BJ324" s="248"/>
      <c r="BK324" s="248"/>
      <c r="BL324" s="248"/>
      <c r="BM324" s="248"/>
      <c r="BN324" s="248"/>
      <c r="BO324"/>
      <c r="BP324"/>
      <c r="BQ324"/>
      <c r="BR324"/>
      <c r="BS324"/>
      <c r="BT324" s="248"/>
      <c r="BU324" s="248"/>
      <c r="BV324" s="248"/>
      <c r="BW324" s="248"/>
      <c r="BX324" s="248"/>
      <c r="BY324" s="248"/>
      <c r="BZ324" s="248"/>
      <c r="CA324" s="248"/>
      <c r="CB324" s="248"/>
      <c r="CC324" s="248"/>
      <c r="CD324" s="248"/>
      <c r="CE324" s="248"/>
      <c r="CF324" s="248"/>
      <c r="CG324" s="248"/>
    </row>
    <row r="325" spans="2:85" ht="12.75" x14ac:dyDescent="0.2">
      <c r="B325" s="243">
        <v>6.6166105908074008E-2</v>
      </c>
      <c r="D325" s="248"/>
      <c r="E325" s="248"/>
      <c r="F325" s="248"/>
      <c r="G325" s="248"/>
      <c r="H325" s="248"/>
      <c r="I325" s="248"/>
      <c r="J325" s="248"/>
      <c r="K325" s="248"/>
      <c r="L325" s="248"/>
      <c r="M325" s="249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  <c r="AA325" s="248"/>
      <c r="AB325" s="248"/>
      <c r="AC325" s="248"/>
      <c r="AD325" s="248"/>
      <c r="AE325" s="248"/>
      <c r="AF325" s="248"/>
      <c r="AG325" s="248"/>
      <c r="AH325" s="248"/>
      <c r="AI325" s="248"/>
      <c r="AJ325" s="248"/>
      <c r="AK325" s="248"/>
      <c r="AL325" s="248"/>
      <c r="AM325" s="248"/>
      <c r="AN325" s="248"/>
      <c r="AO325" s="248"/>
      <c r="AP325" s="248"/>
      <c r="AQ325" s="248"/>
      <c r="AR325" s="248"/>
      <c r="AS325" s="248"/>
      <c r="AT325" s="248"/>
      <c r="AU325" s="248"/>
      <c r="AV325" s="248"/>
      <c r="AW325" s="248"/>
      <c r="AX325" s="248"/>
      <c r="AY325" s="248"/>
      <c r="AZ325" s="248"/>
      <c r="BA325" s="248"/>
      <c r="BB325" s="248"/>
      <c r="BC325" s="248"/>
      <c r="BD325" s="248"/>
      <c r="BE325" s="248"/>
      <c r="BF325" s="248"/>
      <c r="BG325" s="248"/>
      <c r="BH325" s="249"/>
      <c r="BI325" s="248"/>
      <c r="BJ325" s="248"/>
      <c r="BK325" s="248"/>
      <c r="BL325" s="248"/>
      <c r="BM325" s="248"/>
      <c r="BN325" s="248"/>
      <c r="BO325"/>
      <c r="BP325"/>
      <c r="BQ325"/>
      <c r="BR325"/>
      <c r="BS325"/>
      <c r="BT325" s="248"/>
      <c r="BU325" s="248"/>
      <c r="BV325" s="248"/>
      <c r="BW325" s="248"/>
      <c r="BX325" s="248"/>
      <c r="BY325" s="248"/>
      <c r="BZ325" s="248"/>
      <c r="CA325" s="248"/>
      <c r="CB325" s="248"/>
      <c r="CC325" s="248"/>
      <c r="CD325" s="248"/>
      <c r="CE325" s="248"/>
      <c r="CF325" s="248"/>
      <c r="CG325" s="248"/>
    </row>
    <row r="326" spans="2:85" ht="12.75" x14ac:dyDescent="0.2">
      <c r="B326" s="243">
        <v>6.6167108434706995E-2</v>
      </c>
      <c r="D326" s="248"/>
      <c r="E326" s="248"/>
      <c r="F326" s="248"/>
      <c r="G326" s="248"/>
      <c r="H326" s="248"/>
      <c r="I326" s="248"/>
      <c r="J326" s="248"/>
      <c r="K326" s="248"/>
      <c r="L326" s="248"/>
      <c r="M326" s="249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  <c r="AA326" s="248"/>
      <c r="AB326" s="248"/>
      <c r="AC326" s="248"/>
      <c r="AD326" s="248"/>
      <c r="AE326" s="248"/>
      <c r="AF326" s="248"/>
      <c r="AG326" s="248"/>
      <c r="AH326" s="248"/>
      <c r="AI326" s="248"/>
      <c r="AJ326" s="248"/>
      <c r="AK326" s="248"/>
      <c r="AL326" s="248"/>
      <c r="AM326" s="248"/>
      <c r="AN326" s="248"/>
      <c r="AO326" s="248"/>
      <c r="AP326" s="248"/>
      <c r="AQ326" s="248"/>
      <c r="AR326" s="248"/>
      <c r="AS326" s="248"/>
      <c r="AT326" s="248"/>
      <c r="AU326" s="248"/>
      <c r="AV326" s="248"/>
      <c r="AW326" s="248"/>
      <c r="AX326" s="248"/>
      <c r="AY326" s="248"/>
      <c r="AZ326" s="248"/>
      <c r="BA326" s="248"/>
      <c r="BB326" s="248"/>
      <c r="BC326" s="248"/>
      <c r="BD326" s="248"/>
      <c r="BE326" s="248"/>
      <c r="BF326" s="248"/>
      <c r="BG326" s="248"/>
      <c r="BH326" s="249"/>
      <c r="BI326" s="248"/>
      <c r="BJ326" s="248"/>
      <c r="BK326" s="248"/>
      <c r="BL326" s="248"/>
      <c r="BM326" s="248"/>
      <c r="BN326" s="248"/>
      <c r="BO326"/>
      <c r="BP326"/>
      <c r="BQ326"/>
      <c r="BR326"/>
      <c r="BS326"/>
      <c r="BT326" s="248"/>
      <c r="BU326" s="248"/>
      <c r="BV326" s="248"/>
      <c r="BW326" s="248"/>
      <c r="BX326" s="248"/>
      <c r="BY326" s="248"/>
      <c r="BZ326" s="248"/>
      <c r="CA326" s="248"/>
      <c r="CB326" s="248"/>
      <c r="CC326" s="248"/>
      <c r="CD326" s="248"/>
      <c r="CE326" s="248"/>
      <c r="CF326" s="248"/>
      <c r="CG326" s="248"/>
    </row>
    <row r="327" spans="2:85" ht="12.75" x14ac:dyDescent="0.2">
      <c r="B327" s="243">
        <v>6.6168046282201021E-2</v>
      </c>
      <c r="D327" s="248"/>
      <c r="E327" s="248"/>
      <c r="F327" s="248"/>
      <c r="G327" s="248"/>
      <c r="H327" s="248"/>
      <c r="I327" s="248"/>
      <c r="J327" s="248"/>
      <c r="K327" s="248"/>
      <c r="L327" s="248"/>
      <c r="M327" s="249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  <c r="AA327" s="248"/>
      <c r="AB327" s="248"/>
      <c r="AC327" s="248"/>
      <c r="AD327" s="248"/>
      <c r="AE327" s="248"/>
      <c r="AF327" s="248"/>
      <c r="AG327" s="248"/>
      <c r="AH327" s="248"/>
      <c r="AI327" s="248"/>
      <c r="AJ327" s="248"/>
      <c r="AK327" s="248"/>
      <c r="AL327" s="248"/>
      <c r="AM327" s="248"/>
      <c r="AN327" s="248"/>
      <c r="AO327" s="248"/>
      <c r="AP327" s="248"/>
      <c r="AQ327" s="248"/>
      <c r="AR327" s="248"/>
      <c r="AS327" s="248"/>
      <c r="AT327" s="248"/>
      <c r="AU327" s="248"/>
      <c r="AV327" s="248"/>
      <c r="AW327" s="248"/>
      <c r="AX327" s="248"/>
      <c r="AY327" s="248"/>
      <c r="AZ327" s="248"/>
      <c r="BA327" s="248"/>
      <c r="BB327" s="248"/>
      <c r="BC327" s="248"/>
      <c r="BD327" s="248"/>
      <c r="BE327" s="248"/>
      <c r="BF327" s="248"/>
      <c r="BG327" s="248"/>
      <c r="BH327" s="249"/>
      <c r="BI327" s="248"/>
      <c r="BJ327" s="248"/>
      <c r="BK327" s="248"/>
      <c r="BL327" s="248"/>
      <c r="BM327" s="248"/>
      <c r="BN327" s="248"/>
      <c r="BO327"/>
      <c r="BP327"/>
      <c r="BQ327"/>
      <c r="BR327"/>
      <c r="BS327"/>
      <c r="BT327" s="248"/>
      <c r="BU327" s="248"/>
      <c r="BV327" s="248"/>
      <c r="BW327" s="248"/>
      <c r="BX327" s="248"/>
      <c r="BY327" s="248"/>
      <c r="BZ327" s="248"/>
      <c r="CA327" s="248"/>
      <c r="CB327" s="248"/>
      <c r="CC327" s="248"/>
      <c r="CD327" s="248"/>
      <c r="CE327" s="248"/>
      <c r="CF327" s="248"/>
      <c r="CG327" s="248"/>
    </row>
    <row r="328" spans="2:85" ht="12.75" x14ac:dyDescent="0.2">
      <c r="B328" s="243">
        <v>6.6169048808834008E-2</v>
      </c>
      <c r="D328" s="248"/>
      <c r="E328" s="248"/>
      <c r="F328" s="248"/>
      <c r="G328" s="248"/>
      <c r="H328" s="248"/>
      <c r="I328" s="248"/>
      <c r="J328" s="248"/>
      <c r="K328" s="248"/>
      <c r="L328" s="248"/>
      <c r="M328" s="249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  <c r="AA328" s="248"/>
      <c r="AB328" s="248"/>
      <c r="AC328" s="248"/>
      <c r="AD328" s="248"/>
      <c r="AE328" s="248"/>
      <c r="AF328" s="248"/>
      <c r="AG328" s="248"/>
      <c r="AH328" s="248"/>
      <c r="AI328" s="248"/>
      <c r="AJ328" s="248"/>
      <c r="AK328" s="248"/>
      <c r="AL328" s="248"/>
      <c r="AM328" s="248"/>
      <c r="AN328" s="248"/>
      <c r="AO328" s="248"/>
      <c r="AP328" s="248"/>
      <c r="AQ328" s="248"/>
      <c r="AR328" s="248"/>
      <c r="AS328" s="248"/>
      <c r="AT328" s="248"/>
      <c r="AU328" s="248"/>
      <c r="AV328" s="248"/>
      <c r="AW328" s="248"/>
      <c r="AX328" s="248"/>
      <c r="AY328" s="248"/>
      <c r="AZ328" s="248"/>
      <c r="BA328" s="248"/>
      <c r="BB328" s="248"/>
      <c r="BC328" s="248"/>
      <c r="BD328" s="248"/>
      <c r="BE328" s="248"/>
      <c r="BF328" s="248"/>
      <c r="BG328" s="248"/>
      <c r="BH328" s="249"/>
      <c r="BI328" s="248"/>
      <c r="BJ328" s="248"/>
      <c r="BK328" s="248"/>
      <c r="BL328" s="248"/>
      <c r="BM328" s="248"/>
      <c r="BN328" s="248"/>
      <c r="BO328"/>
      <c r="BP328"/>
      <c r="BQ328"/>
      <c r="BR328"/>
      <c r="BS328"/>
      <c r="BT328" s="248"/>
      <c r="BU328" s="248"/>
      <c r="BV328" s="248"/>
      <c r="BW328" s="248"/>
      <c r="BX328" s="248"/>
      <c r="BY328" s="248"/>
      <c r="BZ328" s="248"/>
      <c r="CA328" s="248"/>
      <c r="CB328" s="248"/>
      <c r="CC328" s="248"/>
      <c r="CD328" s="248"/>
      <c r="CE328" s="248"/>
      <c r="CF328" s="248"/>
      <c r="CG328" s="248"/>
    </row>
    <row r="329" spans="2:85" ht="12.75" x14ac:dyDescent="0.2">
      <c r="B329" s="243">
        <v>6.6170018995898014E-2</v>
      </c>
      <c r="D329" s="248"/>
      <c r="E329" s="248"/>
      <c r="F329" s="248"/>
      <c r="G329" s="248"/>
      <c r="H329" s="248"/>
      <c r="I329" s="248"/>
      <c r="J329" s="248"/>
      <c r="K329" s="248"/>
      <c r="L329" s="248"/>
      <c r="M329" s="249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  <c r="AA329" s="248"/>
      <c r="AB329" s="248"/>
      <c r="AC329" s="248"/>
      <c r="AD329" s="248"/>
      <c r="AE329" s="248"/>
      <c r="AF329" s="248"/>
      <c r="AG329" s="248"/>
      <c r="AH329" s="248"/>
      <c r="AI329" s="248"/>
      <c r="AJ329" s="248"/>
      <c r="AK329" s="248"/>
      <c r="AL329" s="248"/>
      <c r="AM329" s="248"/>
      <c r="AN329" s="248"/>
      <c r="AO329" s="248"/>
      <c r="AP329" s="248"/>
      <c r="AQ329" s="248"/>
      <c r="AR329" s="248"/>
      <c r="AS329" s="248"/>
      <c r="AT329" s="248"/>
      <c r="AU329" s="248"/>
      <c r="AV329" s="248"/>
      <c r="AW329" s="248"/>
      <c r="AX329" s="248"/>
      <c r="AY329" s="248"/>
      <c r="AZ329" s="248"/>
      <c r="BA329" s="248"/>
      <c r="BB329" s="248"/>
      <c r="BC329" s="248"/>
      <c r="BD329" s="248"/>
      <c r="BE329" s="248"/>
      <c r="BF329" s="248"/>
      <c r="BG329" s="248"/>
      <c r="BH329" s="249"/>
      <c r="BI329" s="248"/>
      <c r="BJ329" s="248"/>
      <c r="BK329" s="248"/>
      <c r="BL329" s="248"/>
      <c r="BM329" s="248"/>
      <c r="BN329" s="248"/>
      <c r="BO329"/>
      <c r="BP329"/>
      <c r="BQ329"/>
      <c r="BR329"/>
      <c r="BS329"/>
      <c r="BT329" s="248"/>
      <c r="BU329" s="248"/>
      <c r="BV329" s="248"/>
      <c r="BW329" s="248"/>
      <c r="BX329" s="248"/>
      <c r="BY329" s="248"/>
      <c r="BZ329" s="248"/>
      <c r="CA329" s="248"/>
      <c r="CB329" s="248"/>
      <c r="CC329" s="248"/>
      <c r="CD329" s="248"/>
      <c r="CE329" s="248"/>
      <c r="CF329" s="248"/>
      <c r="CG329" s="248"/>
    </row>
    <row r="330" spans="2:85" ht="12.75" x14ac:dyDescent="0.2">
      <c r="B330" s="243">
        <v>6.6171021522531015E-2</v>
      </c>
      <c r="D330" s="248"/>
      <c r="E330" s="248"/>
      <c r="F330" s="248"/>
      <c r="G330" s="248"/>
      <c r="H330" s="248"/>
      <c r="I330" s="248"/>
      <c r="J330" s="248"/>
      <c r="K330" s="248"/>
      <c r="L330" s="248"/>
      <c r="M330" s="249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  <c r="AA330" s="248"/>
      <c r="AB330" s="248"/>
      <c r="AC330" s="248"/>
      <c r="AD330" s="248"/>
      <c r="AE330" s="248"/>
      <c r="AF330" s="248"/>
      <c r="AG330" s="248"/>
      <c r="AH330" s="248"/>
      <c r="AI330" s="248"/>
      <c r="AJ330" s="248"/>
      <c r="AK330" s="248"/>
      <c r="AL330" s="248"/>
      <c r="AM330" s="248"/>
      <c r="AN330" s="248"/>
      <c r="AO330" s="248"/>
      <c r="AP330" s="248"/>
      <c r="AQ330" s="248"/>
      <c r="AR330" s="248"/>
      <c r="AS330" s="248"/>
      <c r="AT330" s="248"/>
      <c r="AU330" s="248"/>
      <c r="AV330" s="248"/>
      <c r="AW330" s="248"/>
      <c r="AX330" s="248"/>
      <c r="AY330" s="248"/>
      <c r="AZ330" s="248"/>
      <c r="BA330" s="248"/>
      <c r="BB330" s="248"/>
      <c r="BC330" s="248"/>
      <c r="BD330" s="248"/>
      <c r="BE330" s="248"/>
      <c r="BF330" s="248"/>
      <c r="BG330" s="248"/>
      <c r="BH330" s="249"/>
      <c r="BI330" s="248"/>
      <c r="BJ330" s="248"/>
      <c r="BK330" s="248"/>
      <c r="BL330" s="248"/>
      <c r="BM330" s="248"/>
      <c r="BN330" s="248"/>
      <c r="BO330"/>
      <c r="BP330"/>
      <c r="BQ330"/>
      <c r="BR330"/>
      <c r="BS330"/>
      <c r="BT330" s="248"/>
      <c r="BU330" s="248"/>
      <c r="BV330" s="248"/>
      <c r="BW330" s="248"/>
      <c r="BX330" s="248"/>
      <c r="BY330" s="248"/>
      <c r="BZ330" s="248"/>
      <c r="CA330" s="248"/>
      <c r="CB330" s="248"/>
      <c r="CC330" s="248"/>
      <c r="CD330" s="248"/>
      <c r="CE330" s="248"/>
      <c r="CF330" s="248"/>
      <c r="CG330" s="248"/>
    </row>
    <row r="331" spans="2:85" ht="12.75" x14ac:dyDescent="0.2">
      <c r="B331" s="243">
        <v>6.617199170959602E-2</v>
      </c>
      <c r="D331" s="248"/>
      <c r="E331" s="248"/>
      <c r="F331" s="248"/>
      <c r="G331" s="248"/>
      <c r="H331" s="248"/>
      <c r="I331" s="248"/>
      <c r="J331" s="248"/>
      <c r="K331" s="248"/>
      <c r="L331" s="248"/>
      <c r="M331" s="249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  <c r="AA331" s="248"/>
      <c r="AB331" s="248"/>
      <c r="AC331" s="248"/>
      <c r="AD331" s="248"/>
      <c r="AE331" s="248"/>
      <c r="AF331" s="248"/>
      <c r="AG331" s="248"/>
      <c r="AH331" s="248"/>
      <c r="AI331" s="248"/>
      <c r="AJ331" s="248"/>
      <c r="AK331" s="248"/>
      <c r="AL331" s="248"/>
      <c r="AM331" s="248"/>
      <c r="AN331" s="248"/>
      <c r="AO331" s="248"/>
      <c r="AP331" s="248"/>
      <c r="AQ331" s="248"/>
      <c r="AR331" s="248"/>
      <c r="AS331" s="248"/>
      <c r="AT331" s="248"/>
      <c r="AU331" s="248"/>
      <c r="AV331" s="248"/>
      <c r="AW331" s="248"/>
      <c r="AX331" s="248"/>
      <c r="AY331" s="248"/>
      <c r="AZ331" s="248"/>
      <c r="BA331" s="248"/>
      <c r="BB331" s="248"/>
      <c r="BC331" s="248"/>
      <c r="BD331" s="248"/>
      <c r="BE331" s="248"/>
      <c r="BF331" s="248"/>
      <c r="BG331" s="248"/>
      <c r="BH331" s="249"/>
      <c r="BI331" s="248"/>
      <c r="BJ331" s="248"/>
      <c r="BK331" s="248"/>
      <c r="BL331" s="248"/>
      <c r="BM331" s="248"/>
      <c r="BN331" s="248"/>
      <c r="BO331"/>
      <c r="BP331"/>
      <c r="BQ331"/>
      <c r="BR331"/>
      <c r="BS331"/>
      <c r="BT331" s="248"/>
      <c r="BU331" s="248"/>
      <c r="BV331" s="248"/>
      <c r="BW331" s="248"/>
      <c r="BX331" s="248"/>
      <c r="BY331" s="248"/>
      <c r="BZ331" s="248"/>
      <c r="CA331" s="248"/>
      <c r="CB331" s="248"/>
      <c r="CC331" s="248"/>
      <c r="CD331" s="248"/>
      <c r="CE331" s="248"/>
      <c r="CF331" s="248"/>
      <c r="CG331" s="248"/>
    </row>
    <row r="332" spans="2:85" ht="12.75" x14ac:dyDescent="0.2">
      <c r="B332" s="243">
        <v>6.6172994236230021E-2</v>
      </c>
      <c r="D332" s="248"/>
      <c r="E332" s="248"/>
      <c r="F332" s="248"/>
      <c r="G332" s="248"/>
      <c r="H332" s="248"/>
      <c r="I332" s="248"/>
      <c r="J332" s="248"/>
      <c r="K332" s="248"/>
      <c r="L332" s="248"/>
      <c r="M332" s="249"/>
      <c r="N332" s="248"/>
      <c r="O332" s="248"/>
      <c r="P332" s="248"/>
      <c r="Q332" s="248"/>
      <c r="R332" s="248"/>
      <c r="S332" s="248"/>
      <c r="T332" s="248"/>
      <c r="U332" s="248"/>
      <c r="V332" s="248"/>
      <c r="W332" s="248"/>
      <c r="X332" s="248"/>
      <c r="Y332" s="248"/>
      <c r="Z332" s="248"/>
      <c r="AA332" s="248"/>
      <c r="AB332" s="248"/>
      <c r="AC332" s="248"/>
      <c r="AD332" s="248"/>
      <c r="AE332" s="248"/>
      <c r="AF332" s="248"/>
      <c r="AG332" s="248"/>
      <c r="AH332" s="248"/>
      <c r="AI332" s="248"/>
      <c r="AJ332" s="248"/>
      <c r="AK332" s="248"/>
      <c r="AL332" s="248"/>
      <c r="AM332" s="248"/>
      <c r="AN332" s="248"/>
      <c r="AO332" s="248"/>
      <c r="AP332" s="248"/>
      <c r="AQ332" s="248"/>
      <c r="AR332" s="248"/>
      <c r="AS332" s="248"/>
      <c r="AT332" s="248"/>
      <c r="AU332" s="248"/>
      <c r="AV332" s="248"/>
      <c r="AW332" s="248"/>
      <c r="AX332" s="248"/>
      <c r="AY332" s="248"/>
      <c r="AZ332" s="248"/>
      <c r="BA332" s="248"/>
      <c r="BB332" s="248"/>
      <c r="BC332" s="248"/>
      <c r="BD332" s="248"/>
      <c r="BE332" s="248"/>
      <c r="BF332" s="248"/>
      <c r="BG332" s="248"/>
      <c r="BH332" s="249"/>
      <c r="BI332" s="248"/>
      <c r="BJ332" s="248"/>
      <c r="BK332" s="248"/>
      <c r="BL332" s="248"/>
      <c r="BM332" s="248"/>
      <c r="BN332" s="248"/>
      <c r="BO332"/>
      <c r="BP332"/>
      <c r="BQ332"/>
      <c r="BR332"/>
      <c r="BS332"/>
      <c r="BT332" s="248"/>
      <c r="BU332" s="248"/>
      <c r="BV332" s="248"/>
      <c r="BW332" s="248"/>
      <c r="BX332" s="248"/>
      <c r="BY332" s="248"/>
      <c r="BZ332" s="248"/>
      <c r="CA332" s="248"/>
      <c r="CB332" s="248"/>
      <c r="CC332" s="248"/>
      <c r="CD332" s="248"/>
      <c r="CE332" s="248"/>
      <c r="CF332" s="248"/>
      <c r="CG332" s="248"/>
    </row>
    <row r="333" spans="2:85" ht="12.75" x14ac:dyDescent="0.2">
      <c r="B333" s="243">
        <v>6.6173996762864007E-2</v>
      </c>
      <c r="D333" s="248"/>
      <c r="E333" s="248"/>
      <c r="F333" s="248"/>
      <c r="G333" s="248"/>
      <c r="H333" s="248"/>
      <c r="I333" s="248"/>
      <c r="J333" s="248"/>
      <c r="K333" s="248"/>
      <c r="L333" s="248"/>
      <c r="M333" s="249"/>
      <c r="N333" s="248"/>
      <c r="O333" s="248"/>
      <c r="P333" s="248"/>
      <c r="Q333" s="248"/>
      <c r="R333" s="248"/>
      <c r="S333" s="248"/>
      <c r="T333" s="248"/>
      <c r="U333" s="248"/>
      <c r="V333" s="248"/>
      <c r="W333" s="248"/>
      <c r="X333" s="248"/>
      <c r="Y333" s="248"/>
      <c r="Z333" s="248"/>
      <c r="AA333" s="248"/>
      <c r="AB333" s="248"/>
      <c r="AC333" s="248"/>
      <c r="AD333" s="248"/>
      <c r="AE333" s="248"/>
      <c r="AF333" s="248"/>
      <c r="AG333" s="248"/>
      <c r="AH333" s="248"/>
      <c r="AI333" s="248"/>
      <c r="AJ333" s="248"/>
      <c r="AK333" s="248"/>
      <c r="AL333" s="248"/>
      <c r="AM333" s="248"/>
      <c r="AN333" s="248"/>
      <c r="AO333" s="248"/>
      <c r="AP333" s="248"/>
      <c r="AQ333" s="248"/>
      <c r="AR333" s="248"/>
      <c r="AS333" s="248"/>
      <c r="AT333" s="248"/>
      <c r="AU333" s="248"/>
      <c r="AV333" s="248"/>
      <c r="AW333" s="248"/>
      <c r="AX333" s="248"/>
      <c r="AY333" s="248"/>
      <c r="AZ333" s="248"/>
      <c r="BA333" s="248"/>
      <c r="BB333" s="248"/>
      <c r="BC333" s="248"/>
      <c r="BD333" s="248"/>
      <c r="BE333" s="248"/>
      <c r="BF333" s="248"/>
      <c r="BG333" s="248"/>
      <c r="BH333" s="249"/>
      <c r="BI333" s="248"/>
      <c r="BJ333" s="248"/>
      <c r="BK333" s="248"/>
      <c r="BL333" s="248"/>
      <c r="BM333" s="248"/>
      <c r="BN333" s="248"/>
      <c r="BO333"/>
      <c r="BP333"/>
      <c r="BQ333"/>
      <c r="BR333"/>
      <c r="BS333"/>
      <c r="BT333" s="248"/>
      <c r="BU333" s="248"/>
      <c r="BV333" s="248"/>
      <c r="BW333" s="248"/>
      <c r="BX333" s="248"/>
      <c r="BY333" s="248"/>
      <c r="BZ333" s="248"/>
      <c r="CA333" s="248"/>
      <c r="CB333" s="248"/>
      <c r="CC333" s="248"/>
      <c r="CD333" s="248"/>
      <c r="CE333" s="248"/>
      <c r="CF333" s="248"/>
      <c r="CG333" s="248"/>
    </row>
    <row r="334" spans="2:85" ht="12.75" x14ac:dyDescent="0.2">
      <c r="B334" s="243">
        <v>6.6174966949930011E-2</v>
      </c>
      <c r="D334" s="248"/>
      <c r="E334" s="248"/>
      <c r="F334" s="248"/>
      <c r="G334" s="248"/>
      <c r="H334" s="248"/>
      <c r="I334" s="248"/>
      <c r="J334" s="248"/>
      <c r="K334" s="248"/>
      <c r="L334" s="248"/>
      <c r="M334" s="249"/>
      <c r="N334" s="248"/>
      <c r="O334" s="248"/>
      <c r="P334" s="248"/>
      <c r="Q334" s="248"/>
      <c r="R334" s="248"/>
      <c r="S334" s="248"/>
      <c r="T334" s="248"/>
      <c r="U334" s="248"/>
      <c r="V334" s="248"/>
      <c r="W334" s="248"/>
      <c r="X334" s="248"/>
      <c r="Y334" s="248"/>
      <c r="Z334" s="248"/>
      <c r="AA334" s="248"/>
      <c r="AB334" s="248"/>
      <c r="AC334" s="248"/>
      <c r="AD334" s="248"/>
      <c r="AE334" s="248"/>
      <c r="AF334" s="248"/>
      <c r="AG334" s="248"/>
      <c r="AH334" s="248"/>
      <c r="AI334" s="248"/>
      <c r="AJ334" s="248"/>
      <c r="AK334" s="248"/>
      <c r="AL334" s="248"/>
      <c r="AM334" s="248"/>
      <c r="AN334" s="248"/>
      <c r="AO334" s="248"/>
      <c r="AP334" s="248"/>
      <c r="AQ334" s="248"/>
      <c r="AR334" s="248"/>
      <c r="AS334" s="248"/>
      <c r="AT334" s="248"/>
      <c r="AU334" s="248"/>
      <c r="AV334" s="248"/>
      <c r="AW334" s="248"/>
      <c r="AX334" s="248"/>
      <c r="AY334" s="248"/>
      <c r="AZ334" s="248"/>
      <c r="BA334" s="248"/>
      <c r="BB334" s="248"/>
      <c r="BC334" s="248"/>
      <c r="BD334" s="248"/>
      <c r="BE334" s="248"/>
      <c r="BF334" s="248"/>
      <c r="BG334" s="248"/>
      <c r="BH334" s="249"/>
      <c r="BI334" s="248"/>
      <c r="BJ334" s="248"/>
      <c r="BK334" s="248"/>
      <c r="BL334" s="248"/>
      <c r="BM334" s="248"/>
      <c r="BN334" s="248"/>
      <c r="BO334"/>
      <c r="BP334"/>
      <c r="BQ334"/>
      <c r="BR334"/>
      <c r="BS334"/>
      <c r="BT334" s="248"/>
      <c r="BU334" s="248"/>
      <c r="BV334" s="248"/>
      <c r="BW334" s="248"/>
      <c r="BX334" s="248"/>
      <c r="BY334" s="248"/>
      <c r="BZ334" s="248"/>
      <c r="CA334" s="248"/>
      <c r="CB334" s="248"/>
      <c r="CC334" s="248"/>
      <c r="CD334" s="248"/>
      <c r="CE334" s="248"/>
      <c r="CF334" s="248"/>
      <c r="CG334" s="248"/>
    </row>
    <row r="335" spans="2:85" ht="12.75" x14ac:dyDescent="0.2">
      <c r="B335" s="243">
        <v>6.6175969476565011E-2</v>
      </c>
      <c r="D335" s="248"/>
      <c r="E335" s="248"/>
      <c r="F335" s="248"/>
      <c r="G335" s="248"/>
      <c r="H335" s="248"/>
      <c r="I335" s="248"/>
      <c r="J335" s="248"/>
      <c r="K335" s="248"/>
      <c r="L335" s="248"/>
      <c r="M335" s="249"/>
      <c r="N335" s="248"/>
      <c r="O335" s="248"/>
      <c r="P335" s="248"/>
      <c r="Q335" s="248"/>
      <c r="R335" s="248"/>
      <c r="S335" s="248"/>
      <c r="T335" s="248"/>
      <c r="U335" s="248"/>
      <c r="V335" s="248"/>
      <c r="W335" s="248"/>
      <c r="X335" s="248"/>
      <c r="Y335" s="248"/>
      <c r="Z335" s="248"/>
      <c r="AA335" s="248"/>
      <c r="AB335" s="248"/>
      <c r="AC335" s="248"/>
      <c r="AD335" s="248"/>
      <c r="AE335" s="248"/>
      <c r="AF335" s="248"/>
      <c r="AG335" s="248"/>
      <c r="AH335" s="248"/>
      <c r="AI335" s="248"/>
      <c r="AJ335" s="248"/>
      <c r="AK335" s="248"/>
      <c r="AL335" s="248"/>
      <c r="AM335" s="248"/>
      <c r="AN335" s="248"/>
      <c r="AO335" s="248"/>
      <c r="AP335" s="248"/>
      <c r="AQ335" s="248"/>
      <c r="AR335" s="248"/>
      <c r="AS335" s="248"/>
      <c r="AT335" s="248"/>
      <c r="AU335" s="248"/>
      <c r="AV335" s="248"/>
      <c r="AW335" s="248"/>
      <c r="AX335" s="248"/>
      <c r="AY335" s="248"/>
      <c r="AZ335" s="248"/>
      <c r="BA335" s="248"/>
      <c r="BB335" s="248"/>
      <c r="BC335" s="248"/>
      <c r="BD335" s="248"/>
      <c r="BE335" s="248"/>
      <c r="BF335" s="248"/>
      <c r="BG335" s="248"/>
      <c r="BH335" s="249"/>
      <c r="BI335" s="248"/>
      <c r="BJ335" s="248"/>
      <c r="BK335" s="248"/>
      <c r="BL335" s="248"/>
      <c r="BM335" s="248"/>
      <c r="BN335" s="248"/>
      <c r="BO335"/>
      <c r="BP335"/>
      <c r="BQ335"/>
      <c r="BR335"/>
      <c r="BS335"/>
      <c r="BT335" s="248"/>
      <c r="BU335" s="248"/>
      <c r="BV335" s="248"/>
      <c r="BW335" s="248"/>
      <c r="BX335" s="248"/>
      <c r="BY335" s="248"/>
      <c r="BZ335" s="248"/>
      <c r="CA335" s="248"/>
      <c r="CB335" s="248"/>
      <c r="CC335" s="248"/>
      <c r="CD335" s="248"/>
      <c r="CE335" s="248"/>
      <c r="CF335" s="248"/>
      <c r="CG335" s="248"/>
    </row>
    <row r="336" spans="2:85" ht="12.75" x14ac:dyDescent="0.2">
      <c r="B336" s="243">
        <v>6.6176939663631015E-2</v>
      </c>
      <c r="D336" s="248"/>
      <c r="E336" s="248"/>
      <c r="F336" s="248"/>
      <c r="G336" s="248"/>
      <c r="H336" s="248"/>
      <c r="I336" s="248"/>
      <c r="J336" s="248"/>
      <c r="K336" s="248"/>
      <c r="L336" s="248"/>
      <c r="M336" s="249"/>
      <c r="N336" s="248"/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8"/>
      <c r="Z336" s="248"/>
      <c r="AA336" s="248"/>
      <c r="AB336" s="248"/>
      <c r="AC336" s="248"/>
      <c r="AD336" s="248"/>
      <c r="AE336" s="248"/>
      <c r="AF336" s="248"/>
      <c r="AG336" s="248"/>
      <c r="AH336" s="248"/>
      <c r="AI336" s="248"/>
      <c r="AJ336" s="248"/>
      <c r="AK336" s="248"/>
      <c r="AL336" s="248"/>
      <c r="AM336" s="248"/>
      <c r="AN336" s="248"/>
      <c r="AO336" s="248"/>
      <c r="AP336" s="248"/>
      <c r="AQ336" s="248"/>
      <c r="AR336" s="248"/>
      <c r="AS336" s="248"/>
      <c r="AT336" s="248"/>
      <c r="AU336" s="248"/>
      <c r="AV336" s="248"/>
      <c r="AW336" s="248"/>
      <c r="AX336" s="248"/>
      <c r="AY336" s="248"/>
      <c r="AZ336" s="248"/>
      <c r="BA336" s="248"/>
      <c r="BB336" s="248"/>
      <c r="BC336" s="248"/>
      <c r="BD336" s="248"/>
      <c r="BE336" s="248"/>
      <c r="BF336" s="248"/>
      <c r="BG336" s="248"/>
      <c r="BH336" s="249"/>
      <c r="BI336" s="248"/>
      <c r="BJ336" s="248"/>
      <c r="BK336" s="248"/>
      <c r="BL336" s="248"/>
      <c r="BM336" s="248"/>
      <c r="BN336" s="248"/>
      <c r="BO336"/>
      <c r="BP336"/>
      <c r="BQ336"/>
      <c r="BR336"/>
      <c r="BS336"/>
      <c r="BT336" s="248"/>
      <c r="BU336" s="248"/>
      <c r="BV336" s="248"/>
      <c r="BW336" s="248"/>
      <c r="BX336" s="248"/>
      <c r="BY336" s="248"/>
      <c r="BZ336" s="248"/>
      <c r="CA336" s="248"/>
      <c r="CB336" s="248"/>
      <c r="CC336" s="248"/>
      <c r="CD336" s="248"/>
      <c r="CE336" s="248"/>
      <c r="CF336" s="248"/>
      <c r="CG336" s="248"/>
    </row>
    <row r="337" spans="2:85" ht="12.75" x14ac:dyDescent="0.2">
      <c r="B337" s="243">
        <v>6.6177942190267014E-2</v>
      </c>
      <c r="D337" s="248"/>
      <c r="E337" s="248"/>
      <c r="F337" s="248"/>
      <c r="G337" s="248"/>
      <c r="H337" s="248"/>
      <c r="I337" s="248"/>
      <c r="J337" s="248"/>
      <c r="K337" s="248"/>
      <c r="L337" s="248"/>
      <c r="M337" s="249"/>
      <c r="N337" s="248"/>
      <c r="O337" s="248"/>
      <c r="P337" s="248"/>
      <c r="Q337" s="248"/>
      <c r="R337" s="248"/>
      <c r="S337" s="248"/>
      <c r="T337" s="248"/>
      <c r="U337" s="248"/>
      <c r="V337" s="248"/>
      <c r="W337" s="248"/>
      <c r="X337" s="248"/>
      <c r="Y337" s="248"/>
      <c r="Z337" s="248"/>
      <c r="AA337" s="248"/>
      <c r="AB337" s="248"/>
      <c r="AC337" s="248"/>
      <c r="AD337" s="248"/>
      <c r="AE337" s="248"/>
      <c r="AF337" s="248"/>
      <c r="AG337" s="248"/>
      <c r="AH337" s="248"/>
      <c r="AI337" s="248"/>
      <c r="AJ337" s="248"/>
      <c r="AK337" s="248"/>
      <c r="AL337" s="248"/>
      <c r="AM337" s="248"/>
      <c r="AN337" s="248"/>
      <c r="AO337" s="248"/>
      <c r="AP337" s="248"/>
      <c r="AQ337" s="248"/>
      <c r="AR337" s="248"/>
      <c r="AS337" s="248"/>
      <c r="AT337" s="248"/>
      <c r="AU337" s="248"/>
      <c r="AV337" s="248"/>
      <c r="AW337" s="248"/>
      <c r="AX337" s="248"/>
      <c r="AY337" s="248"/>
      <c r="AZ337" s="248"/>
      <c r="BA337" s="248"/>
      <c r="BB337" s="248"/>
      <c r="BC337" s="248"/>
      <c r="BD337" s="248"/>
      <c r="BE337" s="248"/>
      <c r="BF337" s="248"/>
      <c r="BG337" s="248"/>
      <c r="BH337" s="249"/>
      <c r="BI337" s="248"/>
      <c r="BJ337" s="248"/>
      <c r="BK337" s="248"/>
      <c r="BL337" s="248"/>
      <c r="BM337" s="248"/>
      <c r="BN337" s="248"/>
      <c r="BO337"/>
      <c r="BP337"/>
      <c r="BQ337"/>
      <c r="BR337"/>
      <c r="BS337"/>
      <c r="BT337" s="248"/>
      <c r="BU337" s="248"/>
      <c r="BV337" s="248"/>
      <c r="BW337" s="248"/>
      <c r="BX337" s="248"/>
      <c r="BY337" s="248"/>
      <c r="BZ337" s="248"/>
      <c r="CA337" s="248"/>
      <c r="CB337" s="248"/>
      <c r="CC337" s="248"/>
      <c r="CD337" s="248"/>
      <c r="CE337" s="248"/>
      <c r="CF337" s="248"/>
      <c r="CG337" s="248"/>
    </row>
    <row r="338" spans="2:85" ht="12.75" x14ac:dyDescent="0.2">
      <c r="B338" s="243">
        <v>6.6178944716903013E-2</v>
      </c>
      <c r="D338" s="248"/>
      <c r="E338" s="248"/>
      <c r="F338" s="248"/>
      <c r="G338" s="248"/>
      <c r="H338" s="248"/>
      <c r="I338" s="248"/>
      <c r="J338" s="248"/>
      <c r="K338" s="248"/>
      <c r="L338" s="248"/>
      <c r="M338" s="249"/>
      <c r="N338" s="248"/>
      <c r="O338" s="248"/>
      <c r="P338" s="248"/>
      <c r="Q338" s="248"/>
      <c r="R338" s="248"/>
      <c r="S338" s="248"/>
      <c r="T338" s="248"/>
      <c r="U338" s="248"/>
      <c r="V338" s="248"/>
      <c r="W338" s="248"/>
      <c r="X338" s="248"/>
      <c r="Y338" s="248"/>
      <c r="Z338" s="248"/>
      <c r="AA338" s="248"/>
      <c r="AB338" s="248"/>
      <c r="AC338" s="248"/>
      <c r="AD338" s="248"/>
      <c r="AE338" s="248"/>
      <c r="AF338" s="248"/>
      <c r="AG338" s="248"/>
      <c r="AH338" s="248"/>
      <c r="AI338" s="248"/>
      <c r="AJ338" s="248"/>
      <c r="AK338" s="248"/>
      <c r="AL338" s="248"/>
      <c r="AM338" s="248"/>
      <c r="AN338" s="248"/>
      <c r="AO338" s="248"/>
      <c r="AP338" s="248"/>
      <c r="AQ338" s="248"/>
      <c r="AR338" s="248"/>
      <c r="AS338" s="248"/>
      <c r="AT338" s="248"/>
      <c r="AU338" s="248"/>
      <c r="AV338" s="248"/>
      <c r="AW338" s="248"/>
      <c r="AX338" s="248"/>
      <c r="AY338" s="248"/>
      <c r="AZ338" s="248"/>
      <c r="BA338" s="248"/>
      <c r="BB338" s="248"/>
      <c r="BC338" s="248"/>
      <c r="BD338" s="248"/>
      <c r="BE338" s="248"/>
      <c r="BF338" s="248"/>
      <c r="BG338" s="248"/>
      <c r="BH338" s="249"/>
      <c r="BI338" s="248"/>
      <c r="BJ338" s="248"/>
      <c r="BK338" s="248"/>
      <c r="BL338" s="248"/>
      <c r="BM338" s="248"/>
      <c r="BN338" s="248"/>
      <c r="BO338"/>
      <c r="BP338"/>
      <c r="BQ338"/>
      <c r="BR338"/>
      <c r="BS338"/>
      <c r="BT338" s="248"/>
      <c r="BU338" s="248"/>
      <c r="BV338" s="248"/>
      <c r="BW338" s="248"/>
      <c r="BX338" s="248"/>
      <c r="BY338" s="248"/>
      <c r="BZ338" s="248"/>
      <c r="CA338" s="248"/>
      <c r="CB338" s="248"/>
      <c r="CC338" s="248"/>
      <c r="CD338" s="248"/>
      <c r="CE338" s="248"/>
      <c r="CF338" s="248"/>
      <c r="CG338" s="248"/>
    </row>
    <row r="339" spans="2:85" ht="12.75" x14ac:dyDescent="0.2">
      <c r="B339" s="243">
        <v>6.6179850224833012E-2</v>
      </c>
      <c r="D339" s="248"/>
      <c r="E339" s="248"/>
      <c r="F339" s="248"/>
      <c r="G339" s="248"/>
      <c r="H339" s="248"/>
      <c r="I339" s="248"/>
      <c r="J339" s="248"/>
      <c r="K339" s="248"/>
      <c r="L339" s="248"/>
      <c r="M339" s="249"/>
      <c r="N339" s="248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8"/>
      <c r="Z339" s="248"/>
      <c r="AA339" s="248"/>
      <c r="AB339" s="248"/>
      <c r="AC339" s="248"/>
      <c r="AD339" s="248"/>
      <c r="AE339" s="248"/>
      <c r="AF339" s="248"/>
      <c r="AG339" s="248"/>
      <c r="AH339" s="248"/>
      <c r="AI339" s="248"/>
      <c r="AJ339" s="248"/>
      <c r="AK339" s="248"/>
      <c r="AL339" s="248"/>
      <c r="AM339" s="248"/>
      <c r="AN339" s="248"/>
      <c r="AO339" s="248"/>
      <c r="AP339" s="248"/>
      <c r="AQ339" s="248"/>
      <c r="AR339" s="248"/>
      <c r="AS339" s="248"/>
      <c r="AT339" s="248"/>
      <c r="AU339" s="248"/>
      <c r="AV339" s="248"/>
      <c r="AW339" s="248"/>
      <c r="AX339" s="248"/>
      <c r="AY339" s="248"/>
      <c r="AZ339" s="248"/>
      <c r="BA339" s="248"/>
      <c r="BB339" s="248"/>
      <c r="BC339" s="248"/>
      <c r="BD339" s="248"/>
      <c r="BE339" s="248"/>
      <c r="BF339" s="248"/>
      <c r="BG339" s="248"/>
      <c r="BH339" s="249"/>
      <c r="BI339" s="248"/>
      <c r="BJ339" s="248"/>
      <c r="BK339" s="248"/>
      <c r="BL339" s="248"/>
      <c r="BM339" s="248"/>
      <c r="BN339" s="248"/>
      <c r="BO339"/>
      <c r="BP339"/>
      <c r="BQ339"/>
      <c r="BR339"/>
      <c r="BS339"/>
      <c r="BT339" s="248"/>
      <c r="BU339" s="248"/>
      <c r="BV339" s="248"/>
      <c r="BW339" s="248"/>
      <c r="BX339" s="248"/>
      <c r="BY339" s="248"/>
      <c r="BZ339" s="248"/>
      <c r="CA339" s="248"/>
      <c r="CB339" s="248"/>
      <c r="CC339" s="248"/>
      <c r="CD339" s="248"/>
      <c r="CE339" s="248"/>
      <c r="CF339" s="248"/>
      <c r="CG339" s="248"/>
    </row>
    <row r="340" spans="2:85" ht="12.75" x14ac:dyDescent="0.2">
      <c r="B340" s="243">
        <v>6.618085275146901E-2</v>
      </c>
      <c r="D340" s="248"/>
      <c r="E340" s="248"/>
      <c r="F340" s="248"/>
      <c r="G340" s="248"/>
      <c r="H340" s="248"/>
      <c r="I340" s="248"/>
      <c r="J340" s="248"/>
      <c r="K340" s="248"/>
      <c r="L340" s="248"/>
      <c r="M340" s="249"/>
      <c r="N340" s="248"/>
      <c r="O340" s="248"/>
      <c r="P340" s="248"/>
      <c r="Q340" s="248"/>
      <c r="R340" s="248"/>
      <c r="S340" s="248"/>
      <c r="T340" s="248"/>
      <c r="U340" s="248"/>
      <c r="V340" s="248"/>
      <c r="W340" s="248"/>
      <c r="X340" s="248"/>
      <c r="Y340" s="248"/>
      <c r="Z340" s="248"/>
      <c r="AA340" s="248"/>
      <c r="AB340" s="248"/>
      <c r="AC340" s="248"/>
      <c r="AD340" s="248"/>
      <c r="AE340" s="248"/>
      <c r="AF340" s="248"/>
      <c r="AG340" s="248"/>
      <c r="AH340" s="248"/>
      <c r="AI340" s="248"/>
      <c r="AJ340" s="248"/>
      <c r="AK340" s="248"/>
      <c r="AL340" s="248"/>
      <c r="AM340" s="248"/>
      <c r="AN340" s="248"/>
      <c r="AO340" s="248"/>
      <c r="AP340" s="248"/>
      <c r="AQ340" s="248"/>
      <c r="AR340" s="248"/>
      <c r="AS340" s="248"/>
      <c r="AT340" s="248"/>
      <c r="AU340" s="248"/>
      <c r="AV340" s="248"/>
      <c r="AW340" s="248"/>
      <c r="AX340" s="248"/>
      <c r="AY340" s="248"/>
      <c r="AZ340" s="248"/>
      <c r="BA340" s="248"/>
      <c r="BB340" s="248"/>
      <c r="BC340" s="248"/>
      <c r="BD340" s="248"/>
      <c r="BE340" s="248"/>
      <c r="BF340" s="248"/>
      <c r="BG340" s="248"/>
      <c r="BH340" s="249"/>
      <c r="BI340" s="248"/>
      <c r="BJ340" s="248"/>
      <c r="BK340" s="248"/>
      <c r="BL340" s="248"/>
      <c r="BM340" s="248"/>
      <c r="BN340" s="248"/>
      <c r="BO340"/>
      <c r="BP340"/>
      <c r="BQ340"/>
      <c r="BR340"/>
      <c r="BS340"/>
      <c r="BT340" s="248"/>
      <c r="BU340" s="248"/>
      <c r="BV340" s="248"/>
      <c r="BW340" s="248"/>
      <c r="BX340" s="248"/>
      <c r="BY340" s="248"/>
      <c r="BZ340" s="248"/>
      <c r="CA340" s="248"/>
      <c r="CB340" s="248"/>
      <c r="CC340" s="248"/>
      <c r="CD340" s="248"/>
      <c r="CE340" s="248"/>
      <c r="CF340" s="248"/>
      <c r="CG340" s="248"/>
    </row>
    <row r="341" spans="2:85" ht="12.75" x14ac:dyDescent="0.2">
      <c r="B341" s="243">
        <v>6.6181822938536999E-2</v>
      </c>
      <c r="D341" s="248"/>
      <c r="E341" s="248"/>
      <c r="F341" s="248"/>
      <c r="G341" s="248"/>
      <c r="H341" s="248"/>
      <c r="I341" s="248"/>
      <c r="J341" s="248"/>
      <c r="K341" s="248"/>
      <c r="L341" s="248"/>
      <c r="M341" s="249"/>
      <c r="N341" s="248"/>
      <c r="O341" s="248"/>
      <c r="P341" s="248"/>
      <c r="Q341" s="248"/>
      <c r="R341" s="248"/>
      <c r="S341" s="248"/>
      <c r="T341" s="248"/>
      <c r="U341" s="248"/>
      <c r="V341" s="248"/>
      <c r="W341" s="248"/>
      <c r="X341" s="248"/>
      <c r="Y341" s="248"/>
      <c r="Z341" s="248"/>
      <c r="AA341" s="248"/>
      <c r="AB341" s="248"/>
      <c r="AC341" s="248"/>
      <c r="AD341" s="248"/>
      <c r="AE341" s="248"/>
      <c r="AF341" s="248"/>
      <c r="AG341" s="248"/>
      <c r="AH341" s="248"/>
      <c r="AI341" s="248"/>
      <c r="AJ341" s="248"/>
      <c r="AK341" s="248"/>
      <c r="AL341" s="248"/>
      <c r="AM341" s="248"/>
      <c r="AN341" s="248"/>
      <c r="AO341" s="248"/>
      <c r="AP341" s="248"/>
      <c r="AQ341" s="248"/>
      <c r="AR341" s="248"/>
      <c r="AS341" s="248"/>
      <c r="AT341" s="248"/>
      <c r="AU341" s="248"/>
      <c r="AV341" s="248"/>
      <c r="AW341" s="248"/>
      <c r="AX341" s="248"/>
      <c r="AY341" s="248"/>
      <c r="AZ341" s="248"/>
      <c r="BA341" s="248"/>
      <c r="BB341" s="248"/>
      <c r="BC341" s="248"/>
      <c r="BD341" s="248"/>
      <c r="BE341" s="248"/>
      <c r="BF341" s="248"/>
      <c r="BG341" s="248"/>
      <c r="BH341" s="249"/>
      <c r="BI341" s="248"/>
      <c r="BJ341" s="248"/>
      <c r="BK341" s="248"/>
      <c r="BL341" s="248"/>
      <c r="BM341" s="248"/>
      <c r="BN341" s="248"/>
      <c r="BO341"/>
      <c r="BP341"/>
      <c r="BQ341"/>
      <c r="BR341"/>
      <c r="BS341"/>
      <c r="BT341" s="248"/>
      <c r="BU341" s="248"/>
      <c r="BV341" s="248"/>
      <c r="BW341" s="248"/>
      <c r="BX341" s="248"/>
      <c r="BY341" s="248"/>
      <c r="BZ341" s="248"/>
      <c r="CA341" s="248"/>
      <c r="CB341" s="248"/>
      <c r="CC341" s="248"/>
      <c r="CD341" s="248"/>
      <c r="CE341" s="248"/>
      <c r="CF341" s="248"/>
      <c r="CG341" s="248"/>
    </row>
    <row r="342" spans="2:85" ht="12.75" x14ac:dyDescent="0.2">
      <c r="B342" s="243">
        <v>6.6182825465174025E-2</v>
      </c>
      <c r="D342" s="248"/>
      <c r="E342" s="248"/>
      <c r="F342" s="248"/>
      <c r="G342" s="248"/>
      <c r="H342" s="248"/>
      <c r="I342" s="248"/>
      <c r="J342" s="248"/>
      <c r="K342" s="248"/>
      <c r="L342" s="248"/>
      <c r="M342" s="249"/>
      <c r="N342" s="248"/>
      <c r="O342" s="248"/>
      <c r="P342" s="248"/>
      <c r="Q342" s="248"/>
      <c r="R342" s="248"/>
      <c r="S342" s="248"/>
      <c r="T342" s="248"/>
      <c r="U342" s="248"/>
      <c r="V342" s="248"/>
      <c r="W342" s="248"/>
      <c r="X342" s="248"/>
      <c r="Y342" s="248"/>
      <c r="Z342" s="248"/>
      <c r="AA342" s="248"/>
      <c r="AB342" s="248"/>
      <c r="AC342" s="248"/>
      <c r="AD342" s="248"/>
      <c r="AE342" s="248"/>
      <c r="AF342" s="248"/>
      <c r="AG342" s="248"/>
      <c r="AH342" s="248"/>
      <c r="AI342" s="248"/>
      <c r="AJ342" s="248"/>
      <c r="AK342" s="248"/>
      <c r="AL342" s="248"/>
      <c r="AM342" s="248"/>
      <c r="AN342" s="248"/>
      <c r="AO342" s="248"/>
      <c r="AP342" s="248"/>
      <c r="AQ342" s="248"/>
      <c r="AR342" s="248"/>
      <c r="AS342" s="248"/>
      <c r="AT342" s="248"/>
      <c r="AU342" s="248"/>
      <c r="AV342" s="248"/>
      <c r="AW342" s="248"/>
      <c r="AX342" s="248"/>
      <c r="AY342" s="248"/>
      <c r="AZ342" s="248"/>
      <c r="BA342" s="248"/>
      <c r="BB342" s="248"/>
      <c r="BC342" s="248"/>
      <c r="BD342" s="248"/>
      <c r="BE342" s="248"/>
      <c r="BF342" s="248"/>
      <c r="BG342" s="248"/>
      <c r="BH342" s="249"/>
      <c r="BI342" s="248"/>
      <c r="BJ342" s="248"/>
      <c r="BK342" s="248"/>
      <c r="BL342" s="248"/>
      <c r="BM342" s="248"/>
      <c r="BN342" s="248"/>
      <c r="BO342"/>
      <c r="BP342"/>
      <c r="BQ342"/>
      <c r="BR342"/>
      <c r="BS342"/>
      <c r="BT342" s="248"/>
      <c r="BU342" s="248"/>
      <c r="BV342" s="248"/>
      <c r="BW342" s="248"/>
      <c r="BX342" s="248"/>
      <c r="BY342" s="248"/>
      <c r="BZ342" s="248"/>
      <c r="CA342" s="248"/>
      <c r="CB342" s="248"/>
      <c r="CC342" s="248"/>
      <c r="CD342" s="248"/>
      <c r="CE342" s="248"/>
      <c r="CF342" s="248"/>
      <c r="CG342" s="248"/>
    </row>
    <row r="343" spans="2:85" ht="12.75" x14ac:dyDescent="0.2">
      <c r="B343" s="243">
        <v>6.6183795652242985E-2</v>
      </c>
      <c r="D343" s="248"/>
      <c r="E343" s="248"/>
      <c r="F343" s="248"/>
      <c r="G343" s="248"/>
      <c r="H343" s="248"/>
      <c r="I343" s="248"/>
      <c r="J343" s="248"/>
      <c r="K343" s="248"/>
      <c r="L343" s="248"/>
      <c r="M343" s="249"/>
      <c r="N343" s="248"/>
      <c r="O343" s="248"/>
      <c r="P343" s="248"/>
      <c r="Q343" s="248"/>
      <c r="R343" s="248"/>
      <c r="S343" s="248"/>
      <c r="T343" s="248"/>
      <c r="U343" s="248"/>
      <c r="V343" s="248"/>
      <c r="W343" s="248"/>
      <c r="X343" s="248"/>
      <c r="Y343" s="248"/>
      <c r="Z343" s="248"/>
      <c r="AA343" s="248"/>
      <c r="AB343" s="248"/>
      <c r="AC343" s="248"/>
      <c r="AD343" s="248"/>
      <c r="AE343" s="248"/>
      <c r="AF343" s="248"/>
      <c r="AG343" s="248"/>
      <c r="AH343" s="248"/>
      <c r="AI343" s="248"/>
      <c r="AJ343" s="248"/>
      <c r="AK343" s="248"/>
      <c r="AL343" s="248"/>
      <c r="AM343" s="248"/>
      <c r="AN343" s="248"/>
      <c r="AO343" s="248"/>
      <c r="AP343" s="248"/>
      <c r="AQ343" s="248"/>
      <c r="AR343" s="248"/>
      <c r="AS343" s="248"/>
      <c r="AT343" s="248"/>
      <c r="AU343" s="248"/>
      <c r="AV343" s="248"/>
      <c r="AW343" s="248"/>
      <c r="AX343" s="248"/>
      <c r="AY343" s="248"/>
      <c r="AZ343" s="248"/>
      <c r="BA343" s="248"/>
      <c r="BB343" s="248"/>
      <c r="BC343" s="248"/>
      <c r="BD343" s="248"/>
      <c r="BE343" s="248"/>
      <c r="BF343" s="248"/>
      <c r="BG343" s="248"/>
      <c r="BH343" s="249"/>
      <c r="BI343" s="248"/>
      <c r="BJ343" s="248"/>
      <c r="BK343" s="248"/>
      <c r="BL343" s="248"/>
      <c r="BM343" s="248"/>
      <c r="BN343" s="248"/>
      <c r="BO343"/>
      <c r="BP343"/>
      <c r="BQ343"/>
      <c r="BR343"/>
      <c r="BS343"/>
      <c r="BT343" s="248"/>
      <c r="BU343" s="248"/>
      <c r="BV343" s="248"/>
      <c r="BW343" s="248"/>
      <c r="BX343" s="248"/>
      <c r="BY343" s="248"/>
      <c r="BZ343" s="248"/>
      <c r="CA343" s="248"/>
      <c r="CB343" s="248"/>
      <c r="CC343" s="248"/>
      <c r="CD343" s="248"/>
      <c r="CE343" s="248"/>
      <c r="CF343" s="248"/>
      <c r="CG343" s="248"/>
    </row>
    <row r="344" spans="2:85" ht="12.75" x14ac:dyDescent="0.2">
      <c r="B344" s="243">
        <v>6.618479817888101E-2</v>
      </c>
      <c r="D344" s="248"/>
      <c r="E344" s="248"/>
      <c r="F344" s="248"/>
      <c r="G344" s="248"/>
      <c r="H344" s="248"/>
      <c r="I344" s="248"/>
      <c r="J344" s="248"/>
      <c r="K344" s="248"/>
      <c r="L344" s="248"/>
      <c r="M344" s="249"/>
      <c r="N344" s="248"/>
      <c r="O344" s="248"/>
      <c r="P344" s="248"/>
      <c r="Q344" s="248"/>
      <c r="R344" s="248"/>
      <c r="S344" s="248"/>
      <c r="T344" s="248"/>
      <c r="U344" s="248"/>
      <c r="V344" s="248"/>
      <c r="W344" s="248"/>
      <c r="X344" s="248"/>
      <c r="Y344" s="248"/>
      <c r="Z344" s="248"/>
      <c r="AA344" s="248"/>
      <c r="AB344" s="248"/>
      <c r="AC344" s="248"/>
      <c r="AD344" s="248"/>
      <c r="AE344" s="248"/>
      <c r="AF344" s="248"/>
      <c r="AG344" s="248"/>
      <c r="AH344" s="248"/>
      <c r="AI344" s="248"/>
      <c r="AJ344" s="248"/>
      <c r="AK344" s="248"/>
      <c r="AL344" s="248"/>
      <c r="AM344" s="248"/>
      <c r="AN344" s="248"/>
      <c r="AO344" s="248"/>
      <c r="AP344" s="248"/>
      <c r="AQ344" s="248"/>
      <c r="AR344" s="248"/>
      <c r="AS344" s="248"/>
      <c r="AT344" s="248"/>
      <c r="AU344" s="248"/>
      <c r="AV344" s="248"/>
      <c r="AW344" s="248"/>
      <c r="AX344" s="248"/>
      <c r="AY344" s="248"/>
      <c r="AZ344" s="248"/>
      <c r="BA344" s="248"/>
      <c r="BB344" s="248"/>
      <c r="BC344" s="248"/>
      <c r="BD344" s="248"/>
      <c r="BE344" s="248"/>
      <c r="BF344" s="248"/>
      <c r="BG344" s="248"/>
      <c r="BH344" s="249"/>
      <c r="BI344" s="248"/>
      <c r="BJ344" s="248"/>
      <c r="BK344" s="248"/>
      <c r="BL344" s="248"/>
      <c r="BM344" s="248"/>
      <c r="BN344" s="248"/>
      <c r="BO344"/>
      <c r="BP344"/>
      <c r="BQ344"/>
      <c r="BR344"/>
      <c r="BS344"/>
      <c r="BT344" s="248"/>
      <c r="BU344" s="248"/>
      <c r="BV344" s="248"/>
      <c r="BW344" s="248"/>
      <c r="BX344" s="248"/>
      <c r="BY344" s="248"/>
      <c r="BZ344" s="248"/>
      <c r="CA344" s="248"/>
      <c r="CB344" s="248"/>
      <c r="CC344" s="248"/>
      <c r="CD344" s="248"/>
      <c r="CE344" s="248"/>
      <c r="CF344" s="248"/>
      <c r="CG344" s="248"/>
    </row>
    <row r="345" spans="2:85" ht="12.75" x14ac:dyDescent="0.2">
      <c r="B345" s="243">
        <v>6.6185800705519007E-2</v>
      </c>
      <c r="D345" s="248"/>
      <c r="E345" s="248"/>
      <c r="F345" s="248"/>
      <c r="G345" s="248"/>
      <c r="H345" s="248"/>
      <c r="I345" s="248"/>
      <c r="J345" s="248"/>
      <c r="K345" s="248"/>
      <c r="L345" s="248"/>
      <c r="M345" s="249"/>
      <c r="N345" s="248"/>
      <c r="O345" s="248"/>
      <c r="P345" s="248"/>
      <c r="Q345" s="248"/>
      <c r="R345" s="248"/>
      <c r="S345" s="248"/>
      <c r="T345" s="248"/>
      <c r="U345" s="248"/>
      <c r="V345" s="248"/>
      <c r="W345" s="248"/>
      <c r="X345" s="248"/>
      <c r="Y345" s="248"/>
      <c r="Z345" s="248"/>
      <c r="AA345" s="248"/>
      <c r="AB345" s="248"/>
      <c r="AC345" s="248"/>
      <c r="AD345" s="248"/>
      <c r="AE345" s="248"/>
      <c r="AF345" s="248"/>
      <c r="AG345" s="248"/>
      <c r="AH345" s="248"/>
      <c r="AI345" s="248"/>
      <c r="AJ345" s="248"/>
      <c r="AK345" s="248"/>
      <c r="AL345" s="248"/>
      <c r="AM345" s="248"/>
      <c r="AN345" s="248"/>
      <c r="AO345" s="248"/>
      <c r="AP345" s="248"/>
      <c r="AQ345" s="248"/>
      <c r="AR345" s="248"/>
      <c r="AS345" s="248"/>
      <c r="AT345" s="248"/>
      <c r="AU345" s="248"/>
      <c r="AV345" s="248"/>
      <c r="AW345" s="248"/>
      <c r="AX345" s="248"/>
      <c r="AY345" s="248"/>
      <c r="AZ345" s="248"/>
      <c r="BA345" s="248"/>
      <c r="BB345" s="248"/>
      <c r="BC345" s="248"/>
      <c r="BD345" s="248"/>
      <c r="BE345" s="248"/>
      <c r="BF345" s="248"/>
      <c r="BG345" s="248"/>
      <c r="BH345" s="249"/>
      <c r="BI345" s="248"/>
      <c r="BJ345" s="248"/>
      <c r="BK345" s="248"/>
      <c r="BL345" s="248"/>
      <c r="BM345" s="248"/>
      <c r="BN345" s="248"/>
      <c r="BO345"/>
      <c r="BP345"/>
      <c r="BQ345"/>
      <c r="BR345"/>
      <c r="BS345"/>
      <c r="BT345" s="248"/>
      <c r="BU345" s="248"/>
      <c r="BV345" s="248"/>
      <c r="BW345" s="248"/>
      <c r="BX345" s="248"/>
      <c r="BY345" s="248"/>
      <c r="BZ345" s="248"/>
      <c r="CA345" s="248"/>
      <c r="CB345" s="248"/>
      <c r="CC345" s="248"/>
      <c r="CD345" s="248"/>
      <c r="CE345" s="248"/>
      <c r="CF345" s="248"/>
      <c r="CG345" s="248"/>
    </row>
    <row r="346" spans="2:85" ht="12.75" x14ac:dyDescent="0.2">
      <c r="B346" s="243">
        <v>6.6186770892588009E-2</v>
      </c>
      <c r="D346" s="248"/>
      <c r="E346" s="248"/>
      <c r="F346" s="248"/>
      <c r="G346" s="248"/>
      <c r="H346" s="248"/>
      <c r="I346" s="248"/>
      <c r="J346" s="248"/>
      <c r="K346" s="248"/>
      <c r="L346" s="248"/>
      <c r="M346" s="249"/>
      <c r="N346" s="248"/>
      <c r="O346" s="248"/>
      <c r="P346" s="248"/>
      <c r="Q346" s="248"/>
      <c r="R346" s="248"/>
      <c r="S346" s="248"/>
      <c r="T346" s="248"/>
      <c r="U346" s="248"/>
      <c r="V346" s="248"/>
      <c r="W346" s="248"/>
      <c r="X346" s="248"/>
      <c r="Y346" s="248"/>
      <c r="Z346" s="248"/>
      <c r="AA346" s="248"/>
      <c r="AB346" s="248"/>
      <c r="AC346" s="248"/>
      <c r="AD346" s="248"/>
      <c r="AE346" s="248"/>
      <c r="AF346" s="248"/>
      <c r="AG346" s="248"/>
      <c r="AH346" s="248"/>
      <c r="AI346" s="248"/>
      <c r="AJ346" s="248"/>
      <c r="AK346" s="248"/>
      <c r="AL346" s="248"/>
      <c r="AM346" s="248"/>
      <c r="AN346" s="248"/>
      <c r="AO346" s="248"/>
      <c r="AP346" s="248"/>
      <c r="AQ346" s="248"/>
      <c r="AR346" s="248"/>
      <c r="AS346" s="248"/>
      <c r="AT346" s="248"/>
      <c r="AU346" s="248"/>
      <c r="AV346" s="248"/>
      <c r="AW346" s="248"/>
      <c r="AX346" s="248"/>
      <c r="AY346" s="248"/>
      <c r="AZ346" s="248"/>
      <c r="BA346" s="248"/>
      <c r="BB346" s="248"/>
      <c r="BC346" s="248"/>
      <c r="BD346" s="248"/>
      <c r="BE346" s="248"/>
      <c r="BF346" s="248"/>
      <c r="BG346" s="248"/>
      <c r="BH346" s="249"/>
      <c r="BI346" s="248"/>
      <c r="BJ346" s="248"/>
      <c r="BK346" s="248"/>
      <c r="BL346" s="248"/>
      <c r="BM346" s="248"/>
      <c r="BN346" s="248"/>
      <c r="BO346"/>
      <c r="BP346"/>
      <c r="BQ346"/>
      <c r="BR346"/>
      <c r="BS346"/>
      <c r="BT346" s="248"/>
      <c r="BU346" s="248"/>
      <c r="BV346" s="248"/>
      <c r="BW346" s="248"/>
      <c r="BX346" s="248"/>
      <c r="BY346" s="248"/>
      <c r="BZ346" s="248"/>
      <c r="CA346" s="248"/>
      <c r="CB346" s="248"/>
      <c r="CC346" s="248"/>
      <c r="CD346" s="248"/>
      <c r="CE346" s="248"/>
      <c r="CF346" s="248"/>
      <c r="CG346" s="248"/>
    </row>
    <row r="347" spans="2:85" ht="12.75" x14ac:dyDescent="0.2">
      <c r="B347" s="243">
        <v>6.6187773419228005E-2</v>
      </c>
      <c r="D347" s="248"/>
      <c r="E347" s="248"/>
      <c r="F347" s="248"/>
      <c r="G347" s="248"/>
      <c r="H347" s="248"/>
      <c r="I347" s="248"/>
      <c r="J347" s="248"/>
      <c r="K347" s="248"/>
      <c r="L347" s="248"/>
      <c r="M347" s="249"/>
      <c r="N347" s="248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8"/>
      <c r="Z347" s="248"/>
      <c r="AA347" s="248"/>
      <c r="AB347" s="248"/>
      <c r="AC347" s="248"/>
      <c r="AD347" s="248"/>
      <c r="AE347" s="248"/>
      <c r="AF347" s="248"/>
      <c r="AG347" s="248"/>
      <c r="AH347" s="248"/>
      <c r="AI347" s="248"/>
      <c r="AJ347" s="248"/>
      <c r="AK347" s="248"/>
      <c r="AL347" s="248"/>
      <c r="AM347" s="248"/>
      <c r="AN347" s="248"/>
      <c r="AO347" s="248"/>
      <c r="AP347" s="248"/>
      <c r="AQ347" s="248"/>
      <c r="AR347" s="248"/>
      <c r="AS347" s="248"/>
      <c r="AT347" s="248"/>
      <c r="AU347" s="248"/>
      <c r="AV347" s="248"/>
      <c r="AW347" s="248"/>
      <c r="AX347" s="248"/>
      <c r="AY347" s="248"/>
      <c r="AZ347" s="248"/>
      <c r="BA347" s="248"/>
      <c r="BB347" s="248"/>
      <c r="BC347" s="248"/>
      <c r="BD347" s="248"/>
      <c r="BE347" s="248"/>
      <c r="BF347" s="248"/>
      <c r="BG347" s="248"/>
      <c r="BH347" s="249"/>
      <c r="BI347" s="248"/>
      <c r="BJ347" s="248"/>
      <c r="BK347" s="248"/>
      <c r="BL347" s="248"/>
      <c r="BM347" s="248"/>
      <c r="BN347" s="248"/>
      <c r="BO347"/>
      <c r="BP347"/>
      <c r="BQ347"/>
      <c r="BR347"/>
      <c r="BS347"/>
      <c r="BT347" s="248"/>
      <c r="BU347" s="248"/>
      <c r="BV347" s="248"/>
      <c r="BW347" s="248"/>
      <c r="BX347" s="248"/>
      <c r="BY347" s="248"/>
      <c r="BZ347" s="248"/>
      <c r="CA347" s="248"/>
      <c r="CB347" s="248"/>
      <c r="CC347" s="248"/>
      <c r="CD347" s="248"/>
      <c r="CE347" s="248"/>
      <c r="CF347" s="248"/>
      <c r="CG347" s="248"/>
    </row>
    <row r="348" spans="2:85" ht="12.75" x14ac:dyDescent="0.2">
      <c r="B348" s="243">
        <v>6.6188743606297992E-2</v>
      </c>
      <c r="D348" s="248"/>
      <c r="E348" s="248"/>
      <c r="F348" s="248"/>
      <c r="G348" s="248"/>
      <c r="H348" s="248"/>
      <c r="I348" s="248"/>
      <c r="J348" s="248"/>
      <c r="K348" s="248"/>
      <c r="L348" s="248"/>
      <c r="M348" s="249"/>
      <c r="N348" s="248"/>
      <c r="O348" s="248"/>
      <c r="P348" s="248"/>
      <c r="Q348" s="248"/>
      <c r="R348" s="248"/>
      <c r="S348" s="248"/>
      <c r="T348" s="248"/>
      <c r="U348" s="248"/>
      <c r="V348" s="248"/>
      <c r="W348" s="248"/>
      <c r="X348" s="248"/>
      <c r="Y348" s="248"/>
      <c r="Z348" s="248"/>
      <c r="AA348" s="248"/>
      <c r="AB348" s="248"/>
      <c r="AC348" s="248"/>
      <c r="AD348" s="248"/>
      <c r="AE348" s="248"/>
      <c r="AF348" s="248"/>
      <c r="AG348" s="248"/>
      <c r="AH348" s="248"/>
      <c r="AI348" s="248"/>
      <c r="AJ348" s="248"/>
      <c r="AK348" s="248"/>
      <c r="AL348" s="248"/>
      <c r="AM348" s="248"/>
      <c r="AN348" s="248"/>
      <c r="AO348" s="248"/>
      <c r="AP348" s="248"/>
      <c r="AQ348" s="248"/>
      <c r="AR348" s="248"/>
      <c r="AS348" s="248"/>
      <c r="AT348" s="248"/>
      <c r="AU348" s="248"/>
      <c r="AV348" s="248"/>
      <c r="AW348" s="248"/>
      <c r="AX348" s="248"/>
      <c r="AY348" s="248"/>
      <c r="AZ348" s="248"/>
      <c r="BA348" s="248"/>
      <c r="BB348" s="248"/>
      <c r="BC348" s="248"/>
      <c r="BD348" s="248"/>
      <c r="BE348" s="248"/>
      <c r="BF348" s="248"/>
      <c r="BG348" s="248"/>
      <c r="BH348" s="249"/>
      <c r="BI348" s="248"/>
      <c r="BJ348" s="248"/>
      <c r="BK348" s="248"/>
      <c r="BL348" s="248"/>
      <c r="BM348" s="248"/>
      <c r="BN348" s="248"/>
      <c r="BO348"/>
      <c r="BP348"/>
      <c r="BQ348"/>
      <c r="BR348"/>
      <c r="BS348"/>
      <c r="BT348" s="248"/>
      <c r="BU348" s="248"/>
      <c r="BV348" s="248"/>
      <c r="BW348" s="248"/>
      <c r="BX348" s="248"/>
      <c r="BY348" s="248"/>
      <c r="BZ348" s="248"/>
      <c r="CA348" s="248"/>
      <c r="CB348" s="248"/>
      <c r="CC348" s="248"/>
      <c r="CD348" s="248"/>
      <c r="CE348" s="248"/>
      <c r="CF348" s="248"/>
      <c r="CG348" s="248"/>
    </row>
    <row r="349" spans="2:85" ht="12.75" x14ac:dyDescent="0.2">
      <c r="B349" s="243">
        <v>6.6189746132937002E-2</v>
      </c>
      <c r="D349" s="248"/>
      <c r="E349" s="248"/>
      <c r="F349" s="248"/>
      <c r="G349" s="248"/>
      <c r="H349" s="248"/>
      <c r="I349" s="248"/>
      <c r="J349" s="248"/>
      <c r="K349" s="248"/>
      <c r="L349" s="248"/>
      <c r="M349" s="249"/>
      <c r="N349" s="248"/>
      <c r="O349" s="248"/>
      <c r="P349" s="248"/>
      <c r="Q349" s="248"/>
      <c r="R349" s="248"/>
      <c r="S349" s="248"/>
      <c r="T349" s="248"/>
      <c r="U349" s="248"/>
      <c r="V349" s="248"/>
      <c r="W349" s="248"/>
      <c r="X349" s="248"/>
      <c r="Y349" s="248"/>
      <c r="Z349" s="248"/>
      <c r="AA349" s="248"/>
      <c r="AB349" s="248"/>
      <c r="AC349" s="248"/>
      <c r="AD349" s="248"/>
      <c r="AE349" s="248"/>
      <c r="AF349" s="248"/>
      <c r="AG349" s="248"/>
      <c r="AH349" s="248"/>
      <c r="AI349" s="248"/>
      <c r="AJ349" s="248"/>
      <c r="AK349" s="248"/>
      <c r="AL349" s="248"/>
      <c r="AM349" s="248"/>
      <c r="AN349" s="248"/>
      <c r="AO349" s="248"/>
      <c r="AP349" s="248"/>
      <c r="AQ349" s="248"/>
      <c r="AR349" s="248"/>
      <c r="AS349" s="248"/>
      <c r="AT349" s="248"/>
      <c r="AU349" s="248"/>
      <c r="AV349" s="248"/>
      <c r="AW349" s="248"/>
      <c r="AX349" s="248"/>
      <c r="AY349" s="248"/>
      <c r="AZ349" s="248"/>
      <c r="BA349" s="248"/>
      <c r="BB349" s="248"/>
      <c r="BC349" s="248"/>
      <c r="BD349" s="248"/>
      <c r="BE349" s="248"/>
      <c r="BF349" s="248"/>
      <c r="BG349" s="248"/>
      <c r="BH349" s="249"/>
      <c r="BI349" s="248"/>
      <c r="BJ349" s="248"/>
      <c r="BK349" s="248"/>
      <c r="BL349" s="248"/>
      <c r="BM349" s="248"/>
      <c r="BN349" s="248"/>
      <c r="BO349"/>
      <c r="BP349"/>
      <c r="BQ349"/>
      <c r="BR349"/>
      <c r="BS349"/>
      <c r="BT349" s="248"/>
      <c r="BU349" s="248"/>
      <c r="BV349" s="248"/>
      <c r="BW349" s="248"/>
      <c r="BX349" s="248"/>
      <c r="BY349" s="248"/>
      <c r="BZ349" s="248"/>
      <c r="CA349" s="248"/>
      <c r="CB349" s="248"/>
      <c r="CC349" s="248"/>
      <c r="CD349" s="248"/>
      <c r="CE349" s="248"/>
      <c r="CF349" s="248"/>
      <c r="CG349" s="248"/>
    </row>
    <row r="350" spans="2:85" ht="12.75" x14ac:dyDescent="0.2">
      <c r="B350" s="243">
        <v>6.6190748659577012E-2</v>
      </c>
      <c r="D350" s="248"/>
      <c r="E350" s="248"/>
      <c r="F350" s="248"/>
      <c r="G350" s="248"/>
      <c r="H350" s="248"/>
      <c r="I350" s="248"/>
      <c r="J350" s="248"/>
      <c r="K350" s="248"/>
      <c r="L350" s="248"/>
      <c r="M350" s="249"/>
      <c r="N350" s="248"/>
      <c r="O350" s="248"/>
      <c r="P350" s="248"/>
      <c r="Q350" s="248"/>
      <c r="R350" s="248"/>
      <c r="S350" s="248"/>
      <c r="T350" s="248"/>
      <c r="U350" s="248"/>
      <c r="V350" s="248"/>
      <c r="W350" s="248"/>
      <c r="X350" s="248"/>
      <c r="Y350" s="248"/>
      <c r="Z350" s="248"/>
      <c r="AA350" s="248"/>
      <c r="AB350" s="248"/>
      <c r="AC350" s="248"/>
      <c r="AD350" s="248"/>
      <c r="AE350" s="248"/>
      <c r="AF350" s="248"/>
      <c r="AG350" s="248"/>
      <c r="AH350" s="248"/>
      <c r="AI350" s="248"/>
      <c r="AJ350" s="248"/>
      <c r="AK350" s="248"/>
      <c r="AL350" s="248"/>
      <c r="AM350" s="248"/>
      <c r="AN350" s="248"/>
      <c r="AO350" s="248"/>
      <c r="AP350" s="248"/>
      <c r="AQ350" s="248"/>
      <c r="AR350" s="248"/>
      <c r="AS350" s="248"/>
      <c r="AT350" s="248"/>
      <c r="AU350" s="248"/>
      <c r="AV350" s="248"/>
      <c r="AW350" s="248"/>
      <c r="AX350" s="248"/>
      <c r="AY350" s="248"/>
      <c r="AZ350" s="248"/>
      <c r="BA350" s="248"/>
      <c r="BB350" s="248"/>
      <c r="BC350" s="248"/>
      <c r="BD350" s="248"/>
      <c r="BE350" s="248"/>
      <c r="BF350" s="248"/>
      <c r="BG350" s="248"/>
      <c r="BH350" s="249"/>
      <c r="BI350" s="248"/>
      <c r="BJ350" s="248"/>
      <c r="BK350" s="248"/>
      <c r="BL350" s="248"/>
      <c r="BM350" s="248"/>
      <c r="BN350" s="248"/>
      <c r="BO350"/>
      <c r="BP350"/>
      <c r="BQ350"/>
      <c r="BR350"/>
      <c r="BS350"/>
      <c r="BT350" s="248"/>
      <c r="BU350" s="248"/>
      <c r="BV350" s="248"/>
      <c r="BW350" s="248"/>
      <c r="BX350" s="248"/>
      <c r="BY350" s="248"/>
      <c r="BZ350" s="248"/>
      <c r="CA350" s="248"/>
      <c r="CB350" s="248"/>
      <c r="CC350" s="248"/>
      <c r="CD350" s="248"/>
      <c r="CE350" s="248"/>
      <c r="CF350" s="248"/>
      <c r="CG350" s="248"/>
    </row>
    <row r="351" spans="2:85" ht="12.75" x14ac:dyDescent="0.2">
      <c r="B351" s="243">
        <v>6.6191654167510022E-2</v>
      </c>
      <c r="D351" s="248"/>
      <c r="E351" s="248"/>
      <c r="F351" s="248"/>
      <c r="G351" s="248"/>
      <c r="H351" s="248"/>
      <c r="I351" s="248"/>
      <c r="J351" s="248"/>
      <c r="K351" s="248"/>
      <c r="L351" s="248"/>
      <c r="M351" s="249"/>
      <c r="N351" s="248"/>
      <c r="O351" s="248"/>
      <c r="P351" s="248"/>
      <c r="Q351" s="248"/>
      <c r="R351" s="248"/>
      <c r="S351" s="248"/>
      <c r="T351" s="248"/>
      <c r="U351" s="248"/>
      <c r="V351" s="248"/>
      <c r="W351" s="248"/>
      <c r="X351" s="248"/>
      <c r="Y351" s="248"/>
      <c r="Z351" s="248"/>
      <c r="AA351" s="248"/>
      <c r="AB351" s="248"/>
      <c r="AC351" s="248"/>
      <c r="AD351" s="248"/>
      <c r="AE351" s="248"/>
      <c r="AF351" s="248"/>
      <c r="AG351" s="248"/>
      <c r="AH351" s="248"/>
      <c r="AI351" s="248"/>
      <c r="AJ351" s="248"/>
      <c r="AK351" s="248"/>
      <c r="AL351" s="248"/>
      <c r="AM351" s="248"/>
      <c r="AN351" s="248"/>
      <c r="AO351" s="248"/>
      <c r="AP351" s="248"/>
      <c r="AQ351" s="248"/>
      <c r="AR351" s="248"/>
      <c r="AS351" s="248"/>
      <c r="AT351" s="248"/>
      <c r="AU351" s="248"/>
      <c r="AV351" s="248"/>
      <c r="AW351" s="248"/>
      <c r="AX351" s="248"/>
      <c r="AY351" s="248"/>
      <c r="AZ351" s="248"/>
      <c r="BA351" s="248"/>
      <c r="BB351" s="248"/>
      <c r="BC351" s="248"/>
      <c r="BD351" s="248"/>
      <c r="BE351" s="248"/>
      <c r="BF351" s="248"/>
      <c r="BG351" s="248"/>
      <c r="BH351" s="249"/>
      <c r="BI351" s="248"/>
      <c r="BJ351" s="248"/>
      <c r="BK351" s="248"/>
      <c r="BL351" s="248"/>
      <c r="BM351" s="248"/>
      <c r="BN351" s="248"/>
      <c r="BO351"/>
      <c r="BP351"/>
      <c r="BQ351"/>
      <c r="BR351"/>
      <c r="BS351"/>
      <c r="BT351" s="248"/>
      <c r="BU351" s="248"/>
      <c r="BV351" s="248"/>
      <c r="BW351" s="248"/>
      <c r="BX351" s="248"/>
      <c r="BY351" s="248"/>
      <c r="BZ351" s="248"/>
      <c r="CA351" s="248"/>
      <c r="CB351" s="248"/>
      <c r="CC351" s="248"/>
      <c r="CD351" s="248"/>
      <c r="CE351" s="248"/>
      <c r="CF351" s="248"/>
      <c r="CG351" s="248"/>
    </row>
    <row r="352" spans="2:85" ht="12.75" x14ac:dyDescent="0.2">
      <c r="B352" s="243">
        <v>6.6192656694151017E-2</v>
      </c>
      <c r="D352" s="248"/>
      <c r="E352" s="248"/>
      <c r="F352" s="248"/>
      <c r="G352" s="248"/>
      <c r="H352" s="248"/>
      <c r="I352" s="248"/>
      <c r="J352" s="248"/>
      <c r="K352" s="248"/>
      <c r="L352" s="248"/>
      <c r="M352" s="249"/>
      <c r="N352" s="248"/>
      <c r="O352" s="248"/>
      <c r="P352" s="248"/>
      <c r="Q352" s="248"/>
      <c r="R352" s="248"/>
      <c r="S352" s="248"/>
      <c r="T352" s="248"/>
      <c r="U352" s="248"/>
      <c r="V352" s="248"/>
      <c r="W352" s="248"/>
      <c r="X352" s="248"/>
      <c r="Y352" s="248"/>
      <c r="Z352" s="248"/>
      <c r="AA352" s="248"/>
      <c r="AB352" s="248"/>
      <c r="AC352" s="248"/>
      <c r="AD352" s="248"/>
      <c r="AE352" s="248"/>
      <c r="AF352" s="248"/>
      <c r="AG352" s="248"/>
      <c r="AH352" s="248"/>
      <c r="AI352" s="248"/>
      <c r="AJ352" s="248"/>
      <c r="AK352" s="248"/>
      <c r="AL352" s="248"/>
      <c r="AM352" s="248"/>
      <c r="AN352" s="248"/>
      <c r="AO352" s="248"/>
      <c r="AP352" s="248"/>
      <c r="AQ352" s="248"/>
      <c r="AR352" s="248"/>
      <c r="AS352" s="248"/>
      <c r="AT352" s="248"/>
      <c r="AU352" s="248"/>
      <c r="AV352" s="248"/>
      <c r="AW352" s="248"/>
      <c r="AX352" s="248"/>
      <c r="AY352" s="248"/>
      <c r="AZ352" s="248"/>
      <c r="BA352" s="248"/>
      <c r="BB352" s="248"/>
      <c r="BC352" s="248"/>
      <c r="BD352" s="248"/>
      <c r="BE352" s="248"/>
      <c r="BF352" s="248"/>
      <c r="BG352" s="248"/>
      <c r="BH352" s="249"/>
      <c r="BI352" s="248"/>
      <c r="BJ352" s="248"/>
      <c r="BK352" s="248"/>
      <c r="BL352" s="248"/>
      <c r="BM352" s="248"/>
      <c r="BN352" s="248"/>
      <c r="BO352"/>
      <c r="BP352"/>
      <c r="BQ352"/>
      <c r="BR352"/>
      <c r="BS352"/>
      <c r="BT352" s="248"/>
      <c r="BU352" s="248"/>
      <c r="BV352" s="248"/>
      <c r="BW352" s="248"/>
      <c r="BX352" s="248"/>
      <c r="BY352" s="248"/>
      <c r="BZ352" s="248"/>
      <c r="CA352" s="248"/>
      <c r="CB352" s="248"/>
      <c r="CC352" s="248"/>
      <c r="CD352" s="248"/>
      <c r="CE352" s="248"/>
      <c r="CF352" s="248"/>
      <c r="CG352" s="248"/>
    </row>
    <row r="353" spans="2:85" ht="12.75" x14ac:dyDescent="0.2">
      <c r="B353" s="243">
        <v>6.6193626881222004E-2</v>
      </c>
      <c r="D353" s="248"/>
      <c r="E353" s="248"/>
      <c r="F353" s="248"/>
      <c r="G353" s="248"/>
      <c r="H353" s="248"/>
      <c r="I353" s="248"/>
      <c r="J353" s="248"/>
      <c r="K353" s="248"/>
      <c r="L353" s="248"/>
      <c r="M353" s="249"/>
      <c r="N353" s="248"/>
      <c r="O353" s="248"/>
      <c r="P353" s="248"/>
      <c r="Q353" s="248"/>
      <c r="R353" s="248"/>
      <c r="S353" s="248"/>
      <c r="T353" s="248"/>
      <c r="U353" s="248"/>
      <c r="V353" s="248"/>
      <c r="W353" s="248"/>
      <c r="X353" s="248"/>
      <c r="Y353" s="248"/>
      <c r="Z353" s="248"/>
      <c r="AA353" s="248"/>
      <c r="AB353" s="248"/>
      <c r="AC353" s="248"/>
      <c r="AD353" s="248"/>
      <c r="AE353" s="248"/>
      <c r="AF353" s="248"/>
      <c r="AG353" s="248"/>
      <c r="AH353" s="248"/>
      <c r="AI353" s="248"/>
      <c r="AJ353" s="248"/>
      <c r="AK353" s="248"/>
      <c r="AL353" s="248"/>
      <c r="AM353" s="248"/>
      <c r="AN353" s="248"/>
      <c r="AO353" s="248"/>
      <c r="AP353" s="248"/>
      <c r="AQ353" s="248"/>
      <c r="AR353" s="248"/>
      <c r="AS353" s="248"/>
      <c r="AT353" s="248"/>
      <c r="AU353" s="248"/>
      <c r="AV353" s="248"/>
      <c r="AW353" s="248"/>
      <c r="AX353" s="248"/>
      <c r="AY353" s="248"/>
      <c r="AZ353" s="248"/>
      <c r="BA353" s="248"/>
      <c r="BB353" s="248"/>
      <c r="BC353" s="248"/>
      <c r="BD353" s="248"/>
      <c r="BE353" s="248"/>
      <c r="BF353" s="248"/>
      <c r="BG353" s="248"/>
      <c r="BH353" s="249"/>
      <c r="BI353" s="248"/>
      <c r="BJ353" s="248"/>
      <c r="BK353" s="248"/>
      <c r="BL353" s="248"/>
      <c r="BM353" s="248"/>
      <c r="BN353" s="248"/>
      <c r="BO353"/>
      <c r="BP353"/>
      <c r="BQ353"/>
      <c r="BR353"/>
      <c r="BS353"/>
      <c r="BT353" s="248"/>
      <c r="BU353" s="248"/>
      <c r="BV353" s="248"/>
      <c r="BW353" s="248"/>
      <c r="BX353" s="248"/>
      <c r="BY353" s="248"/>
      <c r="BZ353" s="248"/>
      <c r="CA353" s="248"/>
      <c r="CB353" s="248"/>
      <c r="CC353" s="248"/>
      <c r="CD353" s="248"/>
      <c r="CE353" s="248"/>
      <c r="CF353" s="248"/>
      <c r="CG353" s="248"/>
    </row>
    <row r="354" spans="2:85" ht="12.75" x14ac:dyDescent="0.2">
      <c r="B354" s="243">
        <v>6.6194629407862998E-2</v>
      </c>
      <c r="D354" s="248"/>
      <c r="E354" s="248"/>
      <c r="F354" s="248"/>
      <c r="G354" s="248"/>
      <c r="H354" s="248"/>
      <c r="I354" s="248"/>
      <c r="J354" s="248"/>
      <c r="K354" s="248"/>
      <c r="L354" s="248"/>
      <c r="M354" s="249"/>
      <c r="N354" s="248"/>
      <c r="O354" s="248"/>
      <c r="P354" s="248"/>
      <c r="Q354" s="248"/>
      <c r="R354" s="248"/>
      <c r="S354" s="248"/>
      <c r="T354" s="248"/>
      <c r="U354" s="248"/>
      <c r="V354" s="248"/>
      <c r="W354" s="248"/>
      <c r="X354" s="248"/>
      <c r="Y354" s="248"/>
      <c r="Z354" s="248"/>
      <c r="AA354" s="248"/>
      <c r="AB354" s="248"/>
      <c r="AC354" s="248"/>
      <c r="AD354" s="248"/>
      <c r="AE354" s="248"/>
      <c r="AF354" s="248"/>
      <c r="AG354" s="248"/>
      <c r="AH354" s="248"/>
      <c r="AI354" s="248"/>
      <c r="AJ354" s="248"/>
      <c r="AK354" s="248"/>
      <c r="AL354" s="248"/>
      <c r="AM354" s="248"/>
      <c r="AN354" s="248"/>
      <c r="AO354" s="248"/>
      <c r="AP354" s="248"/>
      <c r="AQ354" s="248"/>
      <c r="AR354" s="248"/>
      <c r="AS354" s="248"/>
      <c r="AT354" s="248"/>
      <c r="AU354" s="248"/>
      <c r="AV354" s="248"/>
      <c r="AW354" s="248"/>
      <c r="AX354" s="248"/>
      <c r="AY354" s="248"/>
      <c r="AZ354" s="248"/>
      <c r="BA354" s="248"/>
      <c r="BB354" s="248"/>
      <c r="BC354" s="248"/>
      <c r="BD354" s="248"/>
      <c r="BE354" s="248"/>
      <c r="BF354" s="248"/>
      <c r="BG354" s="248"/>
      <c r="BH354" s="249"/>
      <c r="BI354" s="248"/>
      <c r="BJ354" s="248"/>
      <c r="BK354" s="248"/>
      <c r="BL354" s="248"/>
      <c r="BM354" s="248"/>
      <c r="BN354" s="248"/>
      <c r="BO354"/>
      <c r="BP354"/>
      <c r="BQ354"/>
      <c r="BR354"/>
      <c r="BS354"/>
      <c r="BT354" s="248"/>
      <c r="BU354" s="248"/>
      <c r="BV354" s="248"/>
      <c r="BW354" s="248"/>
      <c r="BX354" s="248"/>
      <c r="BY354" s="248"/>
      <c r="BZ354" s="248"/>
      <c r="CA354" s="248"/>
      <c r="CB354" s="248"/>
      <c r="CC354" s="248"/>
      <c r="CD354" s="248"/>
      <c r="CE354" s="248"/>
      <c r="CF354" s="248"/>
      <c r="CG354" s="248"/>
    </row>
    <row r="355" spans="2:85" ht="12.75" x14ac:dyDescent="0.2">
      <c r="B355" s="243">
        <v>6.6195599594935997E-2</v>
      </c>
      <c r="D355" s="248"/>
      <c r="E355" s="248"/>
      <c r="F355" s="248"/>
      <c r="G355" s="248"/>
      <c r="H355" s="248"/>
      <c r="I355" s="248"/>
      <c r="J355" s="248"/>
      <c r="K355" s="248"/>
      <c r="L355" s="248"/>
      <c r="M355" s="249"/>
      <c r="N355" s="248"/>
      <c r="O355" s="248"/>
      <c r="P355" s="248"/>
      <c r="Q355" s="248"/>
      <c r="R355" s="248"/>
      <c r="S355" s="248"/>
      <c r="T355" s="248"/>
      <c r="U355" s="248"/>
      <c r="V355" s="248"/>
      <c r="W355" s="248"/>
      <c r="X355" s="248"/>
      <c r="Y355" s="248"/>
      <c r="Z355" s="248"/>
      <c r="AA355" s="248"/>
      <c r="AB355" s="248"/>
      <c r="AC355" s="248"/>
      <c r="AD355" s="248"/>
      <c r="AE355" s="248"/>
      <c r="AF355" s="248"/>
      <c r="AG355" s="248"/>
      <c r="AH355" s="248"/>
      <c r="AI355" s="248"/>
      <c r="AJ355" s="248"/>
      <c r="AK355" s="248"/>
      <c r="AL355" s="248"/>
      <c r="AM355" s="248"/>
      <c r="AN355" s="248"/>
      <c r="AO355" s="248"/>
      <c r="AP355" s="248"/>
      <c r="AQ355" s="248"/>
      <c r="AR355" s="248"/>
      <c r="AS355" s="248"/>
      <c r="AT355" s="248"/>
      <c r="AU355" s="248"/>
      <c r="AV355" s="248"/>
      <c r="AW355" s="248"/>
      <c r="AX355" s="248"/>
      <c r="AY355" s="248"/>
      <c r="AZ355" s="248"/>
      <c r="BA355" s="248"/>
      <c r="BB355" s="248"/>
      <c r="BC355" s="248"/>
      <c r="BD355" s="248"/>
      <c r="BE355" s="248"/>
      <c r="BF355" s="248"/>
      <c r="BG355" s="248"/>
      <c r="BH355" s="249"/>
      <c r="BI355" s="248"/>
      <c r="BJ355" s="248"/>
      <c r="BK355" s="248"/>
      <c r="BL355" s="248"/>
      <c r="BM355" s="248"/>
      <c r="BN355" s="248"/>
      <c r="BO355"/>
      <c r="BP355"/>
      <c r="BQ355"/>
      <c r="BR355"/>
      <c r="BS355"/>
      <c r="BT355" s="248"/>
      <c r="BU355" s="248"/>
      <c r="BV355" s="248"/>
      <c r="BW355" s="248"/>
      <c r="BX355" s="248"/>
      <c r="BY355" s="248"/>
      <c r="BZ355" s="248"/>
      <c r="CA355" s="248"/>
      <c r="CB355" s="248"/>
      <c r="CC355" s="248"/>
      <c r="CD355" s="248"/>
      <c r="CE355" s="248"/>
      <c r="CF355" s="248"/>
      <c r="CG355" s="248"/>
    </row>
    <row r="356" spans="2:85" ht="12.75" x14ac:dyDescent="0.2">
      <c r="B356" s="243">
        <v>6.6196602121578019E-2</v>
      </c>
      <c r="D356" s="248"/>
      <c r="E356" s="248"/>
      <c r="F356" s="248"/>
      <c r="G356" s="248"/>
      <c r="H356" s="248"/>
      <c r="I356" s="248"/>
      <c r="J356" s="248"/>
      <c r="K356" s="248"/>
      <c r="L356" s="248"/>
      <c r="M356" s="249"/>
      <c r="N356" s="248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8"/>
      <c r="Z356" s="248"/>
      <c r="AA356" s="248"/>
      <c r="AB356" s="248"/>
      <c r="AC356" s="248"/>
      <c r="AD356" s="248"/>
      <c r="AE356" s="248"/>
      <c r="AF356" s="248"/>
      <c r="AG356" s="248"/>
      <c r="AH356" s="248"/>
      <c r="AI356" s="248"/>
      <c r="AJ356" s="248"/>
      <c r="AK356" s="248"/>
      <c r="AL356" s="248"/>
      <c r="AM356" s="248"/>
      <c r="AN356" s="248"/>
      <c r="AO356" s="248"/>
      <c r="AP356" s="248"/>
      <c r="AQ356" s="248"/>
      <c r="AR356" s="248"/>
      <c r="AS356" s="248"/>
      <c r="AT356" s="248"/>
      <c r="AU356" s="248"/>
      <c r="AV356" s="248"/>
      <c r="AW356" s="248"/>
      <c r="AX356" s="248"/>
      <c r="AY356" s="248"/>
      <c r="AZ356" s="248"/>
      <c r="BA356" s="248"/>
      <c r="BB356" s="248"/>
      <c r="BC356" s="248"/>
      <c r="BD356" s="248"/>
      <c r="BE356" s="248"/>
      <c r="BF356" s="248"/>
      <c r="BG356" s="248"/>
      <c r="BH356" s="249"/>
      <c r="BI356" s="248"/>
      <c r="BJ356" s="248"/>
      <c r="BK356" s="248"/>
      <c r="BL356" s="248"/>
      <c r="BM356" s="248"/>
      <c r="BN356" s="248"/>
      <c r="BO356"/>
      <c r="BP356"/>
      <c r="BQ356"/>
      <c r="BR356"/>
      <c r="BS356"/>
      <c r="BT356" s="248"/>
      <c r="BU356" s="248"/>
      <c r="BV356" s="248"/>
      <c r="BW356" s="248"/>
      <c r="BX356" s="248"/>
      <c r="BY356" s="248"/>
      <c r="BZ356" s="248"/>
      <c r="CA356" s="248"/>
      <c r="CB356" s="248"/>
      <c r="CC356" s="248"/>
      <c r="CD356" s="248"/>
      <c r="CE356" s="248"/>
      <c r="CF356" s="248"/>
      <c r="CG356" s="248"/>
    </row>
    <row r="357" spans="2:85" ht="12.75" x14ac:dyDescent="0.2">
      <c r="B357" s="243">
        <v>6.6197604648220013E-2</v>
      </c>
      <c r="D357" s="248"/>
      <c r="E357" s="248"/>
      <c r="F357" s="248"/>
      <c r="G357" s="248"/>
      <c r="H357" s="248"/>
      <c r="I357" s="248"/>
      <c r="J357" s="248"/>
      <c r="K357" s="248"/>
      <c r="L357" s="248"/>
      <c r="M357" s="249"/>
      <c r="N357" s="248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8"/>
      <c r="Z357" s="248"/>
      <c r="AA357" s="248"/>
      <c r="AB357" s="248"/>
      <c r="AC357" s="248"/>
      <c r="AD357" s="248"/>
      <c r="AE357" s="248"/>
      <c r="AF357" s="248"/>
      <c r="AG357" s="248"/>
      <c r="AH357" s="248"/>
      <c r="AI357" s="248"/>
      <c r="AJ357" s="248"/>
      <c r="AK357" s="248"/>
      <c r="AL357" s="248"/>
      <c r="AM357" s="248"/>
      <c r="AN357" s="248"/>
      <c r="AO357" s="248"/>
      <c r="AP357" s="248"/>
      <c r="AQ357" s="248"/>
      <c r="AR357" s="248"/>
      <c r="AS357" s="248"/>
      <c r="AT357" s="248"/>
      <c r="AU357" s="248"/>
      <c r="AV357" s="248"/>
      <c r="AW357" s="248"/>
      <c r="AX357" s="248"/>
      <c r="AY357" s="248"/>
      <c r="AZ357" s="248"/>
      <c r="BA357" s="248"/>
      <c r="BB357" s="248"/>
      <c r="BC357" s="248"/>
      <c r="BD357" s="248"/>
      <c r="BE357" s="248"/>
      <c r="BF357" s="248"/>
      <c r="BG357" s="248"/>
      <c r="BH357" s="249"/>
      <c r="BI357" s="248"/>
      <c r="BJ357" s="248"/>
      <c r="BK357" s="248"/>
      <c r="BL357" s="248"/>
      <c r="BM357" s="248"/>
      <c r="BN357" s="248"/>
      <c r="BO357"/>
      <c r="BP357"/>
      <c r="BQ357"/>
      <c r="BR357"/>
      <c r="BS357"/>
      <c r="BT357" s="248"/>
      <c r="BU357" s="248"/>
      <c r="BV357" s="248"/>
      <c r="BW357" s="248"/>
      <c r="BX357" s="248"/>
      <c r="BY357" s="248"/>
      <c r="BZ357" s="248"/>
      <c r="CA357" s="248"/>
      <c r="CB357" s="248"/>
      <c r="CC357" s="248"/>
      <c r="CD357" s="248"/>
      <c r="CE357" s="248"/>
      <c r="CF357" s="248"/>
      <c r="CG357" s="248"/>
    </row>
    <row r="358" spans="2:85" ht="12.75" x14ac:dyDescent="0.2">
      <c r="B358" s="243">
        <v>6.6198574835292998E-2</v>
      </c>
      <c r="D358" s="248"/>
      <c r="E358" s="248"/>
      <c r="F358" s="248"/>
      <c r="G358" s="248"/>
      <c r="H358" s="248"/>
      <c r="I358" s="248"/>
      <c r="J358" s="248"/>
      <c r="K358" s="248"/>
      <c r="L358" s="248"/>
      <c r="M358" s="249"/>
      <c r="N358" s="248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8"/>
      <c r="Z358" s="248"/>
      <c r="AA358" s="248"/>
      <c r="AB358" s="248"/>
      <c r="AC358" s="248"/>
      <c r="AD358" s="248"/>
      <c r="AE358" s="248"/>
      <c r="AF358" s="248"/>
      <c r="AG358" s="248"/>
      <c r="AH358" s="248"/>
      <c r="AI358" s="248"/>
      <c r="AJ358" s="248"/>
      <c r="AK358" s="248"/>
      <c r="AL358" s="248"/>
      <c r="AM358" s="248"/>
      <c r="AN358" s="248"/>
      <c r="AO358" s="248"/>
      <c r="AP358" s="248"/>
      <c r="AQ358" s="248"/>
      <c r="AR358" s="248"/>
      <c r="AS358" s="248"/>
      <c r="AT358" s="248"/>
      <c r="AU358" s="248"/>
      <c r="AV358" s="248"/>
      <c r="AW358" s="248"/>
      <c r="AX358" s="248"/>
      <c r="AY358" s="248"/>
      <c r="AZ358" s="248"/>
      <c r="BA358" s="248"/>
      <c r="BB358" s="248"/>
      <c r="BC358" s="248"/>
      <c r="BD358" s="248"/>
      <c r="BE358" s="248"/>
      <c r="BF358" s="248"/>
      <c r="BG358" s="248"/>
      <c r="BH358" s="249"/>
      <c r="BI358" s="248"/>
      <c r="BJ358" s="248"/>
      <c r="BK358" s="248"/>
      <c r="BL358" s="248"/>
      <c r="BM358" s="248"/>
      <c r="BN358" s="248"/>
      <c r="BO358"/>
      <c r="BP358"/>
      <c r="BQ358"/>
      <c r="BR358"/>
      <c r="BS358"/>
      <c r="BT358" s="248"/>
      <c r="BU358" s="248"/>
      <c r="BV358" s="248"/>
      <c r="BW358" s="248"/>
      <c r="BX358" s="248"/>
      <c r="BY358" s="248"/>
      <c r="BZ358" s="248"/>
      <c r="CA358" s="248"/>
      <c r="CB358" s="248"/>
      <c r="CC358" s="248"/>
      <c r="CD358" s="248"/>
      <c r="CE358" s="248"/>
      <c r="CF358" s="248"/>
      <c r="CG358" s="248"/>
    </row>
    <row r="359" spans="2:85" ht="12.75" x14ac:dyDescent="0.2">
      <c r="B359" s="243">
        <v>6.6199577361936005E-2</v>
      </c>
      <c r="D359" s="248"/>
      <c r="E359" s="248"/>
      <c r="F359" s="248"/>
      <c r="G359" s="248"/>
      <c r="H359" s="248"/>
      <c r="I359" s="248"/>
      <c r="J359" s="248"/>
      <c r="K359" s="248"/>
      <c r="L359" s="248"/>
      <c r="M359" s="249"/>
      <c r="N359" s="248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8"/>
      <c r="Z359" s="248"/>
      <c r="AA359" s="248"/>
      <c r="AB359" s="248"/>
      <c r="AC359" s="248"/>
      <c r="AD359" s="248"/>
      <c r="AE359" s="248"/>
      <c r="AF359" s="248"/>
      <c r="AG359" s="248"/>
      <c r="AH359" s="248"/>
      <c r="AI359" s="248"/>
      <c r="AJ359" s="248"/>
      <c r="AK359" s="248"/>
      <c r="AL359" s="248"/>
      <c r="AM359" s="248"/>
      <c r="AN359" s="248"/>
      <c r="AO359" s="248"/>
      <c r="AP359" s="248"/>
      <c r="AQ359" s="248"/>
      <c r="AR359" s="248"/>
      <c r="AS359" s="248"/>
      <c r="AT359" s="248"/>
      <c r="AU359" s="248"/>
      <c r="AV359" s="248"/>
      <c r="AW359" s="248"/>
      <c r="AX359" s="248"/>
      <c r="AY359" s="248"/>
      <c r="AZ359" s="248"/>
      <c r="BA359" s="248"/>
      <c r="BB359" s="248"/>
      <c r="BC359" s="248"/>
      <c r="BD359" s="248"/>
      <c r="BE359" s="248"/>
      <c r="BF359" s="248"/>
      <c r="BG359" s="248"/>
      <c r="BH359" s="249"/>
      <c r="BI359" s="248"/>
      <c r="BJ359" s="248"/>
      <c r="BK359" s="248"/>
      <c r="BL359" s="248"/>
      <c r="BM359" s="248"/>
      <c r="BN359" s="248"/>
      <c r="BO359"/>
      <c r="BP359"/>
      <c r="BQ359"/>
      <c r="BR359"/>
      <c r="BS359"/>
      <c r="BT359" s="248"/>
      <c r="BU359" s="248"/>
      <c r="BV359" s="248"/>
      <c r="BW359" s="248"/>
      <c r="BX359" s="248"/>
      <c r="BY359" s="248"/>
      <c r="BZ359" s="248"/>
      <c r="CA359" s="248"/>
      <c r="CB359" s="248"/>
      <c r="CC359" s="248"/>
      <c r="CD359" s="248"/>
      <c r="CE359" s="248"/>
      <c r="CF359" s="248"/>
      <c r="CG359" s="248"/>
    </row>
    <row r="360" spans="2:85" ht="12.75" x14ac:dyDescent="0.2">
      <c r="B360" s="243">
        <v>6.6200547549010016E-2</v>
      </c>
      <c r="D360" s="248"/>
      <c r="E360" s="248"/>
      <c r="F360" s="248"/>
      <c r="G360" s="248"/>
      <c r="H360" s="248"/>
      <c r="I360" s="248"/>
      <c r="J360" s="248"/>
      <c r="K360" s="248"/>
      <c r="L360" s="248"/>
      <c r="M360" s="249"/>
      <c r="N360" s="248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8"/>
      <c r="Z360" s="248"/>
      <c r="AA360" s="248"/>
      <c r="AB360" s="248"/>
      <c r="AC360" s="248"/>
      <c r="AD360" s="248"/>
      <c r="AE360" s="248"/>
      <c r="AF360" s="248"/>
      <c r="AG360" s="248"/>
      <c r="AH360" s="248"/>
      <c r="AI360" s="248"/>
      <c r="AJ360" s="248"/>
      <c r="AK360" s="248"/>
      <c r="AL360" s="248"/>
      <c r="AM360" s="248"/>
      <c r="AN360" s="248"/>
      <c r="AO360" s="248"/>
      <c r="AP360" s="248"/>
      <c r="AQ360" s="248"/>
      <c r="AR360" s="248"/>
      <c r="AS360" s="248"/>
      <c r="AT360" s="248"/>
      <c r="AU360" s="248"/>
      <c r="AV360" s="248"/>
      <c r="AW360" s="248"/>
      <c r="AX360" s="248"/>
      <c r="AY360" s="248"/>
      <c r="AZ360" s="248"/>
      <c r="BA360" s="248"/>
      <c r="BB360" s="248"/>
      <c r="BC360" s="248"/>
      <c r="BD360" s="248"/>
      <c r="BE360" s="248"/>
      <c r="BF360" s="248"/>
      <c r="BG360" s="248"/>
      <c r="BH360" s="249"/>
      <c r="BI360" s="248"/>
      <c r="BJ360" s="248"/>
      <c r="BK360" s="248"/>
      <c r="BL360" s="248"/>
      <c r="BM360" s="248"/>
      <c r="BN360" s="248"/>
      <c r="BO360"/>
      <c r="BP360"/>
      <c r="BQ360"/>
      <c r="BR360"/>
      <c r="BS360"/>
      <c r="BT360" s="248"/>
      <c r="BU360" s="248"/>
      <c r="BV360" s="248"/>
      <c r="BW360" s="248"/>
      <c r="BX360" s="248"/>
      <c r="BY360" s="248"/>
      <c r="BZ360" s="248"/>
      <c r="CA360" s="248"/>
      <c r="CB360" s="248"/>
      <c r="CC360" s="248"/>
      <c r="CD360" s="248"/>
      <c r="CE360" s="248"/>
      <c r="CF360" s="248"/>
      <c r="CG360" s="248"/>
    </row>
    <row r="361" spans="2:85" ht="12.75" x14ac:dyDescent="0.2">
      <c r="B361" s="243">
        <v>6.620155007565301E-2</v>
      </c>
      <c r="D361" s="248"/>
      <c r="E361" s="248"/>
      <c r="F361" s="248"/>
      <c r="G361" s="248"/>
      <c r="H361" s="248"/>
      <c r="I361" s="248"/>
      <c r="J361" s="248"/>
      <c r="K361" s="248"/>
      <c r="L361" s="248"/>
      <c r="M361" s="249"/>
      <c r="N361" s="248"/>
      <c r="O361" s="248"/>
      <c r="P361" s="248"/>
      <c r="Q361" s="248"/>
      <c r="R361" s="248"/>
      <c r="S361" s="248"/>
      <c r="T361" s="248"/>
      <c r="U361" s="248"/>
      <c r="V361" s="248"/>
      <c r="W361" s="248"/>
      <c r="X361" s="248"/>
      <c r="Y361" s="248"/>
      <c r="Z361" s="248"/>
      <c r="AA361" s="248"/>
      <c r="AB361" s="248"/>
      <c r="AC361" s="248"/>
      <c r="AD361" s="248"/>
      <c r="AE361" s="248"/>
      <c r="AF361" s="248"/>
      <c r="AG361" s="248"/>
      <c r="AH361" s="248"/>
      <c r="AI361" s="248"/>
      <c r="AJ361" s="248"/>
      <c r="AK361" s="248"/>
      <c r="AL361" s="248"/>
      <c r="AM361" s="248"/>
      <c r="AN361" s="248"/>
      <c r="AO361" s="248"/>
      <c r="AP361" s="248"/>
      <c r="AQ361" s="248"/>
      <c r="AR361" s="248"/>
      <c r="AS361" s="248"/>
      <c r="AT361" s="248"/>
      <c r="AU361" s="248"/>
      <c r="AV361" s="248"/>
      <c r="AW361" s="248"/>
      <c r="AX361" s="248"/>
      <c r="AY361" s="248"/>
      <c r="AZ361" s="248"/>
      <c r="BA361" s="248"/>
      <c r="BB361" s="248"/>
      <c r="BC361" s="248"/>
      <c r="BD361" s="248"/>
      <c r="BE361" s="248"/>
      <c r="BF361" s="248"/>
      <c r="BG361" s="248"/>
      <c r="BH361" s="249"/>
      <c r="BI361" s="248"/>
      <c r="BJ361" s="248"/>
      <c r="BK361" s="248"/>
      <c r="BL361" s="248"/>
      <c r="BM361" s="248"/>
      <c r="BN361" s="248"/>
      <c r="BO361"/>
      <c r="BP361"/>
      <c r="BQ361"/>
      <c r="BR361"/>
      <c r="BS361"/>
      <c r="BT361" s="248"/>
      <c r="BU361" s="248"/>
      <c r="BV361" s="248"/>
      <c r="BW361" s="248"/>
      <c r="BX361" s="248"/>
      <c r="BY361" s="248"/>
      <c r="BZ361" s="248"/>
      <c r="CA361" s="248"/>
      <c r="CB361" s="248"/>
      <c r="CC361" s="248"/>
      <c r="CD361" s="248"/>
      <c r="CE361" s="248"/>
      <c r="CF361" s="248"/>
      <c r="CG361" s="248"/>
    </row>
    <row r="362" spans="2:85" ht="12.75" x14ac:dyDescent="0.2">
      <c r="B362" s="243"/>
      <c r="D362" s="248"/>
      <c r="E362" s="248"/>
      <c r="F362" s="248"/>
      <c r="G362" s="248"/>
      <c r="H362" s="248"/>
      <c r="I362" s="248"/>
      <c r="J362" s="248"/>
      <c r="K362" s="248"/>
      <c r="L362" s="248"/>
      <c r="M362" s="249"/>
      <c r="N362" s="248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8"/>
      <c r="Z362" s="248"/>
      <c r="AA362" s="248"/>
      <c r="AB362" s="248"/>
      <c r="AC362" s="248"/>
      <c r="AD362" s="248"/>
      <c r="AE362" s="248"/>
      <c r="AF362" s="248"/>
      <c r="AG362" s="248"/>
      <c r="AH362" s="248"/>
      <c r="AI362" s="248"/>
      <c r="AJ362" s="248"/>
      <c r="AK362" s="248"/>
      <c r="AL362" s="248"/>
      <c r="AM362" s="248"/>
      <c r="AN362" s="248"/>
      <c r="AO362" s="248"/>
      <c r="AP362" s="248"/>
      <c r="AQ362" s="248"/>
      <c r="AR362" s="248"/>
      <c r="AS362" s="248"/>
      <c r="AT362" s="248"/>
      <c r="AU362" s="248"/>
      <c r="AV362" s="248"/>
      <c r="AW362" s="248"/>
      <c r="AX362" s="248"/>
      <c r="AY362" s="248"/>
      <c r="AZ362" s="248"/>
      <c r="BA362" s="248"/>
      <c r="BB362" s="248"/>
      <c r="BC362" s="248"/>
      <c r="BD362" s="248"/>
      <c r="BE362" s="248"/>
      <c r="BF362" s="248"/>
      <c r="BG362" s="248"/>
      <c r="BH362" s="249"/>
      <c r="BI362" s="248"/>
      <c r="BJ362" s="248"/>
      <c r="BK362" s="248"/>
      <c r="BL362" s="248"/>
      <c r="BM362" s="248"/>
      <c r="BN362" s="248"/>
      <c r="BO362"/>
      <c r="BP362"/>
      <c r="BQ362"/>
      <c r="BR362"/>
      <c r="BS362"/>
      <c r="BT362" s="248"/>
      <c r="BU362" s="248"/>
      <c r="BV362" s="248"/>
      <c r="BW362" s="248"/>
      <c r="BX362" s="248"/>
      <c r="BY362" s="248"/>
      <c r="BZ362" s="248"/>
      <c r="CA362" s="248"/>
      <c r="CB362" s="248"/>
      <c r="CC362" s="248"/>
      <c r="CD362" s="248"/>
      <c r="CE362" s="248"/>
      <c r="CF362" s="248"/>
      <c r="CG362" s="248"/>
    </row>
    <row r="363" spans="2:85" ht="12.75" x14ac:dyDescent="0.2">
      <c r="B363" s="243"/>
      <c r="D363" s="248"/>
      <c r="E363" s="248"/>
      <c r="F363" s="248"/>
      <c r="G363" s="248"/>
      <c r="H363" s="248"/>
      <c r="I363" s="248"/>
      <c r="J363" s="248"/>
      <c r="K363" s="248"/>
      <c r="L363" s="248"/>
      <c r="M363" s="249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  <c r="AA363" s="248"/>
      <c r="AB363" s="248"/>
      <c r="AC363" s="248"/>
      <c r="AD363" s="248"/>
      <c r="AE363" s="248"/>
      <c r="AF363" s="248"/>
      <c r="AG363" s="248"/>
      <c r="AH363" s="248"/>
      <c r="AI363" s="248"/>
      <c r="AJ363" s="248"/>
      <c r="AK363" s="248"/>
      <c r="AL363" s="248"/>
      <c r="AM363" s="248"/>
      <c r="AN363" s="248"/>
      <c r="AO363" s="248"/>
      <c r="AP363" s="248"/>
      <c r="AQ363" s="248"/>
      <c r="AR363" s="248"/>
      <c r="AS363" s="248"/>
      <c r="AT363" s="248"/>
      <c r="AU363" s="248"/>
      <c r="AV363" s="248"/>
      <c r="AW363" s="248"/>
      <c r="AX363" s="248"/>
      <c r="AY363" s="248"/>
      <c r="AZ363" s="248"/>
      <c r="BA363" s="248"/>
      <c r="BB363" s="248"/>
      <c r="BC363" s="248"/>
      <c r="BD363" s="248"/>
      <c r="BE363" s="248"/>
      <c r="BF363" s="248"/>
      <c r="BG363" s="248"/>
      <c r="BH363" s="249"/>
      <c r="BI363" s="248"/>
      <c r="BJ363" s="248"/>
      <c r="BK363" s="248"/>
      <c r="BL363" s="248"/>
      <c r="BM363" s="248"/>
      <c r="BN363" s="248"/>
      <c r="BO363"/>
      <c r="BP363"/>
      <c r="BQ363"/>
      <c r="BR363"/>
      <c r="BS363"/>
      <c r="BT363" s="248"/>
      <c r="BU363" s="248"/>
      <c r="BV363" s="248"/>
      <c r="BW363" s="248"/>
      <c r="BX363" s="248"/>
      <c r="BY363" s="248"/>
      <c r="BZ363" s="248"/>
      <c r="CA363" s="248"/>
      <c r="CB363" s="248"/>
      <c r="CC363" s="248"/>
      <c r="CD363" s="248"/>
      <c r="CE363" s="248"/>
      <c r="CF363" s="248"/>
      <c r="CG363" s="248"/>
    </row>
    <row r="364" spans="2:85" ht="12.75" x14ac:dyDescent="0.2">
      <c r="B364" s="243"/>
      <c r="D364" s="248"/>
      <c r="E364" s="248"/>
      <c r="F364" s="248"/>
      <c r="G364" s="248"/>
      <c r="H364" s="248"/>
      <c r="I364" s="248"/>
      <c r="J364" s="248"/>
      <c r="K364" s="248"/>
      <c r="L364" s="248"/>
      <c r="M364" s="249"/>
      <c r="N364" s="248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8"/>
      <c r="Z364" s="248"/>
      <c r="AA364" s="248"/>
      <c r="AB364" s="248"/>
      <c r="AC364" s="248"/>
      <c r="AD364" s="248"/>
      <c r="AE364" s="248"/>
      <c r="AF364" s="248"/>
      <c r="AG364" s="248"/>
      <c r="AH364" s="248"/>
      <c r="AI364" s="248"/>
      <c r="AJ364" s="248"/>
      <c r="AK364" s="248"/>
      <c r="AL364" s="248"/>
      <c r="AM364" s="248"/>
      <c r="AN364" s="248"/>
      <c r="AO364" s="248"/>
      <c r="AP364" s="248"/>
      <c r="AQ364" s="248"/>
      <c r="AR364" s="248"/>
      <c r="AS364" s="248"/>
      <c r="AT364" s="248"/>
      <c r="AU364" s="248"/>
      <c r="AV364" s="248"/>
      <c r="AW364" s="248"/>
      <c r="AX364" s="248"/>
      <c r="AY364" s="248"/>
      <c r="AZ364" s="248"/>
      <c r="BA364" s="248"/>
      <c r="BB364" s="248"/>
      <c r="BC364" s="248"/>
      <c r="BD364" s="248"/>
      <c r="BE364" s="248"/>
      <c r="BF364" s="248"/>
      <c r="BG364" s="248"/>
      <c r="BH364" s="249"/>
      <c r="BI364" s="248"/>
      <c r="BJ364" s="248"/>
      <c r="BK364" s="248"/>
      <c r="BL364" s="248"/>
      <c r="BM364" s="248"/>
      <c r="BN364" s="248"/>
      <c r="BO364"/>
      <c r="BP364"/>
      <c r="BQ364"/>
      <c r="BR364"/>
      <c r="BS364"/>
      <c r="BT364" s="248"/>
      <c r="BU364" s="248"/>
      <c r="BV364" s="248"/>
      <c r="BW364" s="248"/>
      <c r="BX364" s="248"/>
      <c r="BY364" s="248"/>
      <c r="BZ364" s="248"/>
      <c r="CA364" s="248"/>
      <c r="CB364" s="248"/>
      <c r="CC364" s="248"/>
      <c r="CD364" s="248"/>
      <c r="CE364" s="248"/>
      <c r="CF364" s="248"/>
      <c r="CG364" s="248"/>
    </row>
    <row r="365" spans="2:85" ht="12.75" x14ac:dyDescent="0.2">
      <c r="B365" s="243"/>
      <c r="D365" s="248"/>
      <c r="E365" s="248"/>
      <c r="F365" s="248"/>
      <c r="G365" s="248"/>
      <c r="H365" s="248"/>
      <c r="I365" s="248"/>
      <c r="J365" s="248"/>
      <c r="K365" s="248"/>
      <c r="L365" s="248"/>
      <c r="M365" s="249"/>
      <c r="N365" s="248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8"/>
      <c r="Z365" s="248"/>
      <c r="AA365" s="248"/>
      <c r="AB365" s="248"/>
      <c r="AC365" s="248"/>
      <c r="AD365" s="248"/>
      <c r="AE365" s="248"/>
      <c r="AF365" s="248"/>
      <c r="AG365" s="248"/>
      <c r="AH365" s="248"/>
      <c r="AI365" s="248"/>
      <c r="AJ365" s="248"/>
      <c r="AK365" s="248"/>
      <c r="AL365" s="248"/>
      <c r="AM365" s="248"/>
      <c r="AN365" s="248"/>
      <c r="AO365" s="248"/>
      <c r="AP365" s="248"/>
      <c r="AQ365" s="248"/>
      <c r="AR365" s="248"/>
      <c r="AS365" s="248"/>
      <c r="AT365" s="248"/>
      <c r="AU365" s="248"/>
      <c r="AV365" s="248"/>
      <c r="AW365" s="248"/>
      <c r="AX365" s="248"/>
      <c r="AY365" s="248"/>
      <c r="AZ365" s="248"/>
      <c r="BA365" s="248"/>
      <c r="BB365" s="248"/>
      <c r="BC365" s="248"/>
      <c r="BD365" s="248"/>
      <c r="BE365" s="248"/>
      <c r="BF365" s="248"/>
      <c r="BG365" s="248"/>
      <c r="BH365" s="249"/>
      <c r="BI365" s="248"/>
      <c r="BJ365" s="248"/>
      <c r="BK365" s="248"/>
      <c r="BL365" s="248"/>
      <c r="BM365" s="248"/>
      <c r="BN365" s="248"/>
      <c r="BO365"/>
      <c r="BP365"/>
      <c r="BQ365"/>
      <c r="BR365"/>
      <c r="BS365"/>
      <c r="BT365" s="248"/>
      <c r="BU365" s="248"/>
      <c r="BV365" s="248"/>
      <c r="BW365" s="248"/>
      <c r="BX365" s="248"/>
      <c r="BY365" s="248"/>
      <c r="BZ365" s="248"/>
      <c r="CA365" s="248"/>
      <c r="CB365" s="248"/>
      <c r="CC365" s="248"/>
      <c r="CD365" s="248"/>
      <c r="CE365" s="248"/>
      <c r="CF365" s="248"/>
      <c r="CG365" s="248"/>
    </row>
    <row r="366" spans="2:85" ht="12.75" x14ac:dyDescent="0.2">
      <c r="B366" s="243"/>
      <c r="D366" s="248"/>
      <c r="E366" s="248"/>
      <c r="F366" s="248"/>
      <c r="G366" s="248"/>
      <c r="H366" s="248"/>
      <c r="I366" s="248"/>
      <c r="J366" s="248"/>
      <c r="K366" s="248"/>
      <c r="L366" s="248"/>
      <c r="M366" s="249"/>
      <c r="N366" s="248"/>
      <c r="O366" s="248"/>
      <c r="P366" s="248"/>
      <c r="Q366" s="248"/>
      <c r="R366" s="248"/>
      <c r="S366" s="248"/>
      <c r="T366" s="248"/>
      <c r="U366" s="248"/>
      <c r="V366" s="248"/>
      <c r="W366" s="248"/>
      <c r="X366" s="248"/>
      <c r="Y366" s="248"/>
      <c r="Z366" s="248"/>
      <c r="AA366" s="248"/>
      <c r="AB366" s="248"/>
      <c r="AC366" s="248"/>
      <c r="AD366" s="248"/>
      <c r="AE366" s="248"/>
      <c r="AF366" s="248"/>
      <c r="AG366" s="248"/>
      <c r="AH366" s="248"/>
      <c r="AI366" s="248"/>
      <c r="AJ366" s="248"/>
      <c r="AK366" s="248"/>
      <c r="AL366" s="248"/>
      <c r="AM366" s="248"/>
      <c r="AN366" s="248"/>
      <c r="AO366" s="248"/>
      <c r="AP366" s="248"/>
      <c r="AQ366" s="248"/>
      <c r="AR366" s="248"/>
      <c r="AS366" s="248"/>
      <c r="AT366" s="248"/>
      <c r="AU366" s="248"/>
      <c r="AV366" s="248"/>
      <c r="AW366" s="248"/>
      <c r="AX366" s="248"/>
      <c r="AY366" s="248"/>
      <c r="AZ366" s="248"/>
      <c r="BA366" s="248"/>
      <c r="BB366" s="248"/>
      <c r="BC366" s="248"/>
      <c r="BD366" s="248"/>
      <c r="BE366" s="248"/>
      <c r="BF366" s="248"/>
      <c r="BG366" s="248"/>
      <c r="BH366" s="249"/>
      <c r="BI366" s="248"/>
      <c r="BJ366" s="248"/>
      <c r="BK366" s="248"/>
      <c r="BL366" s="248"/>
      <c r="BM366" s="248"/>
      <c r="BN366" s="248"/>
      <c r="BO366"/>
      <c r="BP366"/>
      <c r="BQ366"/>
      <c r="BR366"/>
      <c r="BS366"/>
      <c r="BT366" s="248"/>
      <c r="BU366" s="248"/>
      <c r="BV366" s="248"/>
      <c r="BW366" s="248"/>
      <c r="BX366" s="248"/>
      <c r="BY366" s="248"/>
      <c r="BZ366" s="248"/>
      <c r="CA366" s="248"/>
      <c r="CB366" s="248"/>
      <c r="CC366" s="248"/>
      <c r="CD366" s="248"/>
      <c r="CE366" s="248"/>
      <c r="CF366" s="248"/>
      <c r="CG366" s="248"/>
    </row>
    <row r="367" spans="2:85" ht="12.75" x14ac:dyDescent="0.2">
      <c r="B367" s="243"/>
      <c r="D367" s="248"/>
      <c r="E367" s="248"/>
      <c r="F367" s="248"/>
      <c r="G367" s="248"/>
      <c r="H367" s="248"/>
      <c r="I367" s="248"/>
      <c r="J367" s="248"/>
      <c r="K367" s="248"/>
      <c r="L367" s="248"/>
      <c r="M367" s="249"/>
      <c r="N367" s="248"/>
      <c r="O367" s="248"/>
      <c r="P367" s="248"/>
      <c r="Q367" s="248"/>
      <c r="R367" s="248"/>
      <c r="S367" s="248"/>
      <c r="T367" s="248"/>
      <c r="U367" s="248"/>
      <c r="V367" s="248"/>
      <c r="W367" s="248"/>
      <c r="X367" s="248"/>
      <c r="Y367" s="248"/>
      <c r="Z367" s="248"/>
      <c r="AA367" s="248"/>
      <c r="AB367" s="248"/>
      <c r="AC367" s="248"/>
      <c r="AD367" s="248"/>
      <c r="AE367" s="248"/>
      <c r="AF367" s="248"/>
      <c r="AG367" s="248"/>
      <c r="AH367" s="248"/>
      <c r="AI367" s="248"/>
      <c r="AJ367" s="248"/>
      <c r="AK367" s="248"/>
      <c r="AL367" s="248"/>
      <c r="AM367" s="248"/>
      <c r="AN367" s="248"/>
      <c r="AO367" s="248"/>
      <c r="AP367" s="248"/>
      <c r="AQ367" s="248"/>
      <c r="AR367" s="248"/>
      <c r="AS367" s="248"/>
      <c r="AT367" s="248"/>
      <c r="AU367" s="248"/>
      <c r="AV367" s="248"/>
      <c r="AW367" s="248"/>
      <c r="AX367" s="248"/>
      <c r="AY367" s="248"/>
      <c r="AZ367" s="248"/>
      <c r="BA367" s="248"/>
      <c r="BB367" s="248"/>
      <c r="BC367" s="248"/>
      <c r="BD367" s="248"/>
      <c r="BE367" s="248"/>
      <c r="BF367" s="248"/>
      <c r="BG367" s="248"/>
      <c r="BH367" s="249"/>
      <c r="BI367" s="248"/>
      <c r="BJ367" s="248"/>
      <c r="BK367" s="248"/>
      <c r="BL367" s="248"/>
      <c r="BM367" s="248"/>
      <c r="BN367" s="248"/>
      <c r="BO367"/>
      <c r="BP367"/>
      <c r="BQ367"/>
      <c r="BR367"/>
      <c r="BS367"/>
      <c r="BT367" s="248"/>
      <c r="BU367" s="248"/>
      <c r="BV367" s="248"/>
      <c r="BW367" s="248"/>
      <c r="BX367" s="248"/>
      <c r="BY367" s="248"/>
      <c r="BZ367" s="248"/>
      <c r="CA367" s="248"/>
      <c r="CB367" s="248"/>
      <c r="CC367" s="248"/>
      <c r="CD367" s="248"/>
      <c r="CE367" s="248"/>
      <c r="CF367" s="248"/>
      <c r="CG367" s="248"/>
    </row>
    <row r="368" spans="2:85" ht="12.75" x14ac:dyDescent="0.2">
      <c r="B368" s="243"/>
      <c r="D368" s="248"/>
      <c r="E368" s="248"/>
      <c r="F368" s="248"/>
      <c r="G368" s="248"/>
      <c r="H368" s="248"/>
      <c r="I368" s="248"/>
      <c r="J368" s="248"/>
      <c r="K368" s="248"/>
      <c r="L368" s="248"/>
      <c r="M368" s="249"/>
      <c r="N368" s="248"/>
      <c r="O368" s="248"/>
      <c r="P368" s="248"/>
      <c r="Q368" s="248"/>
      <c r="R368" s="248"/>
      <c r="S368" s="248"/>
      <c r="T368" s="248"/>
      <c r="U368" s="248"/>
      <c r="V368" s="248"/>
      <c r="W368" s="248"/>
      <c r="X368" s="248"/>
      <c r="Y368" s="248"/>
      <c r="Z368" s="248"/>
      <c r="AA368" s="248"/>
      <c r="AB368" s="248"/>
      <c r="AC368" s="248"/>
      <c r="AD368" s="248"/>
      <c r="AE368" s="248"/>
      <c r="AF368" s="248"/>
      <c r="AG368" s="248"/>
      <c r="AH368" s="248"/>
      <c r="AI368" s="248"/>
      <c r="AJ368" s="248"/>
      <c r="AK368" s="248"/>
      <c r="AL368" s="248"/>
      <c r="AM368" s="248"/>
      <c r="AN368" s="248"/>
      <c r="AO368" s="248"/>
      <c r="AP368" s="248"/>
      <c r="AQ368" s="248"/>
      <c r="AR368" s="248"/>
      <c r="AS368" s="248"/>
      <c r="AT368" s="248"/>
      <c r="AU368" s="248"/>
      <c r="AV368" s="248"/>
      <c r="AW368" s="248"/>
      <c r="AX368" s="248"/>
      <c r="AY368" s="248"/>
      <c r="AZ368" s="248"/>
      <c r="BA368" s="248"/>
      <c r="BB368" s="248"/>
      <c r="BC368" s="248"/>
      <c r="BD368" s="248"/>
      <c r="BE368" s="248"/>
      <c r="BF368" s="248"/>
      <c r="BG368" s="248"/>
      <c r="BH368" s="249"/>
      <c r="BI368" s="248"/>
      <c r="BJ368" s="248"/>
      <c r="BK368" s="248"/>
      <c r="BL368" s="248"/>
      <c r="BM368" s="248"/>
      <c r="BN368" s="248"/>
      <c r="BO368"/>
      <c r="BP368"/>
      <c r="BQ368"/>
      <c r="BR368"/>
      <c r="BS368"/>
      <c r="BT368" s="248"/>
      <c r="BU368" s="248"/>
      <c r="BV368" s="248"/>
      <c r="BW368" s="248"/>
      <c r="BX368" s="248"/>
      <c r="BY368" s="248"/>
      <c r="BZ368" s="248"/>
      <c r="CA368" s="248"/>
      <c r="CB368" s="248"/>
      <c r="CC368" s="248"/>
      <c r="CD368" s="248"/>
      <c r="CE368" s="248"/>
      <c r="CF368" s="248"/>
      <c r="CG368" s="248"/>
    </row>
    <row r="369" spans="2:85" ht="12.75" x14ac:dyDescent="0.2">
      <c r="B369" s="243"/>
      <c r="D369" s="248"/>
      <c r="E369" s="248"/>
      <c r="F369" s="248"/>
      <c r="G369" s="248"/>
      <c r="H369" s="248"/>
      <c r="I369" s="248"/>
      <c r="J369" s="248"/>
      <c r="K369" s="248"/>
      <c r="L369" s="248"/>
      <c r="M369" s="249"/>
      <c r="N369" s="248"/>
      <c r="O369" s="248"/>
      <c r="P369" s="248"/>
      <c r="Q369" s="248"/>
      <c r="R369" s="248"/>
      <c r="S369" s="248"/>
      <c r="T369" s="248"/>
      <c r="U369" s="248"/>
      <c r="V369" s="248"/>
      <c r="W369" s="248"/>
      <c r="X369" s="248"/>
      <c r="Y369" s="248"/>
      <c r="Z369" s="248"/>
      <c r="AA369" s="248"/>
      <c r="AB369" s="248"/>
      <c r="AC369" s="248"/>
      <c r="AD369" s="248"/>
      <c r="AE369" s="248"/>
      <c r="AF369" s="248"/>
      <c r="AG369" s="248"/>
      <c r="AH369" s="248"/>
      <c r="AI369" s="248"/>
      <c r="AJ369" s="248"/>
      <c r="AK369" s="248"/>
      <c r="AL369" s="248"/>
      <c r="AM369" s="248"/>
      <c r="AN369" s="248"/>
      <c r="AO369" s="248"/>
      <c r="AP369" s="248"/>
      <c r="AQ369" s="248"/>
      <c r="AR369" s="248"/>
      <c r="AS369" s="248"/>
      <c r="AT369" s="248"/>
      <c r="AU369" s="248"/>
      <c r="AV369" s="248"/>
      <c r="AW369" s="248"/>
      <c r="AX369" s="248"/>
      <c r="AY369" s="248"/>
      <c r="AZ369" s="248"/>
      <c r="BA369" s="248"/>
      <c r="BB369" s="248"/>
      <c r="BC369" s="248"/>
      <c r="BD369" s="248"/>
      <c r="BE369" s="248"/>
      <c r="BF369" s="248"/>
      <c r="BG369" s="248"/>
      <c r="BH369" s="249"/>
      <c r="BI369" s="248"/>
      <c r="BJ369" s="248"/>
      <c r="BK369" s="248"/>
      <c r="BL369" s="248"/>
      <c r="BM369" s="248"/>
      <c r="BN369" s="248"/>
      <c r="BO369"/>
      <c r="BP369"/>
      <c r="BQ369"/>
      <c r="BR369"/>
      <c r="BS369"/>
      <c r="BT369" s="248"/>
      <c r="BU369" s="248"/>
      <c r="BV369" s="248"/>
      <c r="BW369" s="248"/>
      <c r="BX369" s="248"/>
      <c r="BY369" s="248"/>
      <c r="BZ369" s="248"/>
      <c r="CA369" s="248"/>
      <c r="CB369" s="248"/>
      <c r="CC369" s="248"/>
      <c r="CD369" s="248"/>
      <c r="CE369" s="248"/>
      <c r="CF369" s="248"/>
      <c r="CG369" s="248"/>
    </row>
    <row r="370" spans="2:85" ht="12.75" x14ac:dyDescent="0.2">
      <c r="B370" s="243"/>
      <c r="D370" s="248"/>
      <c r="E370" s="248"/>
      <c r="F370" s="248"/>
      <c r="G370" s="248"/>
      <c r="H370" s="248"/>
      <c r="I370" s="248"/>
      <c r="J370" s="248"/>
      <c r="K370" s="248"/>
      <c r="L370" s="248"/>
      <c r="M370" s="249"/>
      <c r="N370" s="248"/>
      <c r="O370" s="248"/>
      <c r="P370" s="248"/>
      <c r="Q370" s="248"/>
      <c r="R370" s="248"/>
      <c r="S370" s="248"/>
      <c r="T370" s="248"/>
      <c r="U370" s="248"/>
      <c r="V370" s="248"/>
      <c r="W370" s="248"/>
      <c r="X370" s="248"/>
      <c r="Y370" s="248"/>
      <c r="Z370" s="248"/>
      <c r="AA370" s="248"/>
      <c r="AB370" s="248"/>
      <c r="AC370" s="248"/>
      <c r="AD370" s="248"/>
      <c r="AE370" s="248"/>
      <c r="AF370" s="248"/>
      <c r="AG370" s="248"/>
      <c r="AH370" s="248"/>
      <c r="AI370" s="248"/>
      <c r="AJ370" s="248"/>
      <c r="AK370" s="248"/>
      <c r="AL370" s="248"/>
      <c r="AM370" s="248"/>
      <c r="AN370" s="248"/>
      <c r="AO370" s="248"/>
      <c r="AP370" s="248"/>
      <c r="AQ370" s="248"/>
      <c r="AR370" s="248"/>
      <c r="AS370" s="248"/>
      <c r="AT370" s="248"/>
      <c r="AU370" s="248"/>
      <c r="AV370" s="248"/>
      <c r="AW370" s="248"/>
      <c r="AX370" s="248"/>
      <c r="AY370" s="248"/>
      <c r="AZ370" s="248"/>
      <c r="BA370" s="248"/>
      <c r="BB370" s="248"/>
      <c r="BC370" s="248"/>
      <c r="BD370" s="248"/>
      <c r="BE370" s="248"/>
      <c r="BF370" s="248"/>
      <c r="BG370" s="248"/>
      <c r="BH370" s="249"/>
      <c r="BI370" s="248"/>
      <c r="BJ370" s="248"/>
      <c r="BK370" s="248"/>
      <c r="BL370" s="248"/>
      <c r="BM370" s="248"/>
      <c r="BN370" s="248"/>
      <c r="BO370"/>
      <c r="BP370"/>
      <c r="BQ370"/>
      <c r="BR370"/>
      <c r="BS370"/>
      <c r="BT370" s="248"/>
      <c r="BU370" s="248"/>
      <c r="BV370" s="248"/>
      <c r="BW370" s="248"/>
      <c r="BX370" s="248"/>
      <c r="BY370" s="248"/>
      <c r="BZ370" s="248"/>
      <c r="CA370" s="248"/>
      <c r="CB370" s="248"/>
      <c r="CC370" s="248"/>
      <c r="CD370" s="248"/>
      <c r="CE370" s="248"/>
      <c r="CF370" s="248"/>
      <c r="CG370" s="248"/>
    </row>
    <row r="371" spans="2:85" ht="12.75" x14ac:dyDescent="0.2">
      <c r="B371" s="243"/>
      <c r="D371" s="248"/>
      <c r="E371" s="248"/>
      <c r="F371" s="248"/>
      <c r="G371" s="248"/>
      <c r="H371" s="248"/>
      <c r="I371" s="248"/>
      <c r="J371" s="248"/>
      <c r="K371" s="248"/>
      <c r="L371" s="248"/>
      <c r="M371" s="249"/>
      <c r="N371" s="248"/>
      <c r="O371" s="248"/>
      <c r="P371" s="248"/>
      <c r="Q371" s="248"/>
      <c r="R371" s="248"/>
      <c r="S371" s="248"/>
      <c r="T371" s="248"/>
      <c r="U371" s="248"/>
      <c r="V371" s="248"/>
      <c r="W371" s="248"/>
      <c r="X371" s="248"/>
      <c r="Y371" s="248"/>
      <c r="Z371" s="248"/>
      <c r="AA371" s="248"/>
      <c r="AB371" s="248"/>
      <c r="AC371" s="248"/>
      <c r="AD371" s="248"/>
      <c r="AE371" s="248"/>
      <c r="AF371" s="248"/>
      <c r="AG371" s="248"/>
      <c r="AH371" s="248"/>
      <c r="AI371" s="248"/>
      <c r="AJ371" s="248"/>
      <c r="AK371" s="248"/>
      <c r="AL371" s="248"/>
      <c r="AM371" s="248"/>
      <c r="AN371" s="248"/>
      <c r="AO371" s="248"/>
      <c r="AP371" s="248"/>
      <c r="AQ371" s="248"/>
      <c r="AR371" s="248"/>
      <c r="AS371" s="248"/>
      <c r="AT371" s="248"/>
      <c r="AU371" s="248"/>
      <c r="AV371" s="248"/>
      <c r="AW371" s="248"/>
      <c r="AX371" s="248"/>
      <c r="AY371" s="248"/>
      <c r="AZ371" s="248"/>
      <c r="BA371" s="248"/>
      <c r="BB371" s="248"/>
      <c r="BC371" s="248"/>
      <c r="BD371" s="248"/>
      <c r="BE371" s="248"/>
      <c r="BF371" s="248"/>
      <c r="BG371" s="248"/>
      <c r="BH371" s="249"/>
      <c r="BI371" s="248"/>
      <c r="BJ371" s="248"/>
      <c r="BK371" s="248"/>
      <c r="BL371" s="248"/>
      <c r="BM371" s="248"/>
      <c r="BN371" s="248"/>
      <c r="BO371"/>
      <c r="BP371"/>
      <c r="BQ371"/>
      <c r="BR371"/>
      <c r="BS371"/>
      <c r="BT371" s="248"/>
      <c r="BU371" s="248"/>
      <c r="BV371" s="248"/>
      <c r="BW371" s="248"/>
      <c r="BX371" s="248"/>
      <c r="BY371" s="248"/>
      <c r="BZ371" s="248"/>
      <c r="CA371" s="248"/>
      <c r="CB371" s="248"/>
      <c r="CC371" s="248"/>
      <c r="CD371" s="248"/>
      <c r="CE371" s="248"/>
      <c r="CF371" s="248"/>
      <c r="CG371" s="248"/>
    </row>
    <row r="372" spans="2:85" ht="12.75" x14ac:dyDescent="0.2">
      <c r="B372" s="243"/>
      <c r="D372" s="248"/>
      <c r="E372" s="248"/>
      <c r="F372" s="248"/>
      <c r="G372" s="248"/>
      <c r="H372" s="248"/>
      <c r="I372" s="248"/>
      <c r="J372" s="248"/>
      <c r="K372" s="248"/>
      <c r="L372" s="248"/>
      <c r="M372" s="249"/>
      <c r="N372" s="248"/>
      <c r="O372" s="248"/>
      <c r="P372" s="248"/>
      <c r="Q372" s="248"/>
      <c r="R372" s="248"/>
      <c r="S372" s="248"/>
      <c r="T372" s="248"/>
      <c r="U372" s="248"/>
      <c r="V372" s="248"/>
      <c r="W372" s="248"/>
      <c r="X372" s="248"/>
      <c r="Y372" s="248"/>
      <c r="Z372" s="248"/>
      <c r="AA372" s="248"/>
      <c r="AB372" s="248"/>
      <c r="AC372" s="248"/>
      <c r="AD372" s="248"/>
      <c r="AE372" s="248"/>
      <c r="AF372" s="248"/>
      <c r="AG372" s="248"/>
      <c r="AH372" s="248"/>
      <c r="AI372" s="248"/>
      <c r="AJ372" s="248"/>
      <c r="AK372" s="248"/>
      <c r="AL372" s="248"/>
      <c r="AM372" s="248"/>
      <c r="AN372" s="248"/>
      <c r="AO372" s="248"/>
      <c r="AP372" s="248"/>
      <c r="AQ372" s="248"/>
      <c r="AR372" s="248"/>
      <c r="AS372" s="248"/>
      <c r="AT372" s="248"/>
      <c r="AU372" s="248"/>
      <c r="AV372" s="248"/>
      <c r="AW372" s="248"/>
      <c r="AX372" s="248"/>
      <c r="AY372" s="248"/>
      <c r="AZ372" s="248"/>
      <c r="BA372" s="248"/>
      <c r="BB372" s="248"/>
      <c r="BC372" s="248"/>
      <c r="BD372" s="248"/>
      <c r="BE372" s="248"/>
      <c r="BF372" s="248"/>
      <c r="BG372" s="248"/>
      <c r="BH372" s="249"/>
      <c r="BI372" s="248"/>
      <c r="BJ372" s="248"/>
      <c r="BK372" s="248"/>
      <c r="BL372" s="248"/>
      <c r="BM372" s="248"/>
      <c r="BN372" s="248"/>
      <c r="BO372"/>
      <c r="BP372"/>
      <c r="BQ372"/>
      <c r="BR372"/>
      <c r="BS372"/>
      <c r="BT372" s="248"/>
      <c r="BU372" s="248"/>
      <c r="BV372" s="248"/>
      <c r="BW372" s="248"/>
      <c r="BX372" s="248"/>
      <c r="BY372" s="248"/>
      <c r="BZ372" s="248"/>
      <c r="CA372" s="248"/>
      <c r="CB372" s="248"/>
      <c r="CC372" s="248"/>
      <c r="CD372" s="248"/>
      <c r="CE372" s="248"/>
      <c r="CF372" s="248"/>
      <c r="CG372" s="248"/>
    </row>
    <row r="373" spans="2:85" ht="12.75" x14ac:dyDescent="0.2">
      <c r="B373" s="243"/>
      <c r="D373" s="248"/>
      <c r="E373" s="248"/>
      <c r="F373" s="248"/>
      <c r="G373" s="248"/>
      <c r="H373" s="248"/>
      <c r="I373" s="248"/>
      <c r="J373" s="248"/>
      <c r="K373" s="248"/>
      <c r="L373" s="248"/>
      <c r="M373" s="249"/>
      <c r="N373" s="248"/>
      <c r="O373" s="248"/>
      <c r="P373" s="248"/>
      <c r="Q373" s="248"/>
      <c r="R373" s="248"/>
      <c r="S373" s="248"/>
      <c r="T373" s="248"/>
      <c r="U373" s="248"/>
      <c r="V373" s="248"/>
      <c r="W373" s="248"/>
      <c r="X373" s="248"/>
      <c r="Y373" s="248"/>
      <c r="Z373" s="248"/>
      <c r="AA373" s="248"/>
      <c r="AB373" s="248"/>
      <c r="AC373" s="248"/>
      <c r="AD373" s="248"/>
      <c r="AE373" s="248"/>
      <c r="AF373" s="248"/>
      <c r="AG373" s="248"/>
      <c r="AH373" s="248"/>
      <c r="AI373" s="248"/>
      <c r="AJ373" s="248"/>
      <c r="AK373" s="248"/>
      <c r="AL373" s="248"/>
      <c r="AM373" s="248"/>
      <c r="AN373" s="248"/>
      <c r="AO373" s="248"/>
      <c r="AP373" s="248"/>
      <c r="AQ373" s="248"/>
      <c r="AR373" s="248"/>
      <c r="AS373" s="248"/>
      <c r="AT373" s="248"/>
      <c r="AU373" s="248"/>
      <c r="AV373" s="248"/>
      <c r="AW373" s="248"/>
      <c r="AX373" s="248"/>
      <c r="AY373" s="248"/>
      <c r="AZ373" s="248"/>
      <c r="BA373" s="248"/>
      <c r="BB373" s="248"/>
      <c r="BC373" s="248"/>
      <c r="BD373" s="248"/>
      <c r="BE373" s="248"/>
      <c r="BF373" s="248"/>
      <c r="BG373" s="248"/>
      <c r="BH373" s="249"/>
      <c r="BI373" s="248"/>
      <c r="BJ373" s="248"/>
      <c r="BK373" s="248"/>
      <c r="BL373" s="248"/>
      <c r="BM373" s="248"/>
      <c r="BN373" s="248"/>
      <c r="BO373"/>
      <c r="BP373"/>
      <c r="BQ373"/>
      <c r="BR373"/>
      <c r="BS373"/>
      <c r="BT373" s="248"/>
      <c r="BU373" s="248"/>
      <c r="BV373" s="248"/>
      <c r="BW373" s="248"/>
      <c r="BX373" s="248"/>
      <c r="BY373" s="248"/>
      <c r="BZ373" s="248"/>
      <c r="CA373" s="248"/>
      <c r="CB373" s="248"/>
      <c r="CC373" s="248"/>
      <c r="CD373" s="248"/>
      <c r="CE373" s="248"/>
      <c r="CF373" s="248"/>
      <c r="CG373" s="248"/>
    </row>
    <row r="374" spans="2:85" ht="12.75" x14ac:dyDescent="0.2">
      <c r="B374" s="243"/>
      <c r="D374" s="248"/>
      <c r="E374" s="248"/>
      <c r="F374" s="248"/>
      <c r="G374" s="248"/>
      <c r="H374" s="248"/>
      <c r="I374" s="248"/>
      <c r="J374" s="248"/>
      <c r="K374" s="248"/>
      <c r="L374" s="248"/>
      <c r="M374" s="249"/>
      <c r="N374" s="248"/>
      <c r="O374" s="248"/>
      <c r="P374" s="248"/>
      <c r="Q374" s="248"/>
      <c r="R374" s="248"/>
      <c r="S374" s="248"/>
      <c r="T374" s="248"/>
      <c r="U374" s="248"/>
      <c r="V374" s="248"/>
      <c r="W374" s="248"/>
      <c r="X374" s="248"/>
      <c r="Y374" s="248"/>
      <c r="Z374" s="248"/>
      <c r="AA374" s="248"/>
      <c r="AB374" s="248"/>
      <c r="AC374" s="248"/>
      <c r="AD374" s="248"/>
      <c r="AE374" s="248"/>
      <c r="AF374" s="248"/>
      <c r="AG374" s="248"/>
      <c r="AH374" s="248"/>
      <c r="AI374" s="248"/>
      <c r="AJ374" s="248"/>
      <c r="AK374" s="248"/>
      <c r="AL374" s="248"/>
      <c r="AM374" s="248"/>
      <c r="AN374" s="248"/>
      <c r="AO374" s="248"/>
      <c r="AP374" s="248"/>
      <c r="AQ374" s="248"/>
      <c r="AR374" s="248"/>
      <c r="AS374" s="248"/>
      <c r="AT374" s="248"/>
      <c r="AU374" s="248"/>
      <c r="AV374" s="248"/>
      <c r="AW374" s="248"/>
      <c r="AX374" s="248"/>
      <c r="AY374" s="248"/>
      <c r="AZ374" s="248"/>
      <c r="BA374" s="248"/>
      <c r="BB374" s="248"/>
      <c r="BC374" s="248"/>
      <c r="BD374" s="248"/>
      <c r="BE374" s="248"/>
      <c r="BF374" s="248"/>
      <c r="BG374" s="248"/>
      <c r="BH374" s="249"/>
      <c r="BI374" s="248"/>
      <c r="BJ374" s="248"/>
      <c r="BK374" s="248"/>
      <c r="BL374" s="248"/>
      <c r="BM374" s="248"/>
      <c r="BN374" s="248"/>
      <c r="BO374"/>
      <c r="BP374"/>
      <c r="BQ374"/>
      <c r="BR374"/>
      <c r="BS374"/>
      <c r="BT374" s="248"/>
      <c r="BU374" s="248"/>
      <c r="BV374" s="248"/>
      <c r="BW374" s="248"/>
      <c r="BX374" s="248"/>
      <c r="BY374" s="248"/>
      <c r="BZ374" s="248"/>
      <c r="CA374" s="248"/>
      <c r="CB374" s="248"/>
      <c r="CC374" s="248"/>
      <c r="CD374" s="248"/>
      <c r="CE374" s="248"/>
      <c r="CF374" s="248"/>
      <c r="CG374" s="248"/>
    </row>
    <row r="375" spans="2:85" ht="12.75" x14ac:dyDescent="0.2">
      <c r="B375" s="243"/>
      <c r="D375" s="248"/>
      <c r="E375" s="248"/>
      <c r="F375" s="248"/>
      <c r="G375" s="248"/>
      <c r="H375" s="248"/>
      <c r="I375" s="248"/>
      <c r="J375" s="248"/>
      <c r="K375" s="248"/>
      <c r="L375" s="248"/>
      <c r="M375" s="249"/>
      <c r="N375" s="248"/>
      <c r="O375" s="248"/>
      <c r="P375" s="248"/>
      <c r="Q375" s="248"/>
      <c r="R375" s="248"/>
      <c r="S375" s="248"/>
      <c r="T375" s="248"/>
      <c r="U375" s="248"/>
      <c r="V375" s="248"/>
      <c r="W375" s="248"/>
      <c r="X375" s="248"/>
      <c r="Y375" s="248"/>
      <c r="Z375" s="248"/>
      <c r="AA375" s="248"/>
      <c r="AB375" s="248"/>
      <c r="AC375" s="248"/>
      <c r="AD375" s="248"/>
      <c r="AE375" s="248"/>
      <c r="AF375" s="248"/>
      <c r="AG375" s="248"/>
      <c r="AH375" s="248"/>
      <c r="AI375" s="248"/>
      <c r="AJ375" s="248"/>
      <c r="AK375" s="248"/>
      <c r="AL375" s="248"/>
      <c r="AM375" s="248"/>
      <c r="AN375" s="248"/>
      <c r="AO375" s="248"/>
      <c r="AP375" s="248"/>
      <c r="AQ375" s="248"/>
      <c r="AR375" s="248"/>
      <c r="AS375" s="248"/>
      <c r="AT375" s="248"/>
      <c r="AU375" s="248"/>
      <c r="AV375" s="248"/>
      <c r="AW375" s="248"/>
      <c r="AX375" s="248"/>
      <c r="AY375" s="248"/>
      <c r="AZ375" s="248"/>
      <c r="BA375" s="248"/>
      <c r="BB375" s="248"/>
      <c r="BC375" s="248"/>
      <c r="BD375" s="248"/>
      <c r="BE375" s="248"/>
      <c r="BF375" s="248"/>
      <c r="BG375" s="248"/>
      <c r="BH375" s="249"/>
      <c r="BI375" s="248"/>
      <c r="BJ375" s="248"/>
      <c r="BK375" s="248"/>
      <c r="BL375" s="248"/>
      <c r="BM375" s="248"/>
      <c r="BN375" s="248"/>
      <c r="BO375"/>
      <c r="BP375"/>
      <c r="BQ375"/>
      <c r="BR375"/>
      <c r="BS375"/>
      <c r="BT375" s="248"/>
      <c r="BU375" s="248"/>
      <c r="BV375" s="248"/>
      <c r="BW375" s="248"/>
      <c r="BX375" s="248"/>
      <c r="BY375" s="248"/>
      <c r="BZ375" s="248"/>
      <c r="CA375" s="248"/>
      <c r="CB375" s="248"/>
      <c r="CC375" s="248"/>
      <c r="CD375" s="248"/>
      <c r="CE375" s="248"/>
      <c r="CF375" s="248"/>
      <c r="CG375" s="248"/>
    </row>
    <row r="376" spans="2:85" ht="12.75" x14ac:dyDescent="0.2">
      <c r="B376" s="243"/>
      <c r="D376" s="248"/>
      <c r="E376" s="248"/>
      <c r="F376" s="248"/>
      <c r="G376" s="248"/>
      <c r="H376" s="248"/>
      <c r="I376" s="248"/>
      <c r="J376" s="248"/>
      <c r="K376" s="248"/>
      <c r="L376" s="248"/>
      <c r="M376" s="249"/>
      <c r="N376" s="248"/>
      <c r="O376" s="248"/>
      <c r="P376" s="248"/>
      <c r="Q376" s="248"/>
      <c r="R376" s="248"/>
      <c r="S376" s="248"/>
      <c r="T376" s="248"/>
      <c r="U376" s="248"/>
      <c r="V376" s="248"/>
      <c r="W376" s="248"/>
      <c r="X376" s="248"/>
      <c r="Y376" s="248"/>
      <c r="Z376" s="248"/>
      <c r="AA376" s="248"/>
      <c r="AB376" s="248"/>
      <c r="AC376" s="248"/>
      <c r="AD376" s="248"/>
      <c r="AE376" s="248"/>
      <c r="AF376" s="248"/>
      <c r="AG376" s="248"/>
      <c r="AH376" s="248"/>
      <c r="AI376" s="248"/>
      <c r="AJ376" s="248"/>
      <c r="AK376" s="248"/>
      <c r="AL376" s="248"/>
      <c r="AM376" s="248"/>
      <c r="AN376" s="248"/>
      <c r="AO376" s="248"/>
      <c r="AP376" s="248"/>
      <c r="AQ376" s="248"/>
      <c r="AR376" s="248"/>
      <c r="AS376" s="248"/>
      <c r="AT376" s="248"/>
      <c r="AU376" s="248"/>
      <c r="AV376" s="248"/>
      <c r="AW376" s="248"/>
      <c r="AX376" s="248"/>
      <c r="AY376" s="248"/>
      <c r="AZ376" s="248"/>
      <c r="BA376" s="248"/>
      <c r="BB376" s="248"/>
      <c r="BC376" s="248"/>
      <c r="BD376" s="248"/>
      <c r="BE376" s="248"/>
      <c r="BF376" s="248"/>
      <c r="BG376" s="248"/>
      <c r="BH376" s="249"/>
      <c r="BI376" s="248"/>
      <c r="BJ376" s="248"/>
      <c r="BK376" s="248"/>
      <c r="BL376" s="248"/>
      <c r="BM376" s="248"/>
      <c r="BN376" s="248"/>
      <c r="BO376"/>
      <c r="BP376"/>
      <c r="BQ376"/>
      <c r="BR376"/>
      <c r="BS376"/>
      <c r="BT376" s="248"/>
      <c r="BU376" s="248"/>
      <c r="BV376" s="248"/>
      <c r="BW376" s="248"/>
      <c r="BX376" s="248"/>
      <c r="BY376" s="248"/>
      <c r="BZ376" s="248"/>
      <c r="CA376" s="248"/>
      <c r="CB376" s="248"/>
      <c r="CC376" s="248"/>
      <c r="CD376" s="248"/>
      <c r="CE376" s="248"/>
      <c r="CF376" s="248"/>
      <c r="CG376" s="248"/>
    </row>
    <row r="377" spans="2:85" ht="12.75" x14ac:dyDescent="0.2">
      <c r="B377" s="243"/>
      <c r="D377" s="248"/>
      <c r="E377" s="248"/>
      <c r="F377" s="248"/>
      <c r="G377" s="248"/>
      <c r="H377" s="248"/>
      <c r="I377" s="248"/>
      <c r="J377" s="248"/>
      <c r="K377" s="248"/>
      <c r="L377" s="248"/>
      <c r="M377" s="249"/>
      <c r="N377" s="248"/>
      <c r="O377" s="248"/>
      <c r="P377" s="248"/>
      <c r="Q377" s="248"/>
      <c r="R377" s="248"/>
      <c r="S377" s="248"/>
      <c r="T377" s="248"/>
      <c r="U377" s="248"/>
      <c r="V377" s="248"/>
      <c r="W377" s="248"/>
      <c r="X377" s="248"/>
      <c r="Y377" s="248"/>
      <c r="Z377" s="248"/>
      <c r="AA377" s="248"/>
      <c r="AB377" s="248"/>
      <c r="AC377" s="248"/>
      <c r="AD377" s="248"/>
      <c r="AE377" s="248"/>
      <c r="AF377" s="248"/>
      <c r="AG377" s="248"/>
      <c r="AH377" s="248"/>
      <c r="AI377" s="248"/>
      <c r="AJ377" s="248"/>
      <c r="AK377" s="248"/>
      <c r="AL377" s="248"/>
      <c r="AM377" s="248"/>
      <c r="AN377" s="248"/>
      <c r="AO377" s="248"/>
      <c r="AP377" s="248"/>
      <c r="AQ377" s="248"/>
      <c r="AR377" s="248"/>
      <c r="AS377" s="248"/>
      <c r="AT377" s="248"/>
      <c r="AU377" s="248"/>
      <c r="AV377" s="248"/>
      <c r="AW377" s="248"/>
      <c r="AX377" s="248"/>
      <c r="AY377" s="248"/>
      <c r="AZ377" s="248"/>
      <c r="BA377" s="248"/>
      <c r="BB377" s="248"/>
      <c r="BC377" s="248"/>
      <c r="BD377" s="248"/>
      <c r="BE377" s="248"/>
      <c r="BF377" s="248"/>
      <c r="BG377" s="248"/>
      <c r="BH377" s="249"/>
      <c r="BI377" s="248"/>
      <c r="BJ377" s="248"/>
      <c r="BK377" s="248"/>
      <c r="BL377" s="248"/>
      <c r="BM377" s="248"/>
      <c r="BN377" s="248"/>
      <c r="BO377"/>
      <c r="BP377"/>
      <c r="BQ377"/>
      <c r="BR377"/>
      <c r="BS377"/>
      <c r="BT377" s="248"/>
      <c r="BU377" s="248"/>
      <c r="BV377" s="248"/>
      <c r="BW377" s="248"/>
      <c r="BX377" s="248"/>
      <c r="BY377" s="248"/>
      <c r="BZ377" s="248"/>
      <c r="CA377" s="248"/>
      <c r="CB377" s="248"/>
      <c r="CC377" s="248"/>
      <c r="CD377" s="248"/>
      <c r="CE377" s="248"/>
      <c r="CF377" s="248"/>
      <c r="CG377" s="248"/>
    </row>
    <row r="378" spans="2:85" ht="12.75" x14ac:dyDescent="0.2">
      <c r="B378" s="243"/>
      <c r="D378" s="248"/>
      <c r="E378" s="248"/>
      <c r="F378" s="248"/>
      <c r="G378" s="248"/>
      <c r="H378" s="248"/>
      <c r="I378" s="248"/>
      <c r="J378" s="248"/>
      <c r="K378" s="248"/>
      <c r="L378" s="248"/>
      <c r="M378" s="249"/>
      <c r="N378" s="248"/>
      <c r="O378" s="248"/>
      <c r="P378" s="248"/>
      <c r="Q378" s="248"/>
      <c r="R378" s="248"/>
      <c r="S378" s="248"/>
      <c r="T378" s="248"/>
      <c r="U378" s="248"/>
      <c r="V378" s="248"/>
      <c r="W378" s="248"/>
      <c r="X378" s="248"/>
      <c r="Y378" s="248"/>
      <c r="Z378" s="248"/>
      <c r="AA378" s="248"/>
      <c r="AB378" s="248"/>
      <c r="AC378" s="248"/>
      <c r="AD378" s="248"/>
      <c r="AE378" s="248"/>
      <c r="AF378" s="248"/>
      <c r="AG378" s="248"/>
      <c r="AH378" s="248"/>
      <c r="AI378" s="248"/>
      <c r="AJ378" s="248"/>
      <c r="AK378" s="248"/>
      <c r="AL378" s="248"/>
      <c r="AM378" s="248"/>
      <c r="AN378" s="248"/>
      <c r="AO378" s="248"/>
      <c r="AP378" s="248"/>
      <c r="AQ378" s="248"/>
      <c r="AR378" s="248"/>
      <c r="AS378" s="248"/>
      <c r="AT378" s="248"/>
      <c r="AU378" s="248"/>
      <c r="AV378" s="248"/>
      <c r="AW378" s="248"/>
      <c r="AX378" s="248"/>
      <c r="AY378" s="248"/>
      <c r="AZ378" s="248"/>
      <c r="BA378" s="248"/>
      <c r="BB378" s="248"/>
      <c r="BC378" s="248"/>
      <c r="BD378" s="248"/>
      <c r="BE378" s="248"/>
      <c r="BF378" s="248"/>
      <c r="BG378" s="248"/>
      <c r="BH378" s="249"/>
      <c r="BI378" s="248"/>
      <c r="BJ378" s="248"/>
      <c r="BK378" s="248"/>
      <c r="BL378" s="248"/>
      <c r="BM378" s="248"/>
      <c r="BN378" s="248"/>
      <c r="BO378"/>
      <c r="BP378"/>
      <c r="BQ378"/>
      <c r="BR378"/>
      <c r="BS378"/>
      <c r="BT378" s="248"/>
      <c r="BU378" s="248"/>
      <c r="BV378" s="248"/>
      <c r="BW378" s="248"/>
      <c r="BX378" s="248"/>
      <c r="BY378" s="248"/>
      <c r="BZ378" s="248"/>
      <c r="CA378" s="248"/>
      <c r="CB378" s="248"/>
      <c r="CC378" s="248"/>
      <c r="CD378" s="248"/>
      <c r="CE378" s="248"/>
      <c r="CF378" s="248"/>
      <c r="CG378" s="248"/>
    </row>
    <row r="379" spans="2:85" ht="12.75" x14ac:dyDescent="0.2">
      <c r="B379" s="243"/>
      <c r="D379" s="248"/>
      <c r="E379" s="248"/>
      <c r="F379" s="248"/>
      <c r="G379" s="248"/>
      <c r="H379" s="248"/>
      <c r="I379" s="248"/>
      <c r="J379" s="248"/>
      <c r="K379" s="248"/>
      <c r="L379" s="248"/>
      <c r="M379" s="249"/>
      <c r="N379" s="248"/>
      <c r="O379" s="248"/>
      <c r="P379" s="248"/>
      <c r="Q379" s="248"/>
      <c r="R379" s="248"/>
      <c r="S379" s="248"/>
      <c r="T379" s="248"/>
      <c r="U379" s="248"/>
      <c r="V379" s="248"/>
      <c r="W379" s="248"/>
      <c r="X379" s="248"/>
      <c r="Y379" s="248"/>
      <c r="Z379" s="248"/>
      <c r="AA379" s="248"/>
      <c r="AB379" s="248"/>
      <c r="AC379" s="248"/>
      <c r="AD379" s="248"/>
      <c r="AE379" s="248"/>
      <c r="AF379" s="248"/>
      <c r="AG379" s="248"/>
      <c r="AH379" s="248"/>
      <c r="AI379" s="248"/>
      <c r="AJ379" s="248"/>
      <c r="AK379" s="248"/>
      <c r="AL379" s="248"/>
      <c r="AM379" s="248"/>
      <c r="AN379" s="248"/>
      <c r="AO379" s="248"/>
      <c r="AP379" s="248"/>
      <c r="AQ379" s="248"/>
      <c r="AR379" s="248"/>
      <c r="AS379" s="248"/>
      <c r="AT379" s="248"/>
      <c r="AU379" s="248"/>
      <c r="AV379" s="248"/>
      <c r="AW379" s="248"/>
      <c r="AX379" s="248"/>
      <c r="AY379" s="248"/>
      <c r="AZ379" s="248"/>
      <c r="BA379" s="248"/>
      <c r="BB379" s="248"/>
      <c r="BC379" s="248"/>
      <c r="BD379" s="248"/>
      <c r="BE379" s="248"/>
      <c r="BF379" s="248"/>
      <c r="BG379" s="248"/>
      <c r="BH379" s="249"/>
      <c r="BI379" s="248"/>
      <c r="BJ379" s="248"/>
      <c r="BK379" s="248"/>
      <c r="BL379" s="248"/>
      <c r="BM379" s="248"/>
      <c r="BN379" s="248"/>
      <c r="BO379"/>
      <c r="BP379"/>
      <c r="BQ379"/>
      <c r="BR379"/>
      <c r="BS379"/>
      <c r="BT379" s="248"/>
      <c r="BU379" s="248"/>
      <c r="BV379" s="248"/>
      <c r="BW379" s="248"/>
      <c r="BX379" s="248"/>
      <c r="BY379" s="248"/>
      <c r="BZ379" s="248"/>
      <c r="CA379" s="248"/>
      <c r="CB379" s="248"/>
      <c r="CC379" s="248"/>
      <c r="CD379" s="248"/>
      <c r="CE379" s="248"/>
      <c r="CF379" s="248"/>
      <c r="CG379" s="248"/>
    </row>
    <row r="380" spans="2:85" ht="12.75" x14ac:dyDescent="0.2">
      <c r="B380" s="243"/>
      <c r="D380" s="248"/>
      <c r="E380" s="248"/>
      <c r="F380" s="248"/>
      <c r="G380" s="248"/>
      <c r="H380" s="248"/>
      <c r="I380" s="248"/>
      <c r="J380" s="248"/>
      <c r="K380" s="248"/>
      <c r="L380" s="248"/>
      <c r="M380" s="249"/>
      <c r="N380" s="248"/>
      <c r="O380" s="248"/>
      <c r="P380" s="248"/>
      <c r="Q380" s="248"/>
      <c r="R380" s="248"/>
      <c r="S380" s="248"/>
      <c r="T380" s="248"/>
      <c r="U380" s="248"/>
      <c r="V380" s="248"/>
      <c r="W380" s="248"/>
      <c r="X380" s="248"/>
      <c r="Y380" s="248"/>
      <c r="Z380" s="248"/>
      <c r="AA380" s="248"/>
      <c r="AB380" s="248"/>
      <c r="AC380" s="248"/>
      <c r="AD380" s="248"/>
      <c r="AE380" s="248"/>
      <c r="AF380" s="248"/>
      <c r="AG380" s="248"/>
      <c r="AH380" s="248"/>
      <c r="AI380" s="248"/>
      <c r="AJ380" s="248"/>
      <c r="AK380" s="248"/>
      <c r="AL380" s="248"/>
      <c r="AM380" s="248"/>
      <c r="AN380" s="248"/>
      <c r="AO380" s="248"/>
      <c r="AP380" s="248"/>
      <c r="AQ380" s="248"/>
      <c r="AR380" s="248"/>
      <c r="AS380" s="248"/>
      <c r="AT380" s="248"/>
      <c r="AU380" s="248"/>
      <c r="AV380" s="248"/>
      <c r="AW380" s="248"/>
      <c r="AX380" s="248"/>
      <c r="AY380" s="248"/>
      <c r="AZ380" s="248"/>
      <c r="BA380" s="248"/>
      <c r="BB380" s="248"/>
      <c r="BC380" s="248"/>
      <c r="BD380" s="248"/>
      <c r="BE380" s="248"/>
      <c r="BF380" s="248"/>
      <c r="BG380" s="248"/>
      <c r="BH380" s="249"/>
      <c r="BI380" s="248"/>
      <c r="BJ380" s="248"/>
      <c r="BK380" s="248"/>
      <c r="BL380" s="248"/>
      <c r="BM380" s="248"/>
      <c r="BN380" s="248"/>
      <c r="BO380"/>
      <c r="BP380"/>
      <c r="BQ380"/>
      <c r="BR380"/>
      <c r="BS380"/>
      <c r="BT380" s="248"/>
      <c r="BU380" s="248"/>
      <c r="BV380" s="248"/>
      <c r="BW380" s="248"/>
      <c r="BX380" s="248"/>
      <c r="BY380" s="248"/>
      <c r="BZ380" s="248"/>
      <c r="CA380" s="248"/>
      <c r="CB380" s="248"/>
      <c r="CC380" s="248"/>
      <c r="CD380" s="248"/>
      <c r="CE380" s="248"/>
      <c r="CF380" s="248"/>
      <c r="CG380" s="248"/>
    </row>
    <row r="381" spans="2:85" ht="12.75" x14ac:dyDescent="0.2">
      <c r="B381" s="243"/>
      <c r="D381" s="248"/>
      <c r="E381" s="248"/>
      <c r="F381" s="248"/>
      <c r="G381" s="248"/>
      <c r="H381" s="248"/>
      <c r="I381" s="248"/>
      <c r="J381" s="248"/>
      <c r="K381" s="248"/>
      <c r="L381" s="248"/>
      <c r="M381" s="249"/>
      <c r="N381" s="248"/>
      <c r="O381" s="248"/>
      <c r="P381" s="248"/>
      <c r="Q381" s="248"/>
      <c r="R381" s="248"/>
      <c r="S381" s="248"/>
      <c r="T381" s="248"/>
      <c r="U381" s="248"/>
      <c r="V381" s="248"/>
      <c r="W381" s="248"/>
      <c r="X381" s="248"/>
      <c r="Y381" s="248"/>
      <c r="Z381" s="248"/>
      <c r="AA381" s="248"/>
      <c r="AB381" s="248"/>
      <c r="AC381" s="248"/>
      <c r="AD381" s="248"/>
      <c r="AE381" s="248"/>
      <c r="AF381" s="248"/>
      <c r="AG381" s="248"/>
      <c r="AH381" s="248"/>
      <c r="AI381" s="248"/>
      <c r="AJ381" s="248"/>
      <c r="AK381" s="248"/>
      <c r="AL381" s="248"/>
      <c r="AM381" s="248"/>
      <c r="AN381" s="248"/>
      <c r="AO381" s="248"/>
      <c r="AP381" s="248"/>
      <c r="AQ381" s="248"/>
      <c r="AR381" s="248"/>
      <c r="AS381" s="248"/>
      <c r="AT381" s="248"/>
      <c r="AU381" s="248"/>
      <c r="AV381" s="248"/>
      <c r="AW381" s="248"/>
      <c r="AX381" s="248"/>
      <c r="AY381" s="248"/>
      <c r="AZ381" s="248"/>
      <c r="BA381" s="248"/>
      <c r="BB381" s="248"/>
      <c r="BC381" s="248"/>
      <c r="BD381" s="248"/>
      <c r="BE381" s="248"/>
      <c r="BF381" s="248"/>
      <c r="BG381" s="248"/>
      <c r="BH381" s="249"/>
      <c r="BI381" s="248"/>
      <c r="BJ381" s="248"/>
      <c r="BK381" s="248"/>
      <c r="BL381" s="248"/>
      <c r="BM381" s="248"/>
      <c r="BN381" s="248"/>
      <c r="BO381"/>
      <c r="BP381"/>
      <c r="BQ381"/>
      <c r="BR381"/>
      <c r="BS381"/>
      <c r="BT381" s="248"/>
      <c r="BU381" s="248"/>
      <c r="BV381" s="248"/>
      <c r="BW381" s="248"/>
      <c r="BX381" s="248"/>
      <c r="BY381" s="248"/>
      <c r="BZ381" s="248"/>
      <c r="CA381" s="248"/>
      <c r="CB381" s="248"/>
      <c r="CC381" s="248"/>
      <c r="CD381" s="248"/>
      <c r="CE381" s="248"/>
      <c r="CF381" s="248"/>
      <c r="CG381" s="248"/>
    </row>
    <row r="382" spans="2:85" ht="12.75" x14ac:dyDescent="0.2">
      <c r="B382" s="243"/>
      <c r="D382" s="248"/>
      <c r="E382" s="248"/>
      <c r="F382" s="248"/>
      <c r="G382" s="248"/>
      <c r="H382" s="248"/>
      <c r="I382" s="248"/>
      <c r="J382" s="248"/>
      <c r="K382" s="248"/>
      <c r="L382" s="248"/>
      <c r="M382" s="249"/>
      <c r="N382" s="248"/>
      <c r="O382" s="248"/>
      <c r="P382" s="248"/>
      <c r="Q382" s="248"/>
      <c r="R382" s="248"/>
      <c r="S382" s="248"/>
      <c r="T382" s="248"/>
      <c r="U382" s="248"/>
      <c r="V382" s="248"/>
      <c r="W382" s="248"/>
      <c r="X382" s="248"/>
      <c r="Y382" s="248"/>
      <c r="Z382" s="248"/>
      <c r="AA382" s="248"/>
      <c r="AB382" s="248"/>
      <c r="AC382" s="248"/>
      <c r="AD382" s="248"/>
      <c r="AE382" s="248"/>
      <c r="AF382" s="248"/>
      <c r="AG382" s="248"/>
      <c r="AH382" s="248"/>
      <c r="AI382" s="248"/>
      <c r="AJ382" s="248"/>
      <c r="AK382" s="248"/>
      <c r="AL382" s="248"/>
      <c r="AM382" s="248"/>
      <c r="AN382" s="248"/>
      <c r="AO382" s="248"/>
      <c r="AP382" s="248"/>
      <c r="AQ382" s="248"/>
      <c r="AR382" s="248"/>
      <c r="AS382" s="248"/>
      <c r="AT382" s="248"/>
      <c r="AU382" s="248"/>
      <c r="AV382" s="248"/>
      <c r="AW382" s="248"/>
      <c r="AX382" s="248"/>
      <c r="AY382" s="248"/>
      <c r="AZ382" s="248"/>
      <c r="BA382" s="248"/>
      <c r="BB382" s="248"/>
      <c r="BC382" s="248"/>
      <c r="BD382" s="248"/>
      <c r="BE382" s="248"/>
      <c r="BF382" s="248"/>
      <c r="BG382" s="248"/>
      <c r="BH382" s="249"/>
      <c r="BI382" s="248"/>
      <c r="BJ382" s="248"/>
      <c r="BK382" s="248"/>
      <c r="BL382" s="248"/>
      <c r="BM382" s="248"/>
      <c r="BN382" s="248"/>
      <c r="BO382"/>
      <c r="BP382"/>
      <c r="BQ382"/>
      <c r="BR382"/>
      <c r="BS382"/>
      <c r="BT382" s="248"/>
      <c r="BU382" s="248"/>
      <c r="BV382" s="248"/>
      <c r="BW382" s="248"/>
      <c r="BX382" s="248"/>
      <c r="BY382" s="248"/>
      <c r="BZ382" s="248"/>
      <c r="CA382" s="248"/>
      <c r="CB382" s="248"/>
      <c r="CC382" s="248"/>
      <c r="CD382" s="248"/>
      <c r="CE382" s="248"/>
      <c r="CF382" s="248"/>
      <c r="CG382" s="248"/>
    </row>
    <row r="383" spans="2:85" ht="12.75" x14ac:dyDescent="0.2">
      <c r="B383" s="243"/>
      <c r="D383" s="248"/>
      <c r="E383" s="248"/>
      <c r="F383" s="248"/>
      <c r="G383" s="248"/>
      <c r="H383" s="248"/>
      <c r="I383" s="248"/>
      <c r="J383" s="248"/>
      <c r="K383" s="248"/>
      <c r="L383" s="248"/>
      <c r="M383" s="249"/>
      <c r="N383" s="248"/>
      <c r="O383" s="248"/>
      <c r="P383" s="248"/>
      <c r="Q383" s="248"/>
      <c r="R383" s="248"/>
      <c r="S383" s="248"/>
      <c r="T383" s="248"/>
      <c r="U383" s="248"/>
      <c r="V383" s="248"/>
      <c r="W383" s="248"/>
      <c r="X383" s="248"/>
      <c r="Y383" s="248"/>
      <c r="Z383" s="248"/>
      <c r="AA383" s="248"/>
      <c r="AB383" s="248"/>
      <c r="AC383" s="248"/>
      <c r="AD383" s="248"/>
      <c r="AE383" s="248"/>
      <c r="AF383" s="248"/>
      <c r="AG383" s="248"/>
      <c r="AH383" s="248"/>
      <c r="AI383" s="248"/>
      <c r="AJ383" s="248"/>
      <c r="AK383" s="248"/>
      <c r="AL383" s="248"/>
      <c r="AM383" s="248"/>
      <c r="AN383" s="248"/>
      <c r="AO383" s="248"/>
      <c r="AP383" s="248"/>
      <c r="AQ383" s="248"/>
      <c r="AR383" s="248"/>
      <c r="AS383" s="248"/>
      <c r="AT383" s="248"/>
      <c r="AU383" s="248"/>
      <c r="AV383" s="248"/>
      <c r="AW383" s="248"/>
      <c r="AX383" s="248"/>
      <c r="AY383" s="248"/>
      <c r="AZ383" s="248"/>
      <c r="BA383" s="248"/>
      <c r="BB383" s="248"/>
      <c r="BC383" s="248"/>
      <c r="BD383" s="248"/>
      <c r="BE383" s="248"/>
      <c r="BF383" s="248"/>
      <c r="BG383" s="248"/>
      <c r="BH383" s="249"/>
      <c r="BI383" s="248"/>
      <c r="BJ383" s="248"/>
      <c r="BK383" s="248"/>
      <c r="BL383" s="248"/>
      <c r="BM383" s="248"/>
      <c r="BN383" s="248"/>
      <c r="BO383"/>
      <c r="BP383"/>
      <c r="BQ383"/>
      <c r="BR383"/>
      <c r="BS383"/>
      <c r="BT383" s="248"/>
      <c r="BU383" s="248"/>
      <c r="BV383" s="248"/>
      <c r="BW383" s="248"/>
      <c r="BX383" s="248"/>
      <c r="BY383" s="248"/>
      <c r="BZ383" s="248"/>
      <c r="CA383" s="248"/>
      <c r="CB383" s="248"/>
      <c r="CC383" s="248"/>
      <c r="CD383" s="248"/>
      <c r="CE383" s="248"/>
      <c r="CF383" s="248"/>
      <c r="CG383" s="248"/>
    </row>
    <row r="384" spans="2:85" ht="12.75" x14ac:dyDescent="0.2">
      <c r="B384" s="243"/>
      <c r="D384" s="248"/>
      <c r="E384" s="248"/>
      <c r="F384" s="248"/>
      <c r="G384" s="248"/>
      <c r="H384" s="248"/>
      <c r="I384" s="248"/>
      <c r="J384" s="248"/>
      <c r="K384" s="248"/>
      <c r="L384" s="248"/>
      <c r="M384" s="249"/>
      <c r="N384" s="248"/>
      <c r="O384" s="248"/>
      <c r="P384" s="248"/>
      <c r="Q384" s="248"/>
      <c r="R384" s="248"/>
      <c r="S384" s="248"/>
      <c r="T384" s="248"/>
      <c r="U384" s="248"/>
      <c r="V384" s="248"/>
      <c r="W384" s="248"/>
      <c r="X384" s="248"/>
      <c r="Y384" s="248"/>
      <c r="Z384" s="248"/>
      <c r="AA384" s="248"/>
      <c r="AB384" s="248"/>
      <c r="AC384" s="248"/>
      <c r="AD384" s="248"/>
      <c r="AE384" s="248"/>
      <c r="AF384" s="248"/>
      <c r="AG384" s="248"/>
      <c r="AH384" s="248"/>
      <c r="AI384" s="248"/>
      <c r="AJ384" s="248"/>
      <c r="AK384" s="248"/>
      <c r="AL384" s="248"/>
      <c r="AM384" s="248"/>
      <c r="AN384" s="248"/>
      <c r="AO384" s="248"/>
      <c r="AP384" s="248"/>
      <c r="AQ384" s="248"/>
      <c r="AR384" s="248"/>
      <c r="AS384" s="248"/>
      <c r="AT384" s="248"/>
      <c r="AU384" s="248"/>
      <c r="AV384" s="248"/>
      <c r="AW384" s="248"/>
      <c r="AX384" s="248"/>
      <c r="AY384" s="248"/>
      <c r="AZ384" s="248"/>
      <c r="BA384" s="248"/>
      <c r="BB384" s="248"/>
      <c r="BC384" s="248"/>
      <c r="BD384" s="248"/>
      <c r="BE384" s="248"/>
      <c r="BF384" s="248"/>
      <c r="BG384" s="248"/>
      <c r="BH384" s="249"/>
      <c r="BI384" s="248"/>
      <c r="BJ384" s="248"/>
      <c r="BK384" s="248"/>
      <c r="BL384" s="248"/>
      <c r="BM384" s="248"/>
      <c r="BN384" s="248"/>
      <c r="BO384"/>
      <c r="BP384"/>
      <c r="BQ384"/>
      <c r="BR384"/>
      <c r="BS384"/>
      <c r="BT384" s="248"/>
      <c r="BU384" s="248"/>
      <c r="BV384" s="248"/>
      <c r="BW384" s="248"/>
      <c r="BX384" s="248"/>
      <c r="BY384" s="248"/>
      <c r="BZ384" s="248"/>
      <c r="CA384" s="248"/>
      <c r="CB384" s="248"/>
      <c r="CC384" s="248"/>
      <c r="CD384" s="248"/>
      <c r="CE384" s="248"/>
      <c r="CF384" s="248"/>
      <c r="CG384" s="248"/>
    </row>
    <row r="385" spans="2:85" ht="12.75" x14ac:dyDescent="0.2">
      <c r="B385" s="243"/>
      <c r="D385" s="248"/>
      <c r="E385" s="248"/>
      <c r="F385" s="248"/>
      <c r="G385" s="248"/>
      <c r="H385" s="248"/>
      <c r="I385" s="248"/>
      <c r="J385" s="248"/>
      <c r="K385" s="248"/>
      <c r="L385" s="248"/>
      <c r="M385" s="249"/>
      <c r="N385" s="248"/>
      <c r="O385" s="248"/>
      <c r="P385" s="248"/>
      <c r="Q385" s="248"/>
      <c r="R385" s="248"/>
      <c r="S385" s="248"/>
      <c r="T385" s="248"/>
      <c r="U385" s="248"/>
      <c r="V385" s="248"/>
      <c r="W385" s="248"/>
      <c r="X385" s="248"/>
      <c r="Y385" s="248"/>
      <c r="Z385" s="248"/>
      <c r="AA385" s="248"/>
      <c r="AB385" s="248"/>
      <c r="AC385" s="248"/>
      <c r="AD385" s="248"/>
      <c r="AE385" s="248"/>
      <c r="AF385" s="248"/>
      <c r="AG385" s="248"/>
      <c r="AH385" s="248"/>
      <c r="AI385" s="248"/>
      <c r="AJ385" s="248"/>
      <c r="AK385" s="248"/>
      <c r="AL385" s="248"/>
      <c r="AM385" s="248"/>
      <c r="AN385" s="248"/>
      <c r="AO385" s="248"/>
      <c r="AP385" s="248"/>
      <c r="AQ385" s="248"/>
      <c r="AR385" s="248"/>
      <c r="AS385" s="248"/>
      <c r="AT385" s="248"/>
      <c r="AU385" s="248"/>
      <c r="AV385" s="248"/>
      <c r="AW385" s="248"/>
      <c r="AX385" s="248"/>
      <c r="AY385" s="248"/>
      <c r="AZ385" s="248"/>
      <c r="BA385" s="248"/>
      <c r="BB385" s="248"/>
      <c r="BC385" s="248"/>
      <c r="BD385" s="248"/>
      <c r="BE385" s="248"/>
      <c r="BF385" s="248"/>
      <c r="BG385" s="248"/>
      <c r="BH385" s="249"/>
      <c r="BI385" s="248"/>
      <c r="BJ385" s="248"/>
      <c r="BK385" s="248"/>
      <c r="BL385" s="248"/>
      <c r="BM385" s="248"/>
      <c r="BN385" s="248"/>
      <c r="BO385"/>
      <c r="BP385"/>
      <c r="BQ385"/>
      <c r="BR385"/>
      <c r="BS385"/>
      <c r="BT385" s="248"/>
      <c r="BU385" s="248"/>
      <c r="BV385" s="248"/>
      <c r="BW385" s="248"/>
      <c r="BX385" s="248"/>
      <c r="BY385" s="248"/>
      <c r="BZ385" s="248"/>
      <c r="CA385" s="248"/>
      <c r="CB385" s="248"/>
      <c r="CC385" s="248"/>
      <c r="CD385" s="248"/>
      <c r="CE385" s="248"/>
      <c r="CF385" s="248"/>
      <c r="CG385" s="248"/>
    </row>
    <row r="386" spans="2:85" ht="12.75" x14ac:dyDescent="0.2">
      <c r="B386" s="243"/>
      <c r="D386" s="248"/>
      <c r="E386" s="248"/>
      <c r="F386" s="248"/>
      <c r="G386" s="248"/>
      <c r="H386" s="248"/>
      <c r="I386" s="248"/>
      <c r="J386" s="248"/>
      <c r="K386" s="248"/>
      <c r="L386" s="248"/>
      <c r="M386" s="249"/>
      <c r="N386" s="248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8"/>
      <c r="Z386" s="248"/>
      <c r="AA386" s="248"/>
      <c r="AB386" s="248"/>
      <c r="AC386" s="248"/>
      <c r="AD386" s="248"/>
      <c r="AE386" s="248"/>
      <c r="AF386" s="248"/>
      <c r="AG386" s="248"/>
      <c r="AH386" s="248"/>
      <c r="AI386" s="248"/>
      <c r="AJ386" s="248"/>
      <c r="AK386" s="248"/>
      <c r="AL386" s="248"/>
      <c r="AM386" s="248"/>
      <c r="AN386" s="248"/>
      <c r="AO386" s="248"/>
      <c r="AP386" s="248"/>
      <c r="AQ386" s="248"/>
      <c r="AR386" s="248"/>
      <c r="AS386" s="248"/>
      <c r="AT386" s="248"/>
      <c r="AU386" s="248"/>
      <c r="AV386" s="248"/>
      <c r="AW386" s="248"/>
      <c r="AX386" s="248"/>
      <c r="AY386" s="248"/>
      <c r="AZ386" s="248"/>
      <c r="BA386" s="248"/>
      <c r="BB386" s="248"/>
      <c r="BC386" s="248"/>
      <c r="BD386" s="248"/>
      <c r="BE386" s="248"/>
      <c r="BF386" s="248"/>
      <c r="BG386" s="248"/>
      <c r="BH386" s="249"/>
      <c r="BI386" s="248"/>
      <c r="BJ386" s="248"/>
      <c r="BK386" s="248"/>
      <c r="BL386" s="248"/>
      <c r="BM386" s="248"/>
      <c r="BN386" s="248"/>
      <c r="BO386"/>
      <c r="BP386"/>
      <c r="BQ386"/>
      <c r="BR386"/>
      <c r="BS386"/>
      <c r="BT386" s="248"/>
      <c r="BU386" s="248"/>
      <c r="BV386" s="248"/>
      <c r="BW386" s="248"/>
      <c r="BX386" s="248"/>
      <c r="BY386" s="248"/>
      <c r="BZ386" s="248"/>
      <c r="CA386" s="248"/>
      <c r="CB386" s="248"/>
      <c r="CC386" s="248"/>
      <c r="CD386" s="248"/>
      <c r="CE386" s="248"/>
      <c r="CF386" s="248"/>
      <c r="CG386" s="248"/>
    </row>
    <row r="387" spans="2:85" ht="12.75" x14ac:dyDescent="0.2">
      <c r="B387" s="243"/>
      <c r="D387" s="248"/>
      <c r="E387" s="248"/>
      <c r="F387" s="248"/>
      <c r="G387" s="248"/>
      <c r="H387" s="248"/>
      <c r="I387" s="248"/>
      <c r="J387" s="248"/>
      <c r="K387" s="248"/>
      <c r="L387" s="248"/>
      <c r="M387" s="249"/>
      <c r="N387" s="248"/>
      <c r="O387" s="248"/>
      <c r="P387" s="248"/>
      <c r="Q387" s="248"/>
      <c r="R387" s="248"/>
      <c r="S387" s="248"/>
      <c r="T387" s="248"/>
      <c r="U387" s="248"/>
      <c r="V387" s="248"/>
      <c r="W387" s="248"/>
      <c r="X387" s="248"/>
      <c r="Y387" s="248"/>
      <c r="Z387" s="248"/>
      <c r="AA387" s="248"/>
      <c r="AB387" s="248"/>
      <c r="AC387" s="248"/>
      <c r="AD387" s="248"/>
      <c r="AE387" s="248"/>
      <c r="AF387" s="248"/>
      <c r="AG387" s="248"/>
      <c r="AH387" s="248"/>
      <c r="AI387" s="248"/>
      <c r="AJ387" s="248"/>
      <c r="AK387" s="248"/>
      <c r="AL387" s="248"/>
      <c r="AM387" s="248"/>
      <c r="AN387" s="248"/>
      <c r="AO387" s="248"/>
      <c r="AP387" s="248"/>
      <c r="AQ387" s="248"/>
      <c r="AR387" s="248"/>
      <c r="AS387" s="248"/>
      <c r="AT387" s="248"/>
      <c r="AU387" s="248"/>
      <c r="AV387" s="248"/>
      <c r="AW387" s="248"/>
      <c r="AX387" s="248"/>
      <c r="AY387" s="248"/>
      <c r="AZ387" s="248"/>
      <c r="BA387" s="248"/>
      <c r="BB387" s="248"/>
      <c r="BC387" s="248"/>
      <c r="BD387" s="248"/>
      <c r="BE387" s="248"/>
      <c r="BF387" s="248"/>
      <c r="BG387" s="248"/>
      <c r="BH387" s="249"/>
      <c r="BI387" s="248"/>
      <c r="BJ387" s="248"/>
      <c r="BK387" s="248"/>
      <c r="BL387" s="248"/>
      <c r="BM387" s="248"/>
      <c r="BN387" s="248"/>
      <c r="BO387"/>
      <c r="BP387"/>
      <c r="BQ387"/>
      <c r="BR387"/>
      <c r="BS387"/>
      <c r="BT387" s="248"/>
      <c r="BU387" s="248"/>
      <c r="BV387" s="248"/>
      <c r="BW387" s="248"/>
      <c r="BX387" s="248"/>
      <c r="BY387" s="248"/>
      <c r="BZ387" s="248"/>
      <c r="CA387" s="248"/>
      <c r="CB387" s="248"/>
      <c r="CC387" s="248"/>
      <c r="CD387" s="248"/>
      <c r="CE387" s="248"/>
      <c r="CF387" s="248"/>
      <c r="CG387" s="248"/>
    </row>
    <row r="388" spans="2:85" ht="12.75" x14ac:dyDescent="0.2">
      <c r="B388" s="243"/>
      <c r="D388" s="248"/>
      <c r="E388" s="248"/>
      <c r="F388" s="248"/>
      <c r="G388" s="248"/>
      <c r="H388" s="248"/>
      <c r="I388" s="248"/>
      <c r="J388" s="248"/>
      <c r="K388" s="248"/>
      <c r="L388" s="248"/>
      <c r="M388" s="249"/>
      <c r="N388" s="248"/>
      <c r="O388" s="248"/>
      <c r="P388" s="248"/>
      <c r="Q388" s="248"/>
      <c r="R388" s="248"/>
      <c r="S388" s="248"/>
      <c r="T388" s="248"/>
      <c r="U388" s="248"/>
      <c r="V388" s="248"/>
      <c r="W388" s="248"/>
      <c r="X388" s="248"/>
      <c r="Y388" s="248"/>
      <c r="Z388" s="248"/>
      <c r="AA388" s="248"/>
      <c r="AB388" s="248"/>
      <c r="AC388" s="248"/>
      <c r="AD388" s="248"/>
      <c r="AE388" s="248"/>
      <c r="AF388" s="248"/>
      <c r="AG388" s="248"/>
      <c r="AH388" s="248"/>
      <c r="AI388" s="248"/>
      <c r="AJ388" s="248"/>
      <c r="AK388" s="248"/>
      <c r="AL388" s="248"/>
      <c r="AM388" s="248"/>
      <c r="AN388" s="248"/>
      <c r="AO388" s="248"/>
      <c r="AP388" s="248"/>
      <c r="AQ388" s="248"/>
      <c r="AR388" s="248"/>
      <c r="AS388" s="248"/>
      <c r="AT388" s="248"/>
      <c r="AU388" s="248"/>
      <c r="AV388" s="248"/>
      <c r="AW388" s="248"/>
      <c r="AX388" s="248"/>
      <c r="AY388" s="248"/>
      <c r="AZ388" s="248"/>
      <c r="BA388" s="248"/>
      <c r="BB388" s="248"/>
      <c r="BC388" s="248"/>
      <c r="BD388" s="248"/>
      <c r="BE388" s="248"/>
      <c r="BF388" s="248"/>
      <c r="BG388" s="248"/>
      <c r="BH388" s="249"/>
      <c r="BI388" s="248"/>
      <c r="BJ388" s="248"/>
      <c r="BK388" s="248"/>
      <c r="BL388" s="248"/>
      <c r="BM388" s="248"/>
      <c r="BN388" s="248"/>
      <c r="BO388"/>
      <c r="BP388"/>
      <c r="BQ388"/>
      <c r="BR388"/>
      <c r="BS388"/>
      <c r="BT388" s="248"/>
      <c r="BU388" s="248"/>
      <c r="BV388" s="248"/>
      <c r="BW388" s="248"/>
      <c r="BX388" s="248"/>
      <c r="BY388" s="248"/>
      <c r="BZ388" s="248"/>
      <c r="CA388" s="248"/>
      <c r="CB388" s="248"/>
      <c r="CC388" s="248"/>
      <c r="CD388" s="248"/>
      <c r="CE388" s="248"/>
      <c r="CF388" s="248"/>
      <c r="CG388" s="248"/>
    </row>
    <row r="389" spans="2:85" ht="12.75" x14ac:dyDescent="0.2">
      <c r="B389" s="243"/>
      <c r="D389" s="248"/>
      <c r="E389" s="248"/>
      <c r="F389" s="248"/>
      <c r="G389" s="248"/>
      <c r="H389" s="248"/>
      <c r="I389" s="248"/>
      <c r="J389" s="248"/>
      <c r="K389" s="248"/>
      <c r="L389" s="248"/>
      <c r="M389" s="249"/>
      <c r="N389" s="248"/>
      <c r="O389" s="248"/>
      <c r="P389" s="248"/>
      <c r="Q389" s="248"/>
      <c r="R389" s="248"/>
      <c r="S389" s="248"/>
      <c r="T389" s="248"/>
      <c r="U389" s="248"/>
      <c r="V389" s="248"/>
      <c r="W389" s="248"/>
      <c r="X389" s="248"/>
      <c r="Y389" s="248"/>
      <c r="Z389" s="248"/>
      <c r="AA389" s="248"/>
      <c r="AB389" s="248"/>
      <c r="AC389" s="248"/>
      <c r="AD389" s="248"/>
      <c r="AE389" s="248"/>
      <c r="AF389" s="248"/>
      <c r="AG389" s="248"/>
      <c r="AH389" s="248"/>
      <c r="AI389" s="248"/>
      <c r="AJ389" s="248"/>
      <c r="AK389" s="248"/>
      <c r="AL389" s="248"/>
      <c r="AM389" s="248"/>
      <c r="AN389" s="248"/>
      <c r="AO389" s="248"/>
      <c r="AP389" s="248"/>
      <c r="AQ389" s="248"/>
      <c r="AR389" s="248"/>
      <c r="AS389" s="248"/>
      <c r="AT389" s="248"/>
      <c r="AU389" s="248"/>
      <c r="AV389" s="248"/>
      <c r="AW389" s="248"/>
      <c r="AX389" s="248"/>
      <c r="AY389" s="248"/>
      <c r="AZ389" s="248"/>
      <c r="BA389" s="248"/>
      <c r="BB389" s="248"/>
      <c r="BC389" s="248"/>
      <c r="BD389" s="248"/>
      <c r="BE389" s="248"/>
      <c r="BF389" s="248"/>
      <c r="BG389" s="248"/>
      <c r="BH389" s="249"/>
      <c r="BI389" s="248"/>
      <c r="BJ389" s="248"/>
      <c r="BK389" s="248"/>
      <c r="BL389" s="248"/>
      <c r="BM389" s="248"/>
      <c r="BN389" s="248"/>
      <c r="BO389"/>
      <c r="BP389"/>
      <c r="BQ389"/>
      <c r="BR389"/>
      <c r="BS389"/>
      <c r="BT389" s="248"/>
      <c r="BU389" s="248"/>
      <c r="BV389" s="248"/>
      <c r="BW389" s="248"/>
      <c r="BX389" s="248"/>
      <c r="BY389" s="248"/>
      <c r="BZ389" s="248"/>
      <c r="CA389" s="248"/>
      <c r="CB389" s="248"/>
      <c r="CC389" s="248"/>
      <c r="CD389" s="248"/>
      <c r="CE389" s="248"/>
      <c r="CF389" s="248"/>
      <c r="CG389" s="248"/>
    </row>
    <row r="390" spans="2:85" ht="12.75" x14ac:dyDescent="0.2">
      <c r="B390" s="243"/>
      <c r="D390" s="248"/>
      <c r="E390" s="248"/>
      <c r="F390" s="248"/>
      <c r="G390" s="248"/>
      <c r="H390" s="248"/>
      <c r="I390" s="248"/>
      <c r="J390" s="248"/>
      <c r="K390" s="248"/>
      <c r="L390" s="248"/>
      <c r="M390" s="249"/>
      <c r="N390" s="248"/>
      <c r="O390" s="248"/>
      <c r="P390" s="248"/>
      <c r="Q390" s="248"/>
      <c r="R390" s="248"/>
      <c r="S390" s="248"/>
      <c r="T390" s="248"/>
      <c r="U390" s="248"/>
      <c r="V390" s="248"/>
      <c r="W390" s="248"/>
      <c r="X390" s="248"/>
      <c r="Y390" s="248"/>
      <c r="Z390" s="248"/>
      <c r="AA390" s="248"/>
      <c r="AB390" s="248"/>
      <c r="AC390" s="248"/>
      <c r="AD390" s="248"/>
      <c r="AE390" s="248"/>
      <c r="AF390" s="248"/>
      <c r="AG390" s="248"/>
      <c r="AH390" s="248"/>
      <c r="AI390" s="248"/>
      <c r="AJ390" s="248"/>
      <c r="AK390" s="248"/>
      <c r="AL390" s="248"/>
      <c r="AM390" s="248"/>
      <c r="AN390" s="248"/>
      <c r="AO390" s="248"/>
      <c r="AP390" s="248"/>
      <c r="AQ390" s="248"/>
      <c r="AR390" s="248"/>
      <c r="AS390" s="248"/>
      <c r="AT390" s="248"/>
      <c r="AU390" s="248"/>
      <c r="AV390" s="248"/>
      <c r="AW390" s="248"/>
      <c r="AX390" s="248"/>
      <c r="AY390" s="248"/>
      <c r="AZ390" s="248"/>
      <c r="BA390" s="248"/>
      <c r="BB390" s="248"/>
      <c r="BC390" s="248"/>
      <c r="BD390" s="248"/>
      <c r="BE390" s="248"/>
      <c r="BF390" s="248"/>
      <c r="BG390" s="248"/>
      <c r="BH390" s="249"/>
      <c r="BI390" s="248"/>
      <c r="BJ390" s="248"/>
      <c r="BK390" s="248"/>
      <c r="BL390" s="248"/>
      <c r="BM390" s="248"/>
      <c r="BN390" s="248"/>
      <c r="BO390"/>
      <c r="BP390"/>
      <c r="BQ390"/>
      <c r="BR390"/>
      <c r="BS390"/>
      <c r="BT390" s="248"/>
      <c r="BU390" s="248"/>
      <c r="BV390" s="248"/>
      <c r="BW390" s="248"/>
      <c r="BX390" s="248"/>
      <c r="BY390" s="248"/>
      <c r="BZ390" s="248"/>
      <c r="CA390" s="248"/>
      <c r="CB390" s="248"/>
      <c r="CC390" s="248"/>
      <c r="CD390" s="248"/>
      <c r="CE390" s="248"/>
      <c r="CF390" s="248"/>
      <c r="CG390" s="248"/>
    </row>
    <row r="391" spans="2:85" ht="12.75" x14ac:dyDescent="0.2">
      <c r="B391" s="243"/>
      <c r="D391" s="248"/>
      <c r="E391" s="248"/>
      <c r="F391" s="248"/>
      <c r="G391" s="248"/>
      <c r="H391" s="248"/>
      <c r="I391" s="248"/>
      <c r="J391" s="248"/>
      <c r="K391" s="248"/>
      <c r="L391" s="248"/>
      <c r="M391" s="249"/>
      <c r="N391" s="248"/>
      <c r="O391" s="248"/>
      <c r="P391" s="248"/>
      <c r="Q391" s="248"/>
      <c r="R391" s="248"/>
      <c r="S391" s="248"/>
      <c r="T391" s="248"/>
      <c r="U391" s="248"/>
      <c r="V391" s="248"/>
      <c r="W391" s="248"/>
      <c r="X391" s="248"/>
      <c r="Y391" s="248"/>
      <c r="Z391" s="248"/>
      <c r="AA391" s="248"/>
      <c r="AB391" s="248"/>
      <c r="AC391" s="248"/>
      <c r="AD391" s="248"/>
      <c r="AE391" s="248"/>
      <c r="AF391" s="248"/>
      <c r="AG391" s="248"/>
      <c r="AH391" s="248"/>
      <c r="AI391" s="248"/>
      <c r="AJ391" s="248"/>
      <c r="AK391" s="248"/>
      <c r="AL391" s="248"/>
      <c r="AM391" s="248"/>
      <c r="AN391" s="248"/>
      <c r="AO391" s="248"/>
      <c r="AP391" s="248"/>
      <c r="AQ391" s="248"/>
      <c r="AR391" s="248"/>
      <c r="AS391" s="248"/>
      <c r="AT391" s="248"/>
      <c r="AU391" s="248"/>
      <c r="AV391" s="248"/>
      <c r="AW391" s="248"/>
      <c r="AX391" s="248"/>
      <c r="AY391" s="248"/>
      <c r="AZ391" s="248"/>
      <c r="BA391" s="248"/>
      <c r="BB391" s="248"/>
      <c r="BC391" s="248"/>
      <c r="BD391" s="248"/>
      <c r="BE391" s="248"/>
      <c r="BF391" s="248"/>
      <c r="BG391" s="248"/>
      <c r="BH391" s="249"/>
      <c r="BI391" s="248"/>
      <c r="BJ391" s="248"/>
      <c r="BK391" s="248"/>
      <c r="BL391" s="248"/>
      <c r="BM391" s="248"/>
      <c r="BN391" s="248"/>
      <c r="BO391"/>
      <c r="BP391"/>
      <c r="BQ391"/>
      <c r="BR391"/>
      <c r="BS391"/>
      <c r="BT391" s="248"/>
      <c r="BU391" s="248"/>
      <c r="BV391" s="248"/>
      <c r="BW391" s="248"/>
      <c r="BX391" s="248"/>
      <c r="BY391" s="248"/>
      <c r="BZ391" s="248"/>
      <c r="CA391" s="248"/>
      <c r="CB391" s="248"/>
      <c r="CC391" s="248"/>
      <c r="CD391" s="248"/>
      <c r="CE391" s="248"/>
      <c r="CF391" s="248"/>
      <c r="CG391" s="248"/>
    </row>
    <row r="392" spans="2:85" ht="12.75" x14ac:dyDescent="0.2">
      <c r="B392" s="243"/>
      <c r="D392" s="248"/>
      <c r="E392" s="248"/>
      <c r="F392" s="248"/>
      <c r="G392" s="248"/>
      <c r="H392" s="248"/>
      <c r="I392" s="248"/>
      <c r="J392" s="248"/>
      <c r="K392" s="248"/>
      <c r="L392" s="248"/>
      <c r="M392" s="249"/>
      <c r="N392" s="248"/>
      <c r="O392" s="248"/>
      <c r="P392" s="248"/>
      <c r="Q392" s="248"/>
      <c r="R392" s="248"/>
      <c r="S392" s="248"/>
      <c r="T392" s="248"/>
      <c r="U392" s="248"/>
      <c r="V392" s="248"/>
      <c r="W392" s="248"/>
      <c r="X392" s="248"/>
      <c r="Y392" s="248"/>
      <c r="Z392" s="248"/>
      <c r="AA392" s="248"/>
      <c r="AB392" s="248"/>
      <c r="AC392" s="248"/>
      <c r="AD392" s="248"/>
      <c r="AE392" s="248"/>
      <c r="AF392" s="248"/>
      <c r="AG392" s="248"/>
      <c r="AH392" s="248"/>
      <c r="AI392" s="248"/>
      <c r="AJ392" s="248"/>
      <c r="AK392" s="248"/>
      <c r="AL392" s="248"/>
      <c r="AM392" s="248"/>
      <c r="AN392" s="248"/>
      <c r="AO392" s="248"/>
      <c r="AP392" s="248"/>
      <c r="AQ392" s="248"/>
      <c r="AR392" s="248"/>
      <c r="AS392" s="248"/>
      <c r="AT392" s="248"/>
      <c r="AU392" s="248"/>
      <c r="AV392" s="248"/>
      <c r="AW392" s="248"/>
      <c r="AX392" s="248"/>
      <c r="AY392" s="248"/>
      <c r="AZ392" s="248"/>
      <c r="BA392" s="248"/>
      <c r="BB392" s="248"/>
      <c r="BC392" s="248"/>
      <c r="BD392" s="248"/>
      <c r="BE392" s="248"/>
      <c r="BF392" s="248"/>
      <c r="BG392" s="248"/>
      <c r="BH392" s="249"/>
      <c r="BI392" s="248"/>
      <c r="BJ392" s="248"/>
      <c r="BK392" s="248"/>
      <c r="BL392" s="248"/>
      <c r="BM392" s="248"/>
      <c r="BN392" s="248"/>
      <c r="BO392"/>
      <c r="BP392"/>
      <c r="BQ392"/>
      <c r="BR392"/>
      <c r="BS392"/>
      <c r="BT392" s="248"/>
      <c r="BU392" s="248"/>
      <c r="BV392" s="248"/>
      <c r="BW392" s="248"/>
      <c r="BX392" s="248"/>
      <c r="BY392" s="248"/>
      <c r="BZ392" s="248"/>
      <c r="CA392" s="248"/>
      <c r="CB392" s="248"/>
      <c r="CC392" s="248"/>
      <c r="CD392" s="248"/>
      <c r="CE392" s="248"/>
      <c r="CF392" s="248"/>
      <c r="CG392" s="248"/>
    </row>
    <row r="393" spans="2:85" ht="12.75" x14ac:dyDescent="0.2">
      <c r="B393" s="243"/>
      <c r="D393" s="248"/>
      <c r="E393" s="248"/>
      <c r="F393" s="248"/>
      <c r="G393" s="248"/>
      <c r="H393" s="248"/>
      <c r="I393" s="248"/>
      <c r="J393" s="248"/>
      <c r="K393" s="248"/>
      <c r="L393" s="248"/>
      <c r="M393" s="249"/>
      <c r="N393" s="248"/>
      <c r="O393" s="248"/>
      <c r="P393" s="248"/>
      <c r="Q393" s="248"/>
      <c r="R393" s="248"/>
      <c r="S393" s="248"/>
      <c r="T393" s="248"/>
      <c r="U393" s="248"/>
      <c r="V393" s="248"/>
      <c r="W393" s="248"/>
      <c r="X393" s="248"/>
      <c r="Y393" s="248"/>
      <c r="Z393" s="248"/>
      <c r="AA393" s="248"/>
      <c r="AB393" s="248"/>
      <c r="AC393" s="248"/>
      <c r="AD393" s="248"/>
      <c r="AE393" s="248"/>
      <c r="AF393" s="248"/>
      <c r="AG393" s="248"/>
      <c r="AH393" s="248"/>
      <c r="AI393" s="248"/>
      <c r="AJ393" s="248"/>
      <c r="AK393" s="248"/>
      <c r="AL393" s="248"/>
      <c r="AM393" s="248"/>
      <c r="AN393" s="248"/>
      <c r="AO393" s="248"/>
      <c r="AP393" s="248"/>
      <c r="AQ393" s="248"/>
      <c r="AR393" s="248"/>
      <c r="AS393" s="248"/>
      <c r="AT393" s="248"/>
      <c r="AU393" s="248"/>
      <c r="AV393" s="248"/>
      <c r="AW393" s="248"/>
      <c r="AX393" s="248"/>
      <c r="AY393" s="248"/>
      <c r="AZ393" s="248"/>
      <c r="BA393" s="248"/>
      <c r="BB393" s="248"/>
      <c r="BC393" s="248"/>
      <c r="BD393" s="248"/>
      <c r="BE393" s="248"/>
      <c r="BF393" s="248"/>
      <c r="BG393" s="248"/>
      <c r="BH393" s="249"/>
      <c r="BI393" s="248"/>
      <c r="BJ393" s="248"/>
      <c r="BK393" s="248"/>
      <c r="BL393" s="248"/>
      <c r="BM393" s="248"/>
      <c r="BN393" s="248"/>
      <c r="BO393"/>
      <c r="BP393"/>
      <c r="BQ393"/>
      <c r="BR393"/>
      <c r="BS393"/>
      <c r="BT393" s="248"/>
      <c r="BU393" s="248"/>
      <c r="BV393" s="248"/>
      <c r="BW393" s="248"/>
      <c r="BX393" s="248"/>
      <c r="BY393" s="248"/>
      <c r="BZ393" s="248"/>
      <c r="CA393" s="248"/>
      <c r="CB393" s="248"/>
      <c r="CC393" s="248"/>
      <c r="CD393" s="248"/>
      <c r="CE393" s="248"/>
      <c r="CF393" s="248"/>
      <c r="CG393" s="248"/>
    </row>
    <row r="394" spans="2:85" ht="12.75" x14ac:dyDescent="0.2">
      <c r="B394" s="243"/>
      <c r="D394" s="248"/>
      <c r="E394" s="248"/>
      <c r="F394" s="248"/>
      <c r="G394" s="248"/>
      <c r="H394" s="248"/>
      <c r="I394" s="248"/>
      <c r="J394" s="248"/>
      <c r="K394" s="248"/>
      <c r="L394" s="248"/>
      <c r="M394" s="249"/>
      <c r="N394" s="248"/>
      <c r="O394" s="248"/>
      <c r="P394" s="248"/>
      <c r="Q394" s="248"/>
      <c r="R394" s="248"/>
      <c r="S394" s="248"/>
      <c r="T394" s="248"/>
      <c r="U394" s="248"/>
      <c r="V394" s="248"/>
      <c r="W394" s="248"/>
      <c r="X394" s="248"/>
      <c r="Y394" s="248"/>
      <c r="Z394" s="248"/>
      <c r="AA394" s="248"/>
      <c r="AB394" s="248"/>
      <c r="AC394" s="248"/>
      <c r="AD394" s="248"/>
      <c r="AE394" s="248"/>
      <c r="AF394" s="248"/>
      <c r="AG394" s="248"/>
      <c r="AH394" s="248"/>
      <c r="AI394" s="248"/>
      <c r="AJ394" s="248"/>
      <c r="AK394" s="248"/>
      <c r="AL394" s="248"/>
      <c r="AM394" s="248"/>
      <c r="AN394" s="248"/>
      <c r="AO394" s="248"/>
      <c r="AP394" s="248"/>
      <c r="AQ394" s="248"/>
      <c r="AR394" s="248"/>
      <c r="AS394" s="248"/>
      <c r="AT394" s="248"/>
      <c r="AU394" s="248"/>
      <c r="AV394" s="248"/>
      <c r="AW394" s="248"/>
      <c r="AX394" s="248"/>
      <c r="AY394" s="248"/>
      <c r="AZ394" s="248"/>
      <c r="BA394" s="248"/>
      <c r="BB394" s="248"/>
      <c r="BC394" s="248"/>
      <c r="BD394" s="248"/>
      <c r="BE394" s="248"/>
      <c r="BF394" s="248"/>
      <c r="BG394" s="248"/>
      <c r="BH394" s="249"/>
      <c r="BI394" s="248"/>
      <c r="BJ394" s="248"/>
      <c r="BK394" s="248"/>
      <c r="BL394" s="248"/>
      <c r="BM394" s="248"/>
      <c r="BN394" s="248"/>
      <c r="BO394"/>
      <c r="BP394"/>
      <c r="BQ394"/>
      <c r="BR394"/>
      <c r="BS394"/>
      <c r="BT394" s="248"/>
      <c r="BU394" s="248"/>
      <c r="BV394" s="248"/>
      <c r="BW394" s="248"/>
      <c r="BX394" s="248"/>
      <c r="BY394" s="248"/>
      <c r="BZ394" s="248"/>
      <c r="CA394" s="248"/>
      <c r="CB394" s="248"/>
      <c r="CC394" s="248"/>
      <c r="CD394" s="248"/>
      <c r="CE394" s="248"/>
      <c r="CF394" s="248"/>
      <c r="CG394" s="248"/>
    </row>
    <row r="395" spans="2:85" ht="12.75" x14ac:dyDescent="0.2">
      <c r="B395" s="243"/>
      <c r="D395" s="248"/>
      <c r="E395" s="248"/>
      <c r="F395" s="248"/>
      <c r="G395" s="248"/>
      <c r="H395" s="248"/>
      <c r="I395" s="248"/>
      <c r="J395" s="248"/>
      <c r="K395" s="248"/>
      <c r="L395" s="248"/>
      <c r="M395" s="249"/>
      <c r="N395" s="248"/>
      <c r="O395" s="248"/>
      <c r="P395" s="248"/>
      <c r="Q395" s="248"/>
      <c r="R395" s="248"/>
      <c r="S395" s="248"/>
      <c r="T395" s="248"/>
      <c r="U395" s="248"/>
      <c r="V395" s="248"/>
      <c r="W395" s="248"/>
      <c r="X395" s="248"/>
      <c r="Y395" s="248"/>
      <c r="Z395" s="248"/>
      <c r="AA395" s="248"/>
      <c r="AB395" s="248"/>
      <c r="AC395" s="248"/>
      <c r="AD395" s="248"/>
      <c r="AE395" s="248"/>
      <c r="AF395" s="248"/>
      <c r="AG395" s="248"/>
      <c r="AH395" s="248"/>
      <c r="AI395" s="248"/>
      <c r="AJ395" s="248"/>
      <c r="AK395" s="248"/>
      <c r="AL395" s="248"/>
      <c r="AM395" s="248"/>
      <c r="AN395" s="248"/>
      <c r="AO395" s="248"/>
      <c r="AP395" s="248"/>
      <c r="AQ395" s="248"/>
      <c r="AR395" s="248"/>
      <c r="AS395" s="248"/>
      <c r="AT395" s="248"/>
      <c r="AU395" s="248"/>
      <c r="AV395" s="248"/>
      <c r="AW395" s="248"/>
      <c r="AX395" s="248"/>
      <c r="AY395" s="248"/>
      <c r="AZ395" s="248"/>
      <c r="BA395" s="248"/>
      <c r="BB395" s="248"/>
      <c r="BC395" s="248"/>
      <c r="BD395" s="248"/>
      <c r="BE395" s="248"/>
      <c r="BF395" s="248"/>
      <c r="BG395" s="248"/>
      <c r="BH395" s="249"/>
      <c r="BI395" s="248"/>
      <c r="BJ395" s="248"/>
      <c r="BK395" s="248"/>
      <c r="BL395" s="248"/>
      <c r="BM395" s="248"/>
      <c r="BN395" s="248"/>
      <c r="BO395"/>
      <c r="BP395"/>
      <c r="BQ395"/>
      <c r="BR395"/>
      <c r="BS395"/>
      <c r="BT395" s="248"/>
      <c r="BU395" s="248"/>
      <c r="BV395" s="248"/>
      <c r="BW395" s="248"/>
      <c r="BX395" s="248"/>
      <c r="BY395" s="248"/>
      <c r="BZ395" s="248"/>
      <c r="CA395" s="248"/>
      <c r="CB395" s="248"/>
      <c r="CC395" s="248"/>
      <c r="CD395" s="248"/>
      <c r="CE395" s="248"/>
      <c r="CF395" s="248"/>
      <c r="CG395" s="248"/>
    </row>
    <row r="396" spans="2:85" ht="12.75" x14ac:dyDescent="0.2">
      <c r="B396" s="243"/>
      <c r="D396" s="248"/>
      <c r="E396" s="248"/>
      <c r="F396" s="248"/>
      <c r="G396" s="248"/>
      <c r="H396" s="248"/>
      <c r="I396" s="248"/>
      <c r="J396" s="248"/>
      <c r="K396" s="248"/>
      <c r="L396" s="248"/>
      <c r="M396" s="249"/>
      <c r="N396" s="248"/>
      <c r="O396" s="248"/>
      <c r="P396" s="248"/>
      <c r="Q396" s="248"/>
      <c r="R396" s="248"/>
      <c r="S396" s="248"/>
      <c r="T396" s="248"/>
      <c r="U396" s="248"/>
      <c r="V396" s="248"/>
      <c r="W396" s="248"/>
      <c r="X396" s="248"/>
      <c r="Y396" s="248"/>
      <c r="Z396" s="248"/>
      <c r="AA396" s="248"/>
      <c r="AB396" s="248"/>
      <c r="AC396" s="248"/>
      <c r="AD396" s="248"/>
      <c r="AE396" s="248"/>
      <c r="AF396" s="248"/>
      <c r="AG396" s="248"/>
      <c r="AH396" s="248"/>
      <c r="AI396" s="248"/>
      <c r="AJ396" s="248"/>
      <c r="AK396" s="248"/>
      <c r="AL396" s="248"/>
      <c r="AM396" s="248"/>
      <c r="AN396" s="248"/>
      <c r="AO396" s="248"/>
      <c r="AP396" s="248"/>
      <c r="AQ396" s="248"/>
      <c r="AR396" s="248"/>
      <c r="AS396" s="248"/>
      <c r="AT396" s="248"/>
      <c r="AU396" s="248"/>
      <c r="AV396" s="248"/>
      <c r="AW396" s="248"/>
      <c r="AX396" s="248"/>
      <c r="AY396" s="248"/>
      <c r="AZ396" s="248"/>
      <c r="BA396" s="248"/>
      <c r="BB396" s="248"/>
      <c r="BC396" s="248"/>
      <c r="BD396" s="248"/>
      <c r="BE396" s="248"/>
      <c r="BF396" s="248"/>
      <c r="BG396" s="248"/>
      <c r="BH396" s="249"/>
      <c r="BI396" s="248"/>
      <c r="BJ396" s="248"/>
      <c r="BK396" s="248"/>
      <c r="BL396" s="248"/>
      <c r="BM396" s="248"/>
      <c r="BN396" s="248"/>
      <c r="BO396"/>
      <c r="BP396"/>
      <c r="BQ396"/>
      <c r="BR396"/>
      <c r="BS396"/>
      <c r="BT396" s="248"/>
      <c r="BU396" s="248"/>
      <c r="BV396" s="248"/>
      <c r="BW396" s="248"/>
      <c r="BX396" s="248"/>
      <c r="BY396" s="248"/>
      <c r="BZ396" s="248"/>
      <c r="CA396" s="248"/>
      <c r="CB396" s="248"/>
      <c r="CC396" s="248"/>
      <c r="CD396" s="248"/>
      <c r="CE396" s="248"/>
      <c r="CF396" s="248"/>
      <c r="CG396" s="248"/>
    </row>
    <row r="397" spans="2:85" ht="12.75" x14ac:dyDescent="0.2">
      <c r="B397" s="243"/>
      <c r="D397" s="248"/>
      <c r="E397" s="248"/>
      <c r="F397" s="248"/>
      <c r="G397" s="248"/>
      <c r="H397" s="248"/>
      <c r="I397" s="248"/>
      <c r="J397" s="248"/>
      <c r="K397" s="248"/>
      <c r="L397" s="248"/>
      <c r="M397" s="249"/>
      <c r="N397" s="248"/>
      <c r="O397" s="248"/>
      <c r="P397" s="248"/>
      <c r="Q397" s="248"/>
      <c r="R397" s="248"/>
      <c r="S397" s="248"/>
      <c r="T397" s="248"/>
      <c r="U397" s="248"/>
      <c r="V397" s="248"/>
      <c r="W397" s="248"/>
      <c r="X397" s="248"/>
      <c r="Y397" s="248"/>
      <c r="Z397" s="248"/>
      <c r="AA397" s="248"/>
      <c r="AB397" s="248"/>
      <c r="AC397" s="248"/>
      <c r="AD397" s="248"/>
      <c r="AE397" s="248"/>
      <c r="AF397" s="248"/>
      <c r="AG397" s="248"/>
      <c r="AH397" s="248"/>
      <c r="AI397" s="248"/>
      <c r="AJ397" s="248"/>
      <c r="AK397" s="248"/>
      <c r="AL397" s="248"/>
      <c r="AM397" s="248"/>
      <c r="AN397" s="248"/>
      <c r="AO397" s="248"/>
      <c r="AP397" s="248"/>
      <c r="AQ397" s="248"/>
      <c r="AR397" s="248"/>
      <c r="AS397" s="248"/>
      <c r="AT397" s="248"/>
      <c r="AU397" s="248"/>
      <c r="AV397" s="248"/>
      <c r="AW397" s="248"/>
      <c r="AX397" s="248"/>
      <c r="AY397" s="248"/>
      <c r="AZ397" s="248"/>
      <c r="BA397" s="248"/>
      <c r="BB397" s="248"/>
      <c r="BC397" s="248"/>
      <c r="BD397" s="248"/>
      <c r="BE397" s="248"/>
      <c r="BF397" s="248"/>
      <c r="BG397" s="248"/>
      <c r="BH397" s="249"/>
      <c r="BI397" s="248"/>
      <c r="BJ397" s="248"/>
      <c r="BK397" s="248"/>
      <c r="BL397" s="248"/>
      <c r="BM397" s="248"/>
      <c r="BN397" s="248"/>
      <c r="BO397"/>
      <c r="BP397"/>
      <c r="BQ397"/>
      <c r="BR397"/>
      <c r="BS397"/>
      <c r="BT397" s="248"/>
      <c r="BU397" s="248"/>
      <c r="BV397" s="248"/>
      <c r="BW397" s="248"/>
      <c r="BX397" s="248"/>
      <c r="BY397" s="248"/>
      <c r="BZ397" s="248"/>
      <c r="CA397" s="248"/>
      <c r="CB397" s="248"/>
      <c r="CC397" s="248"/>
      <c r="CD397" s="248"/>
      <c r="CE397" s="248"/>
      <c r="CF397" s="248"/>
      <c r="CG397" s="248"/>
    </row>
    <row r="398" spans="2:85" ht="12.75" x14ac:dyDescent="0.2">
      <c r="B398" s="243"/>
      <c r="D398" s="248"/>
      <c r="E398" s="248"/>
      <c r="F398" s="248"/>
      <c r="G398" s="248"/>
      <c r="H398" s="248"/>
      <c r="I398" s="248"/>
      <c r="J398" s="248"/>
      <c r="K398" s="248"/>
      <c r="L398" s="248"/>
      <c r="M398" s="249"/>
      <c r="N398" s="248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8"/>
      <c r="Z398" s="248"/>
      <c r="AA398" s="248"/>
      <c r="AB398" s="248"/>
      <c r="AC398" s="248"/>
      <c r="AD398" s="248"/>
      <c r="AE398" s="248"/>
      <c r="AF398" s="248"/>
      <c r="AG398" s="248"/>
      <c r="AH398" s="248"/>
      <c r="AI398" s="248"/>
      <c r="AJ398" s="248"/>
      <c r="AK398" s="248"/>
      <c r="AL398" s="248"/>
      <c r="AM398" s="248"/>
      <c r="AN398" s="248"/>
      <c r="AO398" s="248"/>
      <c r="AP398" s="248"/>
      <c r="AQ398" s="248"/>
      <c r="AR398" s="248"/>
      <c r="AS398" s="248"/>
      <c r="AT398" s="248"/>
      <c r="AU398" s="248"/>
      <c r="AV398" s="248"/>
      <c r="AW398" s="248"/>
      <c r="AX398" s="248"/>
      <c r="AY398" s="248"/>
      <c r="AZ398" s="248"/>
      <c r="BA398" s="248"/>
      <c r="BB398" s="248"/>
      <c r="BC398" s="248"/>
      <c r="BD398" s="248"/>
      <c r="BE398" s="248"/>
      <c r="BF398" s="248"/>
      <c r="BG398" s="248"/>
      <c r="BH398" s="249"/>
      <c r="BI398" s="248"/>
      <c r="BJ398" s="248"/>
      <c r="BK398" s="248"/>
      <c r="BL398" s="248"/>
      <c r="BM398" s="248"/>
      <c r="BN398" s="248"/>
      <c r="BO398"/>
      <c r="BP398"/>
      <c r="BQ398"/>
      <c r="BR398"/>
      <c r="BS398"/>
      <c r="BT398" s="248"/>
      <c r="BU398" s="248"/>
      <c r="BV398" s="248"/>
      <c r="BW398" s="248"/>
      <c r="BX398" s="248"/>
      <c r="BY398" s="248"/>
      <c r="BZ398" s="248"/>
      <c r="CA398" s="248"/>
      <c r="CB398" s="248"/>
      <c r="CC398" s="248"/>
      <c r="CD398" s="248"/>
      <c r="CE398" s="248"/>
      <c r="CF398" s="248"/>
      <c r="CG398" s="248"/>
    </row>
    <row r="399" spans="2:85" ht="12.75" x14ac:dyDescent="0.2">
      <c r="B399" s="243"/>
      <c r="D399" s="248"/>
      <c r="E399" s="248"/>
      <c r="F399" s="248"/>
      <c r="G399" s="248"/>
      <c r="H399" s="248"/>
      <c r="I399" s="248"/>
      <c r="J399" s="248"/>
      <c r="K399" s="248"/>
      <c r="L399" s="248"/>
      <c r="M399" s="249"/>
      <c r="N399" s="248"/>
      <c r="O399" s="248"/>
      <c r="P399" s="248"/>
      <c r="Q399" s="248"/>
      <c r="R399" s="248"/>
      <c r="S399" s="248"/>
      <c r="T399" s="248"/>
      <c r="U399" s="248"/>
      <c r="V399" s="248"/>
      <c r="W399" s="248"/>
      <c r="X399" s="248"/>
      <c r="Y399" s="248"/>
      <c r="Z399" s="248"/>
      <c r="AA399" s="248"/>
      <c r="AB399" s="248"/>
      <c r="AC399" s="248"/>
      <c r="AD399" s="248"/>
      <c r="AE399" s="248"/>
      <c r="AF399" s="248"/>
      <c r="AG399" s="248"/>
      <c r="AH399" s="248"/>
      <c r="AI399" s="248"/>
      <c r="AJ399" s="248"/>
      <c r="AK399" s="248"/>
      <c r="AL399" s="248"/>
      <c r="AM399" s="248"/>
      <c r="AN399" s="248"/>
      <c r="AO399" s="248"/>
      <c r="AP399" s="248"/>
      <c r="AQ399" s="248"/>
      <c r="AR399" s="248"/>
      <c r="AS399" s="248"/>
      <c r="AT399" s="248"/>
      <c r="AU399" s="248"/>
      <c r="AV399" s="248"/>
      <c r="AW399" s="248"/>
      <c r="AX399" s="248"/>
      <c r="AY399" s="248"/>
      <c r="AZ399" s="248"/>
      <c r="BA399" s="248"/>
      <c r="BB399" s="248"/>
      <c r="BC399" s="248"/>
      <c r="BD399" s="248"/>
      <c r="BE399" s="248"/>
      <c r="BF399" s="248"/>
      <c r="BG399" s="248"/>
      <c r="BH399" s="249"/>
      <c r="BI399" s="248"/>
      <c r="BJ399" s="248"/>
      <c r="BK399" s="248"/>
      <c r="BL399" s="248"/>
      <c r="BM399" s="248"/>
      <c r="BN399" s="248"/>
      <c r="BO399"/>
      <c r="BP399"/>
      <c r="BQ399"/>
      <c r="BR399"/>
      <c r="BS399"/>
      <c r="BT399" s="248"/>
      <c r="BU399" s="248"/>
      <c r="BV399" s="248"/>
      <c r="BW399" s="248"/>
      <c r="BX399" s="248"/>
      <c r="BY399" s="248"/>
      <c r="BZ399" s="248"/>
      <c r="CA399" s="248"/>
      <c r="CB399" s="248"/>
      <c r="CC399" s="248"/>
      <c r="CD399" s="248"/>
      <c r="CE399" s="248"/>
      <c r="CF399" s="248"/>
      <c r="CG399" s="248"/>
    </row>
    <row r="400" spans="2:85" ht="12.75" x14ac:dyDescent="0.2">
      <c r="B400" s="243"/>
      <c r="D400" s="248"/>
      <c r="E400" s="248"/>
      <c r="F400" s="248"/>
      <c r="G400" s="248"/>
      <c r="H400" s="248"/>
      <c r="I400" s="248"/>
      <c r="J400" s="248"/>
      <c r="K400" s="248"/>
      <c r="L400" s="248"/>
      <c r="M400" s="249"/>
      <c r="N400" s="248"/>
      <c r="O400" s="248"/>
      <c r="P400" s="248"/>
      <c r="Q400" s="248"/>
      <c r="R400" s="248"/>
      <c r="S400" s="248"/>
      <c r="T400" s="248"/>
      <c r="U400" s="248"/>
      <c r="V400" s="248"/>
      <c r="W400" s="248"/>
      <c r="X400" s="248"/>
      <c r="Y400" s="248"/>
      <c r="Z400" s="248"/>
      <c r="AA400" s="248"/>
      <c r="AB400" s="248"/>
      <c r="AC400" s="248"/>
      <c r="AD400" s="248"/>
      <c r="AE400" s="248"/>
      <c r="AF400" s="248"/>
      <c r="AG400" s="248"/>
      <c r="AH400" s="248"/>
      <c r="AI400" s="248"/>
      <c r="AJ400" s="248"/>
      <c r="AK400" s="248"/>
      <c r="AL400" s="248"/>
      <c r="AM400" s="248"/>
      <c r="AN400" s="248"/>
      <c r="AO400" s="248"/>
      <c r="AP400" s="248"/>
      <c r="AQ400" s="248"/>
      <c r="AR400" s="248"/>
      <c r="AS400" s="248"/>
      <c r="AT400" s="248"/>
      <c r="AU400" s="248"/>
      <c r="AV400" s="248"/>
      <c r="AW400" s="248"/>
      <c r="AX400" s="248"/>
      <c r="AY400" s="248"/>
      <c r="AZ400" s="248"/>
      <c r="BA400" s="248"/>
      <c r="BB400" s="248"/>
      <c r="BC400" s="248"/>
      <c r="BD400" s="248"/>
      <c r="BE400" s="248"/>
      <c r="BF400" s="248"/>
      <c r="BG400" s="248"/>
      <c r="BH400" s="249"/>
      <c r="BI400" s="248"/>
      <c r="BJ400" s="248"/>
      <c r="BK400" s="248"/>
      <c r="BL400" s="248"/>
      <c r="BM400" s="248"/>
      <c r="BN400" s="248"/>
      <c r="BO400"/>
      <c r="BP400"/>
      <c r="BQ400"/>
      <c r="BR400"/>
      <c r="BS400"/>
      <c r="BT400" s="248"/>
      <c r="BU400" s="248"/>
      <c r="BV400" s="248"/>
      <c r="BW400" s="248"/>
      <c r="BX400" s="248"/>
      <c r="BY400" s="248"/>
      <c r="BZ400" s="248"/>
      <c r="CA400" s="248"/>
      <c r="CB400" s="248"/>
      <c r="CC400" s="248"/>
      <c r="CD400" s="248"/>
      <c r="CE400" s="248"/>
      <c r="CF400" s="248"/>
      <c r="CG400" s="248"/>
    </row>
    <row r="401" spans="2:85" ht="12.75" x14ac:dyDescent="0.2">
      <c r="B401" s="243"/>
      <c r="D401" s="248"/>
      <c r="E401" s="248"/>
      <c r="F401" s="248"/>
      <c r="G401" s="248"/>
      <c r="H401" s="248"/>
      <c r="I401" s="248"/>
      <c r="J401" s="248"/>
      <c r="K401" s="248"/>
      <c r="L401" s="248"/>
      <c r="M401" s="249"/>
      <c r="N401" s="248"/>
      <c r="O401" s="248"/>
      <c r="P401" s="248"/>
      <c r="Q401" s="248"/>
      <c r="R401" s="248"/>
      <c r="S401" s="248"/>
      <c r="T401" s="248"/>
      <c r="U401" s="248"/>
      <c r="V401" s="248"/>
      <c r="W401" s="248"/>
      <c r="X401" s="248"/>
      <c r="Y401" s="248"/>
      <c r="Z401" s="248"/>
      <c r="AA401" s="248"/>
      <c r="AB401" s="248"/>
      <c r="AC401" s="248"/>
      <c r="AD401" s="248"/>
      <c r="AE401" s="248"/>
      <c r="AF401" s="248"/>
      <c r="AG401" s="248"/>
      <c r="AH401" s="248"/>
      <c r="AI401" s="248"/>
      <c r="AJ401" s="248"/>
      <c r="AK401" s="248"/>
      <c r="AL401" s="248"/>
      <c r="AM401" s="248"/>
      <c r="AN401" s="248"/>
      <c r="AO401" s="248"/>
      <c r="AP401" s="248"/>
      <c r="AQ401" s="248"/>
      <c r="AR401" s="248"/>
      <c r="AS401" s="248"/>
      <c r="AT401" s="248"/>
      <c r="AU401" s="248"/>
      <c r="AV401" s="248"/>
      <c r="AW401" s="248"/>
      <c r="AX401" s="248"/>
      <c r="AY401" s="248"/>
      <c r="AZ401" s="248"/>
      <c r="BA401" s="248"/>
      <c r="BB401" s="248"/>
      <c r="BC401" s="248"/>
      <c r="BD401" s="248"/>
      <c r="BE401" s="248"/>
      <c r="BF401" s="248"/>
      <c r="BG401" s="248"/>
      <c r="BH401" s="249"/>
      <c r="BI401" s="248"/>
      <c r="BJ401" s="248"/>
      <c r="BK401" s="248"/>
      <c r="BL401" s="248"/>
      <c r="BM401" s="248"/>
      <c r="BN401" s="248"/>
      <c r="BO401"/>
      <c r="BP401"/>
      <c r="BQ401"/>
      <c r="BR401"/>
      <c r="BS401"/>
      <c r="BT401" s="248"/>
      <c r="BU401" s="248"/>
      <c r="BV401" s="248"/>
      <c r="BW401" s="248"/>
      <c r="BX401" s="248"/>
      <c r="BY401" s="248"/>
      <c r="BZ401" s="248"/>
      <c r="CA401" s="248"/>
      <c r="CB401" s="248"/>
      <c r="CC401" s="248"/>
      <c r="CD401" s="248"/>
      <c r="CE401" s="248"/>
      <c r="CF401" s="248"/>
      <c r="CG401" s="248"/>
    </row>
    <row r="402" spans="2:85" ht="12.75" x14ac:dyDescent="0.2">
      <c r="B402" s="243"/>
      <c r="D402" s="248"/>
      <c r="E402" s="248"/>
      <c r="F402" s="248"/>
      <c r="G402" s="248"/>
      <c r="H402" s="248"/>
      <c r="I402" s="248"/>
      <c r="J402" s="248"/>
      <c r="K402" s="248"/>
      <c r="L402" s="248"/>
      <c r="M402" s="249"/>
      <c r="N402" s="248"/>
      <c r="O402" s="248"/>
      <c r="P402" s="248"/>
      <c r="Q402" s="248"/>
      <c r="R402" s="248"/>
      <c r="S402" s="248"/>
      <c r="T402" s="248"/>
      <c r="U402" s="248"/>
      <c r="V402" s="248"/>
      <c r="W402" s="248"/>
      <c r="X402" s="248"/>
      <c r="Y402" s="248"/>
      <c r="Z402" s="248"/>
      <c r="AA402" s="248"/>
      <c r="AB402" s="248"/>
      <c r="AC402" s="248"/>
      <c r="AD402" s="248"/>
      <c r="AE402" s="248"/>
      <c r="AF402" s="248"/>
      <c r="AG402" s="248"/>
      <c r="AH402" s="248"/>
      <c r="AI402" s="248"/>
      <c r="AJ402" s="248"/>
      <c r="AK402" s="248"/>
      <c r="AL402" s="248"/>
      <c r="AM402" s="248"/>
      <c r="AN402" s="248"/>
      <c r="AO402" s="248"/>
      <c r="AP402" s="248"/>
      <c r="AQ402" s="248"/>
      <c r="AR402" s="248"/>
      <c r="AS402" s="248"/>
      <c r="AT402" s="248"/>
      <c r="AU402" s="248"/>
      <c r="AV402" s="248"/>
      <c r="AW402" s="248"/>
      <c r="AX402" s="248"/>
      <c r="AY402" s="248"/>
      <c r="AZ402" s="248"/>
      <c r="BA402" s="248"/>
      <c r="BB402" s="248"/>
      <c r="BC402" s="248"/>
      <c r="BD402" s="248"/>
      <c r="BE402" s="248"/>
      <c r="BF402" s="248"/>
      <c r="BG402" s="248"/>
      <c r="BH402" s="249"/>
      <c r="BI402" s="248"/>
      <c r="BJ402" s="248"/>
      <c r="BK402" s="248"/>
      <c r="BL402" s="248"/>
      <c r="BM402" s="248"/>
      <c r="BN402" s="248"/>
      <c r="BO402"/>
      <c r="BP402"/>
      <c r="BQ402"/>
      <c r="BR402"/>
      <c r="BS402"/>
      <c r="BT402" s="248"/>
      <c r="BU402" s="248"/>
      <c r="BV402" s="248"/>
      <c r="BW402" s="248"/>
      <c r="BX402" s="248"/>
      <c r="BY402" s="248"/>
      <c r="BZ402" s="248"/>
      <c r="CA402" s="248"/>
      <c r="CB402" s="248"/>
      <c r="CC402" s="248"/>
      <c r="CD402" s="248"/>
      <c r="CE402" s="248"/>
      <c r="CF402" s="248"/>
      <c r="CG402" s="248"/>
    </row>
    <row r="403" spans="2:85" ht="12.75" x14ac:dyDescent="0.2">
      <c r="B403" s="243"/>
      <c r="BO403"/>
      <c r="BP403"/>
      <c r="BQ403"/>
      <c r="BR403"/>
      <c r="BS403"/>
    </row>
    <row r="404" spans="2:85" x14ac:dyDescent="0.2">
      <c r="B404" s="243"/>
    </row>
    <row r="405" spans="2:85" x14ac:dyDescent="0.2">
      <c r="B405" s="243"/>
    </row>
    <row r="406" spans="2:85" x14ac:dyDescent="0.2">
      <c r="B406" s="243"/>
    </row>
    <row r="407" spans="2:85" x14ac:dyDescent="0.2">
      <c r="B407" s="243"/>
    </row>
    <row r="408" spans="2:85" x14ac:dyDescent="0.2">
      <c r="B408" s="243"/>
    </row>
    <row r="409" spans="2:85" x14ac:dyDescent="0.2">
      <c r="B409" s="243"/>
    </row>
    <row r="410" spans="2:85" x14ac:dyDescent="0.2">
      <c r="B410" s="243"/>
    </row>
    <row r="411" spans="2:85" x14ac:dyDescent="0.2">
      <c r="B411" s="243"/>
    </row>
    <row r="412" spans="2:85" x14ac:dyDescent="0.2">
      <c r="B412" s="243"/>
    </row>
    <row r="413" spans="2:85" x14ac:dyDescent="0.2">
      <c r="B413" s="243"/>
    </row>
    <row r="414" spans="2:85" x14ac:dyDescent="0.2">
      <c r="B414" s="243"/>
    </row>
    <row r="415" spans="2:85" x14ac:dyDescent="0.2">
      <c r="B415" s="243"/>
    </row>
    <row r="416" spans="2:85" x14ac:dyDescent="0.2">
      <c r="B416" s="243"/>
    </row>
    <row r="417" spans="2:2" x14ac:dyDescent="0.2">
      <c r="B417" s="243"/>
    </row>
    <row r="418" spans="2:2" x14ac:dyDescent="0.2">
      <c r="B418" s="243"/>
    </row>
    <row r="419" spans="2:2" x14ac:dyDescent="0.2">
      <c r="B419" s="243"/>
    </row>
    <row r="420" spans="2:2" x14ac:dyDescent="0.2">
      <c r="B420" s="243"/>
    </row>
    <row r="421" spans="2:2" x14ac:dyDescent="0.2">
      <c r="B421" s="243"/>
    </row>
    <row r="422" spans="2:2" x14ac:dyDescent="0.2">
      <c r="B422" s="243"/>
    </row>
    <row r="423" spans="2:2" x14ac:dyDescent="0.2">
      <c r="B423" s="243"/>
    </row>
    <row r="424" spans="2:2" x14ac:dyDescent="0.2">
      <c r="B424" s="243"/>
    </row>
    <row r="425" spans="2:2" x14ac:dyDescent="0.2">
      <c r="B425" s="243"/>
    </row>
    <row r="426" spans="2:2" x14ac:dyDescent="0.2">
      <c r="B426" s="243"/>
    </row>
    <row r="427" spans="2:2" x14ac:dyDescent="0.2">
      <c r="B427" s="243"/>
    </row>
    <row r="428" spans="2:2" x14ac:dyDescent="0.2">
      <c r="B428" s="243"/>
    </row>
    <row r="429" spans="2:2" x14ac:dyDescent="0.2">
      <c r="B429" s="243"/>
    </row>
    <row r="430" spans="2:2" x14ac:dyDescent="0.2">
      <c r="B430" s="243"/>
    </row>
    <row r="431" spans="2:2" x14ac:dyDescent="0.2">
      <c r="B431" s="243"/>
    </row>
    <row r="432" spans="2:2" x14ac:dyDescent="0.2">
      <c r="B432" s="243"/>
    </row>
    <row r="433" spans="2:2" x14ac:dyDescent="0.2">
      <c r="B433" s="243"/>
    </row>
    <row r="434" spans="2:2" x14ac:dyDescent="0.2">
      <c r="B434" s="243"/>
    </row>
    <row r="435" spans="2:2" x14ac:dyDescent="0.2">
      <c r="B435" s="243"/>
    </row>
    <row r="436" spans="2:2" x14ac:dyDescent="0.2">
      <c r="B436" s="243"/>
    </row>
    <row r="437" spans="2:2" x14ac:dyDescent="0.2">
      <c r="B437" s="243"/>
    </row>
    <row r="438" spans="2:2" x14ac:dyDescent="0.2">
      <c r="B438" s="243"/>
    </row>
    <row r="439" spans="2:2" x14ac:dyDescent="0.2">
      <c r="B439" s="243"/>
    </row>
    <row r="440" spans="2:2" x14ac:dyDescent="0.2">
      <c r="B440" s="243"/>
    </row>
    <row r="441" spans="2:2" x14ac:dyDescent="0.2">
      <c r="B441" s="243"/>
    </row>
    <row r="442" spans="2:2" x14ac:dyDescent="0.2">
      <c r="B442" s="243"/>
    </row>
    <row r="443" spans="2:2" x14ac:dyDescent="0.2">
      <c r="B443" s="243"/>
    </row>
    <row r="444" spans="2:2" x14ac:dyDescent="0.2">
      <c r="B444" s="243"/>
    </row>
    <row r="445" spans="2:2" x14ac:dyDescent="0.2">
      <c r="B445" s="243"/>
    </row>
    <row r="446" spans="2:2" x14ac:dyDescent="0.2">
      <c r="B446" s="243"/>
    </row>
    <row r="447" spans="2:2" x14ac:dyDescent="0.2">
      <c r="B447" s="243"/>
    </row>
    <row r="448" spans="2:2" x14ac:dyDescent="0.2">
      <c r="B448" s="243"/>
    </row>
    <row r="449" spans="2:2" x14ac:dyDescent="0.2">
      <c r="B449" s="243"/>
    </row>
    <row r="450" spans="2:2" x14ac:dyDescent="0.2">
      <c r="B450" s="243"/>
    </row>
    <row r="451" spans="2:2" x14ac:dyDescent="0.2">
      <c r="B451" s="243"/>
    </row>
    <row r="452" spans="2:2" x14ac:dyDescent="0.2">
      <c r="B452" s="243"/>
    </row>
    <row r="453" spans="2:2" x14ac:dyDescent="0.2">
      <c r="B453" s="243"/>
    </row>
    <row r="454" spans="2:2" x14ac:dyDescent="0.2">
      <c r="B454" s="243"/>
    </row>
    <row r="455" spans="2:2" x14ac:dyDescent="0.2">
      <c r="B455" s="243"/>
    </row>
    <row r="456" spans="2:2" x14ac:dyDescent="0.2">
      <c r="B456" s="243"/>
    </row>
    <row r="457" spans="2:2" x14ac:dyDescent="0.2">
      <c r="B457" s="243"/>
    </row>
    <row r="458" spans="2:2" x14ac:dyDescent="0.2">
      <c r="B458" s="243"/>
    </row>
    <row r="459" spans="2:2" x14ac:dyDescent="0.2">
      <c r="B459" s="243"/>
    </row>
    <row r="460" spans="2:2" x14ac:dyDescent="0.2">
      <c r="B460" s="243"/>
    </row>
    <row r="461" spans="2:2" x14ac:dyDescent="0.2">
      <c r="B461" s="243"/>
    </row>
    <row r="462" spans="2:2" x14ac:dyDescent="0.2">
      <c r="B462" s="243"/>
    </row>
    <row r="463" spans="2:2" x14ac:dyDescent="0.2">
      <c r="B463" s="243"/>
    </row>
    <row r="464" spans="2:2" x14ac:dyDescent="0.2">
      <c r="B464" s="243"/>
    </row>
    <row r="465" spans="2:2" x14ac:dyDescent="0.2">
      <c r="B465" s="243"/>
    </row>
    <row r="466" spans="2:2" x14ac:dyDescent="0.2">
      <c r="B466" s="243"/>
    </row>
    <row r="467" spans="2:2" x14ac:dyDescent="0.2">
      <c r="B467" s="243"/>
    </row>
    <row r="468" spans="2:2" x14ac:dyDescent="0.2">
      <c r="B468" s="243"/>
    </row>
    <row r="469" spans="2:2" x14ac:dyDescent="0.2">
      <c r="B469" s="243"/>
    </row>
    <row r="470" spans="2:2" x14ac:dyDescent="0.2">
      <c r="B470" s="243"/>
    </row>
    <row r="471" spans="2:2" x14ac:dyDescent="0.2">
      <c r="B471" s="243"/>
    </row>
    <row r="472" spans="2:2" x14ac:dyDescent="0.2">
      <c r="B472" s="243"/>
    </row>
    <row r="473" spans="2:2" x14ac:dyDescent="0.2">
      <c r="B473" s="243"/>
    </row>
    <row r="474" spans="2:2" x14ac:dyDescent="0.2">
      <c r="B474" s="243"/>
    </row>
    <row r="475" spans="2:2" x14ac:dyDescent="0.2">
      <c r="B475" s="243"/>
    </row>
    <row r="476" spans="2:2" x14ac:dyDescent="0.2">
      <c r="B476" s="243"/>
    </row>
    <row r="477" spans="2:2" x14ac:dyDescent="0.2">
      <c r="B477" s="243"/>
    </row>
    <row r="478" spans="2:2" x14ac:dyDescent="0.2">
      <c r="B478" s="243"/>
    </row>
    <row r="479" spans="2:2" x14ac:dyDescent="0.2">
      <c r="B479" s="243"/>
    </row>
    <row r="480" spans="2:2" x14ac:dyDescent="0.2">
      <c r="B480" s="243"/>
    </row>
    <row r="481" spans="2:2" x14ac:dyDescent="0.2">
      <c r="B481" s="243"/>
    </row>
    <row r="482" spans="2:2" x14ac:dyDescent="0.2">
      <c r="B482" s="243"/>
    </row>
    <row r="483" spans="2:2" x14ac:dyDescent="0.2">
      <c r="B483" s="243"/>
    </row>
    <row r="484" spans="2:2" x14ac:dyDescent="0.2">
      <c r="B484" s="243"/>
    </row>
    <row r="485" spans="2:2" x14ac:dyDescent="0.2">
      <c r="B485" s="243"/>
    </row>
    <row r="486" spans="2:2" x14ac:dyDescent="0.2">
      <c r="B486" s="243"/>
    </row>
    <row r="487" spans="2:2" x14ac:dyDescent="0.2">
      <c r="B487" s="243"/>
    </row>
    <row r="488" spans="2:2" x14ac:dyDescent="0.2">
      <c r="B488" s="243"/>
    </row>
    <row r="489" spans="2:2" x14ac:dyDescent="0.2">
      <c r="B489" s="243"/>
    </row>
    <row r="490" spans="2:2" x14ac:dyDescent="0.2">
      <c r="B490" s="243"/>
    </row>
    <row r="491" spans="2:2" x14ac:dyDescent="0.2">
      <c r="B491" s="243"/>
    </row>
    <row r="492" spans="2:2" x14ac:dyDescent="0.2">
      <c r="B492" s="243"/>
    </row>
    <row r="493" spans="2:2" x14ac:dyDescent="0.2">
      <c r="B493" s="243"/>
    </row>
    <row r="494" spans="2:2" x14ac:dyDescent="0.2">
      <c r="B494" s="243"/>
    </row>
    <row r="495" spans="2:2" x14ac:dyDescent="0.2">
      <c r="B495" s="243"/>
    </row>
    <row r="496" spans="2:2" x14ac:dyDescent="0.2">
      <c r="B496" s="243"/>
    </row>
    <row r="497" spans="2:2" x14ac:dyDescent="0.2">
      <c r="B497" s="243"/>
    </row>
    <row r="498" spans="2:2" x14ac:dyDescent="0.2">
      <c r="B498" s="243"/>
    </row>
    <row r="499" spans="2:2" x14ac:dyDescent="0.2">
      <c r="B499" s="243"/>
    </row>
    <row r="500" spans="2:2" x14ac:dyDescent="0.2">
      <c r="B500" s="243"/>
    </row>
    <row r="501" spans="2:2" x14ac:dyDescent="0.2">
      <c r="B501" s="243"/>
    </row>
    <row r="502" spans="2:2" x14ac:dyDescent="0.2">
      <c r="B502" s="24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42</vt:i4>
      </vt:variant>
    </vt:vector>
  </HeadingPairs>
  <TitlesOfParts>
    <vt:vector size="47" baseType="lpstr">
      <vt:lpstr>Daily</vt:lpstr>
      <vt:lpstr>Monthly</vt:lpstr>
      <vt:lpstr>Override</vt:lpstr>
      <vt:lpstr>Calc</vt:lpstr>
      <vt:lpstr>Power Curves</vt:lpstr>
      <vt:lpstr>Monthly!atmvol</vt:lpstr>
      <vt:lpstr>atmvol</vt:lpstr>
      <vt:lpstr>atmvol_m</vt:lpstr>
      <vt:lpstr>Monthly!BasisIndex</vt:lpstr>
      <vt:lpstr>BasisIndex</vt:lpstr>
      <vt:lpstr>BasisIndex_m</vt:lpstr>
      <vt:lpstr>Monthly!BasisNumber</vt:lpstr>
      <vt:lpstr>BasisNumber</vt:lpstr>
      <vt:lpstr>BasisNumber_m</vt:lpstr>
      <vt:lpstr>CinDailyInput</vt:lpstr>
      <vt:lpstr>CindailyPrices</vt:lpstr>
      <vt:lpstr>Monthly!CurveDate</vt:lpstr>
      <vt:lpstr>CurveDate</vt:lpstr>
      <vt:lpstr>CurveDate_m</vt:lpstr>
      <vt:lpstr>Monthly!datetoday</vt:lpstr>
      <vt:lpstr>datetoday</vt:lpstr>
      <vt:lpstr>Calc!daytable</vt:lpstr>
      <vt:lpstr>Monthly!driver</vt:lpstr>
      <vt:lpstr>driver</vt:lpstr>
      <vt:lpstr>driver_m</vt:lpstr>
      <vt:lpstr>InputTable</vt:lpstr>
      <vt:lpstr>InputTable_m</vt:lpstr>
      <vt:lpstr>IRFirstMonth</vt:lpstr>
      <vt:lpstr>Monthly!peak_base</vt:lpstr>
      <vt:lpstr>peak_base</vt:lpstr>
      <vt:lpstr>peak_base_m</vt:lpstr>
      <vt:lpstr>PositionBasis</vt:lpstr>
      <vt:lpstr>PositionRegion</vt:lpstr>
      <vt:lpstr>PriceTable</vt:lpstr>
      <vt:lpstr>Override!Print_Area</vt:lpstr>
      <vt:lpstr>Monthly!RegionIndex</vt:lpstr>
      <vt:lpstr>RegionIndex</vt:lpstr>
      <vt:lpstr>Monthly!RegionNumber</vt:lpstr>
      <vt:lpstr>RegionNumber</vt:lpstr>
      <vt:lpstr>Monthly!smile</vt:lpstr>
      <vt:lpstr>smile</vt:lpstr>
      <vt:lpstr>Monthly!swapvol</vt:lpstr>
      <vt:lpstr>swapvol</vt:lpstr>
      <vt:lpstr>Monthly!unit</vt:lpstr>
      <vt:lpstr>unit</vt:lpstr>
      <vt:lpstr>unit_m</vt:lpstr>
      <vt:lpstr>VolTable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ahuang2</dc:creator>
  <cp:lastModifiedBy>Felienne</cp:lastModifiedBy>
  <cp:lastPrinted>2001-03-23T23:50:45Z</cp:lastPrinted>
  <dcterms:created xsi:type="dcterms:W3CDTF">2001-03-13T04:53:01Z</dcterms:created>
  <dcterms:modified xsi:type="dcterms:W3CDTF">2014-09-05T11:14:34Z</dcterms:modified>
</cp:coreProperties>
</file>