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externalReferences>
    <externalReference r:id="rId10"/>
  </externalReference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152511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C11" i="5" s="1"/>
  <c r="H10" i="5"/>
  <c r="I10" i="5"/>
  <c r="A11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I11" i="5"/>
  <c r="C42" i="5"/>
  <c r="G42" i="5"/>
  <c r="C43" i="5" s="1"/>
  <c r="H42" i="5"/>
  <c r="I42" i="5"/>
  <c r="A43" i="5"/>
  <c r="B43" i="5"/>
  <c r="I43" i="5"/>
  <c r="A44" i="5"/>
  <c r="A12" i="5" s="1"/>
  <c r="I12" i="5" s="1"/>
  <c r="B44" i="5"/>
  <c r="I44" i="5"/>
  <c r="B45" i="5"/>
  <c r="B46" i="5" s="1"/>
  <c r="B47" i="5" s="1"/>
  <c r="B48" i="5" s="1"/>
  <c r="B49" i="5" s="1"/>
  <c r="B50" i="5" s="1"/>
  <c r="B51" i="5" s="1"/>
  <c r="B52" i="5" s="1"/>
  <c r="E53" i="5"/>
  <c r="B4" i="6"/>
  <c r="D8" i="6"/>
  <c r="D9" i="6" s="1"/>
  <c r="B58" i="6" s="1"/>
  <c r="A64" i="5" s="1"/>
  <c r="A65" i="5" s="1"/>
  <c r="D16" i="6"/>
  <c r="A24" i="6"/>
  <c r="B32" i="6"/>
  <c r="B42" i="6"/>
  <c r="B43" i="6"/>
  <c r="F43" i="6"/>
  <c r="B44" i="6" s="1"/>
  <c r="F49" i="6"/>
  <c r="B66" i="6"/>
  <c r="D68" i="6" s="1"/>
  <c r="D67" i="6"/>
  <c r="E7" i="3"/>
  <c r="I7" i="3"/>
  <c r="P46" i="4" s="1"/>
  <c r="L7" i="3"/>
  <c r="S9" i="3" s="1"/>
  <c r="S10" i="3" s="1"/>
  <c r="S11" i="3" s="1"/>
  <c r="M7" i="3"/>
  <c r="D15" i="1" s="1"/>
  <c r="D13" i="1" s="1"/>
  <c r="N7" i="3"/>
  <c r="O7" i="3"/>
  <c r="P7" i="3"/>
  <c r="S7" i="3"/>
  <c r="H2" i="4"/>
  <c r="B6" i="4"/>
  <c r="B20" i="6" s="1"/>
  <c r="I6" i="4"/>
  <c r="E9" i="4"/>
  <c r="M9" i="4"/>
  <c r="B27" i="6" s="1"/>
  <c r="B15" i="4"/>
  <c r="B16" i="4"/>
  <c r="D17" i="4" s="1"/>
  <c r="P21" i="4"/>
  <c r="P23" i="4"/>
  <c r="D24" i="4"/>
  <c r="E24" i="4"/>
  <c r="E26" i="4"/>
  <c r="I28" i="4"/>
  <c r="E30" i="4"/>
  <c r="M33" i="4"/>
  <c r="I36" i="4"/>
  <c r="M36" i="4" s="1"/>
  <c r="D4" i="9"/>
  <c r="B10" i="9"/>
  <c r="B17" i="9"/>
  <c r="C17" i="9"/>
  <c r="D17" i="9"/>
  <c r="C23" i="9"/>
  <c r="B55" i="2"/>
  <c r="B117" i="2"/>
  <c r="B124" i="2"/>
  <c r="C5" i="1"/>
  <c r="B69" i="6" s="1"/>
  <c r="D69" i="6" s="1"/>
  <c r="E5" i="1"/>
  <c r="C12" i="1"/>
  <c r="E12" i="1" s="1"/>
  <c r="D12" i="1"/>
  <c r="C15" i="1"/>
  <c r="C13" i="1" s="1"/>
  <c r="D70" i="6" l="1"/>
  <c r="F11" i="5"/>
  <c r="L2" i="4"/>
  <c r="I11" i="4"/>
  <c r="E20" i="9"/>
  <c r="E26" i="9" s="1"/>
  <c r="M6" i="4"/>
  <c r="F43" i="5"/>
  <c r="E15" i="1"/>
  <c r="E13" i="1" s="1"/>
  <c r="I22" i="4"/>
  <c r="I21" i="4"/>
  <c r="B18" i="4"/>
  <c r="B8" i="4" s="1"/>
  <c r="B15" i="6"/>
  <c r="B16" i="6" s="1"/>
  <c r="B6" i="6"/>
  <c r="I12" i="4" s="1"/>
  <c r="A23" i="5"/>
  <c r="B60" i="6"/>
  <c r="B13" i="6"/>
  <c r="B17" i="4"/>
  <c r="B46" i="6"/>
  <c r="B48" i="6" s="1"/>
  <c r="B49" i="6" s="1"/>
  <c r="B50" i="6" s="1"/>
  <c r="B38" i="6" s="1"/>
  <c r="I13" i="4" s="1"/>
  <c r="D12" i="6"/>
  <c r="D13" i="6" s="1"/>
  <c r="B8" i="6"/>
  <c r="B9" i="6" s="1"/>
  <c r="B59" i="6" s="1"/>
  <c r="A55" i="5"/>
  <c r="C24" i="1"/>
  <c r="I5" i="4"/>
  <c r="A45" i="5"/>
  <c r="D35" i="6" l="1"/>
  <c r="D2" i="9"/>
  <c r="I19" i="4"/>
  <c r="D11" i="5"/>
  <c r="H11" i="5"/>
  <c r="D65" i="5"/>
  <c r="B61" i="6"/>
  <c r="B62" i="6" s="1"/>
  <c r="E65" i="5" s="1"/>
  <c r="H43" i="5"/>
  <c r="P8" i="4"/>
  <c r="A46" i="5"/>
  <c r="A13" i="5"/>
  <c r="I13" i="5" s="1"/>
  <c r="I45" i="5"/>
  <c r="E64" i="5"/>
  <c r="I34" i="4"/>
  <c r="M43" i="4" s="1"/>
  <c r="P43" i="4" s="1"/>
  <c r="B33" i="6"/>
  <c r="M32" i="4"/>
  <c r="M34" i="4" s="1"/>
  <c r="B11" i="4"/>
  <c r="I29" i="4"/>
  <c r="I15" i="4"/>
  <c r="D18" i="9"/>
  <c r="M14" i="4"/>
  <c r="P9" i="4"/>
  <c r="D7" i="9" l="1"/>
  <c r="D8" i="9"/>
  <c r="D9" i="9"/>
  <c r="D3" i="9"/>
  <c r="E4" i="9"/>
  <c r="B23" i="6"/>
  <c r="D20" i="9"/>
  <c r="F20" i="9" s="1"/>
  <c r="D19" i="9"/>
  <c r="E18" i="9"/>
  <c r="E66" i="5"/>
  <c r="D43" i="5" s="1"/>
  <c r="A14" i="5"/>
  <c r="I14" i="5" s="1"/>
  <c r="I46" i="5"/>
  <c r="A47" i="5"/>
  <c r="E11" i="5"/>
  <c r="I30" i="4"/>
  <c r="E21" i="4"/>
  <c r="E25" i="4" s="1"/>
  <c r="E27" i="4" s="1"/>
  <c r="E29" i="4" s="1"/>
  <c r="E31" i="4" s="1"/>
  <c r="P44" i="4"/>
  <c r="P45" i="4" s="1"/>
  <c r="P49" i="4" s="1"/>
  <c r="C18" i="1" s="1"/>
  <c r="E7" i="4"/>
  <c r="B30" i="6"/>
  <c r="M20" i="4"/>
  <c r="O20" i="4"/>
  <c r="P10" i="4"/>
  <c r="M13" i="4"/>
  <c r="D53" i="5" l="1"/>
  <c r="G43" i="5"/>
  <c r="C44" i="5" s="1"/>
  <c r="G11" i="5"/>
  <c r="C12" i="5" s="1"/>
  <c r="D21" i="9"/>
  <c r="E3" i="9"/>
  <c r="E5" i="9" s="1"/>
  <c r="E11" i="9" s="1"/>
  <c r="B14" i="9" s="1"/>
  <c r="B23" i="9" s="1"/>
  <c r="D5" i="9"/>
  <c r="D11" i="9" s="1"/>
  <c r="D12" i="9" s="1"/>
  <c r="P20" i="4"/>
  <c r="E11" i="4"/>
  <c r="A48" i="5"/>
  <c r="A15" i="5"/>
  <c r="I47" i="5"/>
  <c r="B57" i="5"/>
  <c r="I15" i="5" l="1"/>
  <c r="F55" i="5"/>
  <c r="F56" i="5"/>
  <c r="B59" i="5" s="1"/>
  <c r="F24" i="5"/>
  <c r="B27" i="5" s="1"/>
  <c r="B25" i="5"/>
  <c r="F23" i="5"/>
  <c r="B58" i="5"/>
  <c r="B30" i="9"/>
  <c r="I33" i="4" s="1"/>
  <c r="D23" i="9"/>
  <c r="A16" i="5"/>
  <c r="I16" i="5" s="1"/>
  <c r="I48" i="5"/>
  <c r="A49" i="5"/>
  <c r="E21" i="9"/>
  <c r="F12" i="5"/>
  <c r="G44" i="5"/>
  <c r="C45" i="5" s="1"/>
  <c r="F44" i="5"/>
  <c r="F25" i="5" l="1"/>
  <c r="F26" i="5"/>
  <c r="B26" i="5"/>
  <c r="D12" i="5"/>
  <c r="H12" i="5"/>
  <c r="A50" i="5"/>
  <c r="I49" i="5"/>
  <c r="A17" i="5"/>
  <c r="I17" i="5" s="1"/>
  <c r="H44" i="5"/>
  <c r="F45" i="5"/>
  <c r="G45" i="5"/>
  <c r="C46" i="5" s="1"/>
  <c r="D24" i="9"/>
  <c r="D25" i="9" s="1"/>
  <c r="F57" i="5"/>
  <c r="F58" i="5"/>
  <c r="D27" i="9" l="1"/>
  <c r="B28" i="5"/>
  <c r="F46" i="5"/>
  <c r="G46" i="5" s="1"/>
  <c r="C47" i="5" s="1"/>
  <c r="B60" i="5"/>
  <c r="B61" i="5" s="1"/>
  <c r="B55" i="6" s="1"/>
  <c r="B53" i="6" s="1"/>
  <c r="I16" i="4" s="1"/>
  <c r="P11" i="4" s="1"/>
  <c r="A18" i="5"/>
  <c r="I18" i="5" s="1"/>
  <c r="I50" i="5"/>
  <c r="A51" i="5"/>
  <c r="E12" i="5"/>
  <c r="H45" i="5"/>
  <c r="E24" i="9"/>
  <c r="D26" i="9"/>
  <c r="F26" i="9"/>
  <c r="I35" i="4"/>
  <c r="F47" i="5" l="1"/>
  <c r="G47" i="5" s="1"/>
  <c r="C48" i="5" s="1"/>
  <c r="I51" i="5"/>
  <c r="A52" i="5"/>
  <c r="A19" i="5"/>
  <c r="I19" i="5" s="1"/>
  <c r="B29" i="6"/>
  <c r="E27" i="9"/>
  <c r="D30" i="9"/>
  <c r="I20" i="4" s="1"/>
  <c r="H46" i="5"/>
  <c r="H47" i="5" s="1"/>
  <c r="G12" i="5"/>
  <c r="C13" i="5" s="1"/>
  <c r="M11" i="4"/>
  <c r="B28" i="6" s="1"/>
  <c r="B29" i="5"/>
  <c r="I14" i="4" s="1"/>
  <c r="I17" i="4" s="1"/>
  <c r="F48" i="5" l="1"/>
  <c r="H48" i="5" s="1"/>
  <c r="B24" i="6"/>
  <c r="M10" i="4"/>
  <c r="D28" i="9" s="1"/>
  <c r="I23" i="4"/>
  <c r="I25" i="4" s="1"/>
  <c r="F13" i="5"/>
  <c r="A20" i="5"/>
  <c r="I20" i="5" s="1"/>
  <c r="I52" i="5"/>
  <c r="G48" i="5" l="1"/>
  <c r="C49" i="5" s="1"/>
  <c r="D13" i="5"/>
  <c r="H13" i="5"/>
  <c r="B22" i="6"/>
  <c r="B35" i="6" s="1"/>
  <c r="M8" i="4" s="1"/>
  <c r="M15" i="4" s="1"/>
  <c r="I32" i="4"/>
  <c r="I37" i="4" s="1"/>
  <c r="C21" i="1" s="1"/>
  <c r="M35" i="4"/>
  <c r="M37" i="4" s="1"/>
  <c r="P13" i="4"/>
  <c r="F49" i="5" l="1"/>
  <c r="H49" i="5" s="1"/>
  <c r="P14" i="4"/>
  <c r="M39" i="4" s="1"/>
  <c r="P18" i="4"/>
  <c r="P22" i="4" s="1"/>
  <c r="P24" i="4" s="1"/>
  <c r="P25" i="4"/>
  <c r="M38" i="4"/>
  <c r="M40" i="4" s="1"/>
  <c r="N40" i="4" s="1"/>
  <c r="P15" i="4"/>
  <c r="P16" i="4" s="1"/>
  <c r="Q16" i="4" s="1"/>
  <c r="E13" i="5"/>
  <c r="P26" i="4" l="1"/>
  <c r="P27" i="4"/>
  <c r="P28" i="4" s="1"/>
  <c r="G13" i="5"/>
  <c r="C14" i="5" s="1"/>
  <c r="G49" i="5"/>
  <c r="C50" i="5" s="1"/>
  <c r="F50" i="5" l="1"/>
  <c r="H50" i="5" s="1"/>
  <c r="F14" i="5"/>
  <c r="G50" i="5" l="1"/>
  <c r="C51" i="5" s="1"/>
  <c r="D14" i="5"/>
  <c r="H14" i="5"/>
  <c r="E14" i="5" l="1"/>
  <c r="F51" i="5"/>
  <c r="H51" i="5" s="1"/>
  <c r="G51" i="5"/>
  <c r="C52" i="5" s="1"/>
  <c r="G14" i="5" l="1"/>
  <c r="C15" i="5" s="1"/>
  <c r="F52" i="5"/>
  <c r="F53" i="5" s="1"/>
  <c r="F15" i="5" l="1"/>
  <c r="G52" i="5"/>
  <c r="H52" i="5"/>
  <c r="D15" i="5" l="1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 s="1"/>
  <c r="C18" i="5" s="1"/>
  <c r="F18" i="5" l="1"/>
  <c r="D18" i="5" s="1"/>
  <c r="E18" i="5" s="1"/>
  <c r="G18" i="5" s="1"/>
  <c r="C19" i="5" s="1"/>
  <c r="H17" i="5"/>
  <c r="H18" i="5" s="1"/>
  <c r="F19" i="5" l="1"/>
  <c r="D19" i="5" s="1"/>
  <c r="E19" i="5" s="1"/>
  <c r="G19" i="5"/>
  <c r="C20" i="5" s="1"/>
  <c r="F20" i="5" l="1"/>
  <c r="H19" i="5"/>
  <c r="D20" i="5" l="1"/>
  <c r="F21" i="5"/>
  <c r="H20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<sst xmlns="http://schemas.openxmlformats.org/spreadsheetml/2006/main" count="314" uniqueCount="227">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</sst>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ptor1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MPR Raptor"/>
    </sheetNames>
    <sheetDataSet>
      <sheetData sheetId="0">
        <row r="5">
          <cell r="C5">
            <v>36959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21" sqref="E21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159" t="s">
        <v>193</v>
      </c>
      <c r="C2" s="159"/>
      <c r="D2" s="159"/>
      <c r="E2" s="159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f>+[1]Summary!$C$5</f>
        <v>36959</v>
      </c>
      <c r="D5" s="61" t="s">
        <v>16</v>
      </c>
      <c r="E5" s="62">
        <f>+C5-1</f>
        <v>36958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+Financials!I37</f>
        <v>-36375369.745016396</v>
      </c>
      <c r="D21" s="58"/>
      <c r="E21" s="58"/>
      <c r="F21" s="57"/>
    </row>
    <row r="22" spans="1:6" x14ac:dyDescent="0.25">
      <c r="A22" s="56"/>
      <c r="B22" s="58"/>
      <c r="C22" s="64"/>
      <c r="D22" s="126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3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25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25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25">
      <c r="A5" s="124"/>
      <c r="J5" s="4"/>
      <c r="L5" s="4"/>
      <c r="M5" s="4"/>
      <c r="N5" s="5"/>
      <c r="P5" s="4"/>
      <c r="Q5" s="4"/>
      <c r="R5" s="133"/>
      <c r="S5" s="125"/>
    </row>
    <row r="7" spans="1:20" ht="16.5" thickBot="1" x14ac:dyDescent="0.3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30" t="e">
        <f>+S9-'MRP Raptor'!U92+SUM(#REF!)+(+#REF!+#REF!)/0.6*0.3612</f>
        <v>#REF!</v>
      </c>
    </row>
    <row r="11" spans="1:20" x14ac:dyDescent="0.25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121" activePane="bottomLeft" state="frozen"/>
      <selection pane="bottomLeft" activeCell="A137" sqref="A137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144" t="s">
        <v>148</v>
      </c>
      <c r="B1" s="118"/>
    </row>
    <row r="2" spans="1:2" x14ac:dyDescent="0.25">
      <c r="B2" s="119"/>
    </row>
    <row r="3" spans="1:2" x14ac:dyDescent="0.25">
      <c r="A3" s="164" t="s">
        <v>4</v>
      </c>
      <c r="B3" s="165"/>
    </row>
    <row r="4" spans="1:2" x14ac:dyDescent="0.25">
      <c r="A4" s="145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143">
        <v>36815</v>
      </c>
      <c r="B36" s="121">
        <v>80</v>
      </c>
    </row>
    <row r="37" spans="1:2" x14ac:dyDescent="0.25">
      <c r="A37" s="143">
        <v>36816</v>
      </c>
      <c r="B37" s="121">
        <v>79.188000000000002</v>
      </c>
    </row>
    <row r="38" spans="1:2" x14ac:dyDescent="0.25">
      <c r="A38" s="143">
        <v>36817</v>
      </c>
      <c r="B38" s="121">
        <v>78.75</v>
      </c>
    </row>
    <row r="39" spans="1:2" x14ac:dyDescent="0.25">
      <c r="A39" s="143">
        <v>36818</v>
      </c>
      <c r="B39" s="121">
        <v>79</v>
      </c>
    </row>
    <row r="40" spans="1:2" x14ac:dyDescent="0.25">
      <c r="A40" s="143">
        <v>36819</v>
      </c>
      <c r="B40" s="121">
        <v>80.5</v>
      </c>
    </row>
    <row r="41" spans="1:2" x14ac:dyDescent="0.25">
      <c r="A41" s="143">
        <v>36822</v>
      </c>
      <c r="B41" s="121">
        <v>82</v>
      </c>
    </row>
    <row r="42" spans="1:2" x14ac:dyDescent="0.25">
      <c r="A42" s="143">
        <v>36823</v>
      </c>
      <c r="B42" s="121">
        <v>80.1875</v>
      </c>
    </row>
    <row r="43" spans="1:2" x14ac:dyDescent="0.25">
      <c r="A43" s="143">
        <v>36824</v>
      </c>
      <c r="B43" s="121">
        <v>76.125</v>
      </c>
    </row>
    <row r="44" spans="1:2" x14ac:dyDescent="0.25">
      <c r="A44" s="143">
        <v>36825</v>
      </c>
      <c r="B44" s="121">
        <v>77.5</v>
      </c>
    </row>
    <row r="45" spans="1:2" x14ac:dyDescent="0.25">
      <c r="A45" s="143">
        <v>36826</v>
      </c>
      <c r="B45" s="121">
        <v>78.875</v>
      </c>
    </row>
    <row r="46" spans="1:2" x14ac:dyDescent="0.25">
      <c r="A46" s="143">
        <v>36829</v>
      </c>
      <c r="B46" s="121">
        <v>80.688000000000002</v>
      </c>
    </row>
    <row r="47" spans="1:2" x14ac:dyDescent="0.25">
      <c r="A47" s="143">
        <v>36830</v>
      </c>
      <c r="B47" s="121">
        <v>82.063000000000002</v>
      </c>
    </row>
    <row r="48" spans="1:2" x14ac:dyDescent="0.25">
      <c r="A48" s="143">
        <v>36831</v>
      </c>
      <c r="B48" s="121">
        <v>83.25</v>
      </c>
    </row>
    <row r="49" spans="1:2" x14ac:dyDescent="0.25">
      <c r="A49" s="143">
        <v>36832</v>
      </c>
      <c r="B49" s="121">
        <v>81.75</v>
      </c>
    </row>
    <row r="50" spans="1:2" x14ac:dyDescent="0.25">
      <c r="A50" s="143">
        <v>36833</v>
      </c>
      <c r="B50" s="121">
        <v>77.375</v>
      </c>
    </row>
    <row r="51" spans="1:2" x14ac:dyDescent="0.25">
      <c r="A51" s="143">
        <v>36836</v>
      </c>
      <c r="B51" s="121">
        <v>81.563000000000002</v>
      </c>
    </row>
    <row r="52" spans="1:2" x14ac:dyDescent="0.25">
      <c r="A52" s="143">
        <v>36837</v>
      </c>
      <c r="B52" s="121">
        <v>81.813000000000002</v>
      </c>
    </row>
    <row r="53" spans="1:2" x14ac:dyDescent="0.25">
      <c r="A53" s="143">
        <v>36838</v>
      </c>
      <c r="B53" s="121">
        <v>82.125</v>
      </c>
    </row>
    <row r="54" spans="1:2" x14ac:dyDescent="0.25">
      <c r="A54" s="143">
        <v>36839</v>
      </c>
      <c r="B54" s="121">
        <v>82.938000000000002</v>
      </c>
    </row>
    <row r="55" spans="1:2" x14ac:dyDescent="0.25">
      <c r="A55" s="143">
        <v>36840</v>
      </c>
      <c r="B55" s="121">
        <f>82+0.9375</f>
        <v>82.9375</v>
      </c>
    </row>
    <row r="56" spans="1:2" x14ac:dyDescent="0.25">
      <c r="A56" s="143">
        <v>36843</v>
      </c>
      <c r="B56" s="121">
        <v>79.438000000000002</v>
      </c>
    </row>
    <row r="57" spans="1:2" x14ac:dyDescent="0.25">
      <c r="A57" s="143">
        <v>36844</v>
      </c>
      <c r="B57" s="121">
        <v>79.563000000000002</v>
      </c>
    </row>
    <row r="58" spans="1:2" x14ac:dyDescent="0.25">
      <c r="A58" s="143">
        <v>36845</v>
      </c>
      <c r="B58" s="121">
        <v>80.375</v>
      </c>
    </row>
    <row r="59" spans="1:2" x14ac:dyDescent="0.25">
      <c r="A59" s="143">
        <v>36846</v>
      </c>
      <c r="B59" s="121">
        <v>81.25</v>
      </c>
    </row>
    <row r="60" spans="1:2" x14ac:dyDescent="0.25">
      <c r="A60" s="143">
        <v>36847</v>
      </c>
      <c r="B60" s="121">
        <v>81.5</v>
      </c>
    </row>
    <row r="61" spans="1:2" x14ac:dyDescent="0.25">
      <c r="A61" s="143">
        <v>36850</v>
      </c>
      <c r="B61" s="121">
        <v>80.25</v>
      </c>
    </row>
    <row r="62" spans="1:2" x14ac:dyDescent="0.25">
      <c r="A62" s="143">
        <v>36851</v>
      </c>
      <c r="B62" s="121">
        <v>80.375</v>
      </c>
    </row>
    <row r="63" spans="1:2" x14ac:dyDescent="0.25">
      <c r="A63" s="143">
        <v>36852</v>
      </c>
      <c r="B63" s="121">
        <v>75.563000000000002</v>
      </c>
    </row>
    <row r="64" spans="1:2" x14ac:dyDescent="0.25">
      <c r="A64" s="143">
        <v>36854</v>
      </c>
      <c r="B64" s="121">
        <v>77.75</v>
      </c>
    </row>
    <row r="65" spans="1:2" x14ac:dyDescent="0.25">
      <c r="A65" s="143">
        <v>36857</v>
      </c>
      <c r="B65" s="121">
        <v>78.875</v>
      </c>
    </row>
    <row r="66" spans="1:2" x14ac:dyDescent="0.25">
      <c r="A66" s="143">
        <v>36858</v>
      </c>
      <c r="B66" s="121">
        <v>78.438000000000002</v>
      </c>
    </row>
    <row r="67" spans="1:2" x14ac:dyDescent="0.25">
      <c r="A67" s="143">
        <v>36859</v>
      </c>
      <c r="B67" s="121">
        <v>70.25</v>
      </c>
    </row>
    <row r="68" spans="1:2" x14ac:dyDescent="0.25">
      <c r="A68" s="143">
        <v>36860</v>
      </c>
      <c r="B68" s="121">
        <v>64.75</v>
      </c>
    </row>
    <row r="69" spans="1:2" x14ac:dyDescent="0.25">
      <c r="A69" s="143">
        <v>36861</v>
      </c>
      <c r="B69" s="121">
        <v>65.5</v>
      </c>
    </row>
    <row r="70" spans="1:2" x14ac:dyDescent="0.25">
      <c r="A70" s="143">
        <v>36864</v>
      </c>
      <c r="B70" s="121">
        <v>65.938000000000002</v>
      </c>
    </row>
    <row r="71" spans="1:2" x14ac:dyDescent="0.25">
      <c r="A71" s="143">
        <v>36865</v>
      </c>
      <c r="B71" s="121">
        <v>68.25</v>
      </c>
    </row>
    <row r="72" spans="1:2" x14ac:dyDescent="0.25">
      <c r="A72" s="143">
        <v>36866</v>
      </c>
      <c r="B72" s="121">
        <v>71.938000000000002</v>
      </c>
    </row>
    <row r="73" spans="1:2" x14ac:dyDescent="0.25">
      <c r="A73" s="143">
        <v>36867</v>
      </c>
      <c r="B73" s="121">
        <v>72.875</v>
      </c>
    </row>
    <row r="74" spans="1:2" x14ac:dyDescent="0.25">
      <c r="A74" s="143">
        <v>36868</v>
      </c>
      <c r="B74" s="121">
        <v>73.063000000000002</v>
      </c>
    </row>
    <row r="75" spans="1:2" x14ac:dyDescent="0.25">
      <c r="A75" s="143">
        <v>36871</v>
      </c>
      <c r="B75" s="121">
        <v>76.5</v>
      </c>
    </row>
    <row r="76" spans="1:2" x14ac:dyDescent="0.25">
      <c r="A76" s="143">
        <v>36872</v>
      </c>
      <c r="B76" s="121">
        <v>77.188000000000002</v>
      </c>
    </row>
    <row r="77" spans="1:2" x14ac:dyDescent="0.25">
      <c r="A77" s="143">
        <v>36873</v>
      </c>
      <c r="B77" s="121">
        <v>74.5</v>
      </c>
    </row>
    <row r="78" spans="1:2" x14ac:dyDescent="0.25">
      <c r="A78" s="143">
        <v>36874</v>
      </c>
      <c r="B78" s="121">
        <v>76.5</v>
      </c>
    </row>
    <row r="79" spans="1:2" x14ac:dyDescent="0.25">
      <c r="A79" s="143">
        <v>36875</v>
      </c>
      <c r="B79" s="121">
        <v>77.563000000000002</v>
      </c>
    </row>
    <row r="80" spans="1:2" x14ac:dyDescent="0.25">
      <c r="A80" s="143">
        <v>36878</v>
      </c>
      <c r="B80" s="121">
        <v>79.563000000000002</v>
      </c>
    </row>
    <row r="81" spans="1:2" x14ac:dyDescent="0.25">
      <c r="A81" s="143">
        <v>36879</v>
      </c>
      <c r="B81" s="121">
        <v>79.75</v>
      </c>
    </row>
    <row r="82" spans="1:2" x14ac:dyDescent="0.25">
      <c r="A82" s="143">
        <v>36880</v>
      </c>
      <c r="B82" s="121">
        <v>79.75</v>
      </c>
    </row>
    <row r="83" spans="1:2" x14ac:dyDescent="0.25">
      <c r="A83" s="143">
        <v>36881</v>
      </c>
      <c r="B83" s="121">
        <v>79.313000000000002</v>
      </c>
    </row>
    <row r="84" spans="1:2" x14ac:dyDescent="0.25">
      <c r="A84" s="143">
        <v>36882</v>
      </c>
      <c r="B84" s="121">
        <v>81.188000000000002</v>
      </c>
    </row>
    <row r="85" spans="1:2" x14ac:dyDescent="0.25">
      <c r="A85" s="143">
        <v>36886</v>
      </c>
      <c r="B85" s="121">
        <v>83.5</v>
      </c>
    </row>
    <row r="86" spans="1:2" x14ac:dyDescent="0.25">
      <c r="A86" s="143">
        <v>36887</v>
      </c>
      <c r="B86" s="121">
        <v>82.813000000000002</v>
      </c>
    </row>
    <row r="87" spans="1:2" x14ac:dyDescent="0.25">
      <c r="A87" s="143">
        <v>36888</v>
      </c>
      <c r="B87" s="121">
        <v>84.625</v>
      </c>
    </row>
    <row r="88" spans="1:2" x14ac:dyDescent="0.25">
      <c r="A88" s="143">
        <v>36889</v>
      </c>
      <c r="B88" s="121">
        <v>83.125</v>
      </c>
    </row>
    <row r="89" spans="1:2" x14ac:dyDescent="0.25">
      <c r="A89" s="143">
        <v>36893</v>
      </c>
      <c r="B89" s="121">
        <v>79.875</v>
      </c>
    </row>
    <row r="90" spans="1:2" x14ac:dyDescent="0.25">
      <c r="A90" s="143">
        <v>36894</v>
      </c>
      <c r="B90" s="121">
        <v>75.063000000000002</v>
      </c>
    </row>
    <row r="91" spans="1:2" x14ac:dyDescent="0.25">
      <c r="A91" s="143">
        <v>36895</v>
      </c>
      <c r="B91" s="121">
        <v>72</v>
      </c>
    </row>
    <row r="92" spans="1:2" x14ac:dyDescent="0.25">
      <c r="A92" s="143">
        <v>36896</v>
      </c>
      <c r="B92" s="121">
        <v>71.375</v>
      </c>
    </row>
    <row r="93" spans="1:2" x14ac:dyDescent="0.25">
      <c r="A93" s="143">
        <v>36899</v>
      </c>
      <c r="B93" s="121">
        <v>71.25</v>
      </c>
    </row>
    <row r="94" spans="1:2" x14ac:dyDescent="0.25">
      <c r="A94" s="143">
        <v>36900</v>
      </c>
      <c r="B94" s="121">
        <v>68.625</v>
      </c>
    </row>
    <row r="95" spans="1:2" x14ac:dyDescent="0.25">
      <c r="A95" s="143">
        <v>36901</v>
      </c>
      <c r="B95" s="121">
        <v>68.938000000000002</v>
      </c>
    </row>
    <row r="96" spans="1:2" x14ac:dyDescent="0.25">
      <c r="A96" s="143">
        <v>36902</v>
      </c>
      <c r="B96" s="121">
        <v>69.438000000000002</v>
      </c>
    </row>
    <row r="97" spans="1:2" x14ac:dyDescent="0.25">
      <c r="A97" s="143">
        <v>36903</v>
      </c>
      <c r="B97" s="121">
        <v>70.438000000000002</v>
      </c>
    </row>
    <row r="98" spans="1:2" x14ac:dyDescent="0.25">
      <c r="A98" s="143">
        <v>36907</v>
      </c>
      <c r="B98" s="121">
        <v>68.438000000000002</v>
      </c>
    </row>
    <row r="99" spans="1:2" x14ac:dyDescent="0.25">
      <c r="A99" s="143">
        <v>36908</v>
      </c>
      <c r="B99" s="121">
        <v>71.125</v>
      </c>
    </row>
    <row r="100" spans="1:2" x14ac:dyDescent="0.25">
      <c r="A100" s="143">
        <v>36909</v>
      </c>
      <c r="B100" s="121">
        <v>72.063000000000002</v>
      </c>
    </row>
    <row r="101" spans="1:2" x14ac:dyDescent="0.25">
      <c r="A101" s="143">
        <v>36910</v>
      </c>
      <c r="B101" s="121">
        <v>70.875</v>
      </c>
    </row>
    <row r="102" spans="1:2" x14ac:dyDescent="0.25">
      <c r="A102" s="143">
        <v>36913</v>
      </c>
      <c r="B102" s="121">
        <v>75.0625</v>
      </c>
    </row>
    <row r="103" spans="1:2" x14ac:dyDescent="0.25">
      <c r="A103" s="143">
        <v>36914</v>
      </c>
      <c r="B103" s="121">
        <v>78.563000000000002</v>
      </c>
    </row>
    <row r="104" spans="1:2" x14ac:dyDescent="0.25">
      <c r="A104" s="143">
        <v>36915</v>
      </c>
      <c r="B104" s="121">
        <v>79.75</v>
      </c>
    </row>
    <row r="105" spans="1:2" x14ac:dyDescent="0.25">
      <c r="A105" s="143">
        <v>36916</v>
      </c>
      <c r="B105" s="121">
        <v>82</v>
      </c>
    </row>
    <row r="106" spans="1:2" x14ac:dyDescent="0.25">
      <c r="A106" s="143">
        <v>36917</v>
      </c>
      <c r="B106" s="121">
        <v>82</v>
      </c>
    </row>
    <row r="107" spans="1:2" x14ac:dyDescent="0.25">
      <c r="A107" s="143">
        <v>36920</v>
      </c>
      <c r="B107" s="121">
        <v>80.77</v>
      </c>
    </row>
    <row r="108" spans="1:2" x14ac:dyDescent="0.25">
      <c r="A108" s="143">
        <v>36921</v>
      </c>
      <c r="B108" s="121">
        <v>78.5</v>
      </c>
    </row>
    <row r="109" spans="1:2" x14ac:dyDescent="0.25">
      <c r="A109" s="143">
        <v>36922</v>
      </c>
      <c r="B109" s="121">
        <v>80</v>
      </c>
    </row>
    <row r="110" spans="1:2" x14ac:dyDescent="0.25">
      <c r="A110" s="143">
        <v>36923</v>
      </c>
      <c r="B110" s="121">
        <v>78.790000000000006</v>
      </c>
    </row>
    <row r="111" spans="1:2" x14ac:dyDescent="0.25">
      <c r="A111" s="143">
        <v>36924</v>
      </c>
      <c r="B111" s="121">
        <v>79.98</v>
      </c>
    </row>
    <row r="112" spans="1:2" x14ac:dyDescent="0.25">
      <c r="A112" s="143">
        <v>36927</v>
      </c>
      <c r="B112" s="121">
        <v>81.81</v>
      </c>
    </row>
    <row r="113" spans="1:2" x14ac:dyDescent="0.25">
      <c r="A113" s="143">
        <v>36928</v>
      </c>
      <c r="B113" s="121">
        <v>80.150000000000006</v>
      </c>
    </row>
    <row r="114" spans="1:2" x14ac:dyDescent="0.25">
      <c r="A114" s="143">
        <v>36929</v>
      </c>
      <c r="B114" s="121">
        <v>80.349999999999994</v>
      </c>
    </row>
    <row r="115" spans="1:2" x14ac:dyDescent="0.25">
      <c r="A115" s="143">
        <v>36930</v>
      </c>
      <c r="B115" s="121">
        <v>80</v>
      </c>
    </row>
    <row r="116" spans="1:2" x14ac:dyDescent="0.25">
      <c r="A116" s="143">
        <v>36931</v>
      </c>
      <c r="B116" s="121">
        <v>80.2</v>
      </c>
    </row>
    <row r="117" spans="1:2" x14ac:dyDescent="0.25">
      <c r="A117" s="143">
        <v>36934</v>
      </c>
      <c r="B117" s="121">
        <f>79.8</f>
        <v>79.8</v>
      </c>
    </row>
    <row r="118" spans="1:2" x14ac:dyDescent="0.25">
      <c r="A118" s="143">
        <v>36935</v>
      </c>
      <c r="B118" s="121">
        <v>81.150000000000006</v>
      </c>
    </row>
    <row r="119" spans="1:2" x14ac:dyDescent="0.25">
      <c r="A119" s="143">
        <v>36936</v>
      </c>
      <c r="B119" s="121">
        <v>80</v>
      </c>
    </row>
    <row r="120" spans="1:2" x14ac:dyDescent="0.25">
      <c r="A120" s="143">
        <v>36937</v>
      </c>
      <c r="B120" s="121">
        <v>77.900000000000006</v>
      </c>
    </row>
    <row r="121" spans="1:2" x14ac:dyDescent="0.25">
      <c r="A121" s="143">
        <v>36938</v>
      </c>
      <c r="B121" s="121">
        <v>76.19</v>
      </c>
    </row>
    <row r="122" spans="1:2" x14ac:dyDescent="0.25">
      <c r="A122" s="143">
        <v>36942</v>
      </c>
      <c r="B122" s="121">
        <v>75.09</v>
      </c>
    </row>
    <row r="123" spans="1:2" x14ac:dyDescent="0.25">
      <c r="A123" s="143">
        <v>36943</v>
      </c>
      <c r="B123" s="121">
        <v>73.09</v>
      </c>
    </row>
    <row r="124" spans="1:2" x14ac:dyDescent="0.25">
      <c r="A124" s="143">
        <v>36944</v>
      </c>
      <c r="B124" s="121">
        <f>72.15</f>
        <v>72.150000000000006</v>
      </c>
    </row>
    <row r="125" spans="1:2" x14ac:dyDescent="0.25">
      <c r="A125" s="143">
        <v>36945</v>
      </c>
      <c r="B125" s="121">
        <v>71</v>
      </c>
    </row>
    <row r="126" spans="1:2" x14ac:dyDescent="0.25">
      <c r="A126" s="143">
        <v>36948</v>
      </c>
      <c r="B126" s="121">
        <v>70.56</v>
      </c>
    </row>
    <row r="127" spans="1:2" x14ac:dyDescent="0.25">
      <c r="A127" s="143">
        <v>36949</v>
      </c>
      <c r="B127" s="121">
        <v>70.040000000000006</v>
      </c>
    </row>
    <row r="128" spans="1:2" x14ac:dyDescent="0.25">
      <c r="A128" s="143">
        <v>36950</v>
      </c>
      <c r="B128" s="121">
        <v>68.5</v>
      </c>
    </row>
    <row r="129" spans="1:2" x14ac:dyDescent="0.25">
      <c r="A129" s="143">
        <v>36951</v>
      </c>
      <c r="B129" s="121">
        <v>68.680000000000007</v>
      </c>
    </row>
    <row r="130" spans="1:2" x14ac:dyDescent="0.25">
      <c r="A130" s="143">
        <v>36952</v>
      </c>
      <c r="B130" s="121">
        <v>70.19</v>
      </c>
    </row>
    <row r="131" spans="1:2" x14ac:dyDescent="0.25">
      <c r="A131" s="143">
        <v>36955</v>
      </c>
      <c r="B131" s="121">
        <v>70.11</v>
      </c>
    </row>
    <row r="132" spans="1:2" x14ac:dyDescent="0.25">
      <c r="A132" s="143">
        <v>36956</v>
      </c>
      <c r="B132" s="121">
        <v>68.87</v>
      </c>
    </row>
    <row r="133" spans="1:2" x14ac:dyDescent="0.25">
      <c r="A133" s="143">
        <v>36957</v>
      </c>
      <c r="B133" s="121">
        <v>70</v>
      </c>
    </row>
    <row r="134" spans="1:2" x14ac:dyDescent="0.25">
      <c r="A134" s="143">
        <v>36958</v>
      </c>
      <c r="B134" s="121">
        <v>70.59</v>
      </c>
    </row>
    <row r="135" spans="1:2" x14ac:dyDescent="0.25">
      <c r="A135" s="143">
        <v>36959</v>
      </c>
      <c r="B135" s="121">
        <v>68.84</v>
      </c>
    </row>
    <row r="258" ht="14.25" customHeight="1" x14ac:dyDescent="0.25"/>
    <row r="375" spans="1:2" x14ac:dyDescent="0.25">
      <c r="A375" s="1" t="s">
        <v>154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workbookViewId="0">
      <selection activeCell="A5" sqref="A5"/>
    </sheetView>
  </sheetViews>
  <sheetFormatPr defaultRowHeight="15.75" x14ac:dyDescent="0.25"/>
  <cols>
    <col min="1" max="1" width="8.75" style="143" customWidth="1"/>
  </cols>
  <sheetData>
    <row r="1" spans="1:1" x14ac:dyDescent="0.25">
      <c r="A1" s="140" t="s">
        <v>148</v>
      </c>
    </row>
    <row r="2" spans="1:1" s="96" customFormat="1" x14ac:dyDescent="0.25">
      <c r="A2" s="141"/>
    </row>
    <row r="3" spans="1:1" s="132" customFormat="1" x14ac:dyDescent="0.25">
      <c r="A3" s="142" t="s">
        <v>1</v>
      </c>
    </row>
    <row r="257" ht="14.25" customHeight="1" x14ac:dyDescent="0.25"/>
    <row r="374" spans="1:1" x14ac:dyDescent="0.25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3" workbookViewId="0">
      <selection activeCell="H3" sqref="H3:I3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188</v>
      </c>
      <c r="H2" s="166">
        <f>+Summary!C5</f>
        <v>36959</v>
      </c>
      <c r="I2" s="166"/>
      <c r="J2" s="90"/>
      <c r="L2" s="166">
        <f>H2</f>
        <v>36959</v>
      </c>
      <c r="M2" s="166"/>
      <c r="N2" s="166"/>
      <c r="O2" s="166"/>
      <c r="P2" s="166"/>
    </row>
    <row r="3" spans="1:18" ht="16.5" thickBot="1" x14ac:dyDescent="0.3">
      <c r="A3" s="1">
        <v>36769</v>
      </c>
      <c r="H3" s="167" t="s">
        <v>91</v>
      </c>
      <c r="I3" s="167"/>
      <c r="J3" s="91"/>
      <c r="L3" s="167" t="s">
        <v>91</v>
      </c>
      <c r="M3" s="167"/>
      <c r="N3" s="167"/>
      <c r="O3" s="167"/>
      <c r="P3" s="167"/>
    </row>
    <row r="4" spans="1:18" x14ac:dyDescent="0.25">
      <c r="A4" s="168" t="s">
        <v>190</v>
      </c>
      <c r="B4" s="168"/>
      <c r="C4" s="168"/>
      <c r="D4" s="168"/>
      <c r="E4" s="168"/>
      <c r="F4" s="168"/>
      <c r="H4" s="112" t="s">
        <v>92</v>
      </c>
      <c r="I4" s="113"/>
      <c r="J4" s="13"/>
    </row>
    <row r="5" spans="1:18" ht="16.5" thickBot="1" x14ac:dyDescent="0.3">
      <c r="A5" s="170" t="s">
        <v>28</v>
      </c>
      <c r="B5" s="170"/>
      <c r="D5" s="170" t="s">
        <v>29</v>
      </c>
      <c r="E5" s="170"/>
      <c r="H5" s="114" t="s">
        <v>93</v>
      </c>
      <c r="I5" s="122">
        <f>+VLOOKUP(+Summary!C5,ene,2)</f>
        <v>68.84</v>
      </c>
      <c r="J5" s="13"/>
      <c r="L5" s="168" t="s">
        <v>113</v>
      </c>
      <c r="M5" s="168"/>
      <c r="N5" s="168"/>
      <c r="O5" s="168"/>
      <c r="P5" s="168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36959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2" t="s">
        <v>149</v>
      </c>
      <c r="I7" s="173"/>
      <c r="J7" s="13"/>
      <c r="L7" s="170" t="s">
        <v>28</v>
      </c>
      <c r="M7" s="170"/>
      <c r="O7" s="170" t="s">
        <v>29</v>
      </c>
      <c r="P7" s="170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35299569.300283074</v>
      </c>
      <c r="O8" s="7" t="s">
        <v>101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25">
      <c r="D10" s="7" t="s">
        <v>4</v>
      </c>
      <c r="E10" s="7">
        <v>1000</v>
      </c>
      <c r="H10" s="171" t="s">
        <v>95</v>
      </c>
      <c r="I10" s="171"/>
      <c r="J10" s="13"/>
      <c r="L10" s="7" t="s">
        <v>36</v>
      </c>
      <c r="M10" s="7">
        <f>B8+I15+I20</f>
        <v>184416216.92966431</v>
      </c>
      <c r="N10" s="18"/>
      <c r="O10" s="7" t="s">
        <v>222</v>
      </c>
      <c r="P10" s="7">
        <f>IF(I19&lt;0,-I19,0)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36959</v>
      </c>
      <c r="J11" s="13"/>
      <c r="L11" s="7" t="s">
        <v>40</v>
      </c>
      <c r="M11" s="7">
        <f>+Amort!B28</f>
        <v>87500</v>
      </c>
      <c r="O11" s="7" t="s">
        <v>34</v>
      </c>
      <c r="P11" s="7">
        <f>E7-I16+'Cash-Int-Trans'!B9</f>
        <v>421336446.08529949</v>
      </c>
      <c r="R11" s="3"/>
    </row>
    <row r="12" spans="1:18" ht="16.5" thickTop="1" x14ac:dyDescent="0.25">
      <c r="H12" s="13" t="s">
        <v>107</v>
      </c>
      <c r="I12" s="16">
        <f>+'Cash-Int-Trans'!B6</f>
        <v>34518969</v>
      </c>
      <c r="J12" s="29" t="s">
        <v>81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3008531.0780608412</v>
      </c>
      <c r="J13" s="29"/>
      <c r="L13" s="7" t="s">
        <v>225</v>
      </c>
      <c r="M13" s="7">
        <f>IF(I19&gt;0,I19,0)</f>
        <v>89576797.199999973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0</v>
      </c>
      <c r="Q13" s="102" t="s">
        <v>143</v>
      </c>
    </row>
    <row r="14" spans="1:18" x14ac:dyDescent="0.25">
      <c r="C14" s="24"/>
      <c r="D14" s="25"/>
      <c r="E14" s="26"/>
      <c r="H14" s="13" t="s">
        <v>181</v>
      </c>
      <c r="I14" s="16">
        <f>+Amort!B29</f>
        <v>1847222.2222222222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-61956362.655352116</v>
      </c>
    </row>
    <row r="15" spans="1:18" ht="16.5" thickBot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32434139.891552512</v>
      </c>
      <c r="J15" s="32" t="s">
        <v>53</v>
      </c>
      <c r="L15" s="85" t="s">
        <v>7</v>
      </c>
      <c r="M15" s="12">
        <f>SUM(M8:M14)</f>
        <v>359380083.42994738</v>
      </c>
      <c r="N15" s="20"/>
      <c r="O15" s="85" t="s">
        <v>7</v>
      </c>
      <c r="P15" s="12">
        <f>SUM(P8:P14)</f>
        <v>359380083.42994738</v>
      </c>
      <c r="Q15" s="101" t="s">
        <v>142</v>
      </c>
    </row>
    <row r="16" spans="1:18" ht="16.5" thickTop="1" x14ac:dyDescent="0.25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-14855415.085299494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56953447.10653609</v>
      </c>
      <c r="L17" s="135" t="s">
        <v>44</v>
      </c>
      <c r="M17" s="134"/>
      <c r="N17" s="134"/>
      <c r="O17" s="134"/>
      <c r="P17" s="134"/>
      <c r="Q17" s="16"/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359380083.42994738</v>
      </c>
      <c r="Q18" s="101" t="s">
        <v>142</v>
      </c>
    </row>
    <row r="19" spans="1:20" ht="16.5" thickTop="1" x14ac:dyDescent="0.25">
      <c r="H19" s="7" t="s">
        <v>221</v>
      </c>
      <c r="I19" s="7">
        <f>IF(I5&lt;83,(83-I5)*(D14+D15),IF(I5&gt;112.418,(112.418-I5)*(+D14+D15),0))</f>
        <v>89576797.199999973</v>
      </c>
      <c r="L19" s="7" t="s">
        <v>192</v>
      </c>
      <c r="P19" s="7">
        <v>1000000</v>
      </c>
      <c r="T19" s="137"/>
    </row>
    <row r="20" spans="1:20" ht="16.5" thickBot="1" x14ac:dyDescent="0.3">
      <c r="A20" s="174" t="s">
        <v>56</v>
      </c>
      <c r="B20" s="174"/>
      <c r="C20" s="174"/>
      <c r="D20" s="174"/>
      <c r="E20" s="174"/>
      <c r="H20" s="7" t="s">
        <v>211</v>
      </c>
      <c r="I20" s="14">
        <f>-Shares!D30</f>
        <v>-198017922.96188819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25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25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360380083.42994738</v>
      </c>
    </row>
    <row r="23" spans="1:20" x14ac:dyDescent="0.25">
      <c r="A23" s="7" t="s">
        <v>58</v>
      </c>
      <c r="B23" s="7" t="s">
        <v>14</v>
      </c>
      <c r="D23" s="7">
        <v>7120901</v>
      </c>
      <c r="H23"/>
      <c r="I23" s="35">
        <f>SUM(I19:I22)</f>
        <v>-108441125.76188822</v>
      </c>
      <c r="J23" s="13"/>
      <c r="L23" s="7" t="s">
        <v>48</v>
      </c>
      <c r="P23" s="30">
        <f>E28</f>
        <v>3.0200000000000001E-2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10883478.519584412</v>
      </c>
    </row>
    <row r="25" spans="1:20" ht="16.5" thickBot="1" x14ac:dyDescent="0.3">
      <c r="A25" s="7" t="s">
        <v>64</v>
      </c>
      <c r="E25" s="3">
        <f>SUM(E21:E24)</f>
        <v>1032382529.4765625</v>
      </c>
      <c r="H25" s="36" t="s">
        <v>59</v>
      </c>
      <c r="I25" s="95">
        <f>I23+I17</f>
        <v>-51487678.655352131</v>
      </c>
      <c r="J25" s="13"/>
      <c r="L25" s="7" t="s">
        <v>54</v>
      </c>
      <c r="P25" s="7">
        <f>P13</f>
        <v>0</v>
      </c>
      <c r="Q25" s="102" t="s">
        <v>143</v>
      </c>
    </row>
    <row r="26" spans="1:20" ht="16.5" thickTop="1" x14ac:dyDescent="0.25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Failed</v>
      </c>
      <c r="Q26" s="102"/>
    </row>
    <row r="27" spans="1:20" x14ac:dyDescent="0.25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-10883478.519584412</v>
      </c>
    </row>
    <row r="28" spans="1:20" x14ac:dyDescent="0.25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0</v>
      </c>
    </row>
    <row r="29" spans="1:20" x14ac:dyDescent="0.25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25">
      <c r="H32" s="13" t="s">
        <v>223</v>
      </c>
      <c r="I32" s="16">
        <f>I25</f>
        <v>-51487678.655352131</v>
      </c>
      <c r="J32" s="38"/>
      <c r="L32" s="7" t="s">
        <v>67</v>
      </c>
      <c r="M32" s="7">
        <f>E9+'Cash-Int-Trans'!B13</f>
        <v>30000000</v>
      </c>
    </row>
    <row r="33" spans="1:16" x14ac:dyDescent="0.25">
      <c r="A33"/>
      <c r="B33"/>
      <c r="C33"/>
      <c r="E33"/>
      <c r="H33" s="13" t="s">
        <v>191</v>
      </c>
      <c r="I33" s="16">
        <f>(+D15-Shares!B30)*(I5-E15)</f>
        <v>-48915184.409999989</v>
      </c>
      <c r="L33" s="7" t="s">
        <v>69</v>
      </c>
      <c r="M33" s="27">
        <f>E10</f>
        <v>1000</v>
      </c>
    </row>
    <row r="34" spans="1:16" x14ac:dyDescent="0.25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25">
      <c r="A35"/>
      <c r="B35"/>
      <c r="C35"/>
      <c r="D35"/>
      <c r="E35"/>
      <c r="H35" s="13" t="s">
        <v>138</v>
      </c>
      <c r="I35" s="16">
        <f>-I29-Shares!D24-Shares!D26</f>
        <v>-112425892.05466428</v>
      </c>
      <c r="J35" s="41"/>
      <c r="L35" s="7" t="s">
        <v>72</v>
      </c>
      <c r="M35" s="7">
        <f>I25</f>
        <v>-51487678.655352131</v>
      </c>
    </row>
    <row r="36" spans="1:16" x14ac:dyDescent="0.25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">
      <c r="A37"/>
      <c r="B37"/>
      <c r="C37"/>
      <c r="D37"/>
      <c r="E37"/>
      <c r="H37" s="36" t="s">
        <v>97</v>
      </c>
      <c r="I37" s="37">
        <f>SUM(I30:I36)</f>
        <v>-36375369.745016396</v>
      </c>
      <c r="K37" s="7"/>
      <c r="L37" s="7" t="s">
        <v>74</v>
      </c>
      <c r="M37" s="7">
        <f>SUM(M34:M36)</f>
        <v>-61956362.655352131</v>
      </c>
    </row>
    <row r="38" spans="1:16" ht="15.75" customHeight="1" thickTop="1" x14ac:dyDescent="0.25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0</v>
      </c>
    </row>
    <row r="39" spans="1:16" ht="15.75" customHeight="1" x14ac:dyDescent="0.25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-61956362.655352116</v>
      </c>
    </row>
    <row r="40" spans="1:16" ht="16.5" customHeight="1" x14ac:dyDescent="0.25">
      <c r="A40"/>
      <c r="B40"/>
      <c r="C40"/>
      <c r="D40"/>
      <c r="E40"/>
      <c r="H40"/>
      <c r="I40" s="125"/>
      <c r="M40" s="7">
        <f>M37-M38-M39</f>
        <v>0</v>
      </c>
      <c r="N40" s="42" t="str">
        <f>IF(ROUND(M40,0)=0,"OK","Not OK")</f>
        <v>OK</v>
      </c>
    </row>
    <row r="41" spans="1:16" x14ac:dyDescent="0.25">
      <c r="A41"/>
      <c r="B41"/>
      <c r="C41"/>
      <c r="D41"/>
      <c r="E41"/>
      <c r="I41" s="7"/>
    </row>
    <row r="42" spans="1:16" x14ac:dyDescent="0.25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25">
      <c r="A43"/>
      <c r="B43"/>
      <c r="C43"/>
      <c r="D43"/>
      <c r="E43"/>
      <c r="I43" s="7"/>
      <c r="L43" s="136" t="s">
        <v>212</v>
      </c>
      <c r="M43" s="7">
        <f>+E9+I34</f>
        <v>30000000</v>
      </c>
      <c r="N43" s="7" t="s">
        <v>213</v>
      </c>
      <c r="P43" s="7">
        <f>+M43/0.0302</f>
        <v>993377483.44370854</v>
      </c>
    </row>
    <row r="44" spans="1:16" x14ac:dyDescent="0.25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25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25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25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25">
      <c r="A48"/>
      <c r="B48"/>
      <c r="C48"/>
      <c r="D48"/>
      <c r="E48"/>
      <c r="F48" s="7"/>
      <c r="I48" s="7"/>
      <c r="P48" s="13"/>
    </row>
    <row r="49" spans="1:16" x14ac:dyDescent="0.25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25">
      <c r="A50"/>
      <c r="B50"/>
      <c r="C50"/>
      <c r="D50"/>
      <c r="E50"/>
      <c r="F50" s="7"/>
      <c r="I50" s="7"/>
    </row>
    <row r="51" spans="1:16" x14ac:dyDescent="0.25">
      <c r="A51"/>
      <c r="B51"/>
      <c r="C51"/>
      <c r="D51"/>
      <c r="E51"/>
      <c r="F51" s="7"/>
      <c r="I51" s="7"/>
    </row>
    <row r="52" spans="1:16" x14ac:dyDescent="0.25">
      <c r="A52"/>
      <c r="B52"/>
      <c r="C52"/>
      <c r="D52"/>
      <c r="E52"/>
      <c r="F52" s="7"/>
      <c r="I52" s="7"/>
    </row>
    <row r="53" spans="1:16" x14ac:dyDescent="0.25">
      <c r="A53"/>
      <c r="B53"/>
      <c r="C53"/>
      <c r="D53"/>
      <c r="E53"/>
      <c r="F53" s="7"/>
      <c r="I53" s="7"/>
    </row>
    <row r="54" spans="1:16" x14ac:dyDescent="0.25">
      <c r="A54"/>
      <c r="B54"/>
      <c r="C54"/>
      <c r="D54"/>
      <c r="E54"/>
      <c r="F54" s="7"/>
      <c r="I54" s="7"/>
    </row>
    <row r="55" spans="1:16" x14ac:dyDescent="0.25">
      <c r="A55"/>
      <c r="B55"/>
      <c r="C55"/>
      <c r="D55"/>
      <c r="E55"/>
      <c r="I55" s="7"/>
    </row>
    <row r="56" spans="1:16" x14ac:dyDescent="0.25">
      <c r="A56"/>
      <c r="B56"/>
      <c r="C56"/>
      <c r="D56"/>
      <c r="E56"/>
    </row>
    <row r="57" spans="1:16" x14ac:dyDescent="0.25">
      <c r="A57"/>
      <c r="B57"/>
      <c r="C57"/>
      <c r="D57"/>
      <c r="E57"/>
    </row>
    <row r="58" spans="1:16" x14ac:dyDescent="0.25">
      <c r="A58"/>
      <c r="B58"/>
      <c r="C58"/>
      <c r="D58"/>
      <c r="E58"/>
    </row>
    <row r="59" spans="1:16" x14ac:dyDescent="0.25">
      <c r="A59"/>
      <c r="B59"/>
      <c r="C59"/>
      <c r="D59"/>
      <c r="E59"/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</row>
  </sheetData>
  <mergeCells count="14"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A21:B21"/>
    <mergeCell ref="L7:M7"/>
    <mergeCell ref="O7:P7"/>
    <mergeCell ref="H10:I10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workbookViewId="0">
      <selection activeCell="E1" sqref="E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75" t="s">
        <v>103</v>
      </c>
      <c r="B1" s="175"/>
    </row>
    <row r="3" spans="1:8" x14ac:dyDescent="0.25">
      <c r="A3" s="13" t="s">
        <v>115</v>
      </c>
      <c r="B3" s="14"/>
      <c r="C3" s="7"/>
      <c r="E3" s="151"/>
      <c r="F3" s="151"/>
      <c r="G3" s="151"/>
    </row>
    <row r="4" spans="1:8" x14ac:dyDescent="0.25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150">
        <f>SUM(B3:B5)</f>
        <v>34518969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25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75" t="s">
        <v>98</v>
      </c>
      <c r="B18" s="175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+Financials!I25</f>
        <v>-51487678.655352131</v>
      </c>
    </row>
    <row r="23" spans="1:5" x14ac:dyDescent="0.25">
      <c r="A23" t="s">
        <v>100</v>
      </c>
      <c r="B23" s="7">
        <f>-Financials!I15</f>
        <v>-32434139.891552512</v>
      </c>
    </row>
    <row r="24" spans="1:5" x14ac:dyDescent="0.25">
      <c r="A24" s="7" t="str">
        <f>+Financials!H21</f>
        <v>Unrealized Gains / (Losses)</v>
      </c>
      <c r="B24" s="7">
        <f>-Financials!I21-Financials!I20-Financials!I19</f>
        <v>108441125.76188822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-87500</v>
      </c>
    </row>
    <row r="29" spans="1:5" x14ac:dyDescent="0.25">
      <c r="A29" t="s">
        <v>105</v>
      </c>
      <c r="B29" s="7">
        <f>-Financials!E7+Financials!P11</f>
        <v>21336446.085299492</v>
      </c>
    </row>
    <row r="30" spans="1:5" x14ac:dyDescent="0.25">
      <c r="A30" t="s">
        <v>185</v>
      </c>
      <c r="B30" s="7">
        <f>-Financials!E6+Financials!P8</f>
        <v>-41000000</v>
      </c>
      <c r="E30" s="7"/>
    </row>
    <row r="32" spans="1:5" x14ac:dyDescent="0.25">
      <c r="A32" t="s">
        <v>90</v>
      </c>
      <c r="B32" s="7">
        <f>+B12</f>
        <v>-40469684</v>
      </c>
    </row>
    <row r="33" spans="1:8" x14ac:dyDescent="0.25">
      <c r="A33" t="s">
        <v>114</v>
      </c>
      <c r="B33" s="7">
        <f>+B13</f>
        <v>0</v>
      </c>
    </row>
    <row r="35" spans="1:8" ht="16.5" thickBot="1" x14ac:dyDescent="0.3">
      <c r="A35" t="s">
        <v>25</v>
      </c>
      <c r="B35" s="12">
        <f>SUM(B20:B34)</f>
        <v>35299569.300283074</v>
      </c>
      <c r="D35" s="7">
        <f>+B20+B12+B13+B38+B16</f>
        <v>33539847.078060843</v>
      </c>
    </row>
    <row r="36" spans="1:8" ht="16.5" thickTop="1" x14ac:dyDescent="0.25"/>
    <row r="37" spans="1:8" ht="16.5" thickBot="1" x14ac:dyDescent="0.3">
      <c r="A37" s="175" t="s">
        <v>146</v>
      </c>
      <c r="B37" s="175"/>
      <c r="C37" s="175"/>
      <c r="D37" s="175"/>
      <c r="E37" s="175"/>
      <c r="F37" s="175"/>
    </row>
    <row r="38" spans="1:8" x14ac:dyDescent="0.25">
      <c r="A38" s="104" t="s">
        <v>108</v>
      </c>
      <c r="B38" s="105">
        <f>+B44+B50</f>
        <v>3008531.0780608412</v>
      </c>
    </row>
    <row r="39" spans="1:8" x14ac:dyDescent="0.25">
      <c r="A39" s="47"/>
      <c r="E39" s="127" t="s">
        <v>76</v>
      </c>
      <c r="F39" s="128"/>
    </row>
    <row r="40" spans="1:8" x14ac:dyDescent="0.25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25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25">
      <c r="A42" t="s">
        <v>1</v>
      </c>
      <c r="B42" s="1">
        <f>IF(Summary!$C$5&lt;'Cash-Int-Trans'!B40,+'Cash-Int-Trans'!B40,Summary!$C$5)</f>
        <v>36959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25">
      <c r="A43" t="s">
        <v>75</v>
      </c>
      <c r="B43" s="3">
        <f>+B42-B40</f>
        <v>190</v>
      </c>
      <c r="E43" s="45" t="s">
        <v>77</v>
      </c>
      <c r="F43" s="46">
        <f>AVERAGE(F40:F42,H40:H42)</f>
        <v>6.9283333333333322E-2</v>
      </c>
    </row>
    <row r="44" spans="1:8" x14ac:dyDescent="0.25">
      <c r="A44" t="s">
        <v>24</v>
      </c>
      <c r="B44" s="48">
        <f>+B41*(F43+0.0045)/360*B43</f>
        <v>2764864.4041666663</v>
      </c>
    </row>
    <row r="45" spans="1:8" x14ac:dyDescent="0.25">
      <c r="B45" s="48"/>
    </row>
    <row r="46" spans="1:8" x14ac:dyDescent="0.25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25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25">
      <c r="A48" t="s">
        <v>1</v>
      </c>
      <c r="B48" s="1">
        <f>IF(Summary!$C$5&lt;'Cash-Int-Trans'!B46,+'Cash-Int-Trans'!B46,Summary!$C$5)</f>
        <v>36959</v>
      </c>
      <c r="E48" s="1">
        <v>36965</v>
      </c>
      <c r="F48" s="44"/>
      <c r="G48" s="1">
        <v>37057</v>
      </c>
      <c r="H48" s="44"/>
    </row>
    <row r="49" spans="1:6" x14ac:dyDescent="0.25">
      <c r="A49" t="s">
        <v>75</v>
      </c>
      <c r="B49" s="3">
        <f>+B48-B46</f>
        <v>42</v>
      </c>
      <c r="E49" s="45" t="s">
        <v>77</v>
      </c>
      <c r="F49" s="46">
        <f>AVERAGE(F46:F48,H46:H48)</f>
        <v>5.9400000000000001E-2</v>
      </c>
    </row>
    <row r="50" spans="1:6" x14ac:dyDescent="0.25">
      <c r="A50" t="s">
        <v>24</v>
      </c>
      <c r="B50" s="48">
        <f>+B47*(F49+0.0045)/360*B49</f>
        <v>243666.67389417495</v>
      </c>
    </row>
    <row r="52" spans="1:6" ht="16.5" thickBot="1" x14ac:dyDescent="0.3">
      <c r="A52" s="175" t="s">
        <v>162</v>
      </c>
      <c r="B52" s="175"/>
      <c r="C52" s="175"/>
      <c r="D52" s="175"/>
      <c r="E52" s="175"/>
      <c r="F52" s="175"/>
    </row>
    <row r="53" spans="1:6" x14ac:dyDescent="0.25">
      <c r="A53" s="104" t="s">
        <v>159</v>
      </c>
      <c r="B53" s="105">
        <f>+B55+B62</f>
        <v>14855415.085299494</v>
      </c>
    </row>
    <row r="54" spans="1:6" x14ac:dyDescent="0.25">
      <c r="A54" s="47"/>
    </row>
    <row r="55" spans="1:6" x14ac:dyDescent="0.25">
      <c r="A55" t="s">
        <v>163</v>
      </c>
      <c r="B55" s="3">
        <f>+Amort!B61</f>
        <v>14813828.46971616</v>
      </c>
      <c r="E55" s="176"/>
      <c r="F55" s="177"/>
    </row>
    <row r="56" spans="1:6" x14ac:dyDescent="0.25">
      <c r="B56" s="3"/>
      <c r="E56" s="127"/>
      <c r="F56" s="128"/>
    </row>
    <row r="57" spans="1:6" x14ac:dyDescent="0.25">
      <c r="A57" t="s">
        <v>169</v>
      </c>
      <c r="B57" s="7"/>
      <c r="E57" s="43"/>
      <c r="F57" s="44"/>
    </row>
    <row r="58" spans="1:6" x14ac:dyDescent="0.25">
      <c r="A58" t="s">
        <v>164</v>
      </c>
      <c r="B58" s="1">
        <f>+D9</f>
        <v>36917</v>
      </c>
      <c r="E58" s="43"/>
      <c r="F58" s="44"/>
    </row>
    <row r="59" spans="1:6" x14ac:dyDescent="0.25">
      <c r="A59" t="s">
        <v>165</v>
      </c>
      <c r="B59" s="3">
        <f>+B9</f>
        <v>6481031</v>
      </c>
      <c r="E59" s="43"/>
      <c r="F59" s="44"/>
    </row>
    <row r="60" spans="1:6" x14ac:dyDescent="0.25">
      <c r="A60" t="s">
        <v>1</v>
      </c>
      <c r="B60" s="1">
        <f>IF(Summary!C5&gt;Amort!A43,Amort!A43,Summary!C5)</f>
        <v>36950</v>
      </c>
    </row>
    <row r="61" spans="1:6" x14ac:dyDescent="0.25">
      <c r="A61" t="s">
        <v>75</v>
      </c>
      <c r="B61" s="3">
        <f>+B60-B58</f>
        <v>33</v>
      </c>
    </row>
    <row r="62" spans="1:6" x14ac:dyDescent="0.25">
      <c r="A62" t="s">
        <v>168</v>
      </c>
      <c r="B62" s="48">
        <f>+B59*0.07/360*B61</f>
        <v>41586.615583333332</v>
      </c>
    </row>
    <row r="64" spans="1:6" ht="16.5" thickBot="1" x14ac:dyDescent="0.3">
      <c r="A64" s="175" t="s">
        <v>172</v>
      </c>
      <c r="B64" s="175"/>
      <c r="C64" s="175"/>
      <c r="D64" s="175"/>
      <c r="E64" s="175"/>
      <c r="F64" s="175"/>
    </row>
    <row r="66" spans="1:4" x14ac:dyDescent="0.25">
      <c r="A66" t="s">
        <v>118</v>
      </c>
      <c r="B66" s="1">
        <f>+Summary!C5</f>
        <v>36959</v>
      </c>
    </row>
    <row r="67" spans="1:4" x14ac:dyDescent="0.25">
      <c r="A67" t="s">
        <v>173</v>
      </c>
      <c r="B67" s="1">
        <v>36769</v>
      </c>
      <c r="D67" s="4">
        <f>IF(B66&gt;(B67-1),30000000,0)</f>
        <v>30000000</v>
      </c>
    </row>
    <row r="68" spans="1:4" x14ac:dyDescent="0.25">
      <c r="A68" t="s">
        <v>174</v>
      </c>
      <c r="B68" s="1"/>
      <c r="D68" s="4">
        <f>IF(B66&gt;(B68-1),0,0)</f>
        <v>0</v>
      </c>
    </row>
    <row r="69" spans="1:4" ht="18" x14ac:dyDescent="0.4">
      <c r="A69" t="s">
        <v>175</v>
      </c>
      <c r="B69" s="1">
        <f>+Summary!C5</f>
        <v>36959</v>
      </c>
      <c r="D69" s="129">
        <f>IF(B69&gt;B68,+(+B69-B68)/365*0.12*D68,0)</f>
        <v>0</v>
      </c>
    </row>
    <row r="70" spans="1:4" x14ac:dyDescent="0.25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workbookViewId="0">
      <selection activeCell="D1" sqref="D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156</v>
      </c>
      <c r="B1" s="6"/>
      <c r="G1" s="8"/>
      <c r="H1" s="8"/>
    </row>
    <row r="2" spans="1:9" x14ac:dyDescent="0.25">
      <c r="B2" s="106" t="s">
        <v>147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178">
        <f>+Summary!C5</f>
        <v>36959</v>
      </c>
      <c r="B23" s="178"/>
      <c r="E23" s="97" t="s">
        <v>85</v>
      </c>
      <c r="F23" s="97">
        <f>VLOOKUP(+A23,Amort,2)</f>
        <v>1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36950</v>
      </c>
    </row>
    <row r="25" spans="1:9" s="97" customFormat="1" x14ac:dyDescent="0.25">
      <c r="A25" s="97" t="s">
        <v>83</v>
      </c>
      <c r="B25" s="123">
        <f>VLOOKUP(+A23,Note,8)</f>
        <v>1759722.2222222222</v>
      </c>
      <c r="E25" s="97" t="s">
        <v>86</v>
      </c>
      <c r="F25" s="97">
        <f>VLOOKUP(+F23+1,NotePeriod,5)</f>
        <v>1788888.888888889</v>
      </c>
    </row>
    <row r="26" spans="1:9" s="97" customFormat="1" x14ac:dyDescent="0.25">
      <c r="A26" s="111" t="s">
        <v>84</v>
      </c>
      <c r="B26" s="97">
        <f>+B24+B25</f>
        <v>1759722.2222222222</v>
      </c>
      <c r="E26" s="97" t="s">
        <v>87</v>
      </c>
      <c r="F26" s="111">
        <f>VLOOKUP(+F23+1,NotePeriod,8)</f>
        <v>37134</v>
      </c>
    </row>
    <row r="27" spans="1:9" s="97" customFormat="1" x14ac:dyDescent="0.25">
      <c r="A27" s="111" t="s">
        <v>88</v>
      </c>
      <c r="B27" s="97">
        <f>A23-F24</f>
        <v>9</v>
      </c>
      <c r="E27" s="111"/>
    </row>
    <row r="28" spans="1:9" s="97" customFormat="1" x14ac:dyDescent="0.25">
      <c r="A28" s="111" t="s">
        <v>26</v>
      </c>
      <c r="B28" s="97">
        <f>F25*B27/(F26-F24)</f>
        <v>87500</v>
      </c>
    </row>
    <row r="29" spans="1:9" s="97" customFormat="1" x14ac:dyDescent="0.25">
      <c r="A29" s="111" t="s">
        <v>27</v>
      </c>
      <c r="B29" s="97">
        <f>+B25+B28</f>
        <v>1847222.2222222222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6522617.6155833332</v>
      </c>
      <c r="E43" s="7">
        <v>0</v>
      </c>
      <c r="F43" s="7">
        <f>C43*$B$38/360*(A43-A42)</f>
        <v>14077777.777777778</v>
      </c>
      <c r="G43" s="7">
        <f>+C43+D43+E43+F43</f>
        <v>420600395.39336115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420600395.39336115</v>
      </c>
      <c r="D44" s="7">
        <v>0</v>
      </c>
      <c r="E44" s="7">
        <v>0</v>
      </c>
      <c r="F44" s="7">
        <f t="shared" ref="F44:F52" si="13">C44*$B$38/360*(A44-A43)</f>
        <v>15048147.479629144</v>
      </c>
      <c r="G44" s="7">
        <f t="shared" ref="G44:G52" si="14">+C44+D44+E44+F44</f>
        <v>435648542.87299031</v>
      </c>
      <c r="H44" s="7">
        <f t="shared" si="12"/>
        <v>29125925.25740692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435648542.87299031</v>
      </c>
      <c r="D45" s="7">
        <v>0</v>
      </c>
      <c r="E45" s="7">
        <v>0</v>
      </c>
      <c r="F45" s="7">
        <f t="shared" si="13"/>
        <v>15332408.439446634</v>
      </c>
      <c r="G45" s="7">
        <f t="shared" si="14"/>
        <v>450980951.31243694</v>
      </c>
      <c r="H45" s="7">
        <f t="shared" si="12"/>
        <v>44458333.696853556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450980951.31243694</v>
      </c>
      <c r="D46" s="7">
        <v>0</v>
      </c>
      <c r="E46" s="7">
        <v>0</v>
      </c>
      <c r="F46" s="7">
        <f t="shared" si="13"/>
        <v>16135096.258067189</v>
      </c>
      <c r="G46" s="7">
        <f t="shared" si="14"/>
        <v>467116047.57050413</v>
      </c>
      <c r="H46" s="7">
        <f t="shared" si="12"/>
        <v>60593429.954920746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467116047.57050413</v>
      </c>
      <c r="D47" s="7">
        <v>0</v>
      </c>
      <c r="E47" s="7">
        <v>0</v>
      </c>
      <c r="F47" s="7">
        <f t="shared" si="13"/>
        <v>16439889.785328578</v>
      </c>
      <c r="G47" s="7">
        <f t="shared" si="14"/>
        <v>483555937.3558327</v>
      </c>
      <c r="H47" s="7">
        <f t="shared" si="12"/>
        <v>77033319.740249321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483555937.3558327</v>
      </c>
      <c r="D48" s="7">
        <v>0</v>
      </c>
      <c r="E48" s="7">
        <v>0</v>
      </c>
      <c r="F48" s="7">
        <f t="shared" si="13"/>
        <v>17300556.869842015</v>
      </c>
      <c r="G48" s="7">
        <f t="shared" si="14"/>
        <v>500856494.22567469</v>
      </c>
      <c r="H48" s="7">
        <f t="shared" si="12"/>
        <v>94333876.610091329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500856494.22567469</v>
      </c>
      <c r="D49" s="7">
        <v>0</v>
      </c>
      <c r="E49" s="7">
        <v>0</v>
      </c>
      <c r="F49" s="7">
        <f t="shared" si="13"/>
        <v>17724754.823430821</v>
      </c>
      <c r="G49" s="7">
        <f t="shared" si="14"/>
        <v>518581249.04910553</v>
      </c>
      <c r="H49" s="7">
        <f t="shared" si="12"/>
        <v>112058631.43352215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518581249.04910553</v>
      </c>
      <c r="D50" s="7">
        <v>0</v>
      </c>
      <c r="E50" s="7">
        <v>0</v>
      </c>
      <c r="F50" s="7">
        <f t="shared" si="13"/>
        <v>18553684.688201334</v>
      </c>
      <c r="G50" s="7">
        <f t="shared" si="14"/>
        <v>537134933.73730683</v>
      </c>
      <c r="H50" s="7">
        <f t="shared" si="12"/>
        <v>130612316.12172349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537134933.73730683</v>
      </c>
      <c r="D51" s="7">
        <v>0</v>
      </c>
      <c r="E51" s="7">
        <v>0</v>
      </c>
      <c r="F51" s="7">
        <f t="shared" si="13"/>
        <v>18904165.584587999</v>
      </c>
      <c r="G51" s="7">
        <f t="shared" si="14"/>
        <v>556039099.32189488</v>
      </c>
      <c r="H51" s="7">
        <f t="shared" si="12"/>
        <v>149516481.70631149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556039099.32189488</v>
      </c>
      <c r="D52" s="7">
        <v>0</v>
      </c>
      <c r="E52" s="7">
        <v>0</v>
      </c>
      <c r="F52" s="7">
        <f t="shared" si="13"/>
        <v>19893843.331294466</v>
      </c>
      <c r="G52" s="7">
        <f t="shared" si="14"/>
        <v>575932942.6531893</v>
      </c>
      <c r="H52" s="7">
        <f t="shared" si="12"/>
        <v>169410325.03760597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6522617.6155833332</v>
      </c>
      <c r="E53" s="12">
        <f>SUM(E43:E52)</f>
        <v>0</v>
      </c>
      <c r="F53" s="12">
        <f>SUM(F43:F52)</f>
        <v>169410325.03760597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178">
        <f>+Summary!C5</f>
        <v>36959</v>
      </c>
      <c r="B55" s="178"/>
      <c r="E55" s="97" t="s">
        <v>85</v>
      </c>
      <c r="F55" s="97">
        <f>VLOOKUP(+A55,Note,2)</f>
        <v>1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36950</v>
      </c>
      <c r="G56" s="97"/>
    </row>
    <row r="57" spans="1:9" x14ac:dyDescent="0.25">
      <c r="A57" s="97" t="s">
        <v>161</v>
      </c>
      <c r="B57" s="123">
        <f>VLOOKUP(+A55,Loan,8)</f>
        <v>14077777.777777778</v>
      </c>
      <c r="C57" s="97"/>
      <c r="D57" s="97"/>
      <c r="E57" s="97" t="s">
        <v>86</v>
      </c>
      <c r="F57" s="97">
        <f>VLOOKUP(+F55+1,LoanPeriod,5)</f>
        <v>15048147.479629144</v>
      </c>
      <c r="G57" s="97"/>
    </row>
    <row r="58" spans="1:9" x14ac:dyDescent="0.25">
      <c r="A58" s="111" t="s">
        <v>7</v>
      </c>
      <c r="B58" s="97">
        <f>+B56+B57</f>
        <v>14077777.777777778</v>
      </c>
      <c r="C58" s="97"/>
      <c r="D58" s="97"/>
      <c r="E58" s="97" t="s">
        <v>87</v>
      </c>
      <c r="F58" s="111">
        <f>VLOOKUP(+F55+1,NotePeriod,8)</f>
        <v>37134</v>
      </c>
      <c r="G58" s="97"/>
    </row>
    <row r="59" spans="1:9" x14ac:dyDescent="0.25">
      <c r="A59" s="111" t="s">
        <v>88</v>
      </c>
      <c r="B59" s="97">
        <f>A55-F56</f>
        <v>9</v>
      </c>
      <c r="C59" s="97"/>
      <c r="D59" s="97"/>
      <c r="E59" s="111"/>
      <c r="F59" s="97"/>
      <c r="G59" s="97"/>
    </row>
    <row r="60" spans="1:9" x14ac:dyDescent="0.25">
      <c r="A60" s="111" t="s">
        <v>158</v>
      </c>
      <c r="B60" s="97">
        <f>F57*B59/(F58-F56)</f>
        <v>736050.69193838211</v>
      </c>
      <c r="C60" s="97"/>
      <c r="D60" s="97"/>
      <c r="E60" s="97"/>
      <c r="F60" s="97"/>
      <c r="G60" s="97"/>
    </row>
    <row r="61" spans="1:9" x14ac:dyDescent="0.25">
      <c r="A61" s="111" t="s">
        <v>159</v>
      </c>
      <c r="B61" s="97">
        <f>+B57+B60</f>
        <v>14813828.46971616</v>
      </c>
      <c r="C61" s="97"/>
      <c r="D61" s="97"/>
      <c r="E61" s="97"/>
      <c r="F61" s="97"/>
      <c r="G61" s="97"/>
    </row>
    <row r="63" spans="1:9" x14ac:dyDescent="0.25">
      <c r="A63" s="7" t="s">
        <v>170</v>
      </c>
    </row>
    <row r="64" spans="1:9" x14ac:dyDescent="0.25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25">
      <c r="A65" s="1">
        <f>+A64</f>
        <v>36917</v>
      </c>
      <c r="B65" s="7" t="s">
        <v>220</v>
      </c>
      <c r="C65" s="1"/>
      <c r="D65" s="1">
        <f>+'Cash-Int-Trans'!B60</f>
        <v>36950</v>
      </c>
      <c r="E65" s="158">
        <f>+'Cash-Int-Trans'!B62</f>
        <v>41586.615583333332</v>
      </c>
    </row>
    <row r="66" spans="1:5" x14ac:dyDescent="0.25">
      <c r="E66" s="7">
        <f>SUM(E64:E65)</f>
        <v>6522617.6155833332</v>
      </c>
    </row>
    <row r="68" spans="1:5" x14ac:dyDescent="0.25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E14" sqref="E14"/>
    </sheetView>
  </sheetViews>
  <sheetFormatPr defaultRowHeight="15.75" x14ac:dyDescent="0.25"/>
  <cols>
    <col min="1" max="1" width="25" customWidth="1"/>
    <col min="2" max="2" width="11.125" style="3" bestFit="1" customWidth="1"/>
    <col min="4" max="4" width="14.75" bestFit="1" customWidth="1"/>
    <col min="5" max="5" width="15.375" bestFit="1" customWidth="1"/>
    <col min="6" max="6" width="14.5" customWidth="1"/>
  </cols>
  <sheetData>
    <row r="1" spans="1:6" x14ac:dyDescent="0.25">
      <c r="D1" s="155" t="s">
        <v>194</v>
      </c>
      <c r="E1" s="52" t="s">
        <v>195</v>
      </c>
    </row>
    <row r="2" spans="1:6" x14ac:dyDescent="0.25">
      <c r="A2" s="58" t="s">
        <v>203</v>
      </c>
      <c r="C2" s="130"/>
      <c r="D2" s="2">
        <f>+Financials!I5</f>
        <v>68.84</v>
      </c>
    </row>
    <row r="3" spans="1:6" x14ac:dyDescent="0.25">
      <c r="A3" t="s">
        <v>196</v>
      </c>
      <c r="B3" s="3">
        <v>50000000</v>
      </c>
      <c r="D3" s="5">
        <f>B3*D2</f>
        <v>3442000000</v>
      </c>
      <c r="E3" s="3">
        <f>ROUND(D3/D2+0.49,0)</f>
        <v>50000000</v>
      </c>
    </row>
    <row r="4" spans="1:6" x14ac:dyDescent="0.25">
      <c r="A4" t="s">
        <v>197</v>
      </c>
      <c r="D4" s="50">
        <f>1400000000+1027000000+500000</f>
        <v>2427500000</v>
      </c>
      <c r="E4" s="153">
        <f>ROUND(D4/D2+0.49,0)</f>
        <v>35262929</v>
      </c>
    </row>
    <row r="5" spans="1:6" x14ac:dyDescent="0.25">
      <c r="A5" t="s">
        <v>198</v>
      </c>
      <c r="D5" s="4">
        <f>D3-D4</f>
        <v>1014500000</v>
      </c>
      <c r="E5" s="48">
        <f>E3-E4</f>
        <v>14737071</v>
      </c>
    </row>
    <row r="6" spans="1:6" x14ac:dyDescent="0.25">
      <c r="A6" t="s">
        <v>199</v>
      </c>
      <c r="D6" s="2"/>
    </row>
    <row r="7" spans="1:6" x14ac:dyDescent="0.25">
      <c r="A7" t="s">
        <v>200</v>
      </c>
      <c r="B7" s="3">
        <v>3876755</v>
      </c>
      <c r="D7" s="4">
        <f>+B7*D2</f>
        <v>266875814.20000002</v>
      </c>
      <c r="E7" s="3">
        <v>3876755</v>
      </c>
    </row>
    <row r="8" spans="1:6" x14ac:dyDescent="0.25">
      <c r="A8" t="s">
        <v>201</v>
      </c>
      <c r="B8" s="3">
        <v>7809790</v>
      </c>
      <c r="D8" s="4">
        <f>+B8*D2</f>
        <v>537625943.60000002</v>
      </c>
      <c r="E8" s="3">
        <v>7809790</v>
      </c>
    </row>
    <row r="9" spans="1:6" x14ac:dyDescent="0.25">
      <c r="A9" t="s">
        <v>202</v>
      </c>
      <c r="B9" s="3">
        <v>6326045</v>
      </c>
      <c r="D9" s="50">
        <f>+B9*D2</f>
        <v>435484937.80000001</v>
      </c>
      <c r="E9" s="153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25</v>
      </c>
      <c r="D11" s="51">
        <f>D5-SUM(D7:D9)</f>
        <v>-225486695.60000014</v>
      </c>
      <c r="E11" s="154">
        <f>E5-SUM(E7:E9)</f>
        <v>-3275519</v>
      </c>
    </row>
    <row r="12" spans="1:6" ht="16.5" thickTop="1" x14ac:dyDescent="0.25">
      <c r="A12" s="3" t="s">
        <v>226</v>
      </c>
      <c r="D12" s="131">
        <f>+D11/(B3-SUM(B7:B9))</f>
        <v>-7.0492326699785988</v>
      </c>
      <c r="E12" s="48"/>
      <c r="F12" s="3"/>
    </row>
    <row r="13" spans="1:6" x14ac:dyDescent="0.25">
      <c r="D13" s="5"/>
      <c r="E13" s="130"/>
      <c r="F13" s="3"/>
    </row>
    <row r="14" spans="1:6" x14ac:dyDescent="0.25">
      <c r="A14" t="s">
        <v>204</v>
      </c>
      <c r="B14" s="3">
        <f>IF(E11&gt;0,B9,IF(B9+E11&gt;0,+B9+E11,0))</f>
        <v>3050526</v>
      </c>
      <c r="D14" s="5"/>
      <c r="F14" s="3"/>
    </row>
    <row r="17" spans="1:6" x14ac:dyDescent="0.25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207</v>
      </c>
      <c r="D20" s="4">
        <f>+Financials!I15</f>
        <v>32434139.891552512</v>
      </c>
      <c r="E20" s="156">
        <f>(+Financials!H2-Financials!A3)/(3*365)</f>
        <v>0.17351598173515981</v>
      </c>
      <c r="F20">
        <f>+D18*E20+D20</f>
        <v>0</v>
      </c>
    </row>
    <row r="21" spans="1:6" x14ac:dyDescent="0.25">
      <c r="A21" t="s">
        <v>209</v>
      </c>
      <c r="D21" s="4">
        <f>+D19+D20</f>
        <v>382434139.89155251</v>
      </c>
      <c r="E21" s="156">
        <f>+D21/D17</f>
        <v>0.71226989806327601</v>
      </c>
    </row>
    <row r="22" spans="1:6" x14ac:dyDescent="0.25">
      <c r="D22" s="4"/>
    </row>
    <row r="23" spans="1:6" x14ac:dyDescent="0.25">
      <c r="A23" t="s">
        <v>210</v>
      </c>
      <c r="B23" s="3">
        <f>+B14</f>
        <v>3050526</v>
      </c>
      <c r="C23" s="2">
        <f>+C17</f>
        <v>84.875</v>
      </c>
      <c r="D23" s="4">
        <f>+B23*C23</f>
        <v>258913394.25</v>
      </c>
    </row>
    <row r="24" spans="1:6" x14ac:dyDescent="0.25">
      <c r="A24" t="s">
        <v>206</v>
      </c>
      <c r="D24" s="4">
        <f>D18/D17*D23</f>
        <v>-90137468.691455916</v>
      </c>
      <c r="E24" s="156">
        <f>-D24/D23</f>
        <v>0.3481375266527213</v>
      </c>
    </row>
    <row r="25" spans="1:6" x14ac:dyDescent="0.25">
      <c r="D25" s="4">
        <f>+D23+D24</f>
        <v>168775925.5585441</v>
      </c>
    </row>
    <row r="26" spans="1:6" x14ac:dyDescent="0.25">
      <c r="A26" t="s">
        <v>207</v>
      </c>
      <c r="D26" s="4">
        <f>-D24*E20</f>
        <v>15640291.371120203</v>
      </c>
      <c r="E26" s="156">
        <f>+E20</f>
        <v>0.17351598173515981</v>
      </c>
      <c r="F26">
        <f>+D24*E26+D26</f>
        <v>0</v>
      </c>
    </row>
    <row r="27" spans="1:6" x14ac:dyDescent="0.25">
      <c r="A27" t="s">
        <v>208</v>
      </c>
      <c r="D27" s="4">
        <f>+D25+D26</f>
        <v>184416216.92966431</v>
      </c>
      <c r="E27" s="156">
        <f>+D27/D23</f>
        <v>0.71226989806327612</v>
      </c>
    </row>
    <row r="28" spans="1:6" x14ac:dyDescent="0.25">
      <c r="A28" t="s">
        <v>155</v>
      </c>
      <c r="D28" s="4">
        <f>+Financials!M10-D27</f>
        <v>0</v>
      </c>
      <c r="E28" s="156"/>
    </row>
    <row r="29" spans="1:6" x14ac:dyDescent="0.25">
      <c r="D29" s="4"/>
    </row>
    <row r="30" spans="1:6" x14ac:dyDescent="0.25">
      <c r="A30" t="s">
        <v>211</v>
      </c>
      <c r="B30" s="3">
        <f>+B17-B23</f>
        <v>3275519</v>
      </c>
      <c r="D30" s="4">
        <f>+D21-D27</f>
        <v>198017922.96188819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2000-09-06T13:49:45Z</cp:lastPrinted>
  <dcterms:created xsi:type="dcterms:W3CDTF">2000-08-10T21:11:42Z</dcterms:created>
  <dcterms:modified xsi:type="dcterms:W3CDTF">2014-09-04T16:15:28Z</dcterms:modified>
</cp:coreProperties>
</file>