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2014" sheetId="1" r:id="rId3"/>
    <sheet state="visible" name="MAY2014" sheetId="2" r:id="rId4"/>
  </sheets>
  <definedNames/>
  <calcPr/>
</workbook>
</file>

<file path=xl/sharedStrings.xml><?xml version="1.0" encoding="utf-8"?>
<sst xmlns="http://schemas.openxmlformats.org/spreadsheetml/2006/main" count="6612" uniqueCount="1663">
  <si>
    <t>Country Code</t>
  </si>
  <si>
    <t>Country</t>
  </si>
  <si>
    <t>Sitename</t>
  </si>
  <si>
    <t>Location</t>
  </si>
  <si>
    <t>Status</t>
  </si>
  <si>
    <t>Gross (MWe)</t>
  </si>
  <si>
    <t>Thermal (MWt)</t>
  </si>
  <si>
    <t>Load Factor (%)</t>
  </si>
  <si>
    <t>lat (-90 to 90)</t>
  </si>
  <si>
    <t>Capacity (MWt)</t>
  </si>
  <si>
    <t>Mean LF (%)</t>
  </si>
  <si>
    <t>2013 LF (%)</t>
  </si>
  <si>
    <t>lng (-180 to 180)</t>
  </si>
  <si>
    <t>alt (m)</t>
  </si>
  <si>
    <t>IAEA url</t>
  </si>
  <si>
    <t>AR</t>
  </si>
  <si>
    <t>AM</t>
  </si>
  <si>
    <t>ARMENIA</t>
  </si>
  <si>
    <t>ARGENTINA</t>
  </si>
  <si>
    <t>ATUCHA-1</t>
  </si>
  <si>
    <t>LIMA</t>
  </si>
  <si>
    <t>Operational</t>
  </si>
  <si>
    <t>http://www.iaea.org/PRIS/CountryStatistics/ReactorDetails.aspx?current=3</t>
  </si>
  <si>
    <t>METSAMOR</t>
  </si>
  <si>
    <t>Permanent Shutdown</t>
  </si>
  <si>
    <t>ATUCHA-2</t>
  </si>
  <si>
    <t>Under Construction</t>
  </si>
  <si>
    <t>http://www.iaea.org/PRIS/CountryStatistics/ReactorDetails.aspx?current=5</t>
  </si>
  <si>
    <t>CAREM25</t>
  </si>
  <si>
    <t>http://www.iaea.org/PRIS/CountryStatistics/ReactorDetails.aspx?current=1055</t>
  </si>
  <si>
    <t>EMBALSE</t>
  </si>
  <si>
    <t>http://www.iaea.org/PRIS/CountryStatistics/ReactorDetails.aspx?current=4</t>
  </si>
  <si>
    <t>ARMENIAN-1</t>
  </si>
  <si>
    <t>http://www.iaea.org/PRIS/CountryStatistics/ReactorDetails.aspx?current=1</t>
  </si>
  <si>
    <t>ARMENIAN-2</t>
  </si>
  <si>
    <t>http://www.iaea.org/PRIS/CountryStatistics/ReactorDetails.aspx?current=2</t>
  </si>
  <si>
    <t>BY</t>
  </si>
  <si>
    <t>BELARUS</t>
  </si>
  <si>
    <t>BELARUSIAN-1</t>
  </si>
  <si>
    <t>Ostrovets</t>
  </si>
  <si>
    <t>http://www.iaea.org/PRIS/CountryStatistics/ReactorDetails.aspx?current=1056</t>
  </si>
  <si>
    <t>BE</t>
  </si>
  <si>
    <t>BELGIUM</t>
  </si>
  <si>
    <t>BR-3</t>
  </si>
  <si>
    <t>MOL</t>
  </si>
  <si>
    <t>http://www.iaea.org/PRIS/CountryStatistics/ReactorDetails.aspx?current=8</t>
  </si>
  <si>
    <t>DOEL-1</t>
  </si>
  <si>
    <t>DOEL-BEVEREN</t>
  </si>
  <si>
    <t>http://www.iaea.org/PRIS/CountryStatistics/ReactorDetails.aspx?current=9</t>
  </si>
  <si>
    <t>DOEL-2</t>
  </si>
  <si>
    <t>http://www.iaea.org/PRIS/CountryStatistics/ReactorDetails.aspx?current=11</t>
  </si>
  <si>
    <t>DOEL-3</t>
  </si>
  <si>
    <t>http://www.iaea.org/PRIS/CountryStatistics/ReactorDetails.aspx?current=12</t>
  </si>
  <si>
    <t>DOEL-4</t>
  </si>
  <si>
    <t>http://www.iaea.org/PRIS/CountryStatistics/ReactorDetails.aspx?current=14</t>
  </si>
  <si>
    <t>TIHANGE</t>
  </si>
  <si>
    <t>TIHANGE-1</t>
  </si>
  <si>
    <t>http://www.iaea.org/PRIS/CountryStatistics/ReactorDetails.aspx?current=10</t>
  </si>
  <si>
    <t>TIHANGE-2</t>
  </si>
  <si>
    <t>http://www.iaea.org/PRIS/CountryStatistics/ReactorDetails.aspx?current=13</t>
  </si>
  <si>
    <t>TIHANGE-3</t>
  </si>
  <si>
    <t>http://www.iaea.org/PRIS/CountryStatistics/ReactorDetails.aspx?current=15</t>
  </si>
  <si>
    <t>BR</t>
  </si>
  <si>
    <t>BRAZIL</t>
  </si>
  <si>
    <t>ANGRA-1</t>
  </si>
  <si>
    <t>ANGRA DOS-REIS</t>
  </si>
  <si>
    <t>http://www.iaea.org/PRIS/CountryStatistics/ReactorDetails.aspx?current=24</t>
  </si>
  <si>
    <t>ANGRA-2</t>
  </si>
  <si>
    <t>http://www.iaea.org/PRIS/CountryStatistics/ReactorDetails.aspx?current=25</t>
  </si>
  <si>
    <t>ANGRA-3</t>
  </si>
  <si>
    <t>http://www.iaea.org/PRIS/CountryStatistics/ReactorDetails.aspx?current=26</t>
  </si>
  <si>
    <t>BG</t>
  </si>
  <si>
    <t>BULGARIA</t>
  </si>
  <si>
    <t>KOZLODUY-1</t>
  </si>
  <si>
    <t>VRATZA</t>
  </si>
  <si>
    <t>http://www.iaea.org/PRIS/CountryStatistics/ReactorDetails.aspx?current=16</t>
  </si>
  <si>
    <t>KOZLODUY-2</t>
  </si>
  <si>
    <t>http://www.iaea.org/PRIS/CountryStatistics/ReactorDetails.aspx?current=17</t>
  </si>
  <si>
    <t>KOZLODUY-3</t>
  </si>
  <si>
    <t>http://www.iaea.org/PRIS/CountryStatistics/ReactorDetails.aspx?current=18</t>
  </si>
  <si>
    <t>KOZLODUY-4</t>
  </si>
  <si>
    <t>http://www.iaea.org/PRIS/CountryStatistics/ReactorDetails.aspx?current=19</t>
  </si>
  <si>
    <t>KOZLODUY-5</t>
  </si>
  <si>
    <t>http://www.iaea.org/PRIS/CountryStatistics/ReactorDetails.aspx?current=20</t>
  </si>
  <si>
    <t>KOZLODUY-6</t>
  </si>
  <si>
    <t>http://www.iaea.org/PRIS/CountryStatistics/ReactorDetails.aspx?current=21</t>
  </si>
  <si>
    <t>CA</t>
  </si>
  <si>
    <t>CANADA</t>
  </si>
  <si>
    <t>BRUCE-1</t>
  </si>
  <si>
    <t>TIVERTON</t>
  </si>
  <si>
    <t>http://www.iaea.org/PRIS/CountryStatistics/ReactorDetails.aspx?current=53</t>
  </si>
  <si>
    <t>BRUCE-2</t>
  </si>
  <si>
    <t>http://www.iaea.org/PRIS/CountryStatistics/ReactorDetails.aspx?current=54</t>
  </si>
  <si>
    <t>BRUCE-3</t>
  </si>
  <si>
    <t>http://www.iaea.org/PRIS/CountryStatistics/ReactorDetails.aspx?current=30</t>
  </si>
  <si>
    <t>BRUCE-4</t>
  </si>
  <si>
    <t>http://www.iaea.org/PRIS/CountryStatistics/ReactorDetails.aspx?current=31</t>
  </si>
  <si>
    <t>BRUCE-5</t>
  </si>
  <si>
    <t>http://www.iaea.org/PRIS/CountryStatistics/ReactorDetails.aspx?current=38</t>
  </si>
  <si>
    <t>BRUCE-6</t>
  </si>
  <si>
    <t>http://www.iaea.org/PRIS/CountryStatistics/ReactorDetails.aspx?current=39</t>
  </si>
  <si>
    <t>BRUCE-7</t>
  </si>
  <si>
    <t>http://www.iaea.org/PRIS/CountryStatistics/ReactorDetails.aspx?current=41</t>
  </si>
  <si>
    <t>BRUCE-8</t>
  </si>
  <si>
    <t>http://www.iaea.org/PRIS/CountryStatistics/ReactorDetails.aspx?current=42</t>
  </si>
  <si>
    <t>DARLINGTON-1</t>
  </si>
  <si>
    <t>TOWN OF NEWCASTLE</t>
  </si>
  <si>
    <t>http://www.iaea.org/PRIS/CountryStatistics/ReactorDetails.aspx?current=43</t>
  </si>
  <si>
    <t>DARLINGTON-2</t>
  </si>
  <si>
    <t>http://www.iaea.org/PRIS/CountryStatistics/ReactorDetails.aspx?current=44</t>
  </si>
  <si>
    <t>DARLINGTON-3</t>
  </si>
  <si>
    <t>http://www.iaea.org/PRIS/CountryStatistics/ReactorDetails.aspx?current=45</t>
  </si>
  <si>
    <t>DARLINGTON-4</t>
  </si>
  <si>
    <t>http://www.iaea.org/PRIS/CountryStatistics/ReactorDetails.aspx?current=46</t>
  </si>
  <si>
    <t>DOUGLAS POINT</t>
  </si>
  <si>
    <t>http://www.iaea.org/PRIS/CountryStatistics/ReactorDetails.aspx?current=40</t>
  </si>
  <si>
    <t>GENTILLY-1</t>
  </si>
  <si>
    <t>BECANCOUR</t>
  </si>
  <si>
    <t>http://www.iaea.org/PRIS/CountryStatistics/ReactorDetails.aspx?current=47</t>
  </si>
  <si>
    <t>GENTILLY-2</t>
  </si>
  <si>
    <t>http://www.iaea.org/PRIS/CountryStatistics/ReactorDetails.aspx?current=32</t>
  </si>
  <si>
    <t>PICKERING-1</t>
  </si>
  <si>
    <t>PICKERING</t>
  </si>
  <si>
    <t>http://www.iaea.org/PRIS/CountryStatistics/ReactorDetails.aspx?current=49</t>
  </si>
  <si>
    <t>PICKERING-2</t>
  </si>
  <si>
    <t>http://www.iaea.org/PRIS/CountryStatistics/ReactorDetails.aspx?current=50</t>
  </si>
  <si>
    <t>PICKERING-3</t>
  </si>
  <si>
    <t>http://www.iaea.org/PRIS/CountryStatistics/ReactorDetails.aspx?current=51</t>
  </si>
  <si>
    <t>PICKERING-4</t>
  </si>
  <si>
    <t>http://www.iaea.org/PRIS/CountryStatistics/ReactorDetails.aspx?current=52</t>
  </si>
  <si>
    <t>PICKERING-5</t>
  </si>
  <si>
    <t>http://www.iaea.org/PRIS/CountryStatistics/ReactorDetails.aspx?current=33</t>
  </si>
  <si>
    <t>PICKERING-6</t>
  </si>
  <si>
    <t>http://www.iaea.org/PRIS/CountryStatistics/ReactorDetails.aspx?current=34</t>
  </si>
  <si>
    <t>PICKERING-7</t>
  </si>
  <si>
    <t>http://www.iaea.org/PRIS/CountryStatistics/ReactorDetails.aspx?current=35</t>
  </si>
  <si>
    <t>PICKERING-8</t>
  </si>
  <si>
    <t>http://www.iaea.org/PRIS/CountryStatistics/ReactorDetails.aspx?current=36</t>
  </si>
  <si>
    <t>POINT LEPREAU</t>
  </si>
  <si>
    <t>SAINT JOHN</t>
  </si>
  <si>
    <t>http://www.iaea.org/PRIS/CountryStatistics/ReactorDetails.aspx?current=37</t>
  </si>
  <si>
    <t>ROLPHTON</t>
  </si>
  <si>
    <t>ROLPHTON NPD</t>
  </si>
  <si>
    <t>http://www.iaea.org/PRIS/CountryStatistics/ReactorDetails.aspx?current=29</t>
  </si>
  <si>
    <t>CN</t>
  </si>
  <si>
    <t>CHINA</t>
  </si>
  <si>
    <t>CEFR</t>
  </si>
  <si>
    <t>Tuoli</t>
  </si>
  <si>
    <t>http://www.iaea.org/PRIS/CountryStatistics/ReactorDetails.aspx?current=1047</t>
  </si>
  <si>
    <t>CHANGJIANG-1</t>
  </si>
  <si>
    <t>Changjiang</t>
  </si>
  <si>
    <t>http://www.iaea.org/PRIS/CountryStatistics/ReactorDetails.aspx?current=939</t>
  </si>
  <si>
    <t>CHANGJIANG-2</t>
  </si>
  <si>
    <t>http://www.iaea.org/PRIS/CountryStatistics/ReactorDetails.aspx?current=940</t>
  </si>
  <si>
    <t>DAYA BAY-1</t>
  </si>
  <si>
    <t>SHENZHEN CITY</t>
  </si>
  <si>
    <t>http://www.iaea.org/PRIS/CountryStatistics/ReactorDetails.aspx?current=63</t>
  </si>
  <si>
    <t>DAYA BAY-2</t>
  </si>
  <si>
    <t>http://www.iaea.org/PRIS/CountryStatistics/ReactorDetails.aspx?current=64</t>
  </si>
  <si>
    <t>FANGCHENGGANG-1</t>
  </si>
  <si>
    <t>Fangchenggang</t>
  </si>
  <si>
    <t>http://www.iaea.org/PRIS/CountryStatistics/ReactorDetails.aspx?current=943</t>
  </si>
  <si>
    <t>FANGCHENGGANG-2</t>
  </si>
  <si>
    <t>http://www.iaea.org/PRIS/CountryStatistics/ReactorDetails.aspx?current=944</t>
  </si>
  <si>
    <t>FANGJIASHAN-1</t>
  </si>
  <si>
    <t>Jiaxing</t>
  </si>
  <si>
    <t>http://www.iaea.org/PRIS/CountryStatistics/ReactorDetails.aspx?current=912</t>
  </si>
  <si>
    <t>FANGJIASHAN-2</t>
  </si>
  <si>
    <t>http://www.iaea.org/PRIS/CountryStatistics/ReactorDetails.aspx?current=913</t>
  </si>
  <si>
    <t>FUQING-1</t>
  </si>
  <si>
    <t>Fuqing</t>
  </si>
  <si>
    <t>http://www.iaea.org/PRIS/CountryStatistics/ReactorDetails.aspx?current=914</t>
  </si>
  <si>
    <t>FUQING-2</t>
  </si>
  <si>
    <t>http://www.iaea.org/PRIS/CountryStatistics/ReactorDetails.aspx?current=915</t>
  </si>
  <si>
    <t>FUQING-3</t>
  </si>
  <si>
    <t>http://www.iaea.org/PRIS/CountryStatistics/ReactorDetails.aspx?current=935</t>
  </si>
  <si>
    <t>FUQING-4</t>
  </si>
  <si>
    <t>http://www.iaea.org/PRIS/CountryStatistics/ReactorDetails.aspx?current=936</t>
  </si>
  <si>
    <t>HAIYANG-1</t>
  </si>
  <si>
    <t>Haiyang</t>
  </si>
  <si>
    <t>http://www.iaea.org/PRIS/CountryStatistics/ReactorDetails.aspx?current=908</t>
  </si>
  <si>
    <t>HAIYANG-2</t>
  </si>
  <si>
    <t>http://www.iaea.org/PRIS/CountryStatistics/ReactorDetails.aspx?current=909</t>
  </si>
  <si>
    <t>HONGYANHE-1</t>
  </si>
  <si>
    <t>DALIAN</t>
  </si>
  <si>
    <t>http://www.iaea.org/PRIS/CountryStatistics/ReactorDetails.aspx?current=904</t>
  </si>
  <si>
    <t>HONGYANHE-2</t>
  </si>
  <si>
    <t>http://www.iaea.org/PRIS/CountryStatistics/ReactorDetails.aspx?current=905</t>
  </si>
  <si>
    <t>HONGYANHE-3</t>
  </si>
  <si>
    <t>http://www.iaea.org/PRIS/CountryStatistics/ReactorDetails.aspx?current=906</t>
  </si>
  <si>
    <t>HONGYANHE-4</t>
  </si>
  <si>
    <t>http://www.iaea.org/PRIS/CountryStatistics/ReactorDetails.aspx?current=907</t>
  </si>
  <si>
    <t>LING AO-1</t>
  </si>
  <si>
    <t>SHENZEN</t>
  </si>
  <si>
    <t>http://www.iaea.org/PRIS/CountryStatistics/ReactorDetails.aspx?current=67</t>
  </si>
  <si>
    <t>LING AO-2</t>
  </si>
  <si>
    <t>http://www.iaea.org/PRIS/CountryStatistics/ReactorDetails.aspx?current=68</t>
  </si>
  <si>
    <t>LING AO-3</t>
  </si>
  <si>
    <t>http://www.iaea.org/PRIS/CountryStatistics/ReactorDetails.aspx?current=878</t>
  </si>
  <si>
    <t>LING AO-4</t>
  </si>
  <si>
    <t>http://www.iaea.org/PRIS/CountryStatistics/ReactorDetails.aspx?current=875</t>
  </si>
  <si>
    <t>NINGDE-1</t>
  </si>
  <si>
    <t>Ningde</t>
  </si>
  <si>
    <t>http://www.iaea.org/PRIS/CountryStatistics/ReactorDetails.aspx?current=921</t>
  </si>
  <si>
    <t>NINGDE-2</t>
  </si>
  <si>
    <t>http://www.iaea.org/PRIS/CountryStatistics/ReactorDetails.aspx?current=922</t>
  </si>
  <si>
    <t>NINGDE-3</t>
  </si>
  <si>
    <t>http://www.iaea.org/PRIS/CountryStatistics/ReactorDetails.aspx?current=923</t>
  </si>
  <si>
    <t>NINGDE-4</t>
  </si>
  <si>
    <t>http://www.iaea.org/PRIS/CountryStatistics/ReactorDetails.aspx?current=924</t>
  </si>
  <si>
    <t>QINSHAN 2-1</t>
  </si>
  <si>
    <t>http://www.iaea.org/PRIS/CountryStatistics/ReactorDetails.aspx?current=65</t>
  </si>
  <si>
    <t>QINSHAN 2-2</t>
  </si>
  <si>
    <t>http://www.iaea.org/PRIS/CountryStatistics/ReactorDetails.aspx?current=66</t>
  </si>
  <si>
    <t>QINSHAN 2-3</t>
  </si>
  <si>
    <t>http://www.iaea.org/PRIS/CountryStatistics/ReactorDetails.aspx?current=876</t>
  </si>
  <si>
    <t>QINSHAN 2-4</t>
  </si>
  <si>
    <t>http://www.iaea.org/PRIS/CountryStatistics/ReactorDetails.aspx?current=877</t>
  </si>
  <si>
    <t>QINSHAN 3-1</t>
  </si>
  <si>
    <t>http://www.iaea.org/PRIS/CountryStatistics/ReactorDetails.aspx?current=69</t>
  </si>
  <si>
    <t>QINSHAN 3-2</t>
  </si>
  <si>
    <t>http://www.iaea.org/PRIS/CountryStatistics/ReactorDetails.aspx?current=840</t>
  </si>
  <si>
    <t>QINSHAN-1</t>
  </si>
  <si>
    <t>http://www.iaea.org/PRIS/CountryStatistics/ReactorDetails.aspx?current=62</t>
  </si>
  <si>
    <t>SANMEN-1</t>
  </si>
  <si>
    <t>Taizhou</t>
  </si>
  <si>
    <t>http://www.iaea.org/PRIS/CountryStatistics/ReactorDetails.aspx?current=879</t>
  </si>
  <si>
    <t>SANMEN-2</t>
  </si>
  <si>
    <t>http://www.iaea.org/PRIS/CountryStatistics/ReactorDetails.aspx?current=880</t>
  </si>
  <si>
    <t>SHIDAO BAY-1</t>
  </si>
  <si>
    <t>Weihai</t>
  </si>
  <si>
    <t>http://www.iaea.org/PRIS/CountryStatistics/ReactorDetails.aspx?current=957</t>
  </si>
  <si>
    <t>TAISHAN-1</t>
  </si>
  <si>
    <t>Taishan</t>
  </si>
  <si>
    <t>http://www.iaea.org/PRIS/CountryStatistics/ReactorDetails.aspx?current=918</t>
  </si>
  <si>
    <t>TAISHAN-2</t>
  </si>
  <si>
    <t>http://www.iaea.org/PRIS/CountryStatistics/ReactorDetails.aspx?current=919</t>
  </si>
  <si>
    <t>TIANWAN-1</t>
  </si>
  <si>
    <t>Lianyungang</t>
  </si>
  <si>
    <t>http://www.iaea.org/PRIS/CountryStatistics/ReactorDetails.aspx?current=838</t>
  </si>
  <si>
    <t>TIANWAN-2</t>
  </si>
  <si>
    <t>http://www.iaea.org/PRIS/CountryStatistics/ReactorDetails.aspx?current=839</t>
  </si>
  <si>
    <t>TIANWAN-3</t>
  </si>
  <si>
    <t>http://www.iaea.org/PRIS/CountryStatistics/ReactorDetails.aspx?current=973</t>
  </si>
  <si>
    <t>TIANWAN-4</t>
  </si>
  <si>
    <t>http://www.iaea.org/PRIS/CountryStatistics/ReactorDetails.aspx?current=974</t>
  </si>
  <si>
    <t>YANGJIANG-1</t>
  </si>
  <si>
    <t>Yangjiang</t>
  </si>
  <si>
    <t>http://www.iaea.org/PRIS/CountryStatistics/ReactorDetails.aspx?current=881</t>
  </si>
  <si>
    <t>YANGJIANG-2</t>
  </si>
  <si>
    <t>http://www.iaea.org/PRIS/CountryStatistics/ReactorDetails.aspx?current=882</t>
  </si>
  <si>
    <t>YANGJIANG-3</t>
  </si>
  <si>
    <t>http://www.iaea.org/PRIS/CountryStatistics/ReactorDetails.aspx?current=931</t>
  </si>
  <si>
    <t>YANGJIANG-4</t>
  </si>
  <si>
    <t>http://www.iaea.org/PRIS/CountryStatistics/ReactorDetails.aspx?current=932</t>
  </si>
  <si>
    <t>YANGJIANG-5</t>
  </si>
  <si>
    <t>http://www.iaea.org/PRIS/CountryStatistics/ReactorDetails.aspx?current=933</t>
  </si>
  <si>
    <t>YANGJIANG-6</t>
  </si>
  <si>
    <t>http://www.iaea.org/PRIS/CountryStatistics/ReactorDetails.aspx?current=934</t>
  </si>
  <si>
    <t>CZ</t>
  </si>
  <si>
    <t>CZECH REPUBLIC</t>
  </si>
  <si>
    <t>DUKOVANY-1</t>
  </si>
  <si>
    <t>DUKOVANY</t>
  </si>
  <si>
    <t>http://www.iaea.org/PRIS/CountryStatistics/ReactorDetails.aspx?current=78</t>
  </si>
  <si>
    <t>DUKOVANY-2</t>
  </si>
  <si>
    <t>http://www.iaea.org/PRIS/CountryStatistics/ReactorDetails.aspx?current=79</t>
  </si>
  <si>
    <t>DUKOVANY-3</t>
  </si>
  <si>
    <t>http://www.iaea.org/PRIS/CountryStatistics/ReactorDetails.aspx?current=80</t>
  </si>
  <si>
    <t>DUKOVANY-4</t>
  </si>
  <si>
    <t>http://www.iaea.org/PRIS/CountryStatistics/ReactorDetails.aspx?current=81</t>
  </si>
  <si>
    <t>TEMELIN-1</t>
  </si>
  <si>
    <t>TEMELIN</t>
  </si>
  <si>
    <t>http://www.iaea.org/PRIS/CountryStatistics/ReactorDetails.aspx?current=74</t>
  </si>
  <si>
    <t>TEMELIN-2</t>
  </si>
  <si>
    <t>http://www.iaea.org/PRIS/CountryStatistics/ReactorDetails.aspx?current=75</t>
  </si>
  <si>
    <t>FI</t>
  </si>
  <si>
    <t>FINLAND</t>
  </si>
  <si>
    <t>LOVIISA-1</t>
  </si>
  <si>
    <t>LOVIISA</t>
  </si>
  <si>
    <t>http://www.iaea.org/PRIS/CountryStatistics/ReactorDetails.aspx?current=157</t>
  </si>
  <si>
    <t>LOVIISA-2</t>
  </si>
  <si>
    <t>http://www.iaea.org/PRIS/CountryStatistics/ReactorDetails.aspx?current=158</t>
  </si>
  <si>
    <t>OLKILUOTO-1</t>
  </si>
  <si>
    <t>OLKILUOTO</t>
  </si>
  <si>
    <t>http://www.iaea.org/PRIS/CountryStatistics/ReactorDetails.aspx?current=159</t>
  </si>
  <si>
    <t>OLKILUOTO-2</t>
  </si>
  <si>
    <t>http://www.iaea.org/PRIS/CountryStatistics/ReactorDetails.aspx?current=160</t>
  </si>
  <si>
    <t>OLKILUOTO-3</t>
  </si>
  <si>
    <t>http://www.iaea.org/PRIS/CountryStatistics/ReactorDetails.aspx?current=860</t>
  </si>
  <si>
    <t>FR</t>
  </si>
  <si>
    <t>FRANCE</t>
  </si>
  <si>
    <t>BELLEVILLE-1</t>
  </si>
  <si>
    <t>LENE</t>
  </si>
  <si>
    <t>http://www.iaea.org/PRIS/CountryStatistics/ReactorDetails.aspx?current=211</t>
  </si>
  <si>
    <t>BELLEVILLE-2</t>
  </si>
  <si>
    <t>http://www.iaea.org/PRIS/CountryStatistics/ReactorDetails.aspx?current=212</t>
  </si>
  <si>
    <t>BLAYAIS-1</t>
  </si>
  <si>
    <t>BRAUD ST.LOUIS</t>
  </si>
  <si>
    <t>CH</t>
  </si>
  <si>
    <t>SWITZERLAND</t>
  </si>
  <si>
    <t>http://www.iaea.org/PRIS/CountryStatistics/ReactorDetails.aspx?current=187</t>
  </si>
  <si>
    <t>BEZNAU</t>
  </si>
  <si>
    <t>BLAYAIS-2</t>
  </si>
  <si>
    <t>http://www.iaea.org/PRIS/CountryStatistics/ReactorDetails.aspx?current=188</t>
  </si>
  <si>
    <t>BLAYAIS-3</t>
  </si>
  <si>
    <t>http://www.iaea.org/PRIS/CountryStatistics/ReactorDetails.aspx?current=189</t>
  </si>
  <si>
    <t>BLAYAIS-4</t>
  </si>
  <si>
    <t>MUEHLEBERG</t>
  </si>
  <si>
    <t>http://www.iaea.org/PRIS/CountryStatistics/ReactorDetails.aspx?current=190</t>
  </si>
  <si>
    <t>BUGEY-1</t>
  </si>
  <si>
    <t>ST.VULBAS</t>
  </si>
  <si>
    <t>http://www.iaea.org/PRIS/CountryStatistics/ReactorDetails.aspx?current=230</t>
  </si>
  <si>
    <t>BUGEY-2</t>
  </si>
  <si>
    <t>http://www.iaea.org/PRIS/CountryStatistics/ReactorDetails.aspx?current=165</t>
  </si>
  <si>
    <t>BUGEY-3</t>
  </si>
  <si>
    <t>http://www.iaea.org/PRIS/CountryStatistics/ReactorDetails.aspx?current=166</t>
  </si>
  <si>
    <t>BUGEY-4</t>
  </si>
  <si>
    <t>DAENIKEN</t>
  </si>
  <si>
    <t>http://www.iaea.org/PRIS/CountryStatistics/ReactorDetails.aspx?current=167</t>
  </si>
  <si>
    <t>BUGEY-5</t>
  </si>
  <si>
    <t>http://www.iaea.org/PRIS/CountryStatistics/ReactorDetails.aspx?current=168</t>
  </si>
  <si>
    <t>CATTENOM-1</t>
  </si>
  <si>
    <t>CATTENOM</t>
  </si>
  <si>
    <t>http://www.iaea.org/PRIS/CountryStatistics/ReactorDetails.aspx?current=207</t>
  </si>
  <si>
    <t>CATTENOM-2</t>
  </si>
  <si>
    <t>LEIBSTADT</t>
  </si>
  <si>
    <t>http://www.iaea.org/PRIS/CountryStatistics/ReactorDetails.aspx?current=210</t>
  </si>
  <si>
    <t>CATTENOM-3</t>
  </si>
  <si>
    <t>http://www.iaea.org/PRIS/CountryStatistics/ReactorDetails.aspx?current=218</t>
  </si>
  <si>
    <t>CATTENOM-4</t>
  </si>
  <si>
    <t>http://www.iaea.org/PRIS/CountryStatistics/ReactorDetails.aspx?current=223</t>
  </si>
  <si>
    <t>CHINON A-1</t>
  </si>
  <si>
    <t>AVOINE</t>
  </si>
  <si>
    <t>http://www.iaea.org/PRIS/CountryStatistics/ReactorDetails.aspx?current=173</t>
  </si>
  <si>
    <t>CHINON A-2</t>
  </si>
  <si>
    <t>http://www.iaea.org/PRIS/CountryStatistics/ReactorDetails.aspx?current=184</t>
  </si>
  <si>
    <t>CHINON A-3</t>
  </si>
  <si>
    <t>http://www.iaea.org/PRIS/CountryStatistics/ReactorDetails.aspx?current=195</t>
  </si>
  <si>
    <t>CHINON B-1</t>
  </si>
  <si>
    <t>http://www.iaea.org/PRIS/CountryStatistics/ReactorDetails.aspx?current=196</t>
  </si>
  <si>
    <t>CHINON B-2</t>
  </si>
  <si>
    <t>http://www.iaea.org/PRIS/CountryStatistics/ReactorDetails.aspx?current=197</t>
  </si>
  <si>
    <t>CHINON B-3</t>
  </si>
  <si>
    <t>http://www.iaea.org/PRIS/CountryStatistics/ReactorDetails.aspx?current=213</t>
  </si>
  <si>
    <t>CHINON B-4</t>
  </si>
  <si>
    <t>http://www.iaea.org/PRIS/CountryStatistics/ReactorDetails.aspx?current=214</t>
  </si>
  <si>
    <t>CHOOZ B-1</t>
  </si>
  <si>
    <t>CHARLEVILLE</t>
  </si>
  <si>
    <t>http://www.iaea.org/PRIS/CountryStatistics/ReactorDetails.aspx?current=220</t>
  </si>
  <si>
    <t>CHOOZ B-2</t>
  </si>
  <si>
    <t>http://www.iaea.org/PRIS/CountryStatistics/ReactorDetails.aspx?current=226</t>
  </si>
  <si>
    <t>CHOOZ-A (ARDENNES)</t>
  </si>
  <si>
    <t>http://www.iaea.org/PRIS/CountryStatistics/ReactorDetails.aspx?current=206</t>
  </si>
  <si>
    <t>CIVAUX-1</t>
  </si>
  <si>
    <t>CIVAUX</t>
  </si>
  <si>
    <t>http://www.iaea.org/PRIS/CountryStatistics/ReactorDetails.aspx?current=227</t>
  </si>
  <si>
    <t>CIVAUX-2</t>
  </si>
  <si>
    <t>http://www.iaea.org/PRIS/CountryStatistics/ReactorDetails.aspx?current=228</t>
  </si>
  <si>
    <t>CRUAS-1</t>
  </si>
  <si>
    <t>CRUAS</t>
  </si>
  <si>
    <t>http://www.iaea.org/PRIS/CountryStatistics/ReactorDetails.aspx?current=198</t>
  </si>
  <si>
    <t>CRUAS-2</t>
  </si>
  <si>
    <t>http://www.iaea.org/PRIS/CountryStatistics/ReactorDetails.aspx?current=199</t>
  </si>
  <si>
    <t>CRUAS-3</t>
  </si>
  <si>
    <t>http://www.iaea.org/PRIS/CountryStatistics/ReactorDetails.aspx?current=200</t>
  </si>
  <si>
    <t>CRUAS-4</t>
  </si>
  <si>
    <t>http://www.iaea.org/PRIS/CountryStatistics/ReactorDetails.aspx?current=201</t>
  </si>
  <si>
    <t>DAMPIERRE-1</t>
  </si>
  <si>
    <t>DAMPIERRE-EN-BURLY</t>
  </si>
  <si>
    <t>http://www.iaea.org/PRIS/CountryStatistics/ReactorDetails.aspx?current=176</t>
  </si>
  <si>
    <t>DAMPIERRE-2</t>
  </si>
  <si>
    <t>http://www.iaea.org/PRIS/CountryStatistics/ReactorDetails.aspx?current=183</t>
  </si>
  <si>
    <t>DAMPIERRE-3</t>
  </si>
  <si>
    <t>http://www.iaea.org/PRIS/CountryStatistics/ReactorDetails.aspx?current=185</t>
  </si>
  <si>
    <t>DAMPIERRE-4</t>
  </si>
  <si>
    <t>http://www.iaea.org/PRIS/CountryStatistics/ReactorDetails.aspx?current=186</t>
  </si>
  <si>
    <t>EL-4 (MONTS DARREE)</t>
  </si>
  <si>
    <t>BRENNILIS</t>
  </si>
  <si>
    <t>http://www.iaea.org/PRIS/CountryStatistics/ReactorDetails.aspx?current=217</t>
  </si>
  <si>
    <t>FESSENHEIM-1</t>
  </si>
  <si>
    <t>FESSENHEIM</t>
  </si>
  <si>
    <t>http://www.iaea.org/PRIS/CountryStatistics/ReactorDetails.aspx?current=163</t>
  </si>
  <si>
    <t>FESSENHEIM-2</t>
  </si>
  <si>
    <t>http://www.iaea.org/PRIS/CountryStatistics/ReactorDetails.aspx?current=164</t>
  </si>
  <si>
    <t>FLAMANVILLE-1</t>
  </si>
  <si>
    <t>FLAMANVILLE</t>
  </si>
  <si>
    <t>http://www.iaea.org/PRIS/CountryStatistics/ReactorDetails.aspx?current=202</t>
  </si>
  <si>
    <t>FLAMANVILLE-2</t>
  </si>
  <si>
    <t>http://www.iaea.org/PRIS/CountryStatistics/ReactorDetails.aspx?current=203</t>
  </si>
  <si>
    <t>FLAMANVILLE-3</t>
  </si>
  <si>
    <t>http://www.iaea.org/PRIS/CountryStatistics/ReactorDetails.aspx?current=873</t>
  </si>
  <si>
    <t>G-2 (MARCOULE)</t>
  </si>
  <si>
    <t>MARCOULE</t>
  </si>
  <si>
    <t>http://www.iaea.org/PRIS/CountryStatistics/ReactorDetails.aspx?current=172</t>
  </si>
  <si>
    <t>G-3 (MARCOULE)</t>
  </si>
  <si>
    <t>http://www.iaea.org/PRIS/CountryStatistics/ReactorDetails.aspx?current=161</t>
  </si>
  <si>
    <t>GOLFECH-1</t>
  </si>
  <si>
    <t>AGEN</t>
  </si>
  <si>
    <t>http://www.iaea.org/PRIS/CountryStatistics/ReactorDetails.aspx?current=219</t>
  </si>
  <si>
    <t>GOLFECH-2</t>
  </si>
  <si>
    <t>http://www.iaea.org/PRIS/CountryStatistics/ReactorDetails.aspx?current=224</t>
  </si>
  <si>
    <t>GRAVELINES-1</t>
  </si>
  <si>
    <t>GRAVELINES</t>
  </si>
  <si>
    <t>http://www.iaea.org/PRIS/CountryStatistics/ReactorDetails.aspx?current=174</t>
  </si>
  <si>
    <t>GRAVELINES-2</t>
  </si>
  <si>
    <t>http://www.iaea.org/PRIS/CountryStatistics/ReactorDetails.aspx?current=175</t>
  </si>
  <si>
    <t>GRAVELINES-3</t>
  </si>
  <si>
    <t>http://www.iaea.org/PRIS/CountryStatistics/ReactorDetails.aspx?current=181</t>
  </si>
  <si>
    <t>GRAVELINES-4</t>
  </si>
  <si>
    <t>http://www.iaea.org/PRIS/CountryStatistics/ReactorDetails.aspx?current=182</t>
  </si>
  <si>
    <t>GRAVELINES-5</t>
  </si>
  <si>
    <t>http://www.iaea.org/PRIS/CountryStatistics/ReactorDetails.aspx?current=208</t>
  </si>
  <si>
    <t>GRAVELINES-6</t>
  </si>
  <si>
    <t>http://www.iaea.org/PRIS/CountryStatistics/ReactorDetails.aspx?current=209</t>
  </si>
  <si>
    <t>NOGENT-1</t>
  </si>
  <si>
    <t>NOGENT-SUR-SEINE</t>
  </si>
  <si>
    <t>http://www.iaea.org/PRIS/CountryStatistics/ReactorDetails.aspx?current=215</t>
  </si>
  <si>
    <t>NOGENT-2</t>
  </si>
  <si>
    <t>http://www.iaea.org/PRIS/CountryStatistics/ReactorDetails.aspx?current=216</t>
  </si>
  <si>
    <t>PALUEL-1</t>
  </si>
  <si>
    <t>PALUEL</t>
  </si>
  <si>
    <t>http://www.iaea.org/PRIS/CountryStatistics/ReactorDetails.aspx?current=191</t>
  </si>
  <si>
    <t>PALUEL-2</t>
  </si>
  <si>
    <t>DE</t>
  </si>
  <si>
    <t>http://www.iaea.org/PRIS/CountryStatistics/ReactorDetails.aspx?current=192</t>
  </si>
  <si>
    <t>GERMANY</t>
  </si>
  <si>
    <t>PALUEL-3</t>
  </si>
  <si>
    <t>KAHL</t>
  </si>
  <si>
    <t>http://www.iaea.org/PRIS/CountryStatistics/ReactorDetails.aspx?current=193</t>
  </si>
  <si>
    <t>PALUEL-4</t>
  </si>
  <si>
    <t>http://www.iaea.org/PRIS/CountryStatistics/ReactorDetails.aspx?current=194</t>
  </si>
  <si>
    <t>PENLY-1</t>
  </si>
  <si>
    <t>PENLY</t>
  </si>
  <si>
    <t>http://www.iaea.org/PRIS/CountryStatistics/ReactorDetails.aspx?current=221</t>
  </si>
  <si>
    <t>STADE</t>
  </si>
  <si>
    <t>PENLY-2</t>
  </si>
  <si>
    <t>http://www.iaea.org/PRIS/CountryStatistics/ReactorDetails.aspx?current=222</t>
  </si>
  <si>
    <t>NIEDERAICHBACH</t>
  </si>
  <si>
    <t>PHENIX</t>
  </si>
  <si>
    <t>http://www.iaea.org/PRIS/CountryStatistics/ReactorDetails.aspx?current=162</t>
  </si>
  <si>
    <t>ST. ALBAN-1</t>
  </si>
  <si>
    <t>SAINT-MAURICE-LEXIL</t>
  </si>
  <si>
    <t>http://www.iaea.org/PRIS/CountryStatistics/ReactorDetails.aspx?current=204</t>
  </si>
  <si>
    <t>ST. ALBAN-2</t>
  </si>
  <si>
    <t>BIBLIS</t>
  </si>
  <si>
    <t>http://www.iaea.org/PRIS/CountryStatistics/ReactorDetails.aspx?current=205</t>
  </si>
  <si>
    <t>BRUNSBUETTEL</t>
  </si>
  <si>
    <t>ST. LAURENT A-1</t>
  </si>
  <si>
    <t>ST. LAURENT DES EAUX</t>
  </si>
  <si>
    <t>http://www.iaea.org/PRIS/CountryStatistics/ReactorDetails.aspx?current=225</t>
  </si>
  <si>
    <t>PHILIPPSBURG</t>
  </si>
  <si>
    <t>ST. LAURENT A-2</t>
  </si>
  <si>
    <t>http://www.iaea.org/PRIS/CountryStatistics/ReactorDetails.aspx?current=229</t>
  </si>
  <si>
    <t>ST. LAURENT B-1</t>
  </si>
  <si>
    <t>NECKARWESTHEIM</t>
  </si>
  <si>
    <t>http://www.iaea.org/PRIS/CountryStatistics/ReactorDetails.aspx?current=169</t>
  </si>
  <si>
    <t>ST. LAURENT B-2</t>
  </si>
  <si>
    <t>http://www.iaea.org/PRIS/CountryStatistics/ReactorDetails.aspx?current=177</t>
  </si>
  <si>
    <t>SUPER-PHENIX</t>
  </si>
  <si>
    <t>CREYS-MALVILLE</t>
  </si>
  <si>
    <t>http://www.iaea.org/PRIS/CountryStatistics/ReactorDetails.aspx?current=178</t>
  </si>
  <si>
    <t>ESSENBACH</t>
  </si>
  <si>
    <t>TRICASTIN-1</t>
  </si>
  <si>
    <t>PIERRELATTE</t>
  </si>
  <si>
    <t>http://www.iaea.org/PRIS/CountryStatistics/ReactorDetails.aspx?current=170</t>
  </si>
  <si>
    <t>TRICASTIN-2</t>
  </si>
  <si>
    <t>http://www.iaea.org/PRIS/CountryStatistics/ReactorDetails.aspx?current=171</t>
  </si>
  <si>
    <t>STADLAND</t>
  </si>
  <si>
    <t>TRICASTIN-3</t>
  </si>
  <si>
    <t>http://www.iaea.org/PRIS/CountryStatistics/ReactorDetails.aspx?current=179</t>
  </si>
  <si>
    <t>TRICASTIN-4</t>
  </si>
  <si>
    <t>http://www.iaea.org/PRIS/CountryStatistics/ReactorDetails.aspx?current=180</t>
  </si>
  <si>
    <t>AVR JUELICH</t>
  </si>
  <si>
    <t>JUELICH</t>
  </si>
  <si>
    <t>http://www.iaea.org/PRIS/CountryStatistics/ReactorDetails.aspx?current=114</t>
  </si>
  <si>
    <t>BIBLIS-A</t>
  </si>
  <si>
    <t>http://www.iaea.org/PRIS/CountryStatistics/ReactorDetails.aspx?current=85</t>
  </si>
  <si>
    <t>HAMM-UENTROP</t>
  </si>
  <si>
    <t>BIBLIS-B</t>
  </si>
  <si>
    <t>http://www.iaea.org/PRIS/CountryStatistics/ReactorDetails.aspx?current=91</t>
  </si>
  <si>
    <t>BROKDORF</t>
  </si>
  <si>
    <t>OSTERENDE</t>
  </si>
  <si>
    <t>http://www.iaea.org/PRIS/CountryStatistics/ReactorDetails.aspx?current=107</t>
  </si>
  <si>
    <t>KARLSRUHE</t>
  </si>
  <si>
    <t>http://www.iaea.org/PRIS/CountryStatistics/ReactorDetails.aspx?current=86</t>
  </si>
  <si>
    <t>EMSLAND</t>
  </si>
  <si>
    <t>LINGEN (EMS)</t>
  </si>
  <si>
    <t>http://www.iaea.org/PRIS/CountryStatistics/ReactorDetails.aspx?current=108</t>
  </si>
  <si>
    <t>GRAFENRHEINFELD</t>
  </si>
  <si>
    <t>SCHWEINFURT</t>
  </si>
  <si>
    <t>GEESTHACHT</t>
  </si>
  <si>
    <t>http://www.iaea.org/PRIS/CountryStatistics/ReactorDetails.aspx?current=97</t>
  </si>
  <si>
    <t>GREIFSWALD-1</t>
  </si>
  <si>
    <t>GREIFSWALD</t>
  </si>
  <si>
    <t>http://www.iaea.org/PRIS/CountryStatistics/ReactorDetails.aspx?current=123</t>
  </si>
  <si>
    <t>GREIFSWALD-2</t>
  </si>
  <si>
    <t>http://www.iaea.org/PRIS/CountryStatistics/ReactorDetails.aspx?current=124</t>
  </si>
  <si>
    <t>GREIFSWALD-3</t>
  </si>
  <si>
    <t>MULHEIM-KAERLICH</t>
  </si>
  <si>
    <t>http://www.iaea.org/PRIS/CountryStatistics/ReactorDetails.aspx?current=125</t>
  </si>
  <si>
    <t>GREIFSWALD-4</t>
  </si>
  <si>
    <t>http://www.iaea.org/PRIS/CountryStatistics/ReactorDetails.aspx?current=126</t>
  </si>
  <si>
    <t>GREIFSWALD-5</t>
  </si>
  <si>
    <t>http://www.iaea.org/PRIS/CountryStatistics/ReactorDetails.aspx?current=127</t>
  </si>
  <si>
    <t>GROHNDE</t>
  </si>
  <si>
    <t>http://www.iaea.org/PRIS/CountryStatistics/ReactorDetails.aspx?current=101</t>
  </si>
  <si>
    <t>GUNDREMMINGEN-A</t>
  </si>
  <si>
    <t>GUNDREMMINGEN</t>
  </si>
  <si>
    <t>http://www.iaea.org/PRIS/CountryStatistics/ReactorDetails.aspx?current=104</t>
  </si>
  <si>
    <t>GUNDREMMINGEN-B</t>
  </si>
  <si>
    <t>http://www.iaea.org/PRIS/CountryStatistics/ReactorDetails.aspx?current=100</t>
  </si>
  <si>
    <t>GUNDREMMINGEN-C</t>
  </si>
  <si>
    <t>http://www.iaea.org/PRIS/CountryStatistics/ReactorDetails.aspx?current=102</t>
  </si>
  <si>
    <t>HDR GROSSWELZHEIM</t>
  </si>
  <si>
    <t>KARLSTEIN</t>
  </si>
  <si>
    <t>http://www.iaea.org/PRIS/CountryStatistics/ReactorDetails.aspx?current=134</t>
  </si>
  <si>
    <t>ISAR-1</t>
  </si>
  <si>
    <t>http://www.iaea.org/PRIS/CountryStatistics/ReactorDetails.aspx?current=89</t>
  </si>
  <si>
    <t>ISAR-2</t>
  </si>
  <si>
    <t>http://www.iaea.org/PRIS/CountryStatistics/ReactorDetails.aspx?current=106</t>
  </si>
  <si>
    <t>KNK II</t>
  </si>
  <si>
    <t>EGGENSTEIN</t>
  </si>
  <si>
    <t>http://www.iaea.org/PRIS/CountryStatistics/ReactorDetails.aspx?current=135</t>
  </si>
  <si>
    <t>KRUEMMEL</t>
  </si>
  <si>
    <t>http://www.iaea.org/PRIS/CountryStatistics/ReactorDetails.aspx?current=94</t>
  </si>
  <si>
    <t>LINGEN</t>
  </si>
  <si>
    <t>http://www.iaea.org/PRIS/CountryStatistics/ReactorDetails.aspx?current=133</t>
  </si>
  <si>
    <t>MUELHEIM-KAERLICH</t>
  </si>
  <si>
    <t>http://www.iaea.org/PRIS/CountryStatistics/ReactorDetails.aspx?current=96</t>
  </si>
  <si>
    <t>MZFR</t>
  </si>
  <si>
    <t>http://www.iaea.org/PRIS/CountryStatistics/ReactorDetails.aspx?current=93</t>
  </si>
  <si>
    <t>NECKARWESTHEIM-1</t>
  </si>
  <si>
    <t>http://www.iaea.org/PRIS/CountryStatistics/ReactorDetails.aspx?current=88</t>
  </si>
  <si>
    <t>NECKARWESTHEIM-2</t>
  </si>
  <si>
    <t>http://www.iaea.org/PRIS/CountryStatistics/ReactorDetails.aspx?current=119</t>
  </si>
  <si>
    <t>http://www.iaea.org/PRIS/CountryStatistics/ReactorDetails.aspx?current=84</t>
  </si>
  <si>
    <t>OBRIGHEIM</t>
  </si>
  <si>
    <t>http://www.iaea.org/PRIS/CountryStatistics/ReactorDetails.aspx?current=121</t>
  </si>
  <si>
    <t>PHILIPPSBURG-1</t>
  </si>
  <si>
    <t>http://www.iaea.org/PRIS/CountryStatistics/ReactorDetails.aspx?current=87</t>
  </si>
  <si>
    <t>PHILIPPSBURG-2</t>
  </si>
  <si>
    <t>http://www.iaea.org/PRIS/CountryStatistics/ReactorDetails.aspx?current=98</t>
  </si>
  <si>
    <t>RHEINSBERG</t>
  </si>
  <si>
    <t>GRANSEE</t>
  </si>
  <si>
    <t>http://www.iaea.org/PRIS/CountryStatistics/ReactorDetails.aspx?current=122</t>
  </si>
  <si>
    <t>http://www.iaea.org/PRIS/CountryStatistics/ReactorDetails.aspx?current=83</t>
  </si>
  <si>
    <t>THTR-300</t>
  </si>
  <si>
    <t>http://www.iaea.org/PRIS/CountryStatistics/ReactorDetails.aspx?current=92</t>
  </si>
  <si>
    <t>UNTERWESER</t>
  </si>
  <si>
    <t>http://www.iaea.org/PRIS/CountryStatistics/ReactorDetails.aspx?current=90</t>
  </si>
  <si>
    <t>VAK KAHL</t>
  </si>
  <si>
    <t>http://www.iaea.org/PRIS/CountryStatistics/ReactorDetails.aspx?current=82</t>
  </si>
  <si>
    <t>WUERGASSEN</t>
  </si>
  <si>
    <t>http://www.iaea.org/PRIS/CountryStatistics/ReactorDetails.aspx?current=136</t>
  </si>
  <si>
    <t>HU</t>
  </si>
  <si>
    <t>HUNGARY</t>
  </si>
  <si>
    <t>PAKS-1</t>
  </si>
  <si>
    <t>PAKS</t>
  </si>
  <si>
    <t>http://www.iaea.org/PRIS/CountryStatistics/ReactorDetails.aspx?current=278</t>
  </si>
  <si>
    <t>PAKS-2</t>
  </si>
  <si>
    <t>http://www.iaea.org/PRIS/CountryStatistics/ReactorDetails.aspx?current=279</t>
  </si>
  <si>
    <t>PAKS-3</t>
  </si>
  <si>
    <t>http://www.iaea.org/PRIS/CountryStatistics/ReactorDetails.aspx?current=280</t>
  </si>
  <si>
    <t>PAKS-4</t>
  </si>
  <si>
    <t>http://www.iaea.org/PRIS/CountryStatistics/ReactorDetails.aspx?current=281</t>
  </si>
  <si>
    <t>IN</t>
  </si>
  <si>
    <t>INDIA</t>
  </si>
  <si>
    <t>KAIGA-1</t>
  </si>
  <si>
    <t>KAIGA</t>
  </si>
  <si>
    <t>http://www.iaea.org/PRIS/CountryStatistics/ReactorDetails.aspx?current=289</t>
  </si>
  <si>
    <t>KAIGA-2</t>
  </si>
  <si>
    <t>http://www.iaea.org/PRIS/CountryStatistics/ReactorDetails.aspx?current=290</t>
  </si>
  <si>
    <t>KAIGA-3</t>
  </si>
  <si>
    <t>http://www.iaea.org/PRIS/CountryStatistics/ReactorDetails.aspx?current=291</t>
  </si>
  <si>
    <t>KAIGA-4</t>
  </si>
  <si>
    <t>http://www.iaea.org/PRIS/CountryStatistics/ReactorDetails.aspx?current=292</t>
  </si>
  <si>
    <t>KAKRAPAR-1</t>
  </si>
  <si>
    <t>SURAT</t>
  </si>
  <si>
    <t>http://www.iaea.org/PRIS/CountryStatistics/ReactorDetails.aspx?current=308</t>
  </si>
  <si>
    <t>KAKRAPAR-2</t>
  </si>
  <si>
    <t>http://www.iaea.org/PRIS/CountryStatistics/ReactorDetails.aspx?current=286</t>
  </si>
  <si>
    <t>KAKRAPAR-3</t>
  </si>
  <si>
    <t>http://www.iaea.org/PRIS/CountryStatistics/ReactorDetails.aspx?current=986</t>
  </si>
  <si>
    <t>KAKRAPAR-4</t>
  </si>
  <si>
    <t>http://www.iaea.org/PRIS/CountryStatistics/ReactorDetails.aspx?current=987</t>
  </si>
  <si>
    <t>KUDANKULAM-1</t>
  </si>
  <si>
    <t>Tirunellveli-Kattabomman</t>
  </si>
  <si>
    <t>http://www.iaea.org/PRIS/CountryStatistics/ReactorDetails.aspx?current=852</t>
  </si>
  <si>
    <t>KUDANKULAM-2</t>
  </si>
  <si>
    <t>http://www.iaea.org/PRIS/CountryStatistics/ReactorDetails.aspx?current=853</t>
  </si>
  <si>
    <t>MADRAS-1</t>
  </si>
  <si>
    <t>MADRAS</t>
  </si>
  <si>
    <t>http://www.iaea.org/PRIS/CountryStatistics/ReactorDetails.aspx?current=304</t>
  </si>
  <si>
    <t>MADRAS-2</t>
  </si>
  <si>
    <t>http://www.iaea.org/PRIS/CountryStatistics/ReactorDetails.aspx?current=305</t>
  </si>
  <si>
    <t>NARORA-1</t>
  </si>
  <si>
    <t>NARORA</t>
  </si>
  <si>
    <t>http://www.iaea.org/PRIS/CountryStatistics/ReactorDetails.aspx?current=306</t>
  </si>
  <si>
    <t>NARORA-2</t>
  </si>
  <si>
    <t>http://www.iaea.org/PRIS/CountryStatistics/ReactorDetails.aspx?current=307</t>
  </si>
  <si>
    <t>PFBR</t>
  </si>
  <si>
    <t>http://www.iaea.org/PRIS/CountryStatistics/ReactorDetails.aspx?current=859</t>
  </si>
  <si>
    <t>RAJASTHAN-1</t>
  </si>
  <si>
    <t>KOTA</t>
  </si>
  <si>
    <t>http://www.iaea.org/PRIS/CountryStatistics/ReactorDetails.aspx?current=302</t>
  </si>
  <si>
    <t>RAJASTHAN-2</t>
  </si>
  <si>
    <t>http://www.iaea.org/PRIS/CountryStatistics/ReactorDetails.aspx?current=303</t>
  </si>
  <si>
    <t>RAJASTHAN-3</t>
  </si>
  <si>
    <t>http://www.iaea.org/PRIS/CountryStatistics/ReactorDetails.aspx?current=287</t>
  </si>
  <si>
    <t>RAJASTHAN-4</t>
  </si>
  <si>
    <t>http://www.iaea.org/PRIS/CountryStatistics/ReactorDetails.aspx?current=288</t>
  </si>
  <si>
    <t>RAJASTHAN-5</t>
  </si>
  <si>
    <t>http://www.iaea.org/PRIS/CountryStatistics/ReactorDetails.aspx?current=295</t>
  </si>
  <si>
    <t>RAJASTHAN-6</t>
  </si>
  <si>
    <t>http://www.iaea.org/PRIS/CountryStatistics/ReactorDetails.aspx?current=297</t>
  </si>
  <si>
    <t>RAJASTHAN-7</t>
  </si>
  <si>
    <t>http://www.iaea.org/PRIS/CountryStatistics/ReactorDetails.aspx?current=298</t>
  </si>
  <si>
    <t>RAJASTHAN-8</t>
  </si>
  <si>
    <t>http://www.iaea.org/PRIS/CountryStatistics/ReactorDetails.aspx?current=299</t>
  </si>
  <si>
    <t>ES</t>
  </si>
  <si>
    <t>SPAIN</t>
  </si>
  <si>
    <t>TARAPUR-1</t>
  </si>
  <si>
    <t>BOISAR</t>
  </si>
  <si>
    <t>ALMONACID DE ZORITA</t>
  </si>
  <si>
    <t>http://www.iaea.org/PRIS/CountryStatistics/ReactorDetails.aspx?current=285</t>
  </si>
  <si>
    <t>TARAPUR-2</t>
  </si>
  <si>
    <t>http://www.iaea.org/PRIS/CountryStatistics/ReactorDetails.aspx?current=296</t>
  </si>
  <si>
    <t>TARAPUR-3</t>
  </si>
  <si>
    <t>http://www.iaea.org/PRIS/CountryStatistics/ReactorDetails.aspx?current=300</t>
  </si>
  <si>
    <t>COFRENTES</t>
  </si>
  <si>
    <t>TARAPUR-4</t>
  </si>
  <si>
    <t>http://www.iaea.org/PRIS/CountryStatistics/ReactorDetails.aspx?current=301</t>
  </si>
  <si>
    <t>IR</t>
  </si>
  <si>
    <t>IRAN, ISLAMIC REPUBLIC OF</t>
  </si>
  <si>
    <t>BUSHEHR-1</t>
  </si>
  <si>
    <t>HALILEH</t>
  </si>
  <si>
    <t>http://www.iaea.org/PRIS/CountryStatistics/ReactorDetails.aspx?current=310</t>
  </si>
  <si>
    <t>IT</t>
  </si>
  <si>
    <t>ITALY</t>
  </si>
  <si>
    <t>TRILLO</t>
  </si>
  <si>
    <t>CAORSO</t>
  </si>
  <si>
    <t>http://www.iaea.org/PRIS/CountryStatistics/ReactorDetails.aspx?current=327</t>
  </si>
  <si>
    <t>ENRICO FERMI</t>
  </si>
  <si>
    <t>TRINO VERCELLESE</t>
  </si>
  <si>
    <t>http://www.iaea.org/PRIS/CountryStatistics/ReactorDetails.aspx?current=326</t>
  </si>
  <si>
    <t>GARIGLIANO</t>
  </si>
  <si>
    <t>SESSA AURUNEA</t>
  </si>
  <si>
    <t>VANDELLOS</t>
  </si>
  <si>
    <t>http://www.iaea.org/PRIS/CountryStatistics/ReactorDetails.aspx?current=325</t>
  </si>
  <si>
    <t>LATINA</t>
  </si>
  <si>
    <t>BORGO SABOTINO</t>
  </si>
  <si>
    <t>http://www.iaea.org/PRIS/CountryStatistics/ReactorDetails.aspx?current=318</t>
  </si>
  <si>
    <t>JP</t>
  </si>
  <si>
    <t>JAPAN</t>
  </si>
  <si>
    <t>FUGEN ATR</t>
  </si>
  <si>
    <t>TSURUGA</t>
  </si>
  <si>
    <t>http://www.iaea.org/PRIS/CountryStatistics/ReactorDetails.aspx?current=345</t>
  </si>
  <si>
    <t>FUKUSHIMA-DAIICHI-1</t>
  </si>
  <si>
    <t>OHKUMA-MACHI</t>
  </si>
  <si>
    <t>SANTA MARIA DE GARONA</t>
  </si>
  <si>
    <t>Long-term Shutdown</t>
  </si>
  <si>
    <t>http://www.iaea.org/PRIS/CountryStatistics/ReactorDetails.aspx?current=377</t>
  </si>
  <si>
    <t>FUKUSHIMA-DAIICHI-2</t>
  </si>
  <si>
    <t>http://www.iaea.org/PRIS/CountryStatistics/ReactorDetails.aspx?current=389</t>
  </si>
  <si>
    <t>FUKUSHIMA-DAIICHI-3</t>
  </si>
  <si>
    <t>http://www.iaea.org/PRIS/CountryStatistics/ReactorDetails.aspx?current=334</t>
  </si>
  <si>
    <t>FUKUSHIMA-DAIICHI-4</t>
  </si>
  <si>
    <t>http://www.iaea.org/PRIS/CountryStatistics/ReactorDetails.aspx?current=340</t>
  </si>
  <si>
    <t>FUKUSHIMA-DAIICHI-5</t>
  </si>
  <si>
    <t>http://www.iaea.org/PRIS/CountryStatistics/ReactorDetails.aspx?current=341</t>
  </si>
  <si>
    <t>FUKUSHIMA-DAIICHI-6</t>
  </si>
  <si>
    <t>ALMARAZ</t>
  </si>
  <si>
    <t>http://www.iaea.org/PRIS/CountryStatistics/ReactorDetails.aspx?current=342</t>
  </si>
  <si>
    <t>FUKUSHIMA-DAINI-1</t>
  </si>
  <si>
    <t>NARAHA-MACHI</t>
  </si>
  <si>
    <t>http://www.iaea.org/PRIS/CountryStatistics/ReactorDetails.aspx?current=350</t>
  </si>
  <si>
    <t>FUKUSHIMA-DAINI-2</t>
  </si>
  <si>
    <t>http://www.iaea.org/PRIS/CountryStatistics/ReactorDetails.aspx?current=351</t>
  </si>
  <si>
    <t>FUKUSHIMA-DAINI-3</t>
  </si>
  <si>
    <t>http://www.iaea.org/PRIS/CountryStatistics/ReactorDetails.aspx?current=361</t>
  </si>
  <si>
    <t>FUKUSHIMA-DAINI-4</t>
  </si>
  <si>
    <t>http://www.iaea.org/PRIS/CountryStatistics/ReactorDetails.aspx?current=364</t>
  </si>
  <si>
    <t>ASCO</t>
  </si>
  <si>
    <t>GENKAI-1</t>
  </si>
  <si>
    <t>GENKAI-CHO</t>
  </si>
  <si>
    <t>http://www.iaea.org/PRIS/CountryStatistics/ReactorDetails.aspx?current=336</t>
  </si>
  <si>
    <t>GENKAI-2</t>
  </si>
  <si>
    <t>http://www.iaea.org/PRIS/CountryStatistics/ReactorDetails.aspx?current=352</t>
  </si>
  <si>
    <t>GENKAI-3</t>
  </si>
  <si>
    <t>http://www.iaea.org/PRIS/CountryStatistics/ReactorDetails.aspx?current=372</t>
  </si>
  <si>
    <t>GENKAI-4</t>
  </si>
  <si>
    <t>http://www.iaea.org/PRIS/CountryStatistics/ReactorDetails.aspx?current=373</t>
  </si>
  <si>
    <t>HAMAOKA-1</t>
  </si>
  <si>
    <t>OMAEZAKI-SHI</t>
  </si>
  <si>
    <t>http://www.iaea.org/PRIS/CountryStatistics/ReactorDetails.aspx?current=335</t>
  </si>
  <si>
    <t>HAMAOKA-2</t>
  </si>
  <si>
    <t>http://www.iaea.org/PRIS/CountryStatistics/ReactorDetails.aspx?current=349</t>
  </si>
  <si>
    <t>HAMAOKA-3</t>
  </si>
  <si>
    <t>http://www.iaea.org/PRIS/CountryStatistics/ReactorDetails.aspx?current=362</t>
  </si>
  <si>
    <t>HAMAOKA-4</t>
  </si>
  <si>
    <t>http://www.iaea.org/PRIS/CountryStatistics/ReactorDetails.aspx?current=376</t>
  </si>
  <si>
    <t>HAMAOKA-5</t>
  </si>
  <si>
    <t>http://www.iaea.org/PRIS/CountryStatistics/ReactorDetails.aspx?current=843</t>
  </si>
  <si>
    <t>HIGASHI DORI-1 (TOHOKU)</t>
  </si>
  <si>
    <t>Higashidori-mura</t>
  </si>
  <si>
    <t>http://www.iaea.org/PRIS/CountryStatistics/ReactorDetails.aspx?current=841</t>
  </si>
  <si>
    <t>IKATA-1</t>
  </si>
  <si>
    <t>IKATA-CHO</t>
  </si>
  <si>
    <t>http://www.iaea.org/PRIS/CountryStatistics/ReactorDetails.aspx?current=348</t>
  </si>
  <si>
    <t>IKATA-2</t>
  </si>
  <si>
    <t>http://www.iaea.org/PRIS/CountryStatistics/ReactorDetails.aspx?current=358</t>
  </si>
  <si>
    <t>IKATA-3</t>
  </si>
  <si>
    <t>http://www.iaea.org/PRIS/CountryStatistics/ReactorDetails.aspx?current=374</t>
  </si>
  <si>
    <t>JPDR</t>
  </si>
  <si>
    <t>TOKAI-MURA</t>
  </si>
  <si>
    <t>http://www.iaea.org/PRIS/CountryStatistics/ReactorDetails.aspx?current=333</t>
  </si>
  <si>
    <t>KASHIWAZAKI KARIWA-1</t>
  </si>
  <si>
    <t>KASHIWAZAKI-SHI</t>
  </si>
  <si>
    <t>http://www.iaea.org/PRIS/CountryStatistics/ReactorDetails.aspx?current=359</t>
  </si>
  <si>
    <t>KASHIWAZAKI KARIWA-2</t>
  </si>
  <si>
    <t>http://www.iaea.org/PRIS/CountryStatistics/ReactorDetails.aspx?current=365</t>
  </si>
  <si>
    <t>KASHIWAZAKI KARIWA-3</t>
  </si>
  <si>
    <t>http://www.iaea.org/PRIS/CountryStatistics/ReactorDetails.aspx?current=380</t>
  </si>
  <si>
    <t>KASHIWAZAKI KARIWA-4</t>
  </si>
  <si>
    <t>http://www.iaea.org/PRIS/CountryStatistics/ReactorDetails.aspx?current=381</t>
  </si>
  <si>
    <t>KASHIWAZAKI KARIWA-5</t>
  </si>
  <si>
    <t>http://www.iaea.org/PRIS/CountryStatistics/ReactorDetails.aspx?current=367</t>
  </si>
  <si>
    <t>KASHIWAZAKI KARIWA-6</t>
  </si>
  <si>
    <t>http://www.iaea.org/PRIS/CountryStatistics/ReactorDetails.aspx?current=383</t>
  </si>
  <si>
    <t>KASHIWAZAKI KARIWA-7</t>
  </si>
  <si>
    <t>http://www.iaea.org/PRIS/CountryStatistics/ReactorDetails.aspx?current=384</t>
  </si>
  <si>
    <t>MIHAMA-1</t>
  </si>
  <si>
    <t>MIHAMA</t>
  </si>
  <si>
    <t>http://www.iaea.org/PRIS/CountryStatistics/ReactorDetails.aspx?current=366</t>
  </si>
  <si>
    <t>MIHAMA-2</t>
  </si>
  <si>
    <t>http://www.iaea.org/PRIS/CountryStatistics/ReactorDetails.aspx?current=386</t>
  </si>
  <si>
    <t>MIHAMA-3</t>
  </si>
  <si>
    <t>http://www.iaea.org/PRIS/CountryStatistics/ReactorDetails.aspx?current=338</t>
  </si>
  <si>
    <t>MONJU</t>
  </si>
  <si>
    <t>http://www.iaea.org/PRIS/CountryStatistics/ReactorDetails.aspx?current=357</t>
  </si>
  <si>
    <t>OHI-1</t>
  </si>
  <si>
    <t>OHI</t>
  </si>
  <si>
    <t>http://www.iaea.org/PRIS/CountryStatistics/ReactorDetails.aspx?current=339</t>
  </si>
  <si>
    <t>OHI-2</t>
  </si>
  <si>
    <t>http://www.iaea.org/PRIS/CountryStatistics/ReactorDetails.aspx?current=343</t>
  </si>
  <si>
    <t>OHI-3</t>
  </si>
  <si>
    <t>http://www.iaea.org/PRIS/CountryStatistics/ReactorDetails.aspx?current=378</t>
  </si>
  <si>
    <t>OHI-4</t>
  </si>
  <si>
    <t>http://www.iaea.org/PRIS/CountryStatistics/ReactorDetails.aspx?current=379</t>
  </si>
  <si>
    <t>OHMA</t>
  </si>
  <si>
    <t>http://www.iaea.org/PRIS/CountryStatistics/ReactorDetails.aspx?current=867</t>
  </si>
  <si>
    <t>ONAGAWA-1</t>
  </si>
  <si>
    <t>ONAGAWA, ISHINOMAKI</t>
  </si>
  <si>
    <t>http://www.iaea.org/PRIS/CountryStatistics/ReactorDetails.aspx?current=347</t>
  </si>
  <si>
    <t>ONAGAWA-2</t>
  </si>
  <si>
    <t>http://www.iaea.org/PRIS/CountryStatistics/ReactorDetails.aspx?current=382</t>
  </si>
  <si>
    <t>ONAGAWA-3</t>
  </si>
  <si>
    <t>http://www.iaea.org/PRIS/CountryStatistics/ReactorDetails.aspx?current=385</t>
  </si>
  <si>
    <t>SENDAI-1</t>
  </si>
  <si>
    <t>SATSUMASENDAI</t>
  </si>
  <si>
    <t>http://www.iaea.org/PRIS/CountryStatistics/ReactorDetails.aspx?current=353</t>
  </si>
  <si>
    <t>SENDAI-2</t>
  </si>
  <si>
    <t>http://www.iaea.org/PRIS/CountryStatistics/ReactorDetails.aspx?current=363</t>
  </si>
  <si>
    <t>SHIKA-1</t>
  </si>
  <si>
    <t>SHIKA-MACHI</t>
  </si>
  <si>
    <t>http://www.iaea.org/PRIS/CountryStatistics/ReactorDetails.aspx?current=375</t>
  </si>
  <si>
    <t>SHIKA-2</t>
  </si>
  <si>
    <t>http://www.iaea.org/PRIS/CountryStatistics/ReactorDetails.aspx?current=842</t>
  </si>
  <si>
    <t>SHIMANE-1</t>
  </si>
  <si>
    <t>MATSUE</t>
  </si>
  <si>
    <t>http://www.iaea.org/PRIS/CountryStatistics/ReactorDetails.aspx?current=387</t>
  </si>
  <si>
    <t>SHIMANE-2</t>
  </si>
  <si>
    <t>http://www.iaea.org/PRIS/CountryStatistics/ReactorDetails.aspx?current=368</t>
  </si>
  <si>
    <t>SHIMANE-3</t>
  </si>
  <si>
    <t>http://www.iaea.org/PRIS/CountryStatistics/ReactorDetails.aspx?current=862</t>
  </si>
  <si>
    <t>TAKAHAMA-1</t>
  </si>
  <si>
    <t>TAKAHAMA</t>
  </si>
  <si>
    <t>http://www.iaea.org/PRIS/CountryStatistics/ReactorDetails.aspx?current=388</t>
  </si>
  <si>
    <t>TAKAHAMA-2</t>
  </si>
  <si>
    <t>http://www.iaea.org/PRIS/CountryStatistics/ReactorDetails.aspx?current=337</t>
  </si>
  <si>
    <t>TAKAHAMA-3</t>
  </si>
  <si>
    <t>http://www.iaea.org/PRIS/CountryStatistics/ReactorDetails.aspx?current=354</t>
  </si>
  <si>
    <t>TAKAHAMA-4</t>
  </si>
  <si>
    <t>http://www.iaea.org/PRIS/CountryStatistics/ReactorDetails.aspx?current=356</t>
  </si>
  <si>
    <t>TOKAI-1</t>
  </si>
  <si>
    <t>TOKAI MURA</t>
  </si>
  <si>
    <t>http://www.iaea.org/PRIS/CountryStatistics/ReactorDetails.aspx?current=344</t>
  </si>
  <si>
    <t>TOKAI-2</t>
  </si>
  <si>
    <t>http://www.iaea.org/PRIS/CountryStatistics/ReactorDetails.aspx?current=346</t>
  </si>
  <si>
    <t>TOMARI-1</t>
  </si>
  <si>
    <t>TOMARI VILLAGE</t>
  </si>
  <si>
    <t>http://www.iaea.org/PRIS/CountryStatistics/ReactorDetails.aspx?current=370</t>
  </si>
  <si>
    <t>TOMARI-2</t>
  </si>
  <si>
    <t>http://www.iaea.org/PRIS/CountryStatistics/ReactorDetails.aspx?current=371</t>
  </si>
  <si>
    <t>TOMARI-3</t>
  </si>
  <si>
    <t>http://www.iaea.org/PRIS/CountryStatistics/ReactorDetails.aspx?current=856</t>
  </si>
  <si>
    <t>TSURUGA-1</t>
  </si>
  <si>
    <t>TSURUGA CITY</t>
  </si>
  <si>
    <t>http://www.iaea.org/PRIS/CountryStatistics/ReactorDetails.aspx?current=355</t>
  </si>
  <si>
    <t>TSURUGA-2</t>
  </si>
  <si>
    <t>http://www.iaea.org/PRIS/CountryStatistics/ReactorDetails.aspx?current=360</t>
  </si>
  <si>
    <t>KZ</t>
  </si>
  <si>
    <t>KAZAKHSTAN</t>
  </si>
  <si>
    <t>AKTAU</t>
  </si>
  <si>
    <t>MANGYSTAU</t>
  </si>
  <si>
    <t>http://www.iaea.org/PRIS/CountryStatistics/ReactorDetails.aspx?current=414</t>
  </si>
  <si>
    <t>KR</t>
  </si>
  <si>
    <t>KOREA, REPUBLIC OF</t>
  </si>
  <si>
    <t>HANBIT-1</t>
  </si>
  <si>
    <t>Yeonggwang-gun</t>
  </si>
  <si>
    <t>http://www.iaea.org/PRIS/CountryStatistics/ReactorDetails.aspx?current=411</t>
  </si>
  <si>
    <t>HANBIT-2</t>
  </si>
  <si>
    <t>http://www.iaea.org/PRIS/CountryStatistics/ReactorDetails.aspx?current=412</t>
  </si>
  <si>
    <t>HANBIT-3</t>
  </si>
  <si>
    <t>http://www.iaea.org/PRIS/CountryStatistics/ReactorDetails.aspx?current=396</t>
  </si>
  <si>
    <t>HANBIT-4</t>
  </si>
  <si>
    <t>http://www.iaea.org/PRIS/CountryStatistics/ReactorDetails.aspx?current=397</t>
  </si>
  <si>
    <t>HANBIT-5</t>
  </si>
  <si>
    <t>http://www.iaea.org/PRIS/CountryStatistics/ReactorDetails.aspx?current=402</t>
  </si>
  <si>
    <t>HANBIT-6</t>
  </si>
  <si>
    <t>http://www.iaea.org/PRIS/CountryStatistics/ReactorDetails.aspx?current=403</t>
  </si>
  <si>
    <t>HANUL-1</t>
  </si>
  <si>
    <t>Ulchin-gun</t>
  </si>
  <si>
    <t>http://www.iaea.org/PRIS/CountryStatistics/ReactorDetails.aspx?current=413</t>
  </si>
  <si>
    <t>HANUL-2</t>
  </si>
  <si>
    <t>http://www.iaea.org/PRIS/CountryStatistics/ReactorDetails.aspx?current=395</t>
  </si>
  <si>
    <t>HANUL-3</t>
  </si>
  <si>
    <t>http://www.iaea.org/PRIS/CountryStatistics/ReactorDetails.aspx?current=398</t>
  </si>
  <si>
    <t>HANUL-4</t>
  </si>
  <si>
    <t>http://www.iaea.org/PRIS/CountryStatistics/ReactorDetails.aspx?current=399</t>
  </si>
  <si>
    <t>HANUL-5</t>
  </si>
  <si>
    <t>http://www.iaea.org/PRIS/CountryStatistics/ReactorDetails.aspx?current=404</t>
  </si>
  <si>
    <t>HANUL-6</t>
  </si>
  <si>
    <t>http://www.iaea.org/PRIS/CountryStatistics/ReactorDetails.aspx?current=406</t>
  </si>
  <si>
    <t>KORI-1</t>
  </si>
  <si>
    <t>Gijang-gun</t>
  </si>
  <si>
    <t>http://www.iaea.org/PRIS/CountryStatistics/ReactorDetails.aspx?current=394</t>
  </si>
  <si>
    <t>KORI-2</t>
  </si>
  <si>
    <t>http://www.iaea.org/PRIS/CountryStatistics/ReactorDetails.aspx?current=405</t>
  </si>
  <si>
    <t>KORI-3</t>
  </si>
  <si>
    <t>http://www.iaea.org/PRIS/CountryStatistics/ReactorDetails.aspx?current=409</t>
  </si>
  <si>
    <t>KORI-4</t>
  </si>
  <si>
    <t>http://www.iaea.org/PRIS/CountryStatistics/ReactorDetails.aspx?current=410</t>
  </si>
  <si>
    <t>SHIN-HANUL-1</t>
  </si>
  <si>
    <t>http://www.iaea.org/PRIS/CountryStatistics/ReactorDetails.aspx?current=887</t>
  </si>
  <si>
    <t>SHIN-HANUL-2</t>
  </si>
  <si>
    <t>http://www.iaea.org/PRIS/CountryStatistics/ReactorDetails.aspx?current=888</t>
  </si>
  <si>
    <t>SHIN-KORI-1</t>
  </si>
  <si>
    <t>Busan &amp; Ulsan</t>
  </si>
  <si>
    <t>http://www.iaea.org/PRIS/CountryStatistics/ReactorDetails.aspx?current=864</t>
  </si>
  <si>
    <t>SHIN-KORI-2</t>
  </si>
  <si>
    <t>http://www.iaea.org/PRIS/CountryStatistics/ReactorDetails.aspx?current=865</t>
  </si>
  <si>
    <t>SHIN-KORI-3</t>
  </si>
  <si>
    <t>Ulsan</t>
  </si>
  <si>
    <t>http://www.iaea.org/PRIS/CountryStatistics/ReactorDetails.aspx?current=885</t>
  </si>
  <si>
    <t>SHIN-KORI-4</t>
  </si>
  <si>
    <t>http://www.iaea.org/PRIS/CountryStatistics/ReactorDetails.aspx?current=886</t>
  </si>
  <si>
    <t>SHIN-WOLSONG-1</t>
  </si>
  <si>
    <t>Gyeongju-si</t>
  </si>
  <si>
    <t>http://www.iaea.org/PRIS/CountryStatistics/ReactorDetails.aspx?current=883</t>
  </si>
  <si>
    <t>SHIN-WOLSONG-2</t>
  </si>
  <si>
    <t>http://www.iaea.org/PRIS/CountryStatistics/ReactorDetails.aspx?current=884</t>
  </si>
  <si>
    <t>WOLSONG-1</t>
  </si>
  <si>
    <t>http://www.iaea.org/PRIS/CountryStatistics/ReactorDetails.aspx?current=407</t>
  </si>
  <si>
    <t>WOLSONG-2</t>
  </si>
  <si>
    <t>http://www.iaea.org/PRIS/CountryStatistics/ReactorDetails.aspx?current=408</t>
  </si>
  <si>
    <t>WOLSONG-3</t>
  </si>
  <si>
    <t>http://www.iaea.org/PRIS/CountryStatistics/ReactorDetails.aspx?current=400</t>
  </si>
  <si>
    <t>WOLSONG-4</t>
  </si>
  <si>
    <t>http://www.iaea.org/PRIS/CountryStatistics/ReactorDetails.aspx?current=401</t>
  </si>
  <si>
    <t>LT</t>
  </si>
  <si>
    <t>LITHUANIA</t>
  </si>
  <si>
    <t>IGNALINA-1</t>
  </si>
  <si>
    <t>VISAGINAS</t>
  </si>
  <si>
    <t>http://www.iaea.org/PRIS/CountryStatistics/ReactorDetails.aspx?current=415</t>
  </si>
  <si>
    <t>IGNALINA-2</t>
  </si>
  <si>
    <t>http://www.iaea.org/PRIS/CountryStatistics/ReactorDetails.aspx?current=416</t>
  </si>
  <si>
    <t>MX</t>
  </si>
  <si>
    <t>MEXICO</t>
  </si>
  <si>
    <t>LAGUNA VERDE-1</t>
  </si>
  <si>
    <t>ALTO LUCERO</t>
  </si>
  <si>
    <t>http://www.iaea.org/PRIS/CountryStatistics/ReactorDetails.aspx?current=420</t>
  </si>
  <si>
    <t>LAGUNA VERDE-2</t>
  </si>
  <si>
    <t>http://www.iaea.org/PRIS/CountryStatistics/ReactorDetails.aspx?current=421</t>
  </si>
  <si>
    <t>NL</t>
  </si>
  <si>
    <t>NETHERLANDS</t>
  </si>
  <si>
    <t>BORSSELE</t>
  </si>
  <si>
    <t>http://www.iaea.org/PRIS/CountryStatistics/ReactorDetails.aspx?current=423</t>
  </si>
  <si>
    <t>DODEWAARD</t>
  </si>
  <si>
    <t>http://www.iaea.org/PRIS/CountryStatistics/ReactorDetails.aspx?current=422</t>
  </si>
  <si>
    <t>PK</t>
  </si>
  <si>
    <t>PAKISTAN</t>
  </si>
  <si>
    <t>CHASNUPP-1</t>
  </si>
  <si>
    <t>KUNDIAN</t>
  </si>
  <si>
    <t>http://www.iaea.org/PRIS/CountryStatistics/ReactorDetails.aspx?current=428</t>
  </si>
  <si>
    <t>CHASNUPP-2</t>
  </si>
  <si>
    <t>http://www.iaea.org/PRIS/CountryStatistics/ReactorDetails.aspx?current=429</t>
  </si>
  <si>
    <t>CHASNUPP-3</t>
  </si>
  <si>
    <t>http://www.iaea.org/PRIS/CountryStatistics/ReactorDetails.aspx?current=1044</t>
  </si>
  <si>
    <t>CHASNUPP-4</t>
  </si>
  <si>
    <t>http://www.iaea.org/PRIS/CountryStatistics/ReactorDetails.aspx?current=1045</t>
  </si>
  <si>
    <t>KANUPP</t>
  </si>
  <si>
    <t>Karachi</t>
  </si>
  <si>
    <t>http://www.iaea.org/PRIS/CountryStatistics/ReactorDetails.aspx?current=427</t>
  </si>
  <si>
    <t>RO</t>
  </si>
  <si>
    <t>ROMANIA</t>
  </si>
  <si>
    <t>CERNAVODA-1</t>
  </si>
  <si>
    <t>CERNAVODA</t>
  </si>
  <si>
    <t>http://www.iaea.org/PRIS/CountryStatistics/ReactorDetails.aspx?current=442</t>
  </si>
  <si>
    <t>CERNAVODA-2</t>
  </si>
  <si>
    <t>http://www.iaea.org/PRIS/CountryStatistics/ReactorDetails.aspx?current=443</t>
  </si>
  <si>
    <t>RU</t>
  </si>
  <si>
    <t>RUSSIA</t>
  </si>
  <si>
    <t>AKADEMIK LOMONOSOV-1</t>
  </si>
  <si>
    <t>PEVEK</t>
  </si>
  <si>
    <t>http://www.iaea.org/PRIS/CountryStatistics/ReactorDetails.aspx?current=895</t>
  </si>
  <si>
    <t>AKADEMIK LOMONOSOV-2</t>
  </si>
  <si>
    <t>http://www.iaea.org/PRIS/CountryStatistics/ReactorDetails.aspx?current=896</t>
  </si>
  <si>
    <t>APS-1 OBNINSK</t>
  </si>
  <si>
    <t>OBNINSK</t>
  </si>
  <si>
    <t>http://www.iaea.org/PRIS/CountryStatistics/ReactorDetails.aspx?current=447</t>
  </si>
  <si>
    <t>BALAKOVO-1</t>
  </si>
  <si>
    <t>BALAKOVO</t>
  </si>
  <si>
    <t>http://www.iaea.org/PRIS/CountryStatistics/ReactorDetails.aspx?current=524</t>
  </si>
  <si>
    <t>BALAKOVO-2</t>
  </si>
  <si>
    <t>http://www.iaea.org/PRIS/CountryStatistics/ReactorDetails.aspx?current=525</t>
  </si>
  <si>
    <t>BALAKOVO-3</t>
  </si>
  <si>
    <t>http://www.iaea.org/PRIS/CountryStatistics/ReactorDetails.aspx?current=526</t>
  </si>
  <si>
    <t>BALAKOVO-4</t>
  </si>
  <si>
    <t>http://www.iaea.org/PRIS/CountryStatistics/ReactorDetails.aspx?current=527</t>
  </si>
  <si>
    <t>BALTIC-1</t>
  </si>
  <si>
    <t>Sovetsk</t>
  </si>
  <si>
    <t>http://www.iaea.org/PRIS/CountryStatistics/ReactorDetails.aspx?current=968</t>
  </si>
  <si>
    <t>BELOYARSK-1</t>
  </si>
  <si>
    <t>ZARECHNYY</t>
  </si>
  <si>
    <t>http://www.iaea.org/PRIS/CountryStatistics/ReactorDetails.aspx?current=488</t>
  </si>
  <si>
    <t>BELOYARSK-2</t>
  </si>
  <si>
    <t>http://www.iaea.org/PRIS/CountryStatistics/ReactorDetails.aspx?current=503</t>
  </si>
  <si>
    <t>BELOYARSK-3</t>
  </si>
  <si>
    <t>http://www.iaea.org/PRIS/CountryStatistics/ReactorDetails.aspx?current=484</t>
  </si>
  <si>
    <t>BELOYARSK-4</t>
  </si>
  <si>
    <t>http://www.iaea.org/PRIS/CountryStatistics/ReactorDetails.aspx?current=451</t>
  </si>
  <si>
    <t>BILIBINO-1</t>
  </si>
  <si>
    <t>Bilibino</t>
  </si>
  <si>
    <t>http://www.iaea.org/PRIS/CountryStatistics/ReactorDetails.aspx?current=467</t>
  </si>
  <si>
    <t>BILIBINO-2</t>
  </si>
  <si>
    <t>http://www.iaea.org/PRIS/CountryStatistics/ReactorDetails.aspx?current=468</t>
  </si>
  <si>
    <t>BILIBINO-3</t>
  </si>
  <si>
    <t>http://www.iaea.org/PRIS/CountryStatistics/ReactorDetails.aspx?current=469</t>
  </si>
  <si>
    <t>BILIBINO-4</t>
  </si>
  <si>
    <t>http://www.iaea.org/PRIS/CountryStatistics/ReactorDetails.aspx?current=470</t>
  </si>
  <si>
    <t>KALININ-1</t>
  </si>
  <si>
    <t>UDOMLYA</t>
  </si>
  <si>
    <t>http://www.iaea.org/PRIS/CountryStatistics/ReactorDetails.aspx?current=489</t>
  </si>
  <si>
    <t>KALININ-2</t>
  </si>
  <si>
    <t>http://www.iaea.org/PRIS/CountryStatistics/ReactorDetails.aspx?current=490</t>
  </si>
  <si>
    <t>KALININ-3</t>
  </si>
  <si>
    <t>http://www.iaea.org/PRIS/CountryStatistics/ReactorDetails.aspx?current=495</t>
  </si>
  <si>
    <t>KALININ-4</t>
  </si>
  <si>
    <t>http://www.iaea.org/PRIS/CountryStatistics/ReactorDetails.aspx?current=496</t>
  </si>
  <si>
    <t>KOLA-1</t>
  </si>
  <si>
    <t>POLYARNYYE ZORI</t>
  </si>
  <si>
    <t>http://www.iaea.org/PRIS/CountryStatistics/ReactorDetails.aspx?current=453</t>
  </si>
  <si>
    <t>KOLA-2</t>
  </si>
  <si>
    <t>http://www.iaea.org/PRIS/CountryStatistics/ReactorDetails.aspx?current=460</t>
  </si>
  <si>
    <t>KOLA-3</t>
  </si>
  <si>
    <t>http://www.iaea.org/PRIS/CountryStatistics/ReactorDetails.aspx?current=491</t>
  </si>
  <si>
    <t>KOLA-4</t>
  </si>
  <si>
    <t>http://www.iaea.org/PRIS/CountryStatistics/ReactorDetails.aspx?current=492</t>
  </si>
  <si>
    <t>KURSK-1</t>
  </si>
  <si>
    <t>KURCHATOV</t>
  </si>
  <si>
    <t>http://www.iaea.org/PRIS/CountryStatistics/ReactorDetails.aspx?current=476</t>
  </si>
  <si>
    <t>KURSK-2</t>
  </si>
  <si>
    <t>http://www.iaea.org/PRIS/CountryStatistics/ReactorDetails.aspx?current=485</t>
  </si>
  <si>
    <t>KURSK-3</t>
  </si>
  <si>
    <t>http://www.iaea.org/PRIS/CountryStatistics/ReactorDetails.aspx?current=497</t>
  </si>
  <si>
    <t>KURSK-4</t>
  </si>
  <si>
    <t>http://www.iaea.org/PRIS/CountryStatistics/ReactorDetails.aspx?current=498</t>
  </si>
  <si>
    <t>LENINGRAD 2-1</t>
  </si>
  <si>
    <t>SOSNOVYY BOR</t>
  </si>
  <si>
    <t>http://www.iaea.org/PRIS/CountryStatistics/ReactorDetails.aspx?current=900</t>
  </si>
  <si>
    <t>LENINGRAD 2-2</t>
  </si>
  <si>
    <t>http://www.iaea.org/PRIS/CountryStatistics/ReactorDetails.aspx?current=901</t>
  </si>
  <si>
    <t>LENINGRAD-1</t>
  </si>
  <si>
    <t>http://www.iaea.org/PRIS/CountryStatistics/ReactorDetails.aspx?current=474</t>
  </si>
  <si>
    <t>LENINGRAD-2</t>
  </si>
  <si>
    <t>http://www.iaea.org/PRIS/CountryStatistics/ReactorDetails.aspx?current=475</t>
  </si>
  <si>
    <t>LENINGRAD-3</t>
  </si>
  <si>
    <t>http://www.iaea.org/PRIS/CountryStatistics/ReactorDetails.aspx?current=493</t>
  </si>
  <si>
    <t>LENINGRAD-4</t>
  </si>
  <si>
    <t>http://www.iaea.org/PRIS/CountryStatistics/ReactorDetails.aspx?current=494</t>
  </si>
  <si>
    <t>NOVOVORONEZH 2-1</t>
  </si>
  <si>
    <t>NOVOVORONEZHSKIY</t>
  </si>
  <si>
    <t>http://www.iaea.org/PRIS/CountryStatistics/ReactorDetails.aspx?current=898</t>
  </si>
  <si>
    <t>NOVOVORONEZH 2-2</t>
  </si>
  <si>
    <t>http://www.iaea.org/PRIS/CountryStatistics/ReactorDetails.aspx?current=899</t>
  </si>
  <si>
    <t>NOVOVORONEZH-1</t>
  </si>
  <si>
    <t>http://www.iaea.org/PRIS/CountryStatistics/ReactorDetails.aspx?current=499</t>
  </si>
  <si>
    <t>NOVOVORONEZH-2</t>
  </si>
  <si>
    <t>http://www.iaea.org/PRIS/CountryStatistics/ReactorDetails.aspx?current=513</t>
  </si>
  <si>
    <t>NOVOVORONEZH-3</t>
  </si>
  <si>
    <t>http://www.iaea.org/PRIS/CountryStatistics/ReactorDetails.aspx?current=519</t>
  </si>
  <si>
    <t>NOVOVORONEZH-4</t>
  </si>
  <si>
    <t>http://www.iaea.org/PRIS/CountryStatistics/ReactorDetails.aspx?current=448</t>
  </si>
  <si>
    <t>NOVOVORONEZH-5</t>
  </si>
  <si>
    <t>http://www.iaea.org/PRIS/CountryStatistics/ReactorDetails.aspx?current=483</t>
  </si>
  <si>
    <t>ROSTOV-1</t>
  </si>
  <si>
    <t>ROSTOV OBLAST</t>
  </si>
  <si>
    <t>http://www.iaea.org/PRIS/CountryStatistics/ReactorDetails.aspx?current=502</t>
  </si>
  <si>
    <t>ROSTOV-2</t>
  </si>
  <si>
    <t>http://www.iaea.org/PRIS/CountryStatistics/ReactorDetails.aspx?current=505</t>
  </si>
  <si>
    <t>ROSTOV-3</t>
  </si>
  <si>
    <t>http://www.iaea.org/PRIS/CountryStatistics/ReactorDetails.aspx?current=506</t>
  </si>
  <si>
    <t>ROSTOV-4</t>
  </si>
  <si>
    <t>http://www.iaea.org/PRIS/CountryStatistics/ReactorDetails.aspx?current=507</t>
  </si>
  <si>
    <t>SMOLENSK-1</t>
  </si>
  <si>
    <t>DESNOGORSK</t>
  </si>
  <si>
    <t>http://www.iaea.org/PRIS/CountryStatistics/ReactorDetails.aspx?current=486</t>
  </si>
  <si>
    <t>SMOLENSK-2</t>
  </si>
  <si>
    <t>http://www.iaea.org/PRIS/CountryStatistics/ReactorDetails.aspx?current=487</t>
  </si>
  <si>
    <t>SMOLENSK-3</t>
  </si>
  <si>
    <t>http://www.iaea.org/PRIS/CountryStatistics/ReactorDetails.aspx?current=508</t>
  </si>
  <si>
    <t>SK</t>
  </si>
  <si>
    <t>SLOVAKIA</t>
  </si>
  <si>
    <t>BOHUNICE A1</t>
  </si>
  <si>
    <t>Jaslovské Bohunice</t>
  </si>
  <si>
    <t>http://www.iaea.org/PRIS/CountryStatistics/ReactorDetails.aspx?current=543</t>
  </si>
  <si>
    <t>BOHUNICE-1</t>
  </si>
  <si>
    <t>Jaslovske Bohunice</t>
  </si>
  <si>
    <t>http://www.iaea.org/PRIS/CountryStatistics/ReactorDetails.aspx?current=548</t>
  </si>
  <si>
    <t>BOHUNICE-2</t>
  </si>
  <si>
    <t>http://www.iaea.org/PRIS/CountryStatistics/ReactorDetails.aspx?current=549</t>
  </si>
  <si>
    <t>BOHUNICE-3</t>
  </si>
  <si>
    <t>http://www.iaea.org/PRIS/CountryStatistics/ReactorDetails.aspx?current=546</t>
  </si>
  <si>
    <t>BOHUNICE-4</t>
  </si>
  <si>
    <t>http://www.iaea.org/PRIS/CountryStatistics/ReactorDetails.aspx?current=547</t>
  </si>
  <si>
    <t>MOCHOVCE-1</t>
  </si>
  <si>
    <t>LEVICE</t>
  </si>
  <si>
    <t>http://www.iaea.org/PRIS/CountryStatistics/ReactorDetails.aspx?current=550</t>
  </si>
  <si>
    <t>MOCHOVCE-2</t>
  </si>
  <si>
    <t>http://www.iaea.org/PRIS/CountryStatistics/ReactorDetails.aspx?current=551</t>
  </si>
  <si>
    <t>MOCHOVCE-3</t>
  </si>
  <si>
    <t>http://www.iaea.org/PRIS/CountryStatistics/ReactorDetails.aspx?current=544</t>
  </si>
  <si>
    <t>MOCHOVCE-4</t>
  </si>
  <si>
    <t>http://www.iaea.org/PRIS/CountryStatistics/ReactorDetails.aspx?current=545</t>
  </si>
  <si>
    <t>SI</t>
  </si>
  <si>
    <t>SLOVENIA</t>
  </si>
  <si>
    <t>KRSKO</t>
  </si>
  <si>
    <t>http://www.iaea.org/PRIS/CountryStatistics/ReactorDetails.aspx?current=542</t>
  </si>
  <si>
    <t>ZA</t>
  </si>
  <si>
    <t>SOUTH AFRICA</t>
  </si>
  <si>
    <t>KOEBERG-1</t>
  </si>
  <si>
    <t>DUYNEFONTEIN</t>
  </si>
  <si>
    <t>http://www.iaea.org/PRIS/CountryStatistics/ReactorDetails.aspx?current=836</t>
  </si>
  <si>
    <t>KOEBERG-2</t>
  </si>
  <si>
    <t>http://www.iaea.org/PRIS/CountryStatistics/ReactorDetails.aspx?current=837</t>
  </si>
  <si>
    <t>ALMARAZ-1</t>
  </si>
  <si>
    <t>http://www.iaea.org/PRIS/CountryStatistics/ReactorDetails.aspx?current=153</t>
  </si>
  <si>
    <t>ALMARAZ-2</t>
  </si>
  <si>
    <t>http://www.iaea.org/PRIS/CountryStatistics/ReactorDetails.aspx?current=154</t>
  </si>
  <si>
    <t>ASCO-1</t>
  </si>
  <si>
    <t>http://www.iaea.org/PRIS/CountryStatistics/ReactorDetails.aspx?current=155</t>
  </si>
  <si>
    <t>ASCO-2</t>
  </si>
  <si>
    <t>http://www.iaea.org/PRIS/CountryStatistics/ReactorDetails.aspx?current=156</t>
  </si>
  <si>
    <t>http://www.iaea.org/PRIS/CountryStatistics/ReactorDetails.aspx?current=140</t>
  </si>
  <si>
    <t>JOSE CABRERA-1</t>
  </si>
  <si>
    <t>http://www.iaea.org/PRIS/CountryStatistics/ReactorDetails.aspx?current=139</t>
  </si>
  <si>
    <t>http://www.iaea.org/PRIS/CountryStatistics/ReactorDetails.aspx?current=149</t>
  </si>
  <si>
    <t>TRILLO-1</t>
  </si>
  <si>
    <t>http://www.iaea.org/PRIS/CountryStatistics/ReactorDetails.aspx?current=141</t>
  </si>
  <si>
    <t>VANDELLOS-1</t>
  </si>
  <si>
    <t>http://www.iaea.org/PRIS/CountryStatistics/ReactorDetails.aspx?current=150</t>
  </si>
  <si>
    <t>VANDELLOS-2</t>
  </si>
  <si>
    <t>http://www.iaea.org/PRIS/CountryStatistics/ReactorDetails.aspx?current=146</t>
  </si>
  <si>
    <t>SE</t>
  </si>
  <si>
    <t>SWEDEN</t>
  </si>
  <si>
    <t>AGESTA</t>
  </si>
  <si>
    <t>http://www.iaea.org/PRIS/CountryStatistics/ReactorDetails.aspx?current=528</t>
  </si>
  <si>
    <t>BARSEBACK-1</t>
  </si>
  <si>
    <t>BARSEBACK</t>
  </si>
  <si>
    <t>http://www.iaea.org/PRIS/CountryStatistics/ReactorDetails.aspx?current=538</t>
  </si>
  <si>
    <t>BARSEBACK-2</t>
  </si>
  <si>
    <t>http://www.iaea.org/PRIS/CountryStatistics/ReactorDetails.aspx?current=540</t>
  </si>
  <si>
    <t>FORSMARK-1</t>
  </si>
  <si>
    <t>OESTHAMMAR</t>
  </si>
  <si>
    <t>http://www.iaea.org/PRIS/CountryStatistics/ReactorDetails.aspx?current=541</t>
  </si>
  <si>
    <t>FORSMARK-2</t>
  </si>
  <si>
    <t>http://www.iaea.org/PRIS/CountryStatistics/ReactorDetails.aspx?current=530</t>
  </si>
  <si>
    <t>FORSMARK-3</t>
  </si>
  <si>
    <t>http://www.iaea.org/PRIS/CountryStatistics/ReactorDetails.aspx?current=532</t>
  </si>
  <si>
    <t>OSKARSHAMN-1</t>
  </si>
  <si>
    <t>OSKARSHAMN</t>
  </si>
  <si>
    <t>http://www.iaea.org/PRIS/CountryStatistics/ReactorDetails.aspx?current=534</t>
  </si>
  <si>
    <t>OSKARSHAMN-2</t>
  </si>
  <si>
    <t>http://www.iaea.org/PRIS/CountryStatistics/ReactorDetails.aspx?current=535</t>
  </si>
  <si>
    <t>OSKARSHAMN-3</t>
  </si>
  <si>
    <t>http://www.iaea.org/PRIS/CountryStatistics/ReactorDetails.aspx?current=531</t>
  </si>
  <si>
    <t>RINGHALS-1</t>
  </si>
  <si>
    <t>RINGHALS</t>
  </si>
  <si>
    <t>http://www.iaea.org/PRIS/CountryStatistics/ReactorDetails.aspx?current=536</t>
  </si>
  <si>
    <t>RINGHALS-2</t>
  </si>
  <si>
    <t>http://www.iaea.org/PRIS/CountryStatistics/ReactorDetails.aspx?current=537</t>
  </si>
  <si>
    <t>RINGHALS-3</t>
  </si>
  <si>
    <t>http://www.iaea.org/PRIS/CountryStatistics/ReactorDetails.aspx?current=539</t>
  </si>
  <si>
    <t>RINGHALS-4</t>
  </si>
  <si>
    <t>http://www.iaea.org/PRIS/CountryStatistics/ReactorDetails.aspx?current=529</t>
  </si>
  <si>
    <t>BEZNAU-1</t>
  </si>
  <si>
    <t>http://www.iaea.org/PRIS/CountryStatistics/ReactorDetails.aspx?current=55</t>
  </si>
  <si>
    <t>BEZNAU-2</t>
  </si>
  <si>
    <t>http://www.iaea.org/PRIS/CountryStatistics/ReactorDetails.aspx?current=57</t>
  </si>
  <si>
    <t>GOESGEN</t>
  </si>
  <si>
    <t>http://www.iaea.org/PRIS/CountryStatistics/ReactorDetails.aspx?current=58</t>
  </si>
  <si>
    <t>http://www.iaea.org/PRIS/CountryStatistics/ReactorDetails.aspx?current=59</t>
  </si>
  <si>
    <t>LUCENS</t>
  </si>
  <si>
    <t>1522 Lucens</t>
  </si>
  <si>
    <t>http://www.iaea.org/PRIS/CountryStatistics/ReactorDetails.aspx?current=966</t>
  </si>
  <si>
    <t>GB</t>
  </si>
  <si>
    <t>UNITED KINGDOM</t>
  </si>
  <si>
    <t>http://www.iaea.org/PRIS/CountryStatistics/ReactorDetails.aspx?current=56</t>
  </si>
  <si>
    <t>SEASCALE</t>
  </si>
  <si>
    <t>TW</t>
  </si>
  <si>
    <t>TAIWAN, CHINA</t>
  </si>
  <si>
    <t>CHINSHAN-1</t>
  </si>
  <si>
    <t>SHIHMEN HSIANG</t>
  </si>
  <si>
    <t>http://www.iaea.org/PRIS/CountryStatistics/ReactorDetails.aspx?current=554</t>
  </si>
  <si>
    <t>CHINSHAN-2</t>
  </si>
  <si>
    <t>http://www.iaea.org/PRIS/CountryStatistics/ReactorDetails.aspx?current=555</t>
  </si>
  <si>
    <t>KUOSHENG-1</t>
  </si>
  <si>
    <t>KUOSHENG</t>
  </si>
  <si>
    <t>http://www.iaea.org/PRIS/CountryStatistics/ReactorDetails.aspx?current=556</t>
  </si>
  <si>
    <t>KUOSHENG-2</t>
  </si>
  <si>
    <t>http://www.iaea.org/PRIS/CountryStatistics/ReactorDetails.aspx?current=557</t>
  </si>
  <si>
    <t>LUNGMEN 1</t>
  </si>
  <si>
    <t>GONGLIAD</t>
  </si>
  <si>
    <t>http://www.iaea.org/PRIS/CountryStatistics/ReactorDetails.aspx?current=560</t>
  </si>
  <si>
    <t>LUNGMEN 2</t>
  </si>
  <si>
    <t>http://www.iaea.org/PRIS/CountryStatistics/ReactorDetails.aspx?current=561</t>
  </si>
  <si>
    <t>MAANSHAN-1</t>
  </si>
  <si>
    <t>HENG CHUN</t>
  </si>
  <si>
    <t>http://www.iaea.org/PRIS/CountryStatistics/ReactorDetails.aspx?current=558</t>
  </si>
  <si>
    <t>MAANSHAN-2</t>
  </si>
  <si>
    <t>http://www.iaea.org/PRIS/CountryStatistics/ReactorDetails.aspx?current=559</t>
  </si>
  <si>
    <t>SIZEWELL</t>
  </si>
  <si>
    <t>UA</t>
  </si>
  <si>
    <t>UKRAINE</t>
  </si>
  <si>
    <t>CHERNOBYL-1</t>
  </si>
  <si>
    <t>PRIPYAT</t>
  </si>
  <si>
    <t>http://www.iaea.org/PRIS/CountryStatistics/ReactorDetails.aspx?current=568</t>
  </si>
  <si>
    <t>CHERNOBYL-2</t>
  </si>
  <si>
    <t>http://www.iaea.org/PRIS/CountryStatistics/ReactorDetails.aspx?current=569</t>
  </si>
  <si>
    <t>CHERNOBYL-3</t>
  </si>
  <si>
    <t>http://www.iaea.org/PRIS/CountryStatistics/ReactorDetails.aspx?current=575</t>
  </si>
  <si>
    <t>CHERNOBYL-4</t>
  </si>
  <si>
    <t>http://www.iaea.org/PRIS/CountryStatistics/ReactorDetails.aspx?current=576</t>
  </si>
  <si>
    <t>KHMELNITSKI-1</t>
  </si>
  <si>
    <t>NETESHIN</t>
  </si>
  <si>
    <t>OLDBURY ON SEVERN</t>
  </si>
  <si>
    <t>http://www.iaea.org/PRIS/CountryStatistics/ReactorDetails.aspx?current=573</t>
  </si>
  <si>
    <t>KHMELNITSKI-2</t>
  </si>
  <si>
    <t>http://www.iaea.org/PRIS/CountryStatistics/ReactorDetails.aspx?current=574</t>
  </si>
  <si>
    <t>KHMELNITSKI-3</t>
  </si>
  <si>
    <t>http://www.iaea.org/PRIS/CountryStatistics/ReactorDetails.aspx?current=581</t>
  </si>
  <si>
    <t>KHMELNITSKI-4</t>
  </si>
  <si>
    <t>http://www.iaea.org/PRIS/CountryStatistics/ReactorDetails.aspx?current=582</t>
  </si>
  <si>
    <t>ROVNO-1</t>
  </si>
  <si>
    <t>KUZNETSOVSK</t>
  </si>
  <si>
    <t>DORCHESTER</t>
  </si>
  <si>
    <t>http://www.iaea.org/PRIS/CountryStatistics/ReactorDetails.aspx?current=570</t>
  </si>
  <si>
    <t>ROVNO-2</t>
  </si>
  <si>
    <t>http://www.iaea.org/PRIS/CountryStatistics/ReactorDetails.aspx?current=571</t>
  </si>
  <si>
    <t>ROVNO-3</t>
  </si>
  <si>
    <t>http://www.iaea.org/PRIS/CountryStatistics/ReactorDetails.aspx?current=572</t>
  </si>
  <si>
    <t>ROVNO-4</t>
  </si>
  <si>
    <t>ANGLESEY</t>
  </si>
  <si>
    <t>http://www.iaea.org/PRIS/CountryStatistics/ReactorDetails.aspx?current=589</t>
  </si>
  <si>
    <t>SOUTH UKRAINE-1</t>
  </si>
  <si>
    <t>NIKOLAYEV OBLAST</t>
  </si>
  <si>
    <t>http://www.iaea.org/PRIS/CountryStatistics/ReactorDetails.aspx?current=577</t>
  </si>
  <si>
    <t>SOUTH UKRAINE-2</t>
  </si>
  <si>
    <t>http://www.iaea.org/PRIS/CountryStatistics/ReactorDetails.aspx?current=578</t>
  </si>
  <si>
    <t>SOUTH UKRAINE-3</t>
  </si>
  <si>
    <t>http://www.iaea.org/PRIS/CountryStatistics/ReactorDetails.aspx?current=579</t>
  </si>
  <si>
    <t>ZAPOROZHYE-1</t>
  </si>
  <si>
    <t>ENERGODAR</t>
  </si>
  <si>
    <t>http://www.iaea.org/PRIS/CountryStatistics/ReactorDetails.aspx?current=584</t>
  </si>
  <si>
    <t>DOUNREAY CAITHNESS</t>
  </si>
  <si>
    <t>ZAPOROZHYE-2</t>
  </si>
  <si>
    <t>http://www.iaea.org/PRIS/CountryStatistics/ReactorDetails.aspx?current=586</t>
  </si>
  <si>
    <t>ZAPOROZHYE-3</t>
  </si>
  <si>
    <t>http://www.iaea.org/PRIS/CountryStatistics/ReactorDetails.aspx?current=594</t>
  </si>
  <si>
    <t>ZAPOROZHYE-4</t>
  </si>
  <si>
    <t>DOUNREAY</t>
  </si>
  <si>
    <t>http://www.iaea.org/PRIS/CountryStatistics/ReactorDetails.aspx?current=595</t>
  </si>
  <si>
    <t>ZAPOROZHYE-5</t>
  </si>
  <si>
    <t>http://www.iaea.org/PRIS/CountryStatistics/ReactorDetails.aspx?current=566</t>
  </si>
  <si>
    <t>ZAPOROZHYE-6</t>
  </si>
  <si>
    <t>HINKLEY</t>
  </si>
  <si>
    <t>http://www.iaea.org/PRIS/CountryStatistics/ReactorDetails.aspx?current=567</t>
  </si>
  <si>
    <t>AE</t>
  </si>
  <si>
    <t>UNITED ARAB EMIRATES</t>
  </si>
  <si>
    <t>BARAKAH-1</t>
  </si>
  <si>
    <t>Ruwais</t>
  </si>
  <si>
    <t>http://www.iaea.org/PRIS/CountryStatistics/ReactorDetails.aspx?current=1050</t>
  </si>
  <si>
    <t>BARAKAH-2</t>
  </si>
  <si>
    <t>http://www.iaea.org/PRIS/CountryStatistics/ReactorDetails.aspx?current=1051</t>
  </si>
  <si>
    <t>BERKELEY-1</t>
  </si>
  <si>
    <t>RIVER SEVERN</t>
  </si>
  <si>
    <t>http://www.iaea.org/PRIS/CountryStatistics/ReactorDetails.aspx?current=264</t>
  </si>
  <si>
    <t>BERKELEY-2</t>
  </si>
  <si>
    <t>http://www.iaea.org/PRIS/CountryStatistics/ReactorDetails.aspx?current=265</t>
  </si>
  <si>
    <t>HUNTERSTON</t>
  </si>
  <si>
    <t>BRADWELL-1</t>
  </si>
  <si>
    <t>BLACKWATER ESTUARY</t>
  </si>
  <si>
    <t>http://www.iaea.org/PRIS/CountryStatistics/ReactorDetails.aspx?current=266</t>
  </si>
  <si>
    <t>BRADWELL-2</t>
  </si>
  <si>
    <t>http://www.iaea.org/PRIS/CountryStatistics/ReactorDetails.aspx?current=267</t>
  </si>
  <si>
    <t>CALDER HALL-1</t>
  </si>
  <si>
    <t>http://www.iaea.org/PRIS/CountryStatistics/ReactorDetails.aspx?current=231</t>
  </si>
  <si>
    <t>CALDER HALL-2</t>
  </si>
  <si>
    <t>http://www.iaea.org/PRIS/CountryStatistics/ReactorDetails.aspx?current=232</t>
  </si>
  <si>
    <t>CALDER HALL-3</t>
  </si>
  <si>
    <t>Romney Marsh</t>
  </si>
  <si>
    <t>http://www.iaea.org/PRIS/CountryStatistics/ReactorDetails.aspx?current=233</t>
  </si>
  <si>
    <t>CALDER HALL-4</t>
  </si>
  <si>
    <t>http://www.iaea.org/PRIS/CountryStatistics/ReactorDetails.aspx?current=234</t>
  </si>
  <si>
    <t>CHAPELCROSS-1</t>
  </si>
  <si>
    <t>ANNAN</t>
  </si>
  <si>
    <t>http://www.iaea.org/PRIS/CountryStatistics/ReactorDetails.aspx?current=252</t>
  </si>
  <si>
    <t>CHAPELCROSS-2</t>
  </si>
  <si>
    <t>http://www.iaea.org/PRIS/CountryStatistics/ReactorDetails.aspx?current=253</t>
  </si>
  <si>
    <t>CHAPELCROSS-3</t>
  </si>
  <si>
    <t>http://www.iaea.org/PRIS/CountryStatistics/ReactorDetails.aspx?current=254</t>
  </si>
  <si>
    <t>CHAPELCROSS-4</t>
  </si>
  <si>
    <t>HARTLEPOOL</t>
  </si>
  <si>
    <t>http://www.iaea.org/PRIS/CountryStatistics/ReactorDetails.aspx?current=255</t>
  </si>
  <si>
    <t>DOUNREAY DFR</t>
  </si>
  <si>
    <t>http://www.iaea.org/PRIS/CountryStatistics/ReactorDetails.aspx?current=242</t>
  </si>
  <si>
    <t>DOUNREAY PFR</t>
  </si>
  <si>
    <t>http://www.iaea.org/PRIS/CountryStatistics/ReactorDetails.aspx?current=243</t>
  </si>
  <si>
    <t>DUNGENESS A-1</t>
  </si>
  <si>
    <t>ROMNEY MARSH</t>
  </si>
  <si>
    <t>http://www.iaea.org/PRIS/CountryStatistics/ReactorDetails.aspx?current=275</t>
  </si>
  <si>
    <t>DUNGENESS A-2</t>
  </si>
  <si>
    <t>http://www.iaea.org/PRIS/CountryStatistics/ReactorDetails.aspx?current=276</t>
  </si>
  <si>
    <t>DUNGENESS B-1</t>
  </si>
  <si>
    <t>http://www.iaea.org/PRIS/CountryStatistics/ReactorDetails.aspx?current=248</t>
  </si>
  <si>
    <t>DUNGENESS B-2</t>
  </si>
  <si>
    <t>http://www.iaea.org/PRIS/CountryStatistics/ReactorDetails.aspx?current=249</t>
  </si>
  <si>
    <t>HARTLEPOOL A-1</t>
  </si>
  <si>
    <t>http://www.iaea.org/PRIS/CountryStatistics/ReactorDetails.aspx?current=250</t>
  </si>
  <si>
    <t>HARTLEPOOL A-2</t>
  </si>
  <si>
    <t>http://www.iaea.org/PRIS/CountryStatistics/ReactorDetails.aspx?current=251</t>
  </si>
  <si>
    <t>HEYSHAM A-1</t>
  </si>
  <si>
    <t>HEYSHAM</t>
  </si>
  <si>
    <t>http://www.iaea.org/PRIS/CountryStatistics/ReactorDetails.aspx?current=256</t>
  </si>
  <si>
    <t>HEYSHAM A-2</t>
  </si>
  <si>
    <t>http://www.iaea.org/PRIS/CountryStatistics/ReactorDetails.aspx?current=257</t>
  </si>
  <si>
    <t>HEYSHAM B-1</t>
  </si>
  <si>
    <t>http://www.iaea.org/PRIS/CountryStatistics/ReactorDetails.aspx?current=259</t>
  </si>
  <si>
    <t>HEYSHAM B-2</t>
  </si>
  <si>
    <t>http://www.iaea.org/PRIS/CountryStatistics/ReactorDetails.aspx?current=260</t>
  </si>
  <si>
    <t>HINKLEY POINT A-1</t>
  </si>
  <si>
    <t>HINKLEY POINT</t>
  </si>
  <si>
    <t>http://www.iaea.org/PRIS/CountryStatistics/ReactorDetails.aspx?current=271</t>
  </si>
  <si>
    <t>HINKLEY POINT A-2</t>
  </si>
  <si>
    <t>http://www.iaea.org/PRIS/CountryStatistics/ReactorDetails.aspx?current=272</t>
  </si>
  <si>
    <t>HINKLEY POINT B-1</t>
  </si>
  <si>
    <t>http://www.iaea.org/PRIS/CountryStatistics/ReactorDetails.aspx?current=244</t>
  </si>
  <si>
    <t>HINKLEY POINT B-2</t>
  </si>
  <si>
    <t>http://www.iaea.org/PRIS/CountryStatistics/ReactorDetails.aspx?current=245</t>
  </si>
  <si>
    <t>HUNTERSTON A-1</t>
  </si>
  <si>
    <t>http://www.iaea.org/PRIS/CountryStatistics/ReactorDetails.aspx?current=269</t>
  </si>
  <si>
    <t>HUNTERSTON A-2</t>
  </si>
  <si>
    <t>http://www.iaea.org/PRIS/CountryStatistics/ReactorDetails.aspx?current=270</t>
  </si>
  <si>
    <t>HUNTERSTON B-1</t>
  </si>
  <si>
    <t>http://www.iaea.org/PRIS/CountryStatistics/ReactorDetails.aspx?current=246</t>
  </si>
  <si>
    <t>HUNTERSTON B-2</t>
  </si>
  <si>
    <t>http://www.iaea.org/PRIS/CountryStatistics/ReactorDetails.aspx?current=247</t>
  </si>
  <si>
    <t>OLDBURY A-1</t>
  </si>
  <si>
    <t>http://www.iaea.org/PRIS/CountryStatistics/ReactorDetails.aspx?current=237</t>
  </si>
  <si>
    <t>OLDBURY A-2</t>
  </si>
  <si>
    <t>http://www.iaea.org/PRIS/CountryStatistics/ReactorDetails.aspx?current=238</t>
  </si>
  <si>
    <t>SIZEWELL A-1</t>
  </si>
  <si>
    <t>http://www.iaea.org/PRIS/CountryStatistics/ReactorDetails.aspx?current=235</t>
  </si>
  <si>
    <t>DUNBAR</t>
  </si>
  <si>
    <t>SIZEWELL A-2</t>
  </si>
  <si>
    <t>http://www.iaea.org/PRIS/CountryStatistics/ReactorDetails.aspx?current=236</t>
  </si>
  <si>
    <t>SIZEWELL B</t>
  </si>
  <si>
    <t>Leiston</t>
  </si>
  <si>
    <t>http://www.iaea.org/PRIS/CountryStatistics/ReactorDetails.aspx?current=263</t>
  </si>
  <si>
    <t>TORNESS-1</t>
  </si>
  <si>
    <t>http://www.iaea.org/PRIS/CountryStatistics/ReactorDetails.aspx?current=261</t>
  </si>
  <si>
    <t>TORNESS-2</t>
  </si>
  <si>
    <t>http://www.iaea.org/PRIS/CountryStatistics/ReactorDetails.aspx?current=262</t>
  </si>
  <si>
    <t>TRAWSFYNYDD-1</t>
  </si>
  <si>
    <t>MERIONETHSHIRE</t>
  </si>
  <si>
    <t>http://www.iaea.org/PRIS/CountryStatistics/ReactorDetails.aspx?current=273</t>
  </si>
  <si>
    <t>TRAWSFYNYDD-2</t>
  </si>
  <si>
    <t>http://www.iaea.org/PRIS/CountryStatistics/ReactorDetails.aspx?current=274</t>
  </si>
  <si>
    <t>WINDSCALE AGR</t>
  </si>
  <si>
    <t>WINDSCALE</t>
  </si>
  <si>
    <t>http://www.iaea.org/PRIS/CountryStatistics/ReactorDetails.aspx?current=268</t>
  </si>
  <si>
    <t>WINFRITH SGHWR</t>
  </si>
  <si>
    <t>http://www.iaea.org/PRIS/CountryStatistics/ReactorDetails.aspx?current=239</t>
  </si>
  <si>
    <t>WYLFA-1</t>
  </si>
  <si>
    <t>http://www.iaea.org/PRIS/CountryStatistics/ReactorDetails.aspx?current=240</t>
  </si>
  <si>
    <t>WYLFA-2</t>
  </si>
  <si>
    <t>http://www.iaea.org/PRIS/CountryStatistics/ReactorDetails.aspx?current=241</t>
  </si>
  <si>
    <t>US</t>
  </si>
  <si>
    <t>UNITED STATES OF AMERICA</t>
  </si>
  <si>
    <t>ANO-1</t>
  </si>
  <si>
    <t>POPE</t>
  </si>
  <si>
    <t>http://www.iaea.org/PRIS/CountryStatistics/ReactorDetails.aspx?current=652</t>
  </si>
  <si>
    <t>ANO-2</t>
  </si>
  <si>
    <t>http://www.iaea.org/PRIS/CountryStatistics/ReactorDetails.aspx?current=689</t>
  </si>
  <si>
    <t>BEAVER VALLEY-1</t>
  </si>
  <si>
    <t>SHIPPINGPORT</t>
  </si>
  <si>
    <t>http://www.iaea.org/PRIS/CountryStatistics/ReactorDetails.aspx?current=669</t>
  </si>
  <si>
    <t>BEAVER VALLEY-2</t>
  </si>
  <si>
    <t>http://www.iaea.org/PRIS/CountryStatistics/ReactorDetails.aspx?current=712</t>
  </si>
  <si>
    <t>BIG ROCK POINT</t>
  </si>
  <si>
    <t>CHARLEVOIX</t>
  </si>
  <si>
    <t>http://www.iaea.org/PRIS/CountryStatistics/ReactorDetails.aspx?current=601</t>
  </si>
  <si>
    <t>BONUS</t>
  </si>
  <si>
    <t>Rincon</t>
  </si>
  <si>
    <t>http://www.iaea.org/PRIS/CountryStatistics/ReactorDetails.aspx?current=703</t>
  </si>
  <si>
    <t>BRAIDWOOD-1</t>
  </si>
  <si>
    <t>BRAIDWOOD</t>
  </si>
  <si>
    <t>http://www.iaea.org/PRIS/CountryStatistics/ReactorDetails.aspx?current=737</t>
  </si>
  <si>
    <t>BRAIDWOOD-2</t>
  </si>
  <si>
    <t>http://www.iaea.org/PRIS/CountryStatistics/ReactorDetails.aspx?current=738</t>
  </si>
  <si>
    <t>BROWNS FERRY-1</t>
  </si>
  <si>
    <t>DECATUR</t>
  </si>
  <si>
    <t>http://www.iaea.org/PRIS/CountryStatistics/ReactorDetails.aspx?current=617</t>
  </si>
  <si>
    <t>BROWNS FERRY-2</t>
  </si>
  <si>
    <t>http://www.iaea.org/PRIS/CountryStatistics/ReactorDetails.aspx?current=618</t>
  </si>
  <si>
    <t>BROWNS FERRY-3</t>
  </si>
  <si>
    <t>http://www.iaea.org/PRIS/CountryStatistics/ReactorDetails.aspx?current=641</t>
  </si>
  <si>
    <t>BRUNSWICK-1</t>
  </si>
  <si>
    <t>SOUTHPORT</t>
  </si>
  <si>
    <t>http://www.iaea.org/PRIS/CountryStatistics/ReactorDetails.aspx?current=662</t>
  </si>
  <si>
    <t>BRUNSWICK-2</t>
  </si>
  <si>
    <t>http://www.iaea.org/PRIS/CountryStatistics/ReactorDetails.aspx?current=661</t>
  </si>
  <si>
    <t>BYRON-1</t>
  </si>
  <si>
    <t>BYRON</t>
  </si>
  <si>
    <t>http://www.iaea.org/PRIS/CountryStatistics/ReactorDetails.aspx?current=735</t>
  </si>
  <si>
    <t>BYRON-2</t>
  </si>
  <si>
    <t>http://www.iaea.org/PRIS/CountryStatistics/ReactorDetails.aspx?current=736</t>
  </si>
  <si>
    <t>CALLAWAY-1</t>
  </si>
  <si>
    <t>FULTON</t>
  </si>
  <si>
    <t>http://www.iaea.org/PRIS/CountryStatistics/ReactorDetails.aspx?current=752</t>
  </si>
  <si>
    <t>CALVERT CLIFFS-1</t>
  </si>
  <si>
    <t>LUSBY</t>
  </si>
  <si>
    <t>http://www.iaea.org/PRIS/CountryStatistics/ReactorDetails.aspx?current=655</t>
  </si>
  <si>
    <t>CALVERT CLIFFS-2</t>
  </si>
  <si>
    <t>http://www.iaea.org/PRIS/CountryStatistics/ReactorDetails.aspx?current=656</t>
  </si>
  <si>
    <t>CATAWBA-1</t>
  </si>
  <si>
    <t>YORK COUNTY</t>
  </si>
  <si>
    <t>http://www.iaea.org/PRIS/CountryStatistics/ReactorDetails.aspx?current=713</t>
  </si>
  <si>
    <t>CATAWBA-2</t>
  </si>
  <si>
    <t>http://www.iaea.org/PRIS/CountryStatistics/ReactorDetails.aspx?current=714</t>
  </si>
  <si>
    <t>CLINTON-1</t>
  </si>
  <si>
    <t>HART TOWNSHIP</t>
  </si>
  <si>
    <t>http://www.iaea.org/PRIS/CountryStatistics/ReactorDetails.aspx?current=742</t>
  </si>
  <si>
    <t>COLUMBIA</t>
  </si>
  <si>
    <t>BENTON</t>
  </si>
  <si>
    <t>http://www.iaea.org/PRIS/CountryStatistics/ReactorDetails.aspx?current=702</t>
  </si>
  <si>
    <t>COMANCHE PEAK-1</t>
  </si>
  <si>
    <t>GLEN ROSE</t>
  </si>
  <si>
    <t>http://www.iaea.org/PRIS/CountryStatistics/ReactorDetails.aspx?current=729</t>
  </si>
  <si>
    <t>COMANCHE PEAK-2</t>
  </si>
  <si>
    <t>http://www.iaea.org/PRIS/CountryStatistics/ReactorDetails.aspx?current=730</t>
  </si>
  <si>
    <t>COOK-1</t>
  </si>
  <si>
    <t>BRIDGMAN</t>
  </si>
  <si>
    <t>http://www.iaea.org/PRIS/CountryStatistics/ReactorDetails.aspx?current=653</t>
  </si>
  <si>
    <t>COOK-2</t>
  </si>
  <si>
    <t>http://www.iaea.org/PRIS/CountryStatistics/ReactorDetails.aspx?current=654</t>
  </si>
  <si>
    <t>COOPER</t>
  </si>
  <si>
    <t>BROWNVILLE</t>
  </si>
  <si>
    <t>http://www.iaea.org/PRIS/CountryStatistics/ReactorDetails.aspx?current=642</t>
  </si>
  <si>
    <t>CRYSTAL RIVER-3</t>
  </si>
  <si>
    <t>NaN</t>
  </si>
  <si>
    <t>http://www.iaea.org/PRIS/CountryStatistics/ReactorDetails.aspx?current=645</t>
  </si>
  <si>
    <t>CVTR</t>
  </si>
  <si>
    <t>Parr</t>
  </si>
  <si>
    <t>http://www.iaea.org/PRIS/CountryStatistics/ReactorDetails.aspx?current=600</t>
  </si>
  <si>
    <t>DAVIS BESSE-1</t>
  </si>
  <si>
    <t>OTTAWA</t>
  </si>
  <si>
    <t>http://www.iaea.org/PRIS/CountryStatistics/ReactorDetails.aspx?current=676</t>
  </si>
  <si>
    <t>DIABLO CANYON-1</t>
  </si>
  <si>
    <t>AVILA BEACH</t>
  </si>
  <si>
    <t>http://www.iaea.org/PRIS/CountryStatistics/ReactorDetails.aspx?current=628</t>
  </si>
  <si>
    <t>DIABLO CANYON-2</t>
  </si>
  <si>
    <t>http://www.iaea.org/PRIS/CountryStatistics/ReactorDetails.aspx?current=660</t>
  </si>
  <si>
    <t>DRESDEN-1</t>
  </si>
  <si>
    <t>MORRIS</t>
  </si>
  <si>
    <t>http://www.iaea.org/PRIS/CountryStatistics/ReactorDetails.aspx?current=597</t>
  </si>
  <si>
    <t>DRESDEN-2</t>
  </si>
  <si>
    <t>http://www.iaea.org/PRIS/CountryStatistics/ReactorDetails.aspx?current=608</t>
  </si>
  <si>
    <t>DRESDEN-3</t>
  </si>
  <si>
    <t>http://www.iaea.org/PRIS/CountryStatistics/ReactorDetails.aspx?current=612</t>
  </si>
  <si>
    <t>DUANE ARNOLD-1</t>
  </si>
  <si>
    <t>PALO</t>
  </si>
  <si>
    <t>http://www.iaea.org/PRIS/CountryStatistics/ReactorDetails.aspx?current=667</t>
  </si>
  <si>
    <t>ELK RIVER</t>
  </si>
  <si>
    <t>http://www.iaea.org/PRIS/CountryStatistics/ReactorDetails.aspx?current=596</t>
  </si>
  <si>
    <t>FARLEY-1</t>
  </si>
  <si>
    <t>DOTHAN</t>
  </si>
  <si>
    <t>http://www.iaea.org/PRIS/CountryStatistics/ReactorDetails.aspx?current=677</t>
  </si>
  <si>
    <t>FARLEY-2</t>
  </si>
  <si>
    <t>http://www.iaea.org/PRIS/CountryStatistics/ReactorDetails.aspx?current=686</t>
  </si>
  <si>
    <t>FERMI-1</t>
  </si>
  <si>
    <t>LAGOONA BEACH</t>
  </si>
  <si>
    <t>http://www.iaea.org/PRIS/CountryStatistics/ReactorDetails.aspx?current=602</t>
  </si>
  <si>
    <t>FERMI-2</t>
  </si>
  <si>
    <t>http://www.iaea.org/PRIS/CountryStatistics/ReactorDetails.aspx?current=674</t>
  </si>
  <si>
    <t>FITZPATRICK</t>
  </si>
  <si>
    <t>OSWEGO</t>
  </si>
  <si>
    <t>http://www.iaea.org/PRIS/CountryStatistics/ReactorDetails.aspx?current=668</t>
  </si>
  <si>
    <t>FORT CALHOUN-1</t>
  </si>
  <si>
    <t>FORT CALHOUN</t>
  </si>
  <si>
    <t>http://www.iaea.org/PRIS/CountryStatistics/ReactorDetails.aspx?current=634</t>
  </si>
  <si>
    <t>FORT ST. VRAIN</t>
  </si>
  <si>
    <t>PLATTEVILLE</t>
  </si>
  <si>
    <t>http://www.iaea.org/PRIS/CountryStatistics/ReactorDetails.aspx?current=623</t>
  </si>
  <si>
    <t>GE VALLECITOS</t>
  </si>
  <si>
    <t>Pleasanton, Sunol</t>
  </si>
  <si>
    <t>http://www.iaea.org/PRIS/CountryStatistics/ReactorDetails.aspx?current=893</t>
  </si>
  <si>
    <t>GINNA</t>
  </si>
  <si>
    <t>ONTARIO</t>
  </si>
  <si>
    <t>http://www.iaea.org/PRIS/CountryStatistics/ReactorDetails.aspx?current=609</t>
  </si>
  <si>
    <t>GRAND GULF-1</t>
  </si>
  <si>
    <t>PORT GIBSON</t>
  </si>
  <si>
    <t>http://www.iaea.org/PRIS/CountryStatistics/ReactorDetails.aspx?current=715</t>
  </si>
  <si>
    <t>HADDAM NECK</t>
  </si>
  <si>
    <t>http://www.iaea.org/PRIS/CountryStatistics/ReactorDetails.aspx?current=605</t>
  </si>
  <si>
    <t>HALLAM</t>
  </si>
  <si>
    <t>Lincoln</t>
  </si>
  <si>
    <t>http://www.iaea.org/PRIS/CountryStatistics/ReactorDetails.aspx?current=891</t>
  </si>
  <si>
    <t>HARRIS-1</t>
  </si>
  <si>
    <t>NEW HILL</t>
  </si>
  <si>
    <t>http://www.iaea.org/PRIS/CountryStatistics/ReactorDetails.aspx?current=704</t>
  </si>
  <si>
    <t>HATCH-1</t>
  </si>
  <si>
    <t>BAXLEY</t>
  </si>
  <si>
    <t>http://www.iaea.org/PRIS/CountryStatistics/ReactorDetails.aspx?current=658</t>
  </si>
  <si>
    <t>HATCH-2</t>
  </si>
  <si>
    <t>http://www.iaea.org/PRIS/CountryStatistics/ReactorDetails.aspx?current=687</t>
  </si>
  <si>
    <t>HOPE CREEK-1</t>
  </si>
  <si>
    <t>SALEM</t>
  </si>
  <si>
    <t>http://www.iaea.org/PRIS/CountryStatistics/ReactorDetails.aspx?current=680</t>
  </si>
  <si>
    <t>HUMBOLDT BAY</t>
  </si>
  <si>
    <t>EUREKA</t>
  </si>
  <si>
    <t>http://www.iaea.org/PRIS/CountryStatistics/ReactorDetails.aspx?current=599</t>
  </si>
  <si>
    <t>INDIAN POINT-1</t>
  </si>
  <si>
    <t>BUCHANAN</t>
  </si>
  <si>
    <t>http://www.iaea.org/PRIS/CountryStatistics/ReactorDetails.aspx?current=643</t>
  </si>
  <si>
    <t>INDIAN POINT-2</t>
  </si>
  <si>
    <t>http://www.iaea.org/PRIS/CountryStatistics/ReactorDetails.aspx?current=611</t>
  </si>
  <si>
    <t>INDIAN POINT-3</t>
  </si>
  <si>
    <t>http://www.iaea.org/PRIS/CountryStatistics/ReactorDetails.aspx?current=635</t>
  </si>
  <si>
    <t>KEWAUNEE</t>
  </si>
  <si>
    <t>CARLTON</t>
  </si>
  <si>
    <t>http://www.iaea.org/PRIS/CountryStatistics/ReactorDetails.aspx?current=647</t>
  </si>
  <si>
    <t>LACROSSE</t>
  </si>
  <si>
    <t>GENOA</t>
  </si>
  <si>
    <t>http://www.iaea.org/PRIS/CountryStatistics/ReactorDetails.aspx?current=710</t>
  </si>
  <si>
    <t>LASALLE-1</t>
  </si>
  <si>
    <t>MARSEILLES</t>
  </si>
  <si>
    <t>http://www.iaea.org/PRIS/CountryStatistics/ReactorDetails.aspx?current=692</t>
  </si>
  <si>
    <t>LASALLE-2</t>
  </si>
  <si>
    <t>http://www.iaea.org/PRIS/CountryStatistics/ReactorDetails.aspx?current=693</t>
  </si>
  <si>
    <t>LIMERICK-1</t>
  </si>
  <si>
    <t>LIMERICK</t>
  </si>
  <si>
    <t>http://www.iaea.org/PRIS/CountryStatistics/ReactorDetails.aspx?current=678</t>
  </si>
  <si>
    <t>LIMERICK-2</t>
  </si>
  <si>
    <t>http://www.iaea.org/PRIS/CountryStatistics/ReactorDetails.aspx?current=679</t>
  </si>
  <si>
    <t>MAINE YANKEE</t>
  </si>
  <si>
    <t>WISCASSET</t>
  </si>
  <si>
    <t>http://www.iaea.org/PRIS/CountryStatistics/ReactorDetails.aspx?current=649</t>
  </si>
  <si>
    <t>MCGUIRE-1</t>
  </si>
  <si>
    <t>CORNELIUS</t>
  </si>
  <si>
    <t>http://www.iaea.org/PRIS/CountryStatistics/ReactorDetails.aspx?current=690</t>
  </si>
  <si>
    <t>MCGUIRE-2</t>
  </si>
  <si>
    <t>http://www.iaea.org/PRIS/CountryStatistics/ReactorDetails.aspx?current=691</t>
  </si>
  <si>
    <t>MILLSTONE-1</t>
  </si>
  <si>
    <t>WATERFORD</t>
  </si>
  <si>
    <t>http://www.iaea.org/PRIS/CountryStatistics/ReactorDetails.aspx?current=610</t>
  </si>
  <si>
    <t>MILLSTONE-2</t>
  </si>
  <si>
    <t>http://www.iaea.org/PRIS/CountryStatistics/ReactorDetails.aspx?current=671</t>
  </si>
  <si>
    <t>MILLSTONE-3</t>
  </si>
  <si>
    <t>http://www.iaea.org/PRIS/CountryStatistics/ReactorDetails.aspx?current=717</t>
  </si>
  <si>
    <t>MONTICELLO</t>
  </si>
  <si>
    <t>http://www.iaea.org/PRIS/CountryStatistics/ReactorDetails.aspx?current=620</t>
  </si>
  <si>
    <t>NINE MILE POINT-1</t>
  </si>
  <si>
    <t>SCRIBA</t>
  </si>
  <si>
    <t>http://www.iaea.org/PRIS/CountryStatistics/ReactorDetails.aspx?current=607</t>
  </si>
  <si>
    <t>NINE MILE POINT-2</t>
  </si>
  <si>
    <t>http://www.iaea.org/PRIS/CountryStatistics/ReactorDetails.aspx?current=711</t>
  </si>
  <si>
    <t>NORTH ANNA-1</t>
  </si>
  <si>
    <t>MINERAL</t>
  </si>
  <si>
    <t>http://www.iaea.org/PRIS/CountryStatistics/ReactorDetails.aspx?current=672</t>
  </si>
  <si>
    <t>NORTH ANNA-2</t>
  </si>
  <si>
    <t>http://www.iaea.org/PRIS/CountryStatistics/ReactorDetails.aspx?current=673</t>
  </si>
  <si>
    <t>OCONEE-1</t>
  </si>
  <si>
    <t>OCONEE</t>
  </si>
  <si>
    <t>http://www.iaea.org/PRIS/CountryStatistics/ReactorDetails.aspx?current=624</t>
  </si>
  <si>
    <t>OCONEE-2</t>
  </si>
  <si>
    <t>http://www.iaea.org/PRIS/CountryStatistics/ReactorDetails.aspx?current=625</t>
  </si>
  <si>
    <t>OCONEE-3</t>
  </si>
  <si>
    <t>http://www.iaea.org/PRIS/CountryStatistics/ReactorDetails.aspx?current=636</t>
  </si>
  <si>
    <t>OYSTER CREEK</t>
  </si>
  <si>
    <t>FORKED RIVER</t>
  </si>
  <si>
    <t>http://www.iaea.org/PRIS/CountryStatistics/ReactorDetails.aspx?current=606</t>
  </si>
  <si>
    <t>PALISADES</t>
  </si>
  <si>
    <t>SOUTH HAVEN</t>
  </si>
  <si>
    <t>http://www.iaea.org/PRIS/CountryStatistics/ReactorDetails.aspx?current=616</t>
  </si>
  <si>
    <t>PALO VERDE-1</t>
  </si>
  <si>
    <t>WINTERSBURG</t>
  </si>
  <si>
    <t>http://www.iaea.org/PRIS/CountryStatistics/ReactorDetails.aspx?current=789</t>
  </si>
  <si>
    <t>PALO VERDE-2</t>
  </si>
  <si>
    <t>http://www.iaea.org/PRIS/CountryStatistics/ReactorDetails.aspx?current=790</t>
  </si>
  <si>
    <t>PALO VERDE-3</t>
  </si>
  <si>
    <t>http://www.iaea.org/PRIS/CountryStatistics/ReactorDetails.aspx?current=791</t>
  </si>
  <si>
    <t>PATHFINDER</t>
  </si>
  <si>
    <t>http://www.iaea.org/PRIS/CountryStatistics/ReactorDetails.aspx?current=598</t>
  </si>
  <si>
    <t>PEACH BOTTOM-1</t>
  </si>
  <si>
    <t>http://www.iaea.org/PRIS/CountryStatistics/ReactorDetails.aspx?current=603</t>
  </si>
  <si>
    <t>PEACH BOTTOM-2</t>
  </si>
  <si>
    <t>http://www.iaea.org/PRIS/CountryStatistics/ReactorDetails.aspx?current=629</t>
  </si>
  <si>
    <t>PEACH BOTTOM-3</t>
  </si>
  <si>
    <t>http://www.iaea.org/PRIS/CountryStatistics/ReactorDetails.aspx?current=630</t>
  </si>
  <si>
    <t>IRAN</t>
  </si>
  <si>
    <t>PERRY-1</t>
  </si>
  <si>
    <t>PERRY</t>
  </si>
  <si>
    <t>http://www.iaea.org/PRIS/CountryStatistics/ReactorDetails.aspx?current=725</t>
  </si>
  <si>
    <t>PILGRIM-1</t>
  </si>
  <si>
    <t>PLYMOUTH</t>
  </si>
  <si>
    <t>http://www.iaea.org/PRIS/CountryStatistics/ReactorDetails.aspx?current=639</t>
  </si>
  <si>
    <t>PIQUA</t>
  </si>
  <si>
    <t>Piqua</t>
  </si>
  <si>
    <t>http://www.iaea.org/PRIS/CountryStatistics/ReactorDetails.aspx?current=894</t>
  </si>
  <si>
    <t>POINT BEACH-1</t>
  </si>
  <si>
    <t>TWO CREEKS</t>
  </si>
  <si>
    <t>http://www.iaea.org/PRIS/CountryStatistics/ReactorDetails.aspx?current=622</t>
  </si>
  <si>
    <t>POINT BEACH-2</t>
  </si>
  <si>
    <t>http://www.iaea.org/PRIS/CountryStatistics/ReactorDetails.aspx?current=644</t>
  </si>
  <si>
    <t>PRAIRIE ISLAND-1</t>
  </si>
  <si>
    <t>RED WING</t>
  </si>
  <si>
    <t>http://www.iaea.org/PRIS/CountryStatistics/ReactorDetails.aspx?current=633</t>
  </si>
  <si>
    <t>PRAIRIE ISLAND-2</t>
  </si>
  <si>
    <t>http://www.iaea.org/PRIS/CountryStatistics/ReactorDetails.aspx?current=648</t>
  </si>
  <si>
    <t>QUAD CITIES-1</t>
  </si>
  <si>
    <t>CORDOVA</t>
  </si>
  <si>
    <t>http://www.iaea.org/PRIS/CountryStatistics/ReactorDetails.aspx?current=615</t>
  </si>
  <si>
    <t>QUAD CITIES-2</t>
  </si>
  <si>
    <t>http://www.iaea.org/PRIS/CountryStatistics/ReactorDetails.aspx?current=621</t>
  </si>
  <si>
    <t>RANCHO SECO-1</t>
  </si>
  <si>
    <t>SACRAMENTO</t>
  </si>
  <si>
    <t>http://www.iaea.org/PRIS/CountryStatistics/ReactorDetails.aspx?current=651</t>
  </si>
  <si>
    <t>RIVER BEND-1</t>
  </si>
  <si>
    <t>ST.FRANCISVILLE</t>
  </si>
  <si>
    <t>http://www.iaea.org/PRIS/CountryStatistics/ReactorDetails.aspx?current=739</t>
  </si>
  <si>
    <t>ROBINSON-2</t>
  </si>
  <si>
    <t>HARTSVILLE</t>
  </si>
  <si>
    <t>http://www.iaea.org/PRIS/CountryStatistics/ReactorDetails.aspx?current=619</t>
  </si>
  <si>
    <t>SALEM-1</t>
  </si>
  <si>
    <t>http://www.iaea.org/PRIS/CountryStatistics/ReactorDetails.aspx?current=627</t>
  </si>
  <si>
    <t>SALEM-2</t>
  </si>
  <si>
    <t>http://www.iaea.org/PRIS/CountryStatistics/ReactorDetails.aspx?current=650</t>
  </si>
  <si>
    <t>SAN ONOFRE-1</t>
  </si>
  <si>
    <t>SAN CLEMENTE</t>
  </si>
  <si>
    <t>http://www.iaea.org/PRIS/CountryStatistics/ReactorDetails.aspx?current=604</t>
  </si>
  <si>
    <t>SAN ONOFRE-2</t>
  </si>
  <si>
    <t>http://www.iaea.org/PRIS/CountryStatistics/ReactorDetails.aspx?current=683</t>
  </si>
  <si>
    <t>SAN ONOFRE-3</t>
  </si>
  <si>
    <t>http://www.iaea.org/PRIS/CountryStatistics/ReactorDetails.aspx?current=684</t>
  </si>
  <si>
    <t>SAXTON</t>
  </si>
  <si>
    <t>http://www.iaea.org/PRIS/CountryStatistics/ReactorDetails.aspx?current=892</t>
  </si>
  <si>
    <t>SEABROOK-1</t>
  </si>
  <si>
    <t>SEABROOK</t>
  </si>
  <si>
    <t>http://www.iaea.org/PRIS/CountryStatistics/ReactorDetails.aspx?current=727</t>
  </si>
  <si>
    <t>SEQUOYAH-1</t>
  </si>
  <si>
    <t>DAISY</t>
  </si>
  <si>
    <t>http://www.iaea.org/PRIS/CountryStatistics/ReactorDetails.aspx?current=663</t>
  </si>
  <si>
    <t>SEQUOYAH-2</t>
  </si>
  <si>
    <t>http://www.iaea.org/PRIS/CountryStatistics/ReactorDetails.aspx?current=664</t>
  </si>
  <si>
    <t>http://www.iaea.org/PRIS/CountryStatistics/ReactorDetails.aspx?current=890</t>
  </si>
  <si>
    <t>SHOREHAM</t>
  </si>
  <si>
    <t>http://www.iaea.org/PRIS/CountryStatistics/ReactorDetails.aspx?current=659</t>
  </si>
  <si>
    <t>SOUTH TEXAS-1</t>
  </si>
  <si>
    <t>BAY CITY</t>
  </si>
  <si>
    <t>http://www.iaea.org/PRIS/CountryStatistics/ReactorDetails.aspx?current=764</t>
  </si>
  <si>
    <t>SOUTH TEXAS-2</t>
  </si>
  <si>
    <t>http://www.iaea.org/PRIS/CountryStatistics/ReactorDetails.aspx?current=765</t>
  </si>
  <si>
    <t>ST. LUCIE-1</t>
  </si>
  <si>
    <t>FORT PIERCE</t>
  </si>
  <si>
    <t>http://www.iaea.org/PRIS/CountryStatistics/ReactorDetails.aspx?current=670</t>
  </si>
  <si>
    <t>ST. LUCIE-2</t>
  </si>
  <si>
    <t>http://www.iaea.org/PRIS/CountryStatistics/ReactorDetails.aspx?current=698</t>
  </si>
  <si>
    <t>SUMMER-1</t>
  </si>
  <si>
    <t>JENKINSVILLE</t>
  </si>
  <si>
    <t>http://www.iaea.org/PRIS/CountryStatistics/ReactorDetails.aspx?current=701</t>
  </si>
  <si>
    <t>SUMMER-2</t>
  </si>
  <si>
    <t>http://www.iaea.org/PRIS/CountryStatistics/ReactorDetails.aspx?current=1038</t>
  </si>
  <si>
    <t>SUMMER-3</t>
  </si>
  <si>
    <t>http://www.iaea.org/PRIS/CountryStatistics/ReactorDetails.aspx?current=1039</t>
  </si>
  <si>
    <t>SURRY-1</t>
  </si>
  <si>
    <t>GRAVEL NECK</t>
  </si>
  <si>
    <t>http://www.iaea.org/PRIS/CountryStatistics/ReactorDetails.aspx?current=631</t>
  </si>
  <si>
    <t>SURRY-2</t>
  </si>
  <si>
    <t>http://www.iaea.org/PRIS/CountryStatistics/ReactorDetails.aspx?current=632</t>
  </si>
  <si>
    <t>SUSQUEHANNA-1</t>
  </si>
  <si>
    <t>http://www.iaea.org/PRIS/CountryStatistics/ReactorDetails.aspx?current=696</t>
  </si>
  <si>
    <t>SUSQUEHANNA-2</t>
  </si>
  <si>
    <t>http://www.iaea.org/PRIS/CountryStatistics/ReactorDetails.aspx?current=697</t>
  </si>
  <si>
    <t>THREE MILE ISLAND-1</t>
  </si>
  <si>
    <t>DAUPHIN</t>
  </si>
  <si>
    <t>http://www.iaea.org/PRIS/CountryStatistics/ReactorDetails.aspx?current=637</t>
  </si>
  <si>
    <t>THREE MILE ISLAND-2</t>
  </si>
  <si>
    <t>http://www.iaea.org/PRIS/CountryStatistics/ReactorDetails.aspx?current=657</t>
  </si>
  <si>
    <t>TROJAN</t>
  </si>
  <si>
    <t>PRESCOTT</t>
  </si>
  <si>
    <t>http://www.iaea.org/PRIS/CountryStatistics/ReactorDetails.aspx?current=675</t>
  </si>
  <si>
    <t>TURKEY POINT-3</t>
  </si>
  <si>
    <t>FLORIDA CITY</t>
  </si>
  <si>
    <t>http://www.iaea.org/PRIS/CountryStatistics/ReactorDetails.aspx?current=613</t>
  </si>
  <si>
    <t>TURKEY POINT-4</t>
  </si>
  <si>
    <t>http://www.iaea.org/PRIS/CountryStatistics/ReactorDetails.aspx?current=614</t>
  </si>
  <si>
    <t>VERMONT YANKEE</t>
  </si>
  <si>
    <t>VERNON</t>
  </si>
  <si>
    <t>http://www.iaea.org/PRIS/CountryStatistics/ReactorDetails.aspx?current=626</t>
  </si>
  <si>
    <t>VOGTLE-1</t>
  </si>
  <si>
    <t>WAYNESBORO</t>
  </si>
  <si>
    <t>http://www.iaea.org/PRIS/CountryStatistics/ReactorDetails.aspx?current=718</t>
  </si>
  <si>
    <t>VOGTLE-2</t>
  </si>
  <si>
    <t>http://www.iaea.org/PRIS/CountryStatistics/ReactorDetails.aspx?current=719</t>
  </si>
  <si>
    <t>VOGTLE-3</t>
  </si>
  <si>
    <t>http://www.iaea.org/PRIS/CountryStatistics/ReactorDetails.aspx?current=1042</t>
  </si>
  <si>
    <t>VOGTLE-4</t>
  </si>
  <si>
    <t>http://www.iaea.org/PRIS/CountryStatistics/ReactorDetails.aspx?current=1043</t>
  </si>
  <si>
    <t>WATERFORD-3</t>
  </si>
  <si>
    <t>TAFT</t>
  </si>
  <si>
    <t>http://www.iaea.org/PRIS/CountryStatistics/ReactorDetails.aspx?current=695</t>
  </si>
  <si>
    <t>WATTS BAR-1</t>
  </si>
  <si>
    <t>SPRING CITY</t>
  </si>
  <si>
    <t>http://www.iaea.org/PRIS/CountryStatistics/ReactorDetails.aspx?current=699</t>
  </si>
  <si>
    <t>WATTS BAR-2</t>
  </si>
  <si>
    <t>http://www.iaea.org/PRIS/CountryStatistics/ReactorDetails.aspx?current=700</t>
  </si>
  <si>
    <t>WOLF CREEK</t>
  </si>
  <si>
    <t>BURLINGTON</t>
  </si>
  <si>
    <t>http://www.iaea.org/PRIS/CountryStatistics/ReactorDetails.aspx?current=751</t>
  </si>
  <si>
    <t>YANKEE NPS</t>
  </si>
  <si>
    <t>ROWE</t>
  </si>
  <si>
    <t>http://www.iaea.org/PRIS/CountryStatistics/ReactorDetails.aspx?current=638</t>
  </si>
  <si>
    <t>ZION-1</t>
  </si>
  <si>
    <t>ZION</t>
  </si>
  <si>
    <t>http://www.iaea.org/PRIS/CountryStatistics/ReactorDetails.aspx?current=640</t>
  </si>
  <si>
    <t>ZION-2</t>
  </si>
  <si>
    <t>http://www.iaea.org/PRIS/CountryStatistics/ReactorDetails.aspx?current=646</t>
  </si>
  <si>
    <t>SOUTH KOREA</t>
  </si>
  <si>
    <t>TAIWAN</t>
  </si>
  <si>
    <t>UNITED STATES</t>
  </si>
  <si>
    <t>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</si>
</sst>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"/>
  </numFmts>
  <fonts count="5">
    <font>
      <sz val="10.0"/>
      <color rgb="FF000000"/>
      <name val="Arial"/>
    </font>
    <font>
      <b/>
    </font>
    <font>
      <b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1" numFmtId="1" xfId="0" applyAlignment="1" applyFont="1" applyNumberFormat="1">
      <alignment/>
    </xf>
    <xf borderId="0" fillId="0" fontId="2" numFmtId="1" xfId="0" applyAlignment="1" applyFont="1" applyNumberForma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" xfId="0" applyAlignment="1" applyFont="1" applyNumberFormat="1">
      <alignment/>
    </xf>
    <xf borderId="0" fillId="0" fontId="4" numFmtId="0" xfId="0" applyAlignment="1" applyFont="1">
      <alignment/>
    </xf>
    <xf borderId="0" fillId="0" fontId="3" numFmtId="165" xfId="0" applyAlignment="1" applyFont="1" applyNumberFormat="1">
      <alignment/>
    </xf>
    <xf borderId="0" fillId="0" fontId="3" numFmtId="164" xfId="0" applyFont="1" applyNumberFormat="1"/>
    <xf borderId="0" fillId="0" fontId="3" numFmtId="1" xfId="0" applyFont="1" applyNumberFormat="1"/>
    <xf borderId="0" fillId="0" fontId="3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561" Type="http://schemas.openxmlformats.org/officeDocument/2006/relationships/hyperlink" Target="http://www.iaea.org/PRIS/CountryStatistics/ReactorDetails.aspx?current=602" TargetMode="External"/><Relationship Id="rId560" Type="http://schemas.openxmlformats.org/officeDocument/2006/relationships/hyperlink" Target="http://www.iaea.org/PRIS/CountryStatistics/ReactorDetails.aspx?current=686" TargetMode="External"/><Relationship Id="rId429" Type="http://schemas.openxmlformats.org/officeDocument/2006/relationships/hyperlink" Target="http://www.iaea.org/PRIS/CountryStatistics/ReactorDetails.aspx?current=540" TargetMode="External"/><Relationship Id="rId428" Type="http://schemas.openxmlformats.org/officeDocument/2006/relationships/hyperlink" Target="http://www.iaea.org/PRIS/CountryStatistics/ReactorDetails.aspx?current=538" TargetMode="External"/><Relationship Id="rId427" Type="http://schemas.openxmlformats.org/officeDocument/2006/relationships/hyperlink" Target="http://www.iaea.org/PRIS/CountryStatistics/ReactorDetails.aspx?current=528" TargetMode="External"/><Relationship Id="rId565" Type="http://schemas.openxmlformats.org/officeDocument/2006/relationships/hyperlink" Target="http://www.iaea.org/PRIS/CountryStatistics/ReactorDetails.aspx?current=623" TargetMode="External"/><Relationship Id="rId426" Type="http://schemas.openxmlformats.org/officeDocument/2006/relationships/hyperlink" Target="http://www.iaea.org/PRIS/CountryStatistics/ReactorDetails.aspx?current=146" TargetMode="External"/><Relationship Id="rId370" Type="http://schemas.openxmlformats.org/officeDocument/2006/relationships/hyperlink" Target="http://www.iaea.org/PRIS/CountryStatistics/ReactorDetails.aspx?current=468" TargetMode="External"/><Relationship Id="rId564" Type="http://schemas.openxmlformats.org/officeDocument/2006/relationships/hyperlink" Target="http://www.iaea.org/PRIS/CountryStatistics/ReactorDetails.aspx?current=634" TargetMode="External"/><Relationship Id="rId425" Type="http://schemas.openxmlformats.org/officeDocument/2006/relationships/hyperlink" Target="http://www.iaea.org/PRIS/CountryStatistics/ReactorDetails.aspx?current=150" TargetMode="External"/><Relationship Id="rId563" Type="http://schemas.openxmlformats.org/officeDocument/2006/relationships/hyperlink" Target="http://www.iaea.org/PRIS/CountryStatistics/ReactorDetails.aspx?current=668" TargetMode="External"/><Relationship Id="rId424" Type="http://schemas.openxmlformats.org/officeDocument/2006/relationships/hyperlink" Target="http://www.iaea.org/PRIS/CountryStatistics/ReactorDetails.aspx?current=141" TargetMode="External"/><Relationship Id="rId562" Type="http://schemas.openxmlformats.org/officeDocument/2006/relationships/hyperlink" Target="http://www.iaea.org/PRIS/CountryStatistics/ReactorDetails.aspx?current=674" TargetMode="External"/><Relationship Id="rId423" Type="http://schemas.openxmlformats.org/officeDocument/2006/relationships/hyperlink" Target="http://www.iaea.org/PRIS/CountryStatistics/ReactorDetails.aspx?current=149" TargetMode="External"/><Relationship Id="rId617" Type="http://schemas.openxmlformats.org/officeDocument/2006/relationships/hyperlink" Target="http://www.iaea.org/PRIS/CountryStatistics/ReactorDetails.aspx?current=651" TargetMode="External"/><Relationship Id="rId569" Type="http://schemas.openxmlformats.org/officeDocument/2006/relationships/hyperlink" Target="http://www.iaea.org/PRIS/CountryStatistics/ReactorDetails.aspx?current=605" TargetMode="External"/><Relationship Id="rId422" Type="http://schemas.openxmlformats.org/officeDocument/2006/relationships/hyperlink" Target="http://www.iaea.org/PRIS/CountryStatistics/ReactorDetails.aspx?current=139" TargetMode="External"/><Relationship Id="rId39" Type="http://schemas.openxmlformats.org/officeDocument/2006/relationships/hyperlink" Target="http://www.iaea.org/PRIS/CountryStatistics/ReactorDetails.aspx?current=32" TargetMode="External"/><Relationship Id="rId616" Type="http://schemas.openxmlformats.org/officeDocument/2006/relationships/hyperlink" Target="http://www.iaea.org/PRIS/CountryStatistics/ReactorDetails.aspx?current=621" TargetMode="External"/><Relationship Id="rId568" Type="http://schemas.openxmlformats.org/officeDocument/2006/relationships/hyperlink" Target="http://www.iaea.org/PRIS/CountryStatistics/ReactorDetails.aspx?current=715" TargetMode="External"/><Relationship Id="rId421" Type="http://schemas.openxmlformats.org/officeDocument/2006/relationships/hyperlink" Target="http://www.iaea.org/PRIS/CountryStatistics/ReactorDetails.aspx?current=140" TargetMode="External"/><Relationship Id="rId38" Type="http://schemas.openxmlformats.org/officeDocument/2006/relationships/hyperlink" Target="http://www.iaea.org/PRIS/CountryStatistics/ReactorDetails.aspx?current=47" TargetMode="External"/><Relationship Id="rId615" Type="http://schemas.openxmlformats.org/officeDocument/2006/relationships/hyperlink" Target="http://www.iaea.org/PRIS/CountryStatistics/ReactorDetails.aspx?current=615" TargetMode="External"/><Relationship Id="rId567" Type="http://schemas.openxmlformats.org/officeDocument/2006/relationships/hyperlink" Target="http://www.iaea.org/PRIS/CountryStatistics/ReactorDetails.aspx?current=609" TargetMode="External"/><Relationship Id="rId420" Type="http://schemas.openxmlformats.org/officeDocument/2006/relationships/hyperlink" Target="http://www.iaea.org/PRIS/CountryStatistics/ReactorDetails.aspx?current=156" TargetMode="External"/><Relationship Id="rId37" Type="http://schemas.openxmlformats.org/officeDocument/2006/relationships/hyperlink" Target="http://www.iaea.org/PRIS/CountryStatistics/ReactorDetails.aspx?current=40" TargetMode="External"/><Relationship Id="rId614" Type="http://schemas.openxmlformats.org/officeDocument/2006/relationships/hyperlink" Target="http://www.iaea.org/PRIS/CountryStatistics/ReactorDetails.aspx?current=648" TargetMode="External"/><Relationship Id="rId566" Type="http://schemas.openxmlformats.org/officeDocument/2006/relationships/hyperlink" Target="http://www.iaea.org/PRIS/CountryStatistics/ReactorDetails.aspx?current=893" TargetMode="External"/><Relationship Id="rId36" Type="http://schemas.openxmlformats.org/officeDocument/2006/relationships/hyperlink" Target="http://www.iaea.org/PRIS/CountryStatistics/ReactorDetails.aspx?current=46" TargetMode="External"/><Relationship Id="rId613" Type="http://schemas.openxmlformats.org/officeDocument/2006/relationships/hyperlink" Target="http://www.iaea.org/PRIS/CountryStatistics/ReactorDetails.aspx?current=633" TargetMode="External"/><Relationship Id="rId150" Type="http://schemas.openxmlformats.org/officeDocument/2006/relationships/hyperlink" Target="http://www.iaea.org/PRIS/CountryStatistics/ReactorDetails.aspx?current=873" TargetMode="External"/><Relationship Id="rId612" Type="http://schemas.openxmlformats.org/officeDocument/2006/relationships/hyperlink" Target="http://www.iaea.org/PRIS/CountryStatistics/ReactorDetails.aspx?current=644" TargetMode="External"/><Relationship Id="rId611" Type="http://schemas.openxmlformats.org/officeDocument/2006/relationships/hyperlink" Target="http://www.iaea.org/PRIS/CountryStatistics/ReactorDetails.aspx?current=622" TargetMode="External"/><Relationship Id="rId610" Type="http://schemas.openxmlformats.org/officeDocument/2006/relationships/hyperlink" Target="http://www.iaea.org/PRIS/CountryStatistics/ReactorDetails.aspx?current=894" TargetMode="External"/><Relationship Id="rId142" Type="http://schemas.openxmlformats.org/officeDocument/2006/relationships/hyperlink" Target="http://www.iaea.org/PRIS/CountryStatistics/ReactorDetails.aspx?current=183" TargetMode="External"/><Relationship Id="rId30" Type="http://schemas.openxmlformats.org/officeDocument/2006/relationships/hyperlink" Target="http://www.iaea.org/PRIS/CountryStatistics/ReactorDetails.aspx?current=39" TargetMode="External"/><Relationship Id="rId223" Type="http://schemas.openxmlformats.org/officeDocument/2006/relationships/hyperlink" Target="http://www.iaea.org/PRIS/CountryStatistics/ReactorDetails.aspx?current=291" TargetMode="External"/><Relationship Id="rId143" Type="http://schemas.openxmlformats.org/officeDocument/2006/relationships/hyperlink" Target="http://www.iaea.org/PRIS/CountryStatistics/ReactorDetails.aspx?current=185" TargetMode="External"/><Relationship Id="rId31" Type="http://schemas.openxmlformats.org/officeDocument/2006/relationships/hyperlink" Target="http://www.iaea.org/PRIS/CountryStatistics/ReactorDetails.aspx?current=41" TargetMode="External"/><Relationship Id="rId224" Type="http://schemas.openxmlformats.org/officeDocument/2006/relationships/hyperlink" Target="http://www.iaea.org/PRIS/CountryStatistics/ReactorDetails.aspx?current=292" TargetMode="External"/><Relationship Id="rId140" Type="http://schemas.openxmlformats.org/officeDocument/2006/relationships/hyperlink" Target="http://www.iaea.org/PRIS/CountryStatistics/ReactorDetails.aspx?current=201" TargetMode="External"/><Relationship Id="rId221" Type="http://schemas.openxmlformats.org/officeDocument/2006/relationships/hyperlink" Target="http://www.iaea.org/PRIS/CountryStatistics/ReactorDetails.aspx?current=289" TargetMode="External"/><Relationship Id="rId368" Type="http://schemas.openxmlformats.org/officeDocument/2006/relationships/hyperlink" Target="http://www.iaea.org/PRIS/CountryStatistics/ReactorDetails.aspx?current=451" TargetMode="External"/><Relationship Id="rId141" Type="http://schemas.openxmlformats.org/officeDocument/2006/relationships/hyperlink" Target="http://www.iaea.org/PRIS/CountryStatistics/ReactorDetails.aspx?current=176" TargetMode="External"/><Relationship Id="rId222" Type="http://schemas.openxmlformats.org/officeDocument/2006/relationships/hyperlink" Target="http://www.iaea.org/PRIS/CountryStatistics/ReactorDetails.aspx?current=290" TargetMode="External"/><Relationship Id="rId369" Type="http://schemas.openxmlformats.org/officeDocument/2006/relationships/hyperlink" Target="http://www.iaea.org/PRIS/CountryStatistics/ReactorDetails.aspx?current=467" TargetMode="External"/><Relationship Id="rId146" Type="http://schemas.openxmlformats.org/officeDocument/2006/relationships/hyperlink" Target="http://www.iaea.org/PRIS/CountryStatistics/ReactorDetails.aspx?current=163" TargetMode="External"/><Relationship Id="rId34" Type="http://schemas.openxmlformats.org/officeDocument/2006/relationships/hyperlink" Target="http://www.iaea.org/PRIS/CountryStatistics/ReactorDetails.aspx?current=44" TargetMode="External"/><Relationship Id="rId147" Type="http://schemas.openxmlformats.org/officeDocument/2006/relationships/hyperlink" Target="http://www.iaea.org/PRIS/CountryStatistics/ReactorDetails.aspx?current=164" TargetMode="External"/><Relationship Id="rId35" Type="http://schemas.openxmlformats.org/officeDocument/2006/relationships/hyperlink" Target="http://www.iaea.org/PRIS/CountryStatistics/ReactorDetails.aspx?current=45" TargetMode="External"/><Relationship Id="rId220" Type="http://schemas.openxmlformats.org/officeDocument/2006/relationships/hyperlink" Target="http://www.iaea.org/PRIS/CountryStatistics/ReactorDetails.aspx?current=281" TargetMode="External"/><Relationship Id="rId618" Type="http://schemas.openxmlformats.org/officeDocument/2006/relationships/hyperlink" Target="http://www.iaea.org/PRIS/CountryStatistics/ReactorDetails.aspx?current=739" TargetMode="External"/><Relationship Id="rId144" Type="http://schemas.openxmlformats.org/officeDocument/2006/relationships/hyperlink" Target="http://www.iaea.org/PRIS/CountryStatistics/ReactorDetails.aspx?current=186" TargetMode="External"/><Relationship Id="rId32" Type="http://schemas.openxmlformats.org/officeDocument/2006/relationships/hyperlink" Target="http://www.iaea.org/PRIS/CountryStatistics/ReactorDetails.aspx?current=42" TargetMode="External"/><Relationship Id="rId619" Type="http://schemas.openxmlformats.org/officeDocument/2006/relationships/hyperlink" Target="http://www.iaea.org/PRIS/CountryStatistics/ReactorDetails.aspx?current=619" TargetMode="External"/><Relationship Id="rId145" Type="http://schemas.openxmlformats.org/officeDocument/2006/relationships/hyperlink" Target="http://www.iaea.org/PRIS/CountryStatistics/ReactorDetails.aspx?current=217" TargetMode="External"/><Relationship Id="rId33" Type="http://schemas.openxmlformats.org/officeDocument/2006/relationships/hyperlink" Target="http://www.iaea.org/PRIS/CountryStatistics/ReactorDetails.aspx?current=43" TargetMode="External"/><Relationship Id="rId362" Type="http://schemas.openxmlformats.org/officeDocument/2006/relationships/hyperlink" Target="http://www.iaea.org/PRIS/CountryStatistics/ReactorDetails.aspx?current=526" TargetMode="External"/><Relationship Id="rId363" Type="http://schemas.openxmlformats.org/officeDocument/2006/relationships/hyperlink" Target="http://www.iaea.org/PRIS/CountryStatistics/ReactorDetails.aspx?current=527" TargetMode="External"/><Relationship Id="rId148" Type="http://schemas.openxmlformats.org/officeDocument/2006/relationships/hyperlink" Target="http://www.iaea.org/PRIS/CountryStatistics/ReactorDetails.aspx?current=202" TargetMode="External"/><Relationship Id="rId229" Type="http://schemas.openxmlformats.org/officeDocument/2006/relationships/hyperlink" Target="http://www.iaea.org/PRIS/CountryStatistics/ReactorDetails.aspx?current=852" TargetMode="External"/><Relationship Id="rId360" Type="http://schemas.openxmlformats.org/officeDocument/2006/relationships/hyperlink" Target="http://www.iaea.org/PRIS/CountryStatistics/ReactorDetails.aspx?current=524" TargetMode="External"/><Relationship Id="rId149" Type="http://schemas.openxmlformats.org/officeDocument/2006/relationships/hyperlink" Target="http://www.iaea.org/PRIS/CountryStatistics/ReactorDetails.aspx?current=203" TargetMode="External"/><Relationship Id="rId361" Type="http://schemas.openxmlformats.org/officeDocument/2006/relationships/hyperlink" Target="http://www.iaea.org/PRIS/CountryStatistics/ReactorDetails.aspx?current=525" TargetMode="External"/><Relationship Id="rId227" Type="http://schemas.openxmlformats.org/officeDocument/2006/relationships/hyperlink" Target="http://www.iaea.org/PRIS/CountryStatistics/ReactorDetails.aspx?current=986" TargetMode="External"/><Relationship Id="rId366" Type="http://schemas.openxmlformats.org/officeDocument/2006/relationships/hyperlink" Target="http://www.iaea.org/PRIS/CountryStatistics/ReactorDetails.aspx?current=503" TargetMode="External"/><Relationship Id="rId228" Type="http://schemas.openxmlformats.org/officeDocument/2006/relationships/hyperlink" Target="http://www.iaea.org/PRIS/CountryStatistics/ReactorDetails.aspx?current=987" TargetMode="External"/><Relationship Id="rId367" Type="http://schemas.openxmlformats.org/officeDocument/2006/relationships/hyperlink" Target="http://www.iaea.org/PRIS/CountryStatistics/ReactorDetails.aspx?current=484" TargetMode="External"/><Relationship Id="rId225" Type="http://schemas.openxmlformats.org/officeDocument/2006/relationships/hyperlink" Target="http://www.iaea.org/PRIS/CountryStatistics/ReactorDetails.aspx?current=308" TargetMode="External"/><Relationship Id="rId364" Type="http://schemas.openxmlformats.org/officeDocument/2006/relationships/hyperlink" Target="http://www.iaea.org/PRIS/CountryStatistics/ReactorDetails.aspx?current=968" TargetMode="External"/><Relationship Id="rId226" Type="http://schemas.openxmlformats.org/officeDocument/2006/relationships/hyperlink" Target="http://www.iaea.org/PRIS/CountryStatistics/ReactorDetails.aspx?current=286" TargetMode="External"/><Relationship Id="rId365" Type="http://schemas.openxmlformats.org/officeDocument/2006/relationships/hyperlink" Target="http://www.iaea.org/PRIS/CountryStatistics/ReactorDetails.aspx?current=488" TargetMode="External"/><Relationship Id="rId417" Type="http://schemas.openxmlformats.org/officeDocument/2006/relationships/hyperlink" Target="http://www.iaea.org/PRIS/CountryStatistics/ReactorDetails.aspx?current=153" TargetMode="External"/><Relationship Id="rId416" Type="http://schemas.openxmlformats.org/officeDocument/2006/relationships/hyperlink" Target="http://www.iaea.org/PRIS/CountryStatistics/ReactorDetails.aspx?current=837" TargetMode="External"/><Relationship Id="rId620" Type="http://schemas.openxmlformats.org/officeDocument/2006/relationships/hyperlink" Target="http://www.iaea.org/PRIS/CountryStatistics/ReactorDetails.aspx?current=627" TargetMode="External"/><Relationship Id="rId550" Type="http://schemas.openxmlformats.org/officeDocument/2006/relationships/hyperlink" Target="http://www.iaea.org/PRIS/CountryStatistics/ReactorDetails.aspx?current=600" TargetMode="External"/><Relationship Id="rId419" Type="http://schemas.openxmlformats.org/officeDocument/2006/relationships/hyperlink" Target="http://www.iaea.org/PRIS/CountryStatistics/ReactorDetails.aspx?current=155" TargetMode="External"/><Relationship Id="rId418" Type="http://schemas.openxmlformats.org/officeDocument/2006/relationships/hyperlink" Target="http://www.iaea.org/PRIS/CountryStatistics/ReactorDetails.aspx?current=154" TargetMode="External"/><Relationship Id="rId552" Type="http://schemas.openxmlformats.org/officeDocument/2006/relationships/hyperlink" Target="http://www.iaea.org/PRIS/CountryStatistics/ReactorDetails.aspx?current=628" TargetMode="External"/><Relationship Id="rId413" Type="http://schemas.openxmlformats.org/officeDocument/2006/relationships/hyperlink" Target="http://www.iaea.org/PRIS/CountryStatistics/ReactorDetails.aspx?current=545" TargetMode="External"/><Relationship Id="rId551" Type="http://schemas.openxmlformats.org/officeDocument/2006/relationships/hyperlink" Target="http://www.iaea.org/PRIS/CountryStatistics/ReactorDetails.aspx?current=676" TargetMode="External"/><Relationship Id="rId412" Type="http://schemas.openxmlformats.org/officeDocument/2006/relationships/hyperlink" Target="http://www.iaea.org/PRIS/CountryStatistics/ReactorDetails.aspx?current=544" TargetMode="External"/><Relationship Id="rId554" Type="http://schemas.openxmlformats.org/officeDocument/2006/relationships/hyperlink" Target="http://www.iaea.org/PRIS/CountryStatistics/ReactorDetails.aspx?current=597" TargetMode="External"/><Relationship Id="rId415" Type="http://schemas.openxmlformats.org/officeDocument/2006/relationships/hyperlink" Target="http://www.iaea.org/PRIS/CountryStatistics/ReactorDetails.aspx?current=836" TargetMode="External"/><Relationship Id="rId553" Type="http://schemas.openxmlformats.org/officeDocument/2006/relationships/hyperlink" Target="http://www.iaea.org/PRIS/CountryStatistics/ReactorDetails.aspx?current=660" TargetMode="External"/><Relationship Id="rId414" Type="http://schemas.openxmlformats.org/officeDocument/2006/relationships/hyperlink" Target="http://www.iaea.org/PRIS/CountryStatistics/ReactorDetails.aspx?current=542" TargetMode="External"/><Relationship Id="rId626" Type="http://schemas.openxmlformats.org/officeDocument/2006/relationships/hyperlink" Target="http://www.iaea.org/PRIS/CountryStatistics/ReactorDetails.aspx?current=727" TargetMode="External"/><Relationship Id="rId556" Type="http://schemas.openxmlformats.org/officeDocument/2006/relationships/hyperlink" Target="http://www.iaea.org/PRIS/CountryStatistics/ReactorDetails.aspx?current=612" TargetMode="External"/><Relationship Id="rId48" Type="http://schemas.openxmlformats.org/officeDocument/2006/relationships/hyperlink" Target="http://www.iaea.org/PRIS/CountryStatistics/ReactorDetails.aspx?current=37" TargetMode="External"/><Relationship Id="rId625" Type="http://schemas.openxmlformats.org/officeDocument/2006/relationships/hyperlink" Target="http://www.iaea.org/PRIS/CountryStatistics/ReactorDetails.aspx?current=892" TargetMode="External"/><Relationship Id="rId555" Type="http://schemas.openxmlformats.org/officeDocument/2006/relationships/hyperlink" Target="http://www.iaea.org/PRIS/CountryStatistics/ReactorDetails.aspx?current=608" TargetMode="External"/><Relationship Id="rId47" Type="http://schemas.openxmlformats.org/officeDocument/2006/relationships/hyperlink" Target="http://www.iaea.org/PRIS/CountryStatistics/ReactorDetails.aspx?current=36" TargetMode="External"/><Relationship Id="rId628" Type="http://schemas.openxmlformats.org/officeDocument/2006/relationships/hyperlink" Target="http://www.iaea.org/PRIS/CountryStatistics/ReactorDetails.aspx?current=664" TargetMode="External"/><Relationship Id="rId558" Type="http://schemas.openxmlformats.org/officeDocument/2006/relationships/hyperlink" Target="http://www.iaea.org/PRIS/CountryStatistics/ReactorDetails.aspx?current=596" TargetMode="External"/><Relationship Id="rId411" Type="http://schemas.openxmlformats.org/officeDocument/2006/relationships/hyperlink" Target="http://www.iaea.org/PRIS/CountryStatistics/ReactorDetails.aspx?current=551" TargetMode="External"/><Relationship Id="rId627" Type="http://schemas.openxmlformats.org/officeDocument/2006/relationships/hyperlink" Target="http://www.iaea.org/PRIS/CountryStatistics/ReactorDetails.aspx?current=663" TargetMode="External"/><Relationship Id="rId557" Type="http://schemas.openxmlformats.org/officeDocument/2006/relationships/hyperlink" Target="http://www.iaea.org/PRIS/CountryStatistics/ReactorDetails.aspx?current=667" TargetMode="External"/><Relationship Id="rId410" Type="http://schemas.openxmlformats.org/officeDocument/2006/relationships/hyperlink" Target="http://www.iaea.org/PRIS/CountryStatistics/ReactorDetails.aspx?current=550" TargetMode="External"/><Relationship Id="rId49" Type="http://schemas.openxmlformats.org/officeDocument/2006/relationships/hyperlink" Target="http://www.iaea.org/PRIS/CountryStatistics/ReactorDetails.aspx?current=29" TargetMode="External"/><Relationship Id="rId622" Type="http://schemas.openxmlformats.org/officeDocument/2006/relationships/hyperlink" Target="http://www.iaea.org/PRIS/CountryStatistics/ReactorDetails.aspx?current=604" TargetMode="External"/><Relationship Id="rId621" Type="http://schemas.openxmlformats.org/officeDocument/2006/relationships/hyperlink" Target="http://www.iaea.org/PRIS/CountryStatistics/ReactorDetails.aspx?current=650" TargetMode="External"/><Relationship Id="rId559" Type="http://schemas.openxmlformats.org/officeDocument/2006/relationships/hyperlink" Target="http://www.iaea.org/PRIS/CountryStatistics/ReactorDetails.aspx?current=677" TargetMode="External"/><Relationship Id="rId624" Type="http://schemas.openxmlformats.org/officeDocument/2006/relationships/hyperlink" Target="http://www.iaea.org/PRIS/CountryStatistics/ReactorDetails.aspx?current=684" TargetMode="External"/><Relationship Id="rId623" Type="http://schemas.openxmlformats.org/officeDocument/2006/relationships/hyperlink" Target="http://www.iaea.org/PRIS/CountryStatistics/ReactorDetails.aspx?current=683" TargetMode="External"/><Relationship Id="rId210" Type="http://schemas.openxmlformats.org/officeDocument/2006/relationships/hyperlink" Target="http://www.iaea.org/PRIS/CountryStatistics/ReactorDetails.aspx?current=98" TargetMode="External"/><Relationship Id="rId357" Type="http://schemas.openxmlformats.org/officeDocument/2006/relationships/hyperlink" Target="http://www.iaea.org/PRIS/CountryStatistics/ReactorDetails.aspx?current=895" TargetMode="External"/><Relationship Id="rId130" Type="http://schemas.openxmlformats.org/officeDocument/2006/relationships/hyperlink" Target="http://www.iaea.org/PRIS/CountryStatistics/ReactorDetails.aspx?current=213" TargetMode="External"/><Relationship Id="rId40" Type="http://schemas.openxmlformats.org/officeDocument/2006/relationships/hyperlink" Target="http://www.iaea.org/PRIS/CountryStatistics/ReactorDetails.aspx?current=49" TargetMode="External"/><Relationship Id="rId211" Type="http://schemas.openxmlformats.org/officeDocument/2006/relationships/hyperlink" Target="http://www.iaea.org/PRIS/CountryStatistics/ReactorDetails.aspx?current=122" TargetMode="External"/><Relationship Id="rId358" Type="http://schemas.openxmlformats.org/officeDocument/2006/relationships/hyperlink" Target="http://www.iaea.org/PRIS/CountryStatistics/ReactorDetails.aspx?current=896" TargetMode="External"/><Relationship Id="rId131" Type="http://schemas.openxmlformats.org/officeDocument/2006/relationships/hyperlink" Target="http://www.iaea.org/PRIS/CountryStatistics/ReactorDetails.aspx?current=214" TargetMode="External"/><Relationship Id="rId41" Type="http://schemas.openxmlformats.org/officeDocument/2006/relationships/hyperlink" Target="http://www.iaea.org/PRIS/CountryStatistics/ReactorDetails.aspx?current=50" TargetMode="External"/><Relationship Id="rId212" Type="http://schemas.openxmlformats.org/officeDocument/2006/relationships/hyperlink" Target="http://www.iaea.org/PRIS/CountryStatistics/ReactorDetails.aspx?current=83" TargetMode="External"/><Relationship Id="rId359" Type="http://schemas.openxmlformats.org/officeDocument/2006/relationships/hyperlink" Target="http://www.iaea.org/PRIS/CountryStatistics/ReactorDetails.aspx?current=447" TargetMode="External"/><Relationship Id="rId132" Type="http://schemas.openxmlformats.org/officeDocument/2006/relationships/hyperlink" Target="http://www.iaea.org/PRIS/CountryStatistics/ReactorDetails.aspx?current=220" TargetMode="External"/><Relationship Id="rId42" Type="http://schemas.openxmlformats.org/officeDocument/2006/relationships/hyperlink" Target="http://www.iaea.org/PRIS/CountryStatistics/ReactorDetails.aspx?current=51" TargetMode="External"/><Relationship Id="rId213" Type="http://schemas.openxmlformats.org/officeDocument/2006/relationships/hyperlink" Target="http://www.iaea.org/PRIS/CountryStatistics/ReactorDetails.aspx?current=92" TargetMode="External"/><Relationship Id="rId629" Type="http://schemas.openxmlformats.org/officeDocument/2006/relationships/hyperlink" Target="http://www.iaea.org/PRIS/CountryStatistics/ReactorDetails.aspx?current=890" TargetMode="External"/><Relationship Id="rId133" Type="http://schemas.openxmlformats.org/officeDocument/2006/relationships/hyperlink" Target="http://www.iaea.org/PRIS/CountryStatistics/ReactorDetails.aspx?current=226" TargetMode="External"/><Relationship Id="rId43" Type="http://schemas.openxmlformats.org/officeDocument/2006/relationships/hyperlink" Target="http://www.iaea.org/PRIS/CountryStatistics/ReactorDetails.aspx?current=52" TargetMode="External"/><Relationship Id="rId134" Type="http://schemas.openxmlformats.org/officeDocument/2006/relationships/hyperlink" Target="http://www.iaea.org/PRIS/CountryStatistics/ReactorDetails.aspx?current=206" TargetMode="External"/><Relationship Id="rId44" Type="http://schemas.openxmlformats.org/officeDocument/2006/relationships/hyperlink" Target="http://www.iaea.org/PRIS/CountryStatistics/ReactorDetails.aspx?current=33" TargetMode="External"/><Relationship Id="rId135" Type="http://schemas.openxmlformats.org/officeDocument/2006/relationships/hyperlink" Target="http://www.iaea.org/PRIS/CountryStatistics/ReactorDetails.aspx?current=227" TargetMode="External"/><Relationship Id="rId45" Type="http://schemas.openxmlformats.org/officeDocument/2006/relationships/hyperlink" Target="http://www.iaea.org/PRIS/CountryStatistics/ReactorDetails.aspx?current=34" TargetMode="External"/><Relationship Id="rId136" Type="http://schemas.openxmlformats.org/officeDocument/2006/relationships/hyperlink" Target="http://www.iaea.org/PRIS/CountryStatistics/ReactorDetails.aspx?current=228" TargetMode="External"/><Relationship Id="rId46" Type="http://schemas.openxmlformats.org/officeDocument/2006/relationships/hyperlink" Target="http://www.iaea.org/PRIS/CountryStatistics/ReactorDetails.aspx?current=35" TargetMode="External"/><Relationship Id="rId137" Type="http://schemas.openxmlformats.org/officeDocument/2006/relationships/hyperlink" Target="http://www.iaea.org/PRIS/CountryStatistics/ReactorDetails.aspx?current=198" TargetMode="External"/><Relationship Id="rId218" Type="http://schemas.openxmlformats.org/officeDocument/2006/relationships/hyperlink" Target="http://www.iaea.org/PRIS/CountryStatistics/ReactorDetails.aspx?current=279" TargetMode="External"/><Relationship Id="rId138" Type="http://schemas.openxmlformats.org/officeDocument/2006/relationships/hyperlink" Target="http://www.iaea.org/PRIS/CountryStatistics/ReactorDetails.aspx?current=199" TargetMode="External"/><Relationship Id="rId219" Type="http://schemas.openxmlformats.org/officeDocument/2006/relationships/hyperlink" Target="http://www.iaea.org/PRIS/CountryStatistics/ReactorDetails.aspx?current=280" TargetMode="External"/><Relationship Id="rId350" Type="http://schemas.openxmlformats.org/officeDocument/2006/relationships/hyperlink" Target="http://www.iaea.org/PRIS/CountryStatistics/ReactorDetails.aspx?current=428" TargetMode="External"/><Relationship Id="rId139" Type="http://schemas.openxmlformats.org/officeDocument/2006/relationships/hyperlink" Target="http://www.iaea.org/PRIS/CountryStatistics/ReactorDetails.aspx?current=200" TargetMode="External"/><Relationship Id="rId351" Type="http://schemas.openxmlformats.org/officeDocument/2006/relationships/hyperlink" Target="http://www.iaea.org/PRIS/CountryStatistics/ReactorDetails.aspx?current=429" TargetMode="External"/><Relationship Id="rId352" Type="http://schemas.openxmlformats.org/officeDocument/2006/relationships/hyperlink" Target="http://www.iaea.org/PRIS/CountryStatistics/ReactorDetails.aspx?current=1044" TargetMode="External"/><Relationship Id="rId214" Type="http://schemas.openxmlformats.org/officeDocument/2006/relationships/hyperlink" Target="http://www.iaea.org/PRIS/CountryStatistics/ReactorDetails.aspx?current=90" TargetMode="External"/><Relationship Id="rId353" Type="http://schemas.openxmlformats.org/officeDocument/2006/relationships/hyperlink" Target="http://www.iaea.org/PRIS/CountryStatistics/ReactorDetails.aspx?current=1045" TargetMode="External"/><Relationship Id="rId215" Type="http://schemas.openxmlformats.org/officeDocument/2006/relationships/hyperlink" Target="http://www.iaea.org/PRIS/CountryStatistics/ReactorDetails.aspx?current=82" TargetMode="External"/><Relationship Id="rId354" Type="http://schemas.openxmlformats.org/officeDocument/2006/relationships/hyperlink" Target="http://www.iaea.org/PRIS/CountryStatistics/ReactorDetails.aspx?current=427" TargetMode="External"/><Relationship Id="rId216" Type="http://schemas.openxmlformats.org/officeDocument/2006/relationships/hyperlink" Target="http://www.iaea.org/PRIS/CountryStatistics/ReactorDetails.aspx?current=136" TargetMode="External"/><Relationship Id="rId355" Type="http://schemas.openxmlformats.org/officeDocument/2006/relationships/hyperlink" Target="http://www.iaea.org/PRIS/CountryStatistics/ReactorDetails.aspx?current=442" TargetMode="External"/><Relationship Id="rId217" Type="http://schemas.openxmlformats.org/officeDocument/2006/relationships/hyperlink" Target="http://www.iaea.org/PRIS/CountryStatistics/ReactorDetails.aspx?current=278" TargetMode="External"/><Relationship Id="rId356" Type="http://schemas.openxmlformats.org/officeDocument/2006/relationships/hyperlink" Target="http://www.iaea.org/PRIS/CountryStatistics/ReactorDetails.aspx?current=443" TargetMode="External"/><Relationship Id="rId543" Type="http://schemas.openxmlformats.org/officeDocument/2006/relationships/hyperlink" Target="http://www.iaea.org/PRIS/CountryStatistics/ReactorDetails.aspx?current=702" TargetMode="External"/><Relationship Id="rId448" Type="http://schemas.openxmlformats.org/officeDocument/2006/relationships/hyperlink" Target="http://www.iaea.org/PRIS/CountryStatistics/ReactorDetails.aspx?current=556" TargetMode="External"/><Relationship Id="rId542" Type="http://schemas.openxmlformats.org/officeDocument/2006/relationships/hyperlink" Target="http://www.iaea.org/PRIS/CountryStatistics/ReactorDetails.aspx?current=742" TargetMode="External"/><Relationship Id="rId447" Type="http://schemas.openxmlformats.org/officeDocument/2006/relationships/hyperlink" Target="http://www.iaea.org/PRIS/CountryStatistics/ReactorDetails.aspx?current=555" TargetMode="External"/><Relationship Id="rId541" Type="http://schemas.openxmlformats.org/officeDocument/2006/relationships/hyperlink" Target="http://www.iaea.org/PRIS/CountryStatistics/ReactorDetails.aspx?current=714" TargetMode="External"/><Relationship Id="rId446" Type="http://schemas.openxmlformats.org/officeDocument/2006/relationships/hyperlink" Target="http://www.iaea.org/PRIS/CountryStatistics/ReactorDetails.aspx?current=554" TargetMode="External"/><Relationship Id="rId540" Type="http://schemas.openxmlformats.org/officeDocument/2006/relationships/hyperlink" Target="http://www.iaea.org/PRIS/CountryStatistics/ReactorDetails.aspx?current=713" TargetMode="External"/><Relationship Id="rId445" Type="http://schemas.openxmlformats.org/officeDocument/2006/relationships/hyperlink" Target="http://www.iaea.org/PRIS/CountryStatistics/ReactorDetails.aspx?current=56" TargetMode="External"/><Relationship Id="rId631" Type="http://schemas.openxmlformats.org/officeDocument/2006/relationships/hyperlink" Target="http://www.iaea.org/PRIS/CountryStatistics/ReactorDetails.aspx?current=764" TargetMode="External"/><Relationship Id="rId630" Type="http://schemas.openxmlformats.org/officeDocument/2006/relationships/hyperlink" Target="http://www.iaea.org/PRIS/CountryStatistics/ReactorDetails.aspx?current=659" TargetMode="External"/><Relationship Id="rId449" Type="http://schemas.openxmlformats.org/officeDocument/2006/relationships/hyperlink" Target="http://www.iaea.org/PRIS/CountryStatistics/ReactorDetails.aspx?current=557" TargetMode="External"/><Relationship Id="rId635" Type="http://schemas.openxmlformats.org/officeDocument/2006/relationships/hyperlink" Target="http://www.iaea.org/PRIS/CountryStatistics/ReactorDetails.aspx?current=701" TargetMode="External"/><Relationship Id="rId440" Type="http://schemas.openxmlformats.org/officeDocument/2006/relationships/hyperlink" Target="http://www.iaea.org/PRIS/CountryStatistics/ReactorDetails.aspx?current=55" TargetMode="External"/><Relationship Id="rId172" Type="http://schemas.openxmlformats.org/officeDocument/2006/relationships/hyperlink" Target="http://www.iaea.org/PRIS/CountryStatistics/ReactorDetails.aspx?current=225" TargetMode="External"/><Relationship Id="rId634" Type="http://schemas.openxmlformats.org/officeDocument/2006/relationships/hyperlink" Target="http://www.iaea.org/PRIS/CountryStatistics/ReactorDetails.aspx?current=698" TargetMode="External"/><Relationship Id="rId171" Type="http://schemas.openxmlformats.org/officeDocument/2006/relationships/hyperlink" Target="http://www.iaea.org/PRIS/CountryStatistics/ReactorDetails.aspx?current=205" TargetMode="External"/><Relationship Id="rId633" Type="http://schemas.openxmlformats.org/officeDocument/2006/relationships/hyperlink" Target="http://www.iaea.org/PRIS/CountryStatistics/ReactorDetails.aspx?current=670" TargetMode="External"/><Relationship Id="rId549" Type="http://schemas.openxmlformats.org/officeDocument/2006/relationships/hyperlink" Target="http://www.iaea.org/PRIS/CountryStatistics/ReactorDetails.aspx?current=645" TargetMode="External"/><Relationship Id="rId170" Type="http://schemas.openxmlformats.org/officeDocument/2006/relationships/hyperlink" Target="http://www.iaea.org/PRIS/CountryStatistics/ReactorDetails.aspx?current=204" TargetMode="External"/><Relationship Id="rId19" Type="http://schemas.openxmlformats.org/officeDocument/2006/relationships/hyperlink" Target="http://www.iaea.org/PRIS/CountryStatistics/ReactorDetails.aspx?current=16" TargetMode="External"/><Relationship Id="rId632" Type="http://schemas.openxmlformats.org/officeDocument/2006/relationships/hyperlink" Target="http://www.iaea.org/PRIS/CountryStatistics/ReactorDetails.aspx?current=765" TargetMode="External"/><Relationship Id="rId548" Type="http://schemas.openxmlformats.org/officeDocument/2006/relationships/hyperlink" Target="http://www.iaea.org/PRIS/CountryStatistics/ReactorDetails.aspx?current=642" TargetMode="External"/><Relationship Id="rId18" Type="http://schemas.openxmlformats.org/officeDocument/2006/relationships/hyperlink" Target="http://www.iaea.org/PRIS/CountryStatistics/ReactorDetails.aspx?current=26" TargetMode="External"/><Relationship Id="rId639" Type="http://schemas.openxmlformats.org/officeDocument/2006/relationships/hyperlink" Target="http://www.iaea.org/PRIS/CountryStatistics/ReactorDetails.aspx?current=632" TargetMode="External"/><Relationship Id="rId547" Type="http://schemas.openxmlformats.org/officeDocument/2006/relationships/hyperlink" Target="http://www.iaea.org/PRIS/CountryStatistics/ReactorDetails.aspx?current=654" TargetMode="External"/><Relationship Id="rId444" Type="http://schemas.openxmlformats.org/officeDocument/2006/relationships/hyperlink" Target="http://www.iaea.org/PRIS/CountryStatistics/ReactorDetails.aspx?current=966" TargetMode="External"/><Relationship Id="rId17" Type="http://schemas.openxmlformats.org/officeDocument/2006/relationships/hyperlink" Target="http://www.iaea.org/PRIS/CountryStatistics/ReactorDetails.aspx?current=25" TargetMode="External"/><Relationship Id="rId638" Type="http://schemas.openxmlformats.org/officeDocument/2006/relationships/hyperlink" Target="http://www.iaea.org/PRIS/CountryStatistics/ReactorDetails.aspx?current=631" TargetMode="External"/><Relationship Id="rId546" Type="http://schemas.openxmlformats.org/officeDocument/2006/relationships/hyperlink" Target="http://www.iaea.org/PRIS/CountryStatistics/ReactorDetails.aspx?current=653" TargetMode="External"/><Relationship Id="rId443" Type="http://schemas.openxmlformats.org/officeDocument/2006/relationships/hyperlink" Target="http://www.iaea.org/PRIS/CountryStatistics/ReactorDetails.aspx?current=59" TargetMode="External"/><Relationship Id="rId16" Type="http://schemas.openxmlformats.org/officeDocument/2006/relationships/hyperlink" Target="http://www.iaea.org/PRIS/CountryStatistics/ReactorDetails.aspx?current=24" TargetMode="External"/><Relationship Id="rId637" Type="http://schemas.openxmlformats.org/officeDocument/2006/relationships/hyperlink" Target="http://www.iaea.org/PRIS/CountryStatistics/ReactorDetails.aspx?current=1039" TargetMode="External"/><Relationship Id="rId545" Type="http://schemas.openxmlformats.org/officeDocument/2006/relationships/hyperlink" Target="http://www.iaea.org/PRIS/CountryStatistics/ReactorDetails.aspx?current=730" TargetMode="External"/><Relationship Id="rId442" Type="http://schemas.openxmlformats.org/officeDocument/2006/relationships/hyperlink" Target="http://www.iaea.org/PRIS/CountryStatistics/ReactorDetails.aspx?current=58" TargetMode="External"/><Relationship Id="rId15" Type="http://schemas.openxmlformats.org/officeDocument/2006/relationships/hyperlink" Target="http://www.iaea.org/PRIS/CountryStatistics/ReactorDetails.aspx?current=15" TargetMode="External"/><Relationship Id="rId636" Type="http://schemas.openxmlformats.org/officeDocument/2006/relationships/hyperlink" Target="http://www.iaea.org/PRIS/CountryStatistics/ReactorDetails.aspx?current=1038" TargetMode="External"/><Relationship Id="rId544" Type="http://schemas.openxmlformats.org/officeDocument/2006/relationships/hyperlink" Target="http://www.iaea.org/PRIS/CountryStatistics/ReactorDetails.aspx?current=729" TargetMode="External"/><Relationship Id="rId441" Type="http://schemas.openxmlformats.org/officeDocument/2006/relationships/hyperlink" Target="http://www.iaea.org/PRIS/CountryStatistics/ReactorDetails.aspx?current=57" TargetMode="External"/><Relationship Id="rId14" Type="http://schemas.openxmlformats.org/officeDocument/2006/relationships/hyperlink" Target="http://www.iaea.org/PRIS/CountryStatistics/ReactorDetails.aspx?current=13" TargetMode="External"/><Relationship Id="rId168" Type="http://schemas.openxmlformats.org/officeDocument/2006/relationships/hyperlink" Target="http://www.iaea.org/PRIS/CountryStatistics/ReactorDetails.aspx?current=222" TargetMode="External"/><Relationship Id="rId12" Type="http://schemas.openxmlformats.org/officeDocument/2006/relationships/hyperlink" Target="http://www.iaea.org/PRIS/CountryStatistics/ReactorDetails.aspx?current=14" TargetMode="External"/><Relationship Id="rId241" Type="http://schemas.openxmlformats.org/officeDocument/2006/relationships/hyperlink" Target="http://www.iaea.org/PRIS/CountryStatistics/ReactorDetails.aspx?current=297" TargetMode="External"/><Relationship Id="rId169" Type="http://schemas.openxmlformats.org/officeDocument/2006/relationships/hyperlink" Target="http://www.iaea.org/PRIS/CountryStatistics/ReactorDetails.aspx?current=162" TargetMode="External"/><Relationship Id="rId13" Type="http://schemas.openxmlformats.org/officeDocument/2006/relationships/hyperlink" Target="http://www.iaea.org/PRIS/CountryStatistics/ReactorDetails.aspx?current=10" TargetMode="External"/><Relationship Id="rId242" Type="http://schemas.openxmlformats.org/officeDocument/2006/relationships/hyperlink" Target="http://www.iaea.org/PRIS/CountryStatistics/ReactorDetails.aspx?current=298" TargetMode="External"/><Relationship Id="rId166" Type="http://schemas.openxmlformats.org/officeDocument/2006/relationships/hyperlink" Target="http://www.iaea.org/PRIS/CountryStatistics/ReactorDetails.aspx?current=194" TargetMode="External"/><Relationship Id="rId10" Type="http://schemas.openxmlformats.org/officeDocument/2006/relationships/hyperlink" Target="http://www.iaea.org/PRIS/CountryStatistics/ReactorDetails.aspx?current=11" TargetMode="External"/><Relationship Id="rId167" Type="http://schemas.openxmlformats.org/officeDocument/2006/relationships/hyperlink" Target="http://www.iaea.org/PRIS/CountryStatistics/ReactorDetails.aspx?current=221" TargetMode="External"/><Relationship Id="rId11" Type="http://schemas.openxmlformats.org/officeDocument/2006/relationships/hyperlink" Target="http://www.iaea.org/PRIS/CountryStatistics/ReactorDetails.aspx?current=12" TargetMode="External"/><Relationship Id="rId240" Type="http://schemas.openxmlformats.org/officeDocument/2006/relationships/hyperlink" Target="http://www.iaea.org/PRIS/CountryStatistics/ReactorDetails.aspx?current=295" TargetMode="External"/><Relationship Id="rId164" Type="http://schemas.openxmlformats.org/officeDocument/2006/relationships/hyperlink" Target="http://www.iaea.org/PRIS/CountryStatistics/ReactorDetails.aspx?current=192" TargetMode="External"/><Relationship Id="rId245" Type="http://schemas.openxmlformats.org/officeDocument/2006/relationships/hyperlink" Target="http://www.iaea.org/PRIS/CountryStatistics/ReactorDetails.aspx?current=296" TargetMode="External"/><Relationship Id="rId348" Type="http://schemas.openxmlformats.org/officeDocument/2006/relationships/hyperlink" Target="http://www.iaea.org/PRIS/CountryStatistics/ReactorDetails.aspx?current=423" TargetMode="External"/><Relationship Id="rId165" Type="http://schemas.openxmlformats.org/officeDocument/2006/relationships/hyperlink" Target="http://www.iaea.org/PRIS/CountryStatistics/ReactorDetails.aspx?current=193" TargetMode="External"/><Relationship Id="rId246" Type="http://schemas.openxmlformats.org/officeDocument/2006/relationships/hyperlink" Target="http://www.iaea.org/PRIS/CountryStatistics/ReactorDetails.aspx?current=300" TargetMode="External"/><Relationship Id="rId349" Type="http://schemas.openxmlformats.org/officeDocument/2006/relationships/hyperlink" Target="http://www.iaea.org/PRIS/CountryStatistics/ReactorDetails.aspx?current=422" TargetMode="External"/><Relationship Id="rId162" Type="http://schemas.openxmlformats.org/officeDocument/2006/relationships/hyperlink" Target="http://www.iaea.org/PRIS/CountryStatistics/ReactorDetails.aspx?current=216" TargetMode="External"/><Relationship Id="rId243" Type="http://schemas.openxmlformats.org/officeDocument/2006/relationships/hyperlink" Target="http://www.iaea.org/PRIS/CountryStatistics/ReactorDetails.aspx?current=299" TargetMode="External"/><Relationship Id="rId346" Type="http://schemas.openxmlformats.org/officeDocument/2006/relationships/hyperlink" Target="http://www.iaea.org/PRIS/CountryStatistics/ReactorDetails.aspx?current=420" TargetMode="External"/><Relationship Id="rId163" Type="http://schemas.openxmlformats.org/officeDocument/2006/relationships/hyperlink" Target="http://www.iaea.org/PRIS/CountryStatistics/ReactorDetails.aspx?current=191" TargetMode="External"/><Relationship Id="rId244" Type="http://schemas.openxmlformats.org/officeDocument/2006/relationships/hyperlink" Target="http://www.iaea.org/PRIS/CountryStatistics/ReactorDetails.aspx?current=285" TargetMode="External"/><Relationship Id="rId347" Type="http://schemas.openxmlformats.org/officeDocument/2006/relationships/hyperlink" Target="http://www.iaea.org/PRIS/CountryStatistics/ReactorDetails.aspx?current=421" TargetMode="External"/><Relationship Id="rId249" Type="http://schemas.openxmlformats.org/officeDocument/2006/relationships/hyperlink" Target="http://www.iaea.org/PRIS/CountryStatistics/ReactorDetails.aspx?current=327" TargetMode="External"/><Relationship Id="rId344" Type="http://schemas.openxmlformats.org/officeDocument/2006/relationships/hyperlink" Target="http://www.iaea.org/PRIS/CountryStatistics/ReactorDetails.aspx?current=415" TargetMode="External"/><Relationship Id="rId345" Type="http://schemas.openxmlformats.org/officeDocument/2006/relationships/hyperlink" Target="http://www.iaea.org/PRIS/CountryStatistics/ReactorDetails.aspx?current=416" TargetMode="External"/><Relationship Id="rId247" Type="http://schemas.openxmlformats.org/officeDocument/2006/relationships/hyperlink" Target="http://www.iaea.org/PRIS/CountryStatistics/ReactorDetails.aspx?current=301" TargetMode="External"/><Relationship Id="rId342" Type="http://schemas.openxmlformats.org/officeDocument/2006/relationships/hyperlink" Target="http://www.iaea.org/PRIS/CountryStatistics/ReactorDetails.aspx?current=400" TargetMode="External"/><Relationship Id="rId248" Type="http://schemas.openxmlformats.org/officeDocument/2006/relationships/hyperlink" Target="http://www.iaea.org/PRIS/CountryStatistics/ReactorDetails.aspx?current=310" TargetMode="External"/><Relationship Id="rId343" Type="http://schemas.openxmlformats.org/officeDocument/2006/relationships/hyperlink" Target="http://www.iaea.org/PRIS/CountryStatistics/ReactorDetails.aspx?current=401" TargetMode="External"/><Relationship Id="rId340" Type="http://schemas.openxmlformats.org/officeDocument/2006/relationships/hyperlink" Target="http://www.iaea.org/PRIS/CountryStatistics/ReactorDetails.aspx?current=407" TargetMode="External"/><Relationship Id="rId341" Type="http://schemas.openxmlformats.org/officeDocument/2006/relationships/hyperlink" Target="http://www.iaea.org/PRIS/CountryStatistics/ReactorDetails.aspx?current=408" TargetMode="External"/><Relationship Id="rId530" Type="http://schemas.openxmlformats.org/officeDocument/2006/relationships/hyperlink" Target="http://www.iaea.org/PRIS/CountryStatistics/ReactorDetails.aspx?current=617" TargetMode="External"/><Relationship Id="rId435" Type="http://schemas.openxmlformats.org/officeDocument/2006/relationships/hyperlink" Target="http://www.iaea.org/PRIS/CountryStatistics/ReactorDetails.aspx?current=531" TargetMode="External"/><Relationship Id="rId434" Type="http://schemas.openxmlformats.org/officeDocument/2006/relationships/hyperlink" Target="http://www.iaea.org/PRIS/CountryStatistics/ReactorDetails.aspx?current=535" TargetMode="External"/><Relationship Id="rId532" Type="http://schemas.openxmlformats.org/officeDocument/2006/relationships/hyperlink" Target="http://www.iaea.org/PRIS/CountryStatistics/ReactorDetails.aspx?current=641" TargetMode="External"/><Relationship Id="rId437" Type="http://schemas.openxmlformats.org/officeDocument/2006/relationships/hyperlink" Target="http://www.iaea.org/PRIS/CountryStatistics/ReactorDetails.aspx?current=537" TargetMode="External"/><Relationship Id="rId531" Type="http://schemas.openxmlformats.org/officeDocument/2006/relationships/hyperlink" Target="http://www.iaea.org/PRIS/CountryStatistics/ReactorDetails.aspx?current=618" TargetMode="External"/><Relationship Id="rId436" Type="http://schemas.openxmlformats.org/officeDocument/2006/relationships/hyperlink" Target="http://www.iaea.org/PRIS/CountryStatistics/ReactorDetails.aspx?current=536" TargetMode="External"/><Relationship Id="rId640" Type="http://schemas.openxmlformats.org/officeDocument/2006/relationships/hyperlink" Target="http://www.iaea.org/PRIS/CountryStatistics/ReactorDetails.aspx?current=696" TargetMode="External"/><Relationship Id="rId439" Type="http://schemas.openxmlformats.org/officeDocument/2006/relationships/hyperlink" Target="http://www.iaea.org/PRIS/CountryStatistics/ReactorDetails.aspx?current=529" TargetMode="External"/><Relationship Id="rId438" Type="http://schemas.openxmlformats.org/officeDocument/2006/relationships/hyperlink" Target="http://www.iaea.org/PRIS/CountryStatistics/ReactorDetails.aspx?current=539" TargetMode="External"/><Relationship Id="rId642" Type="http://schemas.openxmlformats.org/officeDocument/2006/relationships/hyperlink" Target="http://www.iaea.org/PRIS/CountryStatistics/ReactorDetails.aspx?current=637" TargetMode="External"/><Relationship Id="rId641" Type="http://schemas.openxmlformats.org/officeDocument/2006/relationships/hyperlink" Target="http://www.iaea.org/PRIS/CountryStatistics/ReactorDetails.aspx?current=697" TargetMode="External"/><Relationship Id="rId644" Type="http://schemas.openxmlformats.org/officeDocument/2006/relationships/hyperlink" Target="http://www.iaea.org/PRIS/CountryStatistics/ReactorDetails.aspx?current=675" TargetMode="External"/><Relationship Id="rId538" Type="http://schemas.openxmlformats.org/officeDocument/2006/relationships/hyperlink" Target="http://www.iaea.org/PRIS/CountryStatistics/ReactorDetails.aspx?current=655" TargetMode="External"/><Relationship Id="rId643" Type="http://schemas.openxmlformats.org/officeDocument/2006/relationships/hyperlink" Target="http://www.iaea.org/PRIS/CountryStatistics/ReactorDetails.aspx?current=657" TargetMode="External"/><Relationship Id="rId537" Type="http://schemas.openxmlformats.org/officeDocument/2006/relationships/hyperlink" Target="http://www.iaea.org/PRIS/CountryStatistics/ReactorDetails.aspx?current=752" TargetMode="External"/><Relationship Id="rId29" Type="http://schemas.openxmlformats.org/officeDocument/2006/relationships/hyperlink" Target="http://www.iaea.org/PRIS/CountryStatistics/ReactorDetails.aspx?current=38" TargetMode="External"/><Relationship Id="rId646" Type="http://schemas.openxmlformats.org/officeDocument/2006/relationships/hyperlink" Target="http://www.iaea.org/PRIS/CountryStatistics/ReactorDetails.aspx?current=614" TargetMode="External"/><Relationship Id="rId161" Type="http://schemas.openxmlformats.org/officeDocument/2006/relationships/hyperlink" Target="http://www.iaea.org/PRIS/CountryStatistics/ReactorDetails.aspx?current=215" TargetMode="External"/><Relationship Id="rId645" Type="http://schemas.openxmlformats.org/officeDocument/2006/relationships/hyperlink" Target="http://www.iaea.org/PRIS/CountryStatistics/ReactorDetails.aspx?current=613" TargetMode="External"/><Relationship Id="rId539" Type="http://schemas.openxmlformats.org/officeDocument/2006/relationships/hyperlink" Target="http://www.iaea.org/PRIS/CountryStatistics/ReactorDetails.aspx?current=656" TargetMode="External"/><Relationship Id="rId160" Type="http://schemas.openxmlformats.org/officeDocument/2006/relationships/hyperlink" Target="http://www.iaea.org/PRIS/CountryStatistics/ReactorDetails.aspx?current=209" TargetMode="External"/><Relationship Id="rId648" Type="http://schemas.openxmlformats.org/officeDocument/2006/relationships/hyperlink" Target="http://www.iaea.org/PRIS/CountryStatistics/ReactorDetails.aspx?current=718" TargetMode="External"/><Relationship Id="rId534" Type="http://schemas.openxmlformats.org/officeDocument/2006/relationships/hyperlink" Target="http://www.iaea.org/PRIS/CountryStatistics/ReactorDetails.aspx?current=661" TargetMode="External"/><Relationship Id="rId431" Type="http://schemas.openxmlformats.org/officeDocument/2006/relationships/hyperlink" Target="http://www.iaea.org/PRIS/CountryStatistics/ReactorDetails.aspx?current=530" TargetMode="External"/><Relationship Id="rId26" Type="http://schemas.openxmlformats.org/officeDocument/2006/relationships/hyperlink" Target="http://www.iaea.org/PRIS/CountryStatistics/ReactorDetails.aspx?current=54" TargetMode="External"/><Relationship Id="rId647" Type="http://schemas.openxmlformats.org/officeDocument/2006/relationships/hyperlink" Target="http://www.iaea.org/PRIS/CountryStatistics/ReactorDetails.aspx?current=626" TargetMode="External"/><Relationship Id="rId533" Type="http://schemas.openxmlformats.org/officeDocument/2006/relationships/hyperlink" Target="http://www.iaea.org/PRIS/CountryStatistics/ReactorDetails.aspx?current=662" TargetMode="External"/><Relationship Id="rId430" Type="http://schemas.openxmlformats.org/officeDocument/2006/relationships/hyperlink" Target="http://www.iaea.org/PRIS/CountryStatistics/ReactorDetails.aspx?current=541" TargetMode="External"/><Relationship Id="rId25" Type="http://schemas.openxmlformats.org/officeDocument/2006/relationships/hyperlink" Target="http://www.iaea.org/PRIS/CountryStatistics/ReactorDetails.aspx?current=53" TargetMode="External"/><Relationship Id="rId536" Type="http://schemas.openxmlformats.org/officeDocument/2006/relationships/hyperlink" Target="http://www.iaea.org/PRIS/CountryStatistics/ReactorDetails.aspx?current=736" TargetMode="External"/><Relationship Id="rId433" Type="http://schemas.openxmlformats.org/officeDocument/2006/relationships/hyperlink" Target="http://www.iaea.org/PRIS/CountryStatistics/ReactorDetails.aspx?current=534" TargetMode="External"/><Relationship Id="rId28" Type="http://schemas.openxmlformats.org/officeDocument/2006/relationships/hyperlink" Target="http://www.iaea.org/PRIS/CountryStatistics/ReactorDetails.aspx?current=31" TargetMode="External"/><Relationship Id="rId649" Type="http://schemas.openxmlformats.org/officeDocument/2006/relationships/hyperlink" Target="http://www.iaea.org/PRIS/CountryStatistics/ReactorDetails.aspx?current=719" TargetMode="External"/><Relationship Id="rId535" Type="http://schemas.openxmlformats.org/officeDocument/2006/relationships/hyperlink" Target="http://www.iaea.org/PRIS/CountryStatistics/ReactorDetails.aspx?current=735" TargetMode="External"/><Relationship Id="rId432" Type="http://schemas.openxmlformats.org/officeDocument/2006/relationships/hyperlink" Target="http://www.iaea.org/PRIS/CountryStatistics/ReactorDetails.aspx?current=532" TargetMode="External"/><Relationship Id="rId27" Type="http://schemas.openxmlformats.org/officeDocument/2006/relationships/hyperlink" Target="http://www.iaea.org/PRIS/CountryStatistics/ReactorDetails.aspx?current=30" TargetMode="External"/><Relationship Id="rId155" Type="http://schemas.openxmlformats.org/officeDocument/2006/relationships/hyperlink" Target="http://www.iaea.org/PRIS/CountryStatistics/ReactorDetails.aspx?current=174" TargetMode="External"/><Relationship Id="rId21" Type="http://schemas.openxmlformats.org/officeDocument/2006/relationships/hyperlink" Target="http://www.iaea.org/PRIS/CountryStatistics/ReactorDetails.aspx?current=18" TargetMode="External"/><Relationship Id="rId339" Type="http://schemas.openxmlformats.org/officeDocument/2006/relationships/hyperlink" Target="http://www.iaea.org/PRIS/CountryStatistics/ReactorDetails.aspx?current=884" TargetMode="External"/><Relationship Id="rId156" Type="http://schemas.openxmlformats.org/officeDocument/2006/relationships/hyperlink" Target="http://www.iaea.org/PRIS/CountryStatistics/ReactorDetails.aspx?current=175" TargetMode="External"/><Relationship Id="rId22" Type="http://schemas.openxmlformats.org/officeDocument/2006/relationships/hyperlink" Target="http://www.iaea.org/PRIS/CountryStatistics/ReactorDetails.aspx?current=19" TargetMode="External"/><Relationship Id="rId157" Type="http://schemas.openxmlformats.org/officeDocument/2006/relationships/hyperlink" Target="http://www.iaea.org/PRIS/CountryStatistics/ReactorDetails.aspx?current=181" TargetMode="External"/><Relationship Id="rId23" Type="http://schemas.openxmlformats.org/officeDocument/2006/relationships/hyperlink" Target="http://www.iaea.org/PRIS/CountryStatistics/ReactorDetails.aspx?current=20" TargetMode="External"/><Relationship Id="rId230" Type="http://schemas.openxmlformats.org/officeDocument/2006/relationships/hyperlink" Target="http://www.iaea.org/PRIS/CountryStatistics/ReactorDetails.aspx?current=853" TargetMode="External"/><Relationship Id="rId158" Type="http://schemas.openxmlformats.org/officeDocument/2006/relationships/hyperlink" Target="http://www.iaea.org/PRIS/CountryStatistics/ReactorDetails.aspx?current=182" TargetMode="External"/><Relationship Id="rId24" Type="http://schemas.openxmlformats.org/officeDocument/2006/relationships/hyperlink" Target="http://www.iaea.org/PRIS/CountryStatistics/ReactorDetails.aspx?current=21" TargetMode="External"/><Relationship Id="rId231" Type="http://schemas.openxmlformats.org/officeDocument/2006/relationships/hyperlink" Target="http://www.iaea.org/PRIS/CountryStatistics/ReactorDetails.aspx?current=304" TargetMode="External"/><Relationship Id="rId151" Type="http://schemas.openxmlformats.org/officeDocument/2006/relationships/hyperlink" Target="http://www.iaea.org/PRIS/CountryStatistics/ReactorDetails.aspx?current=172" TargetMode="External"/><Relationship Id="rId232" Type="http://schemas.openxmlformats.org/officeDocument/2006/relationships/hyperlink" Target="http://www.iaea.org/PRIS/CountryStatistics/ReactorDetails.aspx?current=305" TargetMode="External"/><Relationship Id="rId335" Type="http://schemas.openxmlformats.org/officeDocument/2006/relationships/hyperlink" Target="http://www.iaea.org/PRIS/CountryStatistics/ReactorDetails.aspx?current=865" TargetMode="External"/><Relationship Id="rId152" Type="http://schemas.openxmlformats.org/officeDocument/2006/relationships/hyperlink" Target="http://www.iaea.org/PRIS/CountryStatistics/ReactorDetails.aspx?current=161" TargetMode="External"/><Relationship Id="rId233" Type="http://schemas.openxmlformats.org/officeDocument/2006/relationships/hyperlink" Target="http://www.iaea.org/PRIS/CountryStatistics/ReactorDetails.aspx?current=306" TargetMode="External"/><Relationship Id="rId336" Type="http://schemas.openxmlformats.org/officeDocument/2006/relationships/hyperlink" Target="http://www.iaea.org/PRIS/CountryStatistics/ReactorDetails.aspx?current=885" TargetMode="External"/><Relationship Id="rId153" Type="http://schemas.openxmlformats.org/officeDocument/2006/relationships/hyperlink" Target="http://www.iaea.org/PRIS/CountryStatistics/ReactorDetails.aspx?current=219" TargetMode="External"/><Relationship Id="rId234" Type="http://schemas.openxmlformats.org/officeDocument/2006/relationships/hyperlink" Target="http://www.iaea.org/PRIS/CountryStatistics/ReactorDetails.aspx?current=307" TargetMode="External"/><Relationship Id="rId337" Type="http://schemas.openxmlformats.org/officeDocument/2006/relationships/hyperlink" Target="http://www.iaea.org/PRIS/CountryStatistics/ReactorDetails.aspx?current=886" TargetMode="External"/><Relationship Id="rId154" Type="http://schemas.openxmlformats.org/officeDocument/2006/relationships/hyperlink" Target="http://www.iaea.org/PRIS/CountryStatistics/ReactorDetails.aspx?current=224" TargetMode="External"/><Relationship Id="rId20" Type="http://schemas.openxmlformats.org/officeDocument/2006/relationships/hyperlink" Target="http://www.iaea.org/PRIS/CountryStatistics/ReactorDetails.aspx?current=17" TargetMode="External"/><Relationship Id="rId235" Type="http://schemas.openxmlformats.org/officeDocument/2006/relationships/hyperlink" Target="http://www.iaea.org/PRIS/CountryStatistics/ReactorDetails.aspx?current=859" TargetMode="External"/><Relationship Id="rId338" Type="http://schemas.openxmlformats.org/officeDocument/2006/relationships/hyperlink" Target="http://www.iaea.org/PRIS/CountryStatistics/ReactorDetails.aspx?current=883" TargetMode="External"/><Relationship Id="rId236" Type="http://schemas.openxmlformats.org/officeDocument/2006/relationships/hyperlink" Target="http://www.iaea.org/PRIS/CountryStatistics/ReactorDetails.aspx?current=302" TargetMode="External"/><Relationship Id="rId331" Type="http://schemas.openxmlformats.org/officeDocument/2006/relationships/hyperlink" Target="http://www.iaea.org/PRIS/CountryStatistics/ReactorDetails.aspx?current=410" TargetMode="External"/><Relationship Id="rId237" Type="http://schemas.openxmlformats.org/officeDocument/2006/relationships/hyperlink" Target="http://www.iaea.org/PRIS/CountryStatistics/ReactorDetails.aspx?current=303" TargetMode="External"/><Relationship Id="rId332" Type="http://schemas.openxmlformats.org/officeDocument/2006/relationships/hyperlink" Target="http://www.iaea.org/PRIS/CountryStatistics/ReactorDetails.aspx?current=887" TargetMode="External"/><Relationship Id="rId238" Type="http://schemas.openxmlformats.org/officeDocument/2006/relationships/hyperlink" Target="http://www.iaea.org/PRIS/CountryStatistics/ReactorDetails.aspx?current=287" TargetMode="External"/><Relationship Id="rId333" Type="http://schemas.openxmlformats.org/officeDocument/2006/relationships/hyperlink" Target="http://www.iaea.org/PRIS/CountryStatistics/ReactorDetails.aspx?current=888" TargetMode="External"/><Relationship Id="rId239" Type="http://schemas.openxmlformats.org/officeDocument/2006/relationships/hyperlink" Target="http://www.iaea.org/PRIS/CountryStatistics/ReactorDetails.aspx?current=288" TargetMode="External"/><Relationship Id="rId334" Type="http://schemas.openxmlformats.org/officeDocument/2006/relationships/hyperlink" Target="http://www.iaea.org/PRIS/CountryStatistics/ReactorDetails.aspx?current=864" TargetMode="External"/><Relationship Id="rId159" Type="http://schemas.openxmlformats.org/officeDocument/2006/relationships/hyperlink" Target="http://www.iaea.org/PRIS/CountryStatistics/ReactorDetails.aspx?current=208" TargetMode="External"/><Relationship Id="rId330" Type="http://schemas.openxmlformats.org/officeDocument/2006/relationships/hyperlink" Target="http://www.iaea.org/PRIS/CountryStatistics/ReactorDetails.aspx?current=409" TargetMode="External"/><Relationship Id="rId465" Type="http://schemas.openxmlformats.org/officeDocument/2006/relationships/hyperlink" Target="http://www.iaea.org/PRIS/CountryStatistics/ReactorDetails.aspx?current=589" TargetMode="External"/><Relationship Id="rId466" Type="http://schemas.openxmlformats.org/officeDocument/2006/relationships/hyperlink" Target="http://www.iaea.org/PRIS/CountryStatistics/ReactorDetails.aspx?current=577" TargetMode="External"/><Relationship Id="rId190" Type="http://schemas.openxmlformats.org/officeDocument/2006/relationships/hyperlink" Target="http://www.iaea.org/PRIS/CountryStatistics/ReactorDetails.aspx?current=125" TargetMode="External"/><Relationship Id="rId463" Type="http://schemas.openxmlformats.org/officeDocument/2006/relationships/hyperlink" Target="http://www.iaea.org/PRIS/CountryStatistics/ReactorDetails.aspx?current=571" TargetMode="External"/><Relationship Id="rId464" Type="http://schemas.openxmlformats.org/officeDocument/2006/relationships/hyperlink" Target="http://www.iaea.org/PRIS/CountryStatistics/ReactorDetails.aspx?current=572" TargetMode="External"/><Relationship Id="rId461" Type="http://schemas.openxmlformats.org/officeDocument/2006/relationships/hyperlink" Target="http://www.iaea.org/PRIS/CountryStatistics/ReactorDetails.aspx?current=582" TargetMode="External"/><Relationship Id="rId193" Type="http://schemas.openxmlformats.org/officeDocument/2006/relationships/hyperlink" Target="http://www.iaea.org/PRIS/CountryStatistics/ReactorDetails.aspx?current=101" TargetMode="External"/><Relationship Id="rId462" Type="http://schemas.openxmlformats.org/officeDocument/2006/relationships/hyperlink" Target="http://www.iaea.org/PRIS/CountryStatistics/ReactorDetails.aspx?current=570" TargetMode="External"/><Relationship Id="rId194" Type="http://schemas.openxmlformats.org/officeDocument/2006/relationships/hyperlink" Target="http://www.iaea.org/PRIS/CountryStatistics/ReactorDetails.aspx?current=104" TargetMode="External"/><Relationship Id="rId191" Type="http://schemas.openxmlformats.org/officeDocument/2006/relationships/hyperlink" Target="http://www.iaea.org/PRIS/CountryStatistics/ReactorDetails.aspx?current=126" TargetMode="External"/><Relationship Id="rId460" Type="http://schemas.openxmlformats.org/officeDocument/2006/relationships/hyperlink" Target="http://www.iaea.org/PRIS/CountryStatistics/ReactorDetails.aspx?current=581" TargetMode="External"/><Relationship Id="rId192" Type="http://schemas.openxmlformats.org/officeDocument/2006/relationships/hyperlink" Target="http://www.iaea.org/PRIS/CountryStatistics/ReactorDetails.aspx?current=127" TargetMode="External"/><Relationship Id="rId469" Type="http://schemas.openxmlformats.org/officeDocument/2006/relationships/hyperlink" Target="http://www.iaea.org/PRIS/CountryStatistics/ReactorDetails.aspx?current=584" TargetMode="External"/><Relationship Id="rId467" Type="http://schemas.openxmlformats.org/officeDocument/2006/relationships/hyperlink" Target="http://www.iaea.org/PRIS/CountryStatistics/ReactorDetails.aspx?current=578" TargetMode="External"/><Relationship Id="rId468" Type="http://schemas.openxmlformats.org/officeDocument/2006/relationships/hyperlink" Target="http://www.iaea.org/PRIS/CountryStatistics/ReactorDetails.aspx?current=579" TargetMode="External"/><Relationship Id="rId71" Type="http://schemas.openxmlformats.org/officeDocument/2006/relationships/hyperlink" Target="http://www.iaea.org/PRIS/CountryStatistics/ReactorDetails.aspx?current=878" TargetMode="External"/><Relationship Id="rId323" Type="http://schemas.openxmlformats.org/officeDocument/2006/relationships/hyperlink" Target="http://www.iaea.org/PRIS/CountryStatistics/ReactorDetails.aspx?current=395" TargetMode="External"/><Relationship Id="rId70" Type="http://schemas.openxmlformats.org/officeDocument/2006/relationships/hyperlink" Target="http://www.iaea.org/PRIS/CountryStatistics/ReactorDetails.aspx?current=68" TargetMode="External"/><Relationship Id="rId322" Type="http://schemas.openxmlformats.org/officeDocument/2006/relationships/hyperlink" Target="http://www.iaea.org/PRIS/CountryStatistics/ReactorDetails.aspx?current=413" TargetMode="External"/><Relationship Id="rId321" Type="http://schemas.openxmlformats.org/officeDocument/2006/relationships/hyperlink" Target="http://www.iaea.org/PRIS/CountryStatistics/ReactorDetails.aspx?current=403" TargetMode="External"/><Relationship Id="rId320" Type="http://schemas.openxmlformats.org/officeDocument/2006/relationships/hyperlink" Target="http://www.iaea.org/PRIS/CountryStatistics/ReactorDetails.aspx?current=402" TargetMode="External"/><Relationship Id="rId187" Type="http://schemas.openxmlformats.org/officeDocument/2006/relationships/hyperlink" Target="http://www.iaea.org/PRIS/CountryStatistics/ReactorDetails.aspx?current=97" TargetMode="External"/><Relationship Id="rId75" Type="http://schemas.openxmlformats.org/officeDocument/2006/relationships/hyperlink" Target="http://www.iaea.org/PRIS/CountryStatistics/ReactorDetails.aspx?current=923" TargetMode="External"/><Relationship Id="rId327" Type="http://schemas.openxmlformats.org/officeDocument/2006/relationships/hyperlink" Target="http://www.iaea.org/PRIS/CountryStatistics/ReactorDetails.aspx?current=406" TargetMode="External"/><Relationship Id="rId186" Type="http://schemas.openxmlformats.org/officeDocument/2006/relationships/hyperlink" Target="http://www.iaea.org/PRIS/CountryStatistics/ReactorDetails.aspx?current=108" TargetMode="External"/><Relationship Id="rId74" Type="http://schemas.openxmlformats.org/officeDocument/2006/relationships/hyperlink" Target="http://www.iaea.org/PRIS/CountryStatistics/ReactorDetails.aspx?current=922" TargetMode="External"/><Relationship Id="rId326" Type="http://schemas.openxmlformats.org/officeDocument/2006/relationships/hyperlink" Target="http://www.iaea.org/PRIS/CountryStatistics/ReactorDetails.aspx?current=404" TargetMode="External"/><Relationship Id="rId185" Type="http://schemas.openxmlformats.org/officeDocument/2006/relationships/hyperlink" Target="http://www.iaea.org/PRIS/CountryStatistics/ReactorDetails.aspx?current=86" TargetMode="External"/><Relationship Id="rId73" Type="http://schemas.openxmlformats.org/officeDocument/2006/relationships/hyperlink" Target="http://www.iaea.org/PRIS/CountryStatistics/ReactorDetails.aspx?current=921" TargetMode="External"/><Relationship Id="rId325" Type="http://schemas.openxmlformats.org/officeDocument/2006/relationships/hyperlink" Target="http://www.iaea.org/PRIS/CountryStatistics/ReactorDetails.aspx?current=399" TargetMode="External"/><Relationship Id="rId184" Type="http://schemas.openxmlformats.org/officeDocument/2006/relationships/hyperlink" Target="http://www.iaea.org/PRIS/CountryStatistics/ReactorDetails.aspx?current=107" TargetMode="External"/><Relationship Id="rId72" Type="http://schemas.openxmlformats.org/officeDocument/2006/relationships/hyperlink" Target="http://www.iaea.org/PRIS/CountryStatistics/ReactorDetails.aspx?current=875" TargetMode="External"/><Relationship Id="rId324" Type="http://schemas.openxmlformats.org/officeDocument/2006/relationships/hyperlink" Target="http://www.iaea.org/PRIS/CountryStatistics/ReactorDetails.aspx?current=398" TargetMode="External"/><Relationship Id="rId79" Type="http://schemas.openxmlformats.org/officeDocument/2006/relationships/hyperlink" Target="http://www.iaea.org/PRIS/CountryStatistics/ReactorDetails.aspx?current=876" TargetMode="External"/><Relationship Id="rId78" Type="http://schemas.openxmlformats.org/officeDocument/2006/relationships/hyperlink" Target="http://www.iaea.org/PRIS/CountryStatistics/ReactorDetails.aspx?current=66" TargetMode="External"/><Relationship Id="rId189" Type="http://schemas.openxmlformats.org/officeDocument/2006/relationships/hyperlink" Target="http://www.iaea.org/PRIS/CountryStatistics/ReactorDetails.aspx?current=124" TargetMode="External"/><Relationship Id="rId77" Type="http://schemas.openxmlformats.org/officeDocument/2006/relationships/hyperlink" Target="http://www.iaea.org/PRIS/CountryStatistics/ReactorDetails.aspx?current=65" TargetMode="External"/><Relationship Id="rId329" Type="http://schemas.openxmlformats.org/officeDocument/2006/relationships/hyperlink" Target="http://www.iaea.org/PRIS/CountryStatistics/ReactorDetails.aspx?current=405" TargetMode="External"/><Relationship Id="rId188" Type="http://schemas.openxmlformats.org/officeDocument/2006/relationships/hyperlink" Target="http://www.iaea.org/PRIS/CountryStatistics/ReactorDetails.aspx?current=123" TargetMode="External"/><Relationship Id="rId76" Type="http://schemas.openxmlformats.org/officeDocument/2006/relationships/hyperlink" Target="http://www.iaea.org/PRIS/CountryStatistics/ReactorDetails.aspx?current=924" TargetMode="External"/><Relationship Id="rId328" Type="http://schemas.openxmlformats.org/officeDocument/2006/relationships/hyperlink" Target="http://www.iaea.org/PRIS/CountryStatistics/ReactorDetails.aspx?current=394" TargetMode="External"/><Relationship Id="rId599" Type="http://schemas.openxmlformats.org/officeDocument/2006/relationships/hyperlink" Target="http://www.iaea.org/PRIS/CountryStatistics/ReactorDetails.aspx?current=606" TargetMode="External"/><Relationship Id="rId452" Type="http://schemas.openxmlformats.org/officeDocument/2006/relationships/hyperlink" Target="http://www.iaea.org/PRIS/CountryStatistics/ReactorDetails.aspx?current=558" TargetMode="External"/><Relationship Id="rId453" Type="http://schemas.openxmlformats.org/officeDocument/2006/relationships/hyperlink" Target="http://www.iaea.org/PRIS/CountryStatistics/ReactorDetails.aspx?current=559" TargetMode="External"/><Relationship Id="rId454" Type="http://schemas.openxmlformats.org/officeDocument/2006/relationships/hyperlink" Target="http://www.iaea.org/PRIS/CountryStatistics/ReactorDetails.aspx?current=568" TargetMode="External"/><Relationship Id="rId455" Type="http://schemas.openxmlformats.org/officeDocument/2006/relationships/hyperlink" Target="http://www.iaea.org/PRIS/CountryStatistics/ReactorDetails.aspx?current=569" TargetMode="External"/><Relationship Id="rId180" Type="http://schemas.openxmlformats.org/officeDocument/2006/relationships/hyperlink" Target="http://www.iaea.org/PRIS/CountryStatistics/ReactorDetails.aspx?current=180" TargetMode="External"/><Relationship Id="rId181" Type="http://schemas.openxmlformats.org/officeDocument/2006/relationships/hyperlink" Target="http://www.iaea.org/PRIS/CountryStatistics/ReactorDetails.aspx?current=114" TargetMode="External"/><Relationship Id="rId450" Type="http://schemas.openxmlformats.org/officeDocument/2006/relationships/hyperlink" Target="http://www.iaea.org/PRIS/CountryStatistics/ReactorDetails.aspx?current=560" TargetMode="External"/><Relationship Id="rId182" Type="http://schemas.openxmlformats.org/officeDocument/2006/relationships/hyperlink" Target="http://www.iaea.org/PRIS/CountryStatistics/ReactorDetails.aspx?current=85" TargetMode="External"/><Relationship Id="rId451" Type="http://schemas.openxmlformats.org/officeDocument/2006/relationships/hyperlink" Target="http://www.iaea.org/PRIS/CountryStatistics/ReactorDetails.aspx?current=561" TargetMode="External"/><Relationship Id="rId183" Type="http://schemas.openxmlformats.org/officeDocument/2006/relationships/hyperlink" Target="http://www.iaea.org/PRIS/CountryStatistics/ReactorDetails.aspx?current=91" TargetMode="External"/><Relationship Id="rId591" Type="http://schemas.openxmlformats.org/officeDocument/2006/relationships/hyperlink" Target="http://www.iaea.org/PRIS/CountryStatistics/ReactorDetails.aspx?current=620" TargetMode="External"/><Relationship Id="rId592" Type="http://schemas.openxmlformats.org/officeDocument/2006/relationships/hyperlink" Target="http://www.iaea.org/PRIS/CountryStatistics/ReactorDetails.aspx?current=607" TargetMode="External"/><Relationship Id="rId593" Type="http://schemas.openxmlformats.org/officeDocument/2006/relationships/hyperlink" Target="http://www.iaea.org/PRIS/CountryStatistics/ReactorDetails.aspx?current=711" TargetMode="External"/><Relationship Id="rId594" Type="http://schemas.openxmlformats.org/officeDocument/2006/relationships/hyperlink" Target="http://www.iaea.org/PRIS/CountryStatistics/ReactorDetails.aspx?current=672" TargetMode="External"/><Relationship Id="rId595" Type="http://schemas.openxmlformats.org/officeDocument/2006/relationships/hyperlink" Target="http://www.iaea.org/PRIS/CountryStatistics/ReactorDetails.aspx?current=673" TargetMode="External"/><Relationship Id="rId456" Type="http://schemas.openxmlformats.org/officeDocument/2006/relationships/hyperlink" Target="http://www.iaea.org/PRIS/CountryStatistics/ReactorDetails.aspx?current=575" TargetMode="External"/><Relationship Id="rId596" Type="http://schemas.openxmlformats.org/officeDocument/2006/relationships/hyperlink" Target="http://www.iaea.org/PRIS/CountryStatistics/ReactorDetails.aspx?current=624" TargetMode="External"/><Relationship Id="rId457" Type="http://schemas.openxmlformats.org/officeDocument/2006/relationships/hyperlink" Target="http://www.iaea.org/PRIS/CountryStatistics/ReactorDetails.aspx?current=576" TargetMode="External"/><Relationship Id="rId597" Type="http://schemas.openxmlformats.org/officeDocument/2006/relationships/hyperlink" Target="http://www.iaea.org/PRIS/CountryStatistics/ReactorDetails.aspx?current=625" TargetMode="External"/><Relationship Id="rId458" Type="http://schemas.openxmlformats.org/officeDocument/2006/relationships/hyperlink" Target="http://www.iaea.org/PRIS/CountryStatistics/ReactorDetails.aspx?current=573" TargetMode="External"/><Relationship Id="rId598" Type="http://schemas.openxmlformats.org/officeDocument/2006/relationships/hyperlink" Target="http://www.iaea.org/PRIS/CountryStatistics/ReactorDetails.aspx?current=636" TargetMode="External"/><Relationship Id="rId459" Type="http://schemas.openxmlformats.org/officeDocument/2006/relationships/hyperlink" Target="http://www.iaea.org/PRIS/CountryStatistics/ReactorDetails.aspx?current=574" TargetMode="External"/><Relationship Id="rId80" Type="http://schemas.openxmlformats.org/officeDocument/2006/relationships/hyperlink" Target="http://www.iaea.org/PRIS/CountryStatistics/ReactorDetails.aspx?current=877" TargetMode="External"/><Relationship Id="rId310" Type="http://schemas.openxmlformats.org/officeDocument/2006/relationships/hyperlink" Target="http://www.iaea.org/PRIS/CountryStatistics/ReactorDetails.aspx?current=370" TargetMode="External"/><Relationship Id="rId82" Type="http://schemas.openxmlformats.org/officeDocument/2006/relationships/hyperlink" Target="http://www.iaea.org/PRIS/CountryStatistics/ReactorDetails.aspx?current=840" TargetMode="External"/><Relationship Id="rId312" Type="http://schemas.openxmlformats.org/officeDocument/2006/relationships/hyperlink" Target="http://www.iaea.org/PRIS/CountryStatistics/ReactorDetails.aspx?current=856" TargetMode="External"/><Relationship Id="rId81" Type="http://schemas.openxmlformats.org/officeDocument/2006/relationships/hyperlink" Target="http://www.iaea.org/PRIS/CountryStatistics/ReactorDetails.aspx?current=69" TargetMode="External"/><Relationship Id="rId311" Type="http://schemas.openxmlformats.org/officeDocument/2006/relationships/hyperlink" Target="http://www.iaea.org/PRIS/CountryStatistics/ReactorDetails.aspx?current=371" TargetMode="External"/><Relationship Id="rId174" Type="http://schemas.openxmlformats.org/officeDocument/2006/relationships/hyperlink" Target="http://www.iaea.org/PRIS/CountryStatistics/ReactorDetails.aspx?current=169" TargetMode="External"/><Relationship Id="rId84" Type="http://schemas.openxmlformats.org/officeDocument/2006/relationships/hyperlink" Target="http://www.iaea.org/PRIS/CountryStatistics/ReactorDetails.aspx?current=879" TargetMode="External"/><Relationship Id="rId314" Type="http://schemas.openxmlformats.org/officeDocument/2006/relationships/hyperlink" Target="http://www.iaea.org/PRIS/CountryStatistics/ReactorDetails.aspx?current=360" TargetMode="External"/><Relationship Id="rId173" Type="http://schemas.openxmlformats.org/officeDocument/2006/relationships/hyperlink" Target="http://www.iaea.org/PRIS/CountryStatistics/ReactorDetails.aspx?current=229" TargetMode="External"/><Relationship Id="rId83" Type="http://schemas.openxmlformats.org/officeDocument/2006/relationships/hyperlink" Target="http://www.iaea.org/PRIS/CountryStatistics/ReactorDetails.aspx?current=62" TargetMode="External"/><Relationship Id="rId313" Type="http://schemas.openxmlformats.org/officeDocument/2006/relationships/hyperlink" Target="http://www.iaea.org/PRIS/CountryStatistics/ReactorDetails.aspx?current=355" TargetMode="External"/><Relationship Id="rId176" Type="http://schemas.openxmlformats.org/officeDocument/2006/relationships/hyperlink" Target="http://www.iaea.org/PRIS/CountryStatistics/ReactorDetails.aspx?current=178" TargetMode="External"/><Relationship Id="rId86" Type="http://schemas.openxmlformats.org/officeDocument/2006/relationships/hyperlink" Target="http://www.iaea.org/PRIS/CountryStatistics/ReactorDetails.aspx?current=957" TargetMode="External"/><Relationship Id="rId316" Type="http://schemas.openxmlformats.org/officeDocument/2006/relationships/hyperlink" Target="http://www.iaea.org/PRIS/CountryStatistics/ReactorDetails.aspx?current=411" TargetMode="External"/><Relationship Id="rId175" Type="http://schemas.openxmlformats.org/officeDocument/2006/relationships/hyperlink" Target="http://www.iaea.org/PRIS/CountryStatistics/ReactorDetails.aspx?current=177" TargetMode="External"/><Relationship Id="rId85" Type="http://schemas.openxmlformats.org/officeDocument/2006/relationships/hyperlink" Target="http://www.iaea.org/PRIS/CountryStatistics/ReactorDetails.aspx?current=880" TargetMode="External"/><Relationship Id="rId315" Type="http://schemas.openxmlformats.org/officeDocument/2006/relationships/hyperlink" Target="http://www.iaea.org/PRIS/CountryStatistics/ReactorDetails.aspx?current=414" TargetMode="External"/><Relationship Id="rId178" Type="http://schemas.openxmlformats.org/officeDocument/2006/relationships/hyperlink" Target="http://www.iaea.org/PRIS/CountryStatistics/ReactorDetails.aspx?current=171" TargetMode="External"/><Relationship Id="rId88" Type="http://schemas.openxmlformats.org/officeDocument/2006/relationships/hyperlink" Target="http://www.iaea.org/PRIS/CountryStatistics/ReactorDetails.aspx?current=919" TargetMode="External"/><Relationship Id="rId318" Type="http://schemas.openxmlformats.org/officeDocument/2006/relationships/hyperlink" Target="http://www.iaea.org/PRIS/CountryStatistics/ReactorDetails.aspx?current=396" TargetMode="External"/><Relationship Id="rId177" Type="http://schemas.openxmlformats.org/officeDocument/2006/relationships/hyperlink" Target="http://www.iaea.org/PRIS/CountryStatistics/ReactorDetails.aspx?current=170" TargetMode="External"/><Relationship Id="rId87" Type="http://schemas.openxmlformats.org/officeDocument/2006/relationships/hyperlink" Target="http://www.iaea.org/PRIS/CountryStatistics/ReactorDetails.aspx?current=918" TargetMode="External"/><Relationship Id="rId317" Type="http://schemas.openxmlformats.org/officeDocument/2006/relationships/hyperlink" Target="http://www.iaea.org/PRIS/CountryStatistics/ReactorDetails.aspx?current=412" TargetMode="External"/><Relationship Id="rId179" Type="http://schemas.openxmlformats.org/officeDocument/2006/relationships/hyperlink" Target="http://www.iaea.org/PRIS/CountryStatistics/ReactorDetails.aspx?current=179" TargetMode="External"/><Relationship Id="rId89" Type="http://schemas.openxmlformats.org/officeDocument/2006/relationships/hyperlink" Target="http://www.iaea.org/PRIS/CountryStatistics/ReactorDetails.aspx?current=838" TargetMode="External"/><Relationship Id="rId319" Type="http://schemas.openxmlformats.org/officeDocument/2006/relationships/hyperlink" Target="http://www.iaea.org/PRIS/CountryStatistics/ReactorDetails.aspx?current=397" TargetMode="External"/><Relationship Id="rId483" Type="http://schemas.openxmlformats.org/officeDocument/2006/relationships/hyperlink" Target="http://www.iaea.org/PRIS/CountryStatistics/ReactorDetails.aspx?current=233" TargetMode="External"/><Relationship Id="rId484" Type="http://schemas.openxmlformats.org/officeDocument/2006/relationships/hyperlink" Target="http://www.iaea.org/PRIS/CountryStatistics/ReactorDetails.aspx?current=234" TargetMode="External"/><Relationship Id="rId481" Type="http://schemas.openxmlformats.org/officeDocument/2006/relationships/hyperlink" Target="http://www.iaea.org/PRIS/CountryStatistics/ReactorDetails.aspx?current=231" TargetMode="External"/><Relationship Id="rId482" Type="http://schemas.openxmlformats.org/officeDocument/2006/relationships/hyperlink" Target="http://www.iaea.org/PRIS/CountryStatistics/ReactorDetails.aspx?current=232" TargetMode="External"/><Relationship Id="rId487" Type="http://schemas.openxmlformats.org/officeDocument/2006/relationships/hyperlink" Target="http://www.iaea.org/PRIS/CountryStatistics/ReactorDetails.aspx?current=254" TargetMode="External"/><Relationship Id="rId488" Type="http://schemas.openxmlformats.org/officeDocument/2006/relationships/hyperlink" Target="http://www.iaea.org/PRIS/CountryStatistics/ReactorDetails.aspx?current=255" TargetMode="External"/><Relationship Id="rId588" Type="http://schemas.openxmlformats.org/officeDocument/2006/relationships/hyperlink" Target="http://www.iaea.org/PRIS/CountryStatistics/ReactorDetails.aspx?current=610" TargetMode="External"/><Relationship Id="rId485" Type="http://schemas.openxmlformats.org/officeDocument/2006/relationships/hyperlink" Target="http://www.iaea.org/PRIS/CountryStatistics/ReactorDetails.aspx?current=252" TargetMode="External"/><Relationship Id="rId58" Type="http://schemas.openxmlformats.org/officeDocument/2006/relationships/hyperlink" Target="http://www.iaea.org/PRIS/CountryStatistics/ReactorDetails.aspx?current=913" TargetMode="External"/><Relationship Id="rId589" Type="http://schemas.openxmlformats.org/officeDocument/2006/relationships/hyperlink" Target="http://www.iaea.org/PRIS/CountryStatistics/ReactorDetails.aspx?current=671" TargetMode="External"/><Relationship Id="rId486" Type="http://schemas.openxmlformats.org/officeDocument/2006/relationships/hyperlink" Target="http://www.iaea.org/PRIS/CountryStatistics/ReactorDetails.aspx?current=253" TargetMode="External"/><Relationship Id="rId59" Type="http://schemas.openxmlformats.org/officeDocument/2006/relationships/hyperlink" Target="http://www.iaea.org/PRIS/CountryStatistics/ReactorDetails.aspx?current=914" TargetMode="External"/><Relationship Id="rId586" Type="http://schemas.openxmlformats.org/officeDocument/2006/relationships/hyperlink" Target="http://www.iaea.org/PRIS/CountryStatistics/ReactorDetails.aspx?current=690" TargetMode="External"/><Relationship Id="rId587" Type="http://schemas.openxmlformats.org/officeDocument/2006/relationships/hyperlink" Target="http://www.iaea.org/PRIS/CountryStatistics/ReactorDetails.aspx?current=691" TargetMode="External"/><Relationship Id="rId584" Type="http://schemas.openxmlformats.org/officeDocument/2006/relationships/hyperlink" Target="http://www.iaea.org/PRIS/CountryStatistics/ReactorDetails.aspx?current=679" TargetMode="External"/><Relationship Id="rId489" Type="http://schemas.openxmlformats.org/officeDocument/2006/relationships/hyperlink" Target="http://www.iaea.org/PRIS/CountryStatistics/ReactorDetails.aspx?current=242" TargetMode="External"/><Relationship Id="rId585" Type="http://schemas.openxmlformats.org/officeDocument/2006/relationships/hyperlink" Target="http://www.iaea.org/PRIS/CountryStatistics/ReactorDetails.aspx?current=649" TargetMode="External"/><Relationship Id="rId582" Type="http://schemas.openxmlformats.org/officeDocument/2006/relationships/hyperlink" Target="http://www.iaea.org/PRIS/CountryStatistics/ReactorDetails.aspx?current=693" TargetMode="External"/><Relationship Id="rId583" Type="http://schemas.openxmlformats.org/officeDocument/2006/relationships/hyperlink" Target="http://www.iaea.org/PRIS/CountryStatistics/ReactorDetails.aspx?current=678" TargetMode="External"/><Relationship Id="rId580" Type="http://schemas.openxmlformats.org/officeDocument/2006/relationships/hyperlink" Target="http://www.iaea.org/PRIS/CountryStatistics/ReactorDetails.aspx?current=710" TargetMode="External"/><Relationship Id="rId581" Type="http://schemas.openxmlformats.org/officeDocument/2006/relationships/hyperlink" Target="http://www.iaea.org/PRIS/CountryStatistics/ReactorDetails.aspx?current=692" TargetMode="External"/><Relationship Id="rId590" Type="http://schemas.openxmlformats.org/officeDocument/2006/relationships/hyperlink" Target="http://www.iaea.org/PRIS/CountryStatistics/ReactorDetails.aspx?current=717" TargetMode="External"/><Relationship Id="rId206" Type="http://schemas.openxmlformats.org/officeDocument/2006/relationships/hyperlink" Target="http://www.iaea.org/PRIS/CountryStatistics/ReactorDetails.aspx?current=119" TargetMode="External"/><Relationship Id="rId301" Type="http://schemas.openxmlformats.org/officeDocument/2006/relationships/hyperlink" Target="http://www.iaea.org/PRIS/CountryStatistics/ReactorDetails.aspx?current=387" TargetMode="External"/><Relationship Id="rId205" Type="http://schemas.openxmlformats.org/officeDocument/2006/relationships/hyperlink" Target="http://www.iaea.org/PRIS/CountryStatistics/ReactorDetails.aspx?current=88" TargetMode="External"/><Relationship Id="rId300" Type="http://schemas.openxmlformats.org/officeDocument/2006/relationships/hyperlink" Target="http://www.iaea.org/PRIS/CountryStatistics/ReactorDetails.aspx?current=842" TargetMode="External"/><Relationship Id="rId204" Type="http://schemas.openxmlformats.org/officeDocument/2006/relationships/hyperlink" Target="http://www.iaea.org/PRIS/CountryStatistics/ReactorDetails.aspx?current=93" TargetMode="External"/><Relationship Id="rId203" Type="http://schemas.openxmlformats.org/officeDocument/2006/relationships/hyperlink" Target="http://www.iaea.org/PRIS/CountryStatistics/ReactorDetails.aspx?current=96" TargetMode="External"/><Relationship Id="rId209" Type="http://schemas.openxmlformats.org/officeDocument/2006/relationships/hyperlink" Target="http://www.iaea.org/PRIS/CountryStatistics/ReactorDetails.aspx?current=87" TargetMode="External"/><Relationship Id="rId208" Type="http://schemas.openxmlformats.org/officeDocument/2006/relationships/hyperlink" Target="http://www.iaea.org/PRIS/CountryStatistics/ReactorDetails.aspx?current=121" TargetMode="External"/><Relationship Id="rId207" Type="http://schemas.openxmlformats.org/officeDocument/2006/relationships/hyperlink" Target="http://www.iaea.org/PRIS/CountryStatistics/ReactorDetails.aspx?current=84" TargetMode="External"/><Relationship Id="rId57" Type="http://schemas.openxmlformats.org/officeDocument/2006/relationships/hyperlink" Target="http://www.iaea.org/PRIS/CountryStatistics/ReactorDetails.aspx?current=912" TargetMode="External"/><Relationship Id="rId309" Type="http://schemas.openxmlformats.org/officeDocument/2006/relationships/hyperlink" Target="http://www.iaea.org/PRIS/CountryStatistics/ReactorDetails.aspx?current=346" TargetMode="External"/><Relationship Id="rId56" Type="http://schemas.openxmlformats.org/officeDocument/2006/relationships/hyperlink" Target="http://www.iaea.org/PRIS/CountryStatistics/ReactorDetails.aspx?current=944" TargetMode="External"/><Relationship Id="rId308" Type="http://schemas.openxmlformats.org/officeDocument/2006/relationships/hyperlink" Target="http://www.iaea.org/PRIS/CountryStatistics/ReactorDetails.aspx?current=344" TargetMode="External"/><Relationship Id="rId55" Type="http://schemas.openxmlformats.org/officeDocument/2006/relationships/hyperlink" Target="http://www.iaea.org/PRIS/CountryStatistics/ReactorDetails.aspx?current=943" TargetMode="External"/><Relationship Id="rId307" Type="http://schemas.openxmlformats.org/officeDocument/2006/relationships/hyperlink" Target="http://www.iaea.org/PRIS/CountryStatistics/ReactorDetails.aspx?current=356" TargetMode="External"/><Relationship Id="rId54" Type="http://schemas.openxmlformats.org/officeDocument/2006/relationships/hyperlink" Target="http://www.iaea.org/PRIS/CountryStatistics/ReactorDetails.aspx?current=64" TargetMode="External"/><Relationship Id="rId306" Type="http://schemas.openxmlformats.org/officeDocument/2006/relationships/hyperlink" Target="http://www.iaea.org/PRIS/CountryStatistics/ReactorDetails.aspx?current=354" TargetMode="External"/><Relationship Id="rId491" Type="http://schemas.openxmlformats.org/officeDocument/2006/relationships/hyperlink" Target="http://www.iaea.org/PRIS/CountryStatistics/ReactorDetails.aspx?current=275" TargetMode="External"/><Relationship Id="rId53" Type="http://schemas.openxmlformats.org/officeDocument/2006/relationships/hyperlink" Target="http://www.iaea.org/PRIS/CountryStatistics/ReactorDetails.aspx?current=63" TargetMode="External"/><Relationship Id="rId202" Type="http://schemas.openxmlformats.org/officeDocument/2006/relationships/hyperlink" Target="http://www.iaea.org/PRIS/CountryStatistics/ReactorDetails.aspx?current=133" TargetMode="External"/><Relationship Id="rId305" Type="http://schemas.openxmlformats.org/officeDocument/2006/relationships/hyperlink" Target="http://www.iaea.org/PRIS/CountryStatistics/ReactorDetails.aspx?current=337" TargetMode="External"/><Relationship Id="rId490" Type="http://schemas.openxmlformats.org/officeDocument/2006/relationships/hyperlink" Target="http://www.iaea.org/PRIS/CountryStatistics/ReactorDetails.aspx?current=243" TargetMode="External"/><Relationship Id="rId52" Type="http://schemas.openxmlformats.org/officeDocument/2006/relationships/hyperlink" Target="http://www.iaea.org/PRIS/CountryStatistics/ReactorDetails.aspx?current=940" TargetMode="External"/><Relationship Id="rId201" Type="http://schemas.openxmlformats.org/officeDocument/2006/relationships/hyperlink" Target="http://www.iaea.org/PRIS/CountryStatistics/ReactorDetails.aspx?current=94" TargetMode="External"/><Relationship Id="rId304" Type="http://schemas.openxmlformats.org/officeDocument/2006/relationships/hyperlink" Target="http://www.iaea.org/PRIS/CountryStatistics/ReactorDetails.aspx?current=388" TargetMode="External"/><Relationship Id="rId51" Type="http://schemas.openxmlformats.org/officeDocument/2006/relationships/hyperlink" Target="http://www.iaea.org/PRIS/CountryStatistics/ReactorDetails.aspx?current=939" TargetMode="External"/><Relationship Id="rId200" Type="http://schemas.openxmlformats.org/officeDocument/2006/relationships/hyperlink" Target="http://www.iaea.org/PRIS/CountryStatistics/ReactorDetails.aspx?current=135" TargetMode="External"/><Relationship Id="rId303" Type="http://schemas.openxmlformats.org/officeDocument/2006/relationships/hyperlink" Target="http://www.iaea.org/PRIS/CountryStatistics/ReactorDetails.aspx?current=862" TargetMode="External"/><Relationship Id="rId50" Type="http://schemas.openxmlformats.org/officeDocument/2006/relationships/hyperlink" Target="http://www.iaea.org/PRIS/CountryStatistics/ReactorDetails.aspx?current=1047" TargetMode="External"/><Relationship Id="rId302" Type="http://schemas.openxmlformats.org/officeDocument/2006/relationships/hyperlink" Target="http://www.iaea.org/PRIS/CountryStatistics/ReactorDetails.aspx?current=368" TargetMode="External"/><Relationship Id="rId470" Type="http://schemas.openxmlformats.org/officeDocument/2006/relationships/hyperlink" Target="http://www.iaea.org/PRIS/CountryStatistics/ReactorDetails.aspx?current=586" TargetMode="External"/><Relationship Id="rId600" Type="http://schemas.openxmlformats.org/officeDocument/2006/relationships/hyperlink" Target="http://www.iaea.org/PRIS/CountryStatistics/ReactorDetails.aspx?current=616" TargetMode="External"/><Relationship Id="rId471" Type="http://schemas.openxmlformats.org/officeDocument/2006/relationships/hyperlink" Target="http://www.iaea.org/PRIS/CountryStatistics/ReactorDetails.aspx?current=594" TargetMode="External"/><Relationship Id="rId601" Type="http://schemas.openxmlformats.org/officeDocument/2006/relationships/hyperlink" Target="http://www.iaea.org/PRIS/CountryStatistics/ReactorDetails.aspx?current=789" TargetMode="External"/><Relationship Id="rId472" Type="http://schemas.openxmlformats.org/officeDocument/2006/relationships/hyperlink" Target="http://www.iaea.org/PRIS/CountryStatistics/ReactorDetails.aspx?current=595" TargetMode="External"/><Relationship Id="rId602" Type="http://schemas.openxmlformats.org/officeDocument/2006/relationships/hyperlink" Target="http://www.iaea.org/PRIS/CountryStatistics/ReactorDetails.aspx?current=790" TargetMode="External"/><Relationship Id="rId473" Type="http://schemas.openxmlformats.org/officeDocument/2006/relationships/hyperlink" Target="http://www.iaea.org/PRIS/CountryStatistics/ReactorDetails.aspx?current=566" TargetMode="External"/><Relationship Id="rId603" Type="http://schemas.openxmlformats.org/officeDocument/2006/relationships/hyperlink" Target="http://www.iaea.org/PRIS/CountryStatistics/ReactorDetails.aspx?current=791" TargetMode="External"/><Relationship Id="rId577" Type="http://schemas.openxmlformats.org/officeDocument/2006/relationships/hyperlink" Target="http://www.iaea.org/PRIS/CountryStatistics/ReactorDetails.aspx?current=611" TargetMode="External"/><Relationship Id="rId474" Type="http://schemas.openxmlformats.org/officeDocument/2006/relationships/hyperlink" Target="http://www.iaea.org/PRIS/CountryStatistics/ReactorDetails.aspx?current=567" TargetMode="External"/><Relationship Id="rId69" Type="http://schemas.openxmlformats.org/officeDocument/2006/relationships/hyperlink" Target="http://www.iaea.org/PRIS/CountryStatistics/ReactorDetails.aspx?current=67" TargetMode="External"/><Relationship Id="rId604" Type="http://schemas.openxmlformats.org/officeDocument/2006/relationships/hyperlink" Target="http://www.iaea.org/PRIS/CountryStatistics/ReactorDetails.aspx?current=598" TargetMode="External"/><Relationship Id="rId578" Type="http://schemas.openxmlformats.org/officeDocument/2006/relationships/hyperlink" Target="http://www.iaea.org/PRIS/CountryStatistics/ReactorDetails.aspx?current=635" TargetMode="External"/><Relationship Id="rId475" Type="http://schemas.openxmlformats.org/officeDocument/2006/relationships/hyperlink" Target="http://www.iaea.org/PRIS/CountryStatistics/ReactorDetails.aspx?current=1050" TargetMode="External"/><Relationship Id="rId605" Type="http://schemas.openxmlformats.org/officeDocument/2006/relationships/hyperlink" Target="http://www.iaea.org/PRIS/CountryStatistics/ReactorDetails.aspx?current=603" TargetMode="External"/><Relationship Id="rId579" Type="http://schemas.openxmlformats.org/officeDocument/2006/relationships/hyperlink" Target="http://www.iaea.org/PRIS/CountryStatistics/ReactorDetails.aspx?current=647" TargetMode="External"/><Relationship Id="rId476" Type="http://schemas.openxmlformats.org/officeDocument/2006/relationships/hyperlink" Target="http://www.iaea.org/PRIS/CountryStatistics/ReactorDetails.aspx?current=1051" TargetMode="External"/><Relationship Id="rId606" Type="http://schemas.openxmlformats.org/officeDocument/2006/relationships/hyperlink" Target="http://www.iaea.org/PRIS/CountryStatistics/ReactorDetails.aspx?current=629" TargetMode="External"/><Relationship Id="rId477" Type="http://schemas.openxmlformats.org/officeDocument/2006/relationships/hyperlink" Target="http://www.iaea.org/PRIS/CountryStatistics/ReactorDetails.aspx?current=264" TargetMode="External"/><Relationship Id="rId573" Type="http://schemas.openxmlformats.org/officeDocument/2006/relationships/hyperlink" Target="http://www.iaea.org/PRIS/CountryStatistics/ReactorDetails.aspx?current=687" TargetMode="External"/><Relationship Id="rId478" Type="http://schemas.openxmlformats.org/officeDocument/2006/relationships/hyperlink" Target="http://www.iaea.org/PRIS/CountryStatistics/ReactorDetails.aspx?current=265" TargetMode="External"/><Relationship Id="rId574" Type="http://schemas.openxmlformats.org/officeDocument/2006/relationships/hyperlink" Target="http://www.iaea.org/PRIS/CountryStatistics/ReactorDetails.aspx?current=680" TargetMode="External"/><Relationship Id="rId479" Type="http://schemas.openxmlformats.org/officeDocument/2006/relationships/hyperlink" Target="http://www.iaea.org/PRIS/CountryStatistics/ReactorDetails.aspx?current=266" TargetMode="External"/><Relationship Id="rId575" Type="http://schemas.openxmlformats.org/officeDocument/2006/relationships/hyperlink" Target="http://www.iaea.org/PRIS/CountryStatistics/ReactorDetails.aspx?current=599" TargetMode="External"/><Relationship Id="rId576" Type="http://schemas.openxmlformats.org/officeDocument/2006/relationships/hyperlink" Target="http://www.iaea.org/PRIS/CountryStatistics/ReactorDetails.aspx?current=643" TargetMode="External"/><Relationship Id="rId570" Type="http://schemas.openxmlformats.org/officeDocument/2006/relationships/hyperlink" Target="http://www.iaea.org/PRIS/CountryStatistics/ReactorDetails.aspx?current=891" TargetMode="External"/><Relationship Id="rId571" Type="http://schemas.openxmlformats.org/officeDocument/2006/relationships/hyperlink" Target="http://www.iaea.org/PRIS/CountryStatistics/ReactorDetails.aspx?current=704" TargetMode="External"/><Relationship Id="rId572" Type="http://schemas.openxmlformats.org/officeDocument/2006/relationships/hyperlink" Target="http://www.iaea.org/PRIS/CountryStatistics/ReactorDetails.aspx?current=658" TargetMode="External"/><Relationship Id="rId60" Type="http://schemas.openxmlformats.org/officeDocument/2006/relationships/hyperlink" Target="http://www.iaea.org/PRIS/CountryStatistics/ReactorDetails.aspx?current=915" TargetMode="External"/><Relationship Id="rId608" Type="http://schemas.openxmlformats.org/officeDocument/2006/relationships/hyperlink" Target="http://www.iaea.org/PRIS/CountryStatistics/ReactorDetails.aspx?current=725" TargetMode="External"/><Relationship Id="rId66" Type="http://schemas.openxmlformats.org/officeDocument/2006/relationships/hyperlink" Target="http://www.iaea.org/PRIS/CountryStatistics/ReactorDetails.aspx?current=905" TargetMode="External"/><Relationship Id="rId607" Type="http://schemas.openxmlformats.org/officeDocument/2006/relationships/hyperlink" Target="http://www.iaea.org/PRIS/CountryStatistics/ReactorDetails.aspx?current=630" TargetMode="External"/><Relationship Id="rId65" Type="http://schemas.openxmlformats.org/officeDocument/2006/relationships/hyperlink" Target="http://www.iaea.org/PRIS/CountryStatistics/ReactorDetails.aspx?current=904" TargetMode="External"/><Relationship Id="rId199" Type="http://schemas.openxmlformats.org/officeDocument/2006/relationships/hyperlink" Target="http://www.iaea.org/PRIS/CountryStatistics/ReactorDetails.aspx?current=106" TargetMode="External"/><Relationship Id="rId68" Type="http://schemas.openxmlformats.org/officeDocument/2006/relationships/hyperlink" Target="http://www.iaea.org/PRIS/CountryStatistics/ReactorDetails.aspx?current=907" TargetMode="External"/><Relationship Id="rId609" Type="http://schemas.openxmlformats.org/officeDocument/2006/relationships/hyperlink" Target="http://www.iaea.org/PRIS/CountryStatistics/ReactorDetails.aspx?current=639" TargetMode="External"/><Relationship Id="rId67" Type="http://schemas.openxmlformats.org/officeDocument/2006/relationships/hyperlink" Target="http://www.iaea.org/PRIS/CountryStatistics/ReactorDetails.aspx?current=906" TargetMode="External"/><Relationship Id="rId62" Type="http://schemas.openxmlformats.org/officeDocument/2006/relationships/hyperlink" Target="http://www.iaea.org/PRIS/CountryStatistics/ReactorDetails.aspx?current=936" TargetMode="External"/><Relationship Id="rId196" Type="http://schemas.openxmlformats.org/officeDocument/2006/relationships/hyperlink" Target="http://www.iaea.org/PRIS/CountryStatistics/ReactorDetails.aspx?current=102" TargetMode="External"/><Relationship Id="rId61" Type="http://schemas.openxmlformats.org/officeDocument/2006/relationships/hyperlink" Target="http://www.iaea.org/PRIS/CountryStatistics/ReactorDetails.aspx?current=935" TargetMode="External"/><Relationship Id="rId195" Type="http://schemas.openxmlformats.org/officeDocument/2006/relationships/hyperlink" Target="http://www.iaea.org/PRIS/CountryStatistics/ReactorDetails.aspx?current=100" TargetMode="External"/><Relationship Id="rId480" Type="http://schemas.openxmlformats.org/officeDocument/2006/relationships/hyperlink" Target="http://www.iaea.org/PRIS/CountryStatistics/ReactorDetails.aspx?current=267" TargetMode="External"/><Relationship Id="rId64" Type="http://schemas.openxmlformats.org/officeDocument/2006/relationships/hyperlink" Target="http://www.iaea.org/PRIS/CountryStatistics/ReactorDetails.aspx?current=909" TargetMode="External"/><Relationship Id="rId198" Type="http://schemas.openxmlformats.org/officeDocument/2006/relationships/hyperlink" Target="http://www.iaea.org/PRIS/CountryStatistics/ReactorDetails.aspx?current=89" TargetMode="External"/><Relationship Id="rId63" Type="http://schemas.openxmlformats.org/officeDocument/2006/relationships/hyperlink" Target="http://www.iaea.org/PRIS/CountryStatistics/ReactorDetails.aspx?current=908" TargetMode="External"/><Relationship Id="rId197" Type="http://schemas.openxmlformats.org/officeDocument/2006/relationships/hyperlink" Target="http://www.iaea.org/PRIS/CountryStatistics/ReactorDetails.aspx?current=134" TargetMode="External"/><Relationship Id="rId2" Type="http://schemas.openxmlformats.org/officeDocument/2006/relationships/hyperlink" Target="http://www.iaea.org/PRIS/CountryStatistics/ReactorDetails.aspx?current=5" TargetMode="External"/><Relationship Id="rId1" Type="http://schemas.openxmlformats.org/officeDocument/2006/relationships/hyperlink" Target="http://www.iaea.org/PRIS/CountryStatistics/ReactorDetails.aspx?current=3" TargetMode="External"/><Relationship Id="rId4" Type="http://schemas.openxmlformats.org/officeDocument/2006/relationships/hyperlink" Target="http://www.iaea.org/PRIS/CountryStatistics/ReactorDetails.aspx?current=4" TargetMode="External"/><Relationship Id="rId3" Type="http://schemas.openxmlformats.org/officeDocument/2006/relationships/hyperlink" Target="http://www.iaea.org/PRIS/CountryStatistics/ReactorDetails.aspx?current=1055" TargetMode="External"/><Relationship Id="rId9" Type="http://schemas.openxmlformats.org/officeDocument/2006/relationships/hyperlink" Target="http://www.iaea.org/PRIS/CountryStatistics/ReactorDetails.aspx?current=9" TargetMode="External"/><Relationship Id="rId6" Type="http://schemas.openxmlformats.org/officeDocument/2006/relationships/hyperlink" Target="http://www.iaea.org/PRIS/CountryStatistics/ReactorDetails.aspx?current=2" TargetMode="External"/><Relationship Id="rId5" Type="http://schemas.openxmlformats.org/officeDocument/2006/relationships/hyperlink" Target="http://www.iaea.org/PRIS/CountryStatistics/ReactorDetails.aspx?current=1" TargetMode="External"/><Relationship Id="rId8" Type="http://schemas.openxmlformats.org/officeDocument/2006/relationships/hyperlink" Target="http://www.iaea.org/PRIS/CountryStatistics/ReactorDetails.aspx?current=8" TargetMode="External"/><Relationship Id="rId7" Type="http://schemas.openxmlformats.org/officeDocument/2006/relationships/hyperlink" Target="http://www.iaea.org/PRIS/CountryStatistics/ReactorDetails.aspx?current=1056" TargetMode="External"/><Relationship Id="rId98" Type="http://schemas.openxmlformats.org/officeDocument/2006/relationships/hyperlink" Target="http://www.iaea.org/PRIS/CountryStatistics/ReactorDetails.aspx?current=934" TargetMode="External"/><Relationship Id="rId99" Type="http://schemas.openxmlformats.org/officeDocument/2006/relationships/hyperlink" Target="http://www.iaea.org/PRIS/CountryStatistics/ReactorDetails.aspx?current=78" TargetMode="External"/><Relationship Id="rId94" Type="http://schemas.openxmlformats.org/officeDocument/2006/relationships/hyperlink" Target="http://www.iaea.org/PRIS/CountryStatistics/ReactorDetails.aspx?current=882" TargetMode="External"/><Relationship Id="rId95" Type="http://schemas.openxmlformats.org/officeDocument/2006/relationships/hyperlink" Target="http://www.iaea.org/PRIS/CountryStatistics/ReactorDetails.aspx?current=931" TargetMode="External"/><Relationship Id="rId96" Type="http://schemas.openxmlformats.org/officeDocument/2006/relationships/hyperlink" Target="http://www.iaea.org/PRIS/CountryStatistics/ReactorDetails.aspx?current=932" TargetMode="External"/><Relationship Id="rId97" Type="http://schemas.openxmlformats.org/officeDocument/2006/relationships/hyperlink" Target="http://www.iaea.org/PRIS/CountryStatistics/ReactorDetails.aspx?current=933" TargetMode="External"/><Relationship Id="rId90" Type="http://schemas.openxmlformats.org/officeDocument/2006/relationships/hyperlink" Target="http://www.iaea.org/PRIS/CountryStatistics/ReactorDetails.aspx?current=839" TargetMode="External"/><Relationship Id="rId91" Type="http://schemas.openxmlformats.org/officeDocument/2006/relationships/hyperlink" Target="http://www.iaea.org/PRIS/CountryStatistics/ReactorDetails.aspx?current=973" TargetMode="External"/><Relationship Id="rId92" Type="http://schemas.openxmlformats.org/officeDocument/2006/relationships/hyperlink" Target="http://www.iaea.org/PRIS/CountryStatistics/ReactorDetails.aspx?current=974" TargetMode="External"/><Relationship Id="rId93" Type="http://schemas.openxmlformats.org/officeDocument/2006/relationships/hyperlink" Target="http://www.iaea.org/PRIS/CountryStatistics/ReactorDetails.aspx?current=881" TargetMode="External"/><Relationship Id="rId658" Type="http://schemas.openxmlformats.org/officeDocument/2006/relationships/hyperlink" Target="http://www.iaea.org/PRIS/CountryStatistics/ReactorDetails.aspx?current=646" TargetMode="External"/><Relationship Id="rId522" Type="http://schemas.openxmlformats.org/officeDocument/2006/relationships/hyperlink" Target="http://www.iaea.org/PRIS/CountryStatistics/ReactorDetails.aspx?current=652" TargetMode="External"/><Relationship Id="rId659" Type="http://schemas.openxmlformats.org/officeDocument/2006/relationships/drawing" Target="../drawings/worksheetdrawing1.xml"/><Relationship Id="rId523" Type="http://schemas.openxmlformats.org/officeDocument/2006/relationships/hyperlink" Target="http://www.iaea.org/PRIS/CountryStatistics/ReactorDetails.aspx?current=689" TargetMode="External"/><Relationship Id="rId524" Type="http://schemas.openxmlformats.org/officeDocument/2006/relationships/hyperlink" Target="http://www.iaea.org/PRIS/CountryStatistics/ReactorDetails.aspx?current=669" TargetMode="External"/><Relationship Id="rId525" Type="http://schemas.openxmlformats.org/officeDocument/2006/relationships/hyperlink" Target="http://www.iaea.org/PRIS/CountryStatistics/ReactorDetails.aspx?current=712" TargetMode="External"/><Relationship Id="rId654" Type="http://schemas.openxmlformats.org/officeDocument/2006/relationships/hyperlink" Target="http://www.iaea.org/PRIS/CountryStatistics/ReactorDetails.aspx?current=700" TargetMode="External"/><Relationship Id="rId526" Type="http://schemas.openxmlformats.org/officeDocument/2006/relationships/hyperlink" Target="http://www.iaea.org/PRIS/CountryStatistics/ReactorDetails.aspx?current=601" TargetMode="External"/><Relationship Id="rId655" Type="http://schemas.openxmlformats.org/officeDocument/2006/relationships/hyperlink" Target="http://www.iaea.org/PRIS/CountryStatistics/ReactorDetails.aspx?current=751" TargetMode="External"/><Relationship Id="rId527" Type="http://schemas.openxmlformats.org/officeDocument/2006/relationships/hyperlink" Target="http://www.iaea.org/PRIS/CountryStatistics/ReactorDetails.aspx?current=703" TargetMode="External"/><Relationship Id="rId656" Type="http://schemas.openxmlformats.org/officeDocument/2006/relationships/hyperlink" Target="http://www.iaea.org/PRIS/CountryStatistics/ReactorDetails.aspx?current=638" TargetMode="External"/><Relationship Id="rId528" Type="http://schemas.openxmlformats.org/officeDocument/2006/relationships/hyperlink" Target="http://www.iaea.org/PRIS/CountryStatistics/ReactorDetails.aspx?current=737" TargetMode="External"/><Relationship Id="rId657" Type="http://schemas.openxmlformats.org/officeDocument/2006/relationships/hyperlink" Target="http://www.iaea.org/PRIS/CountryStatistics/ReactorDetails.aspx?current=640" TargetMode="External"/><Relationship Id="rId529" Type="http://schemas.openxmlformats.org/officeDocument/2006/relationships/hyperlink" Target="http://www.iaea.org/PRIS/CountryStatistics/ReactorDetails.aspx?current=738" TargetMode="External"/><Relationship Id="rId650" Type="http://schemas.openxmlformats.org/officeDocument/2006/relationships/hyperlink" Target="http://www.iaea.org/PRIS/CountryStatistics/ReactorDetails.aspx?current=1042" TargetMode="External"/><Relationship Id="rId651" Type="http://schemas.openxmlformats.org/officeDocument/2006/relationships/hyperlink" Target="http://www.iaea.org/PRIS/CountryStatistics/ReactorDetails.aspx?current=1043" TargetMode="External"/><Relationship Id="rId652" Type="http://schemas.openxmlformats.org/officeDocument/2006/relationships/hyperlink" Target="http://www.iaea.org/PRIS/CountryStatistics/ReactorDetails.aspx?current=695" TargetMode="External"/><Relationship Id="rId653" Type="http://schemas.openxmlformats.org/officeDocument/2006/relationships/hyperlink" Target="http://www.iaea.org/PRIS/CountryStatistics/ReactorDetails.aspx?current=699" TargetMode="External"/><Relationship Id="rId520" Type="http://schemas.openxmlformats.org/officeDocument/2006/relationships/hyperlink" Target="http://www.iaea.org/PRIS/CountryStatistics/ReactorDetails.aspx?current=240" TargetMode="External"/><Relationship Id="rId521" Type="http://schemas.openxmlformats.org/officeDocument/2006/relationships/hyperlink" Target="http://www.iaea.org/PRIS/CountryStatistics/ReactorDetails.aspx?current=241" TargetMode="External"/><Relationship Id="rId519" Type="http://schemas.openxmlformats.org/officeDocument/2006/relationships/hyperlink" Target="http://www.iaea.org/PRIS/CountryStatistics/ReactorDetails.aspx?current=239" TargetMode="External"/><Relationship Id="rId513" Type="http://schemas.openxmlformats.org/officeDocument/2006/relationships/hyperlink" Target="http://www.iaea.org/PRIS/CountryStatistics/ReactorDetails.aspx?current=263" TargetMode="External"/><Relationship Id="rId514" Type="http://schemas.openxmlformats.org/officeDocument/2006/relationships/hyperlink" Target="http://www.iaea.org/PRIS/CountryStatistics/ReactorDetails.aspx?current=261" TargetMode="External"/><Relationship Id="rId511" Type="http://schemas.openxmlformats.org/officeDocument/2006/relationships/hyperlink" Target="http://www.iaea.org/PRIS/CountryStatistics/ReactorDetails.aspx?current=235" TargetMode="External"/><Relationship Id="rId512" Type="http://schemas.openxmlformats.org/officeDocument/2006/relationships/hyperlink" Target="http://www.iaea.org/PRIS/CountryStatistics/ReactorDetails.aspx?current=236" TargetMode="External"/><Relationship Id="rId517" Type="http://schemas.openxmlformats.org/officeDocument/2006/relationships/hyperlink" Target="http://www.iaea.org/PRIS/CountryStatistics/ReactorDetails.aspx?current=274" TargetMode="External"/><Relationship Id="rId518" Type="http://schemas.openxmlformats.org/officeDocument/2006/relationships/hyperlink" Target="http://www.iaea.org/PRIS/CountryStatistics/ReactorDetails.aspx?current=268" TargetMode="External"/><Relationship Id="rId515" Type="http://schemas.openxmlformats.org/officeDocument/2006/relationships/hyperlink" Target="http://www.iaea.org/PRIS/CountryStatistics/ReactorDetails.aspx?current=262" TargetMode="External"/><Relationship Id="rId516" Type="http://schemas.openxmlformats.org/officeDocument/2006/relationships/hyperlink" Target="http://www.iaea.org/PRIS/CountryStatistics/ReactorDetails.aspx?current=273" TargetMode="External"/><Relationship Id="rId510" Type="http://schemas.openxmlformats.org/officeDocument/2006/relationships/hyperlink" Target="http://www.iaea.org/PRIS/CountryStatistics/ReactorDetails.aspx?current=238" TargetMode="External"/><Relationship Id="rId409" Type="http://schemas.openxmlformats.org/officeDocument/2006/relationships/hyperlink" Target="http://www.iaea.org/PRIS/CountryStatistics/ReactorDetails.aspx?current=547" TargetMode="External"/><Relationship Id="rId509" Type="http://schemas.openxmlformats.org/officeDocument/2006/relationships/hyperlink" Target="http://www.iaea.org/PRIS/CountryStatistics/ReactorDetails.aspx?current=237" TargetMode="External"/><Relationship Id="rId508" Type="http://schemas.openxmlformats.org/officeDocument/2006/relationships/hyperlink" Target="http://www.iaea.org/PRIS/CountryStatistics/ReactorDetails.aspx?current=247" TargetMode="External"/><Relationship Id="rId504" Type="http://schemas.openxmlformats.org/officeDocument/2006/relationships/hyperlink" Target="http://www.iaea.org/PRIS/CountryStatistics/ReactorDetails.aspx?current=245" TargetMode="External"/><Relationship Id="rId505" Type="http://schemas.openxmlformats.org/officeDocument/2006/relationships/hyperlink" Target="http://www.iaea.org/PRIS/CountryStatistics/ReactorDetails.aspx?current=269" TargetMode="External"/><Relationship Id="rId506" Type="http://schemas.openxmlformats.org/officeDocument/2006/relationships/hyperlink" Target="http://www.iaea.org/PRIS/CountryStatistics/ReactorDetails.aspx?current=270" TargetMode="External"/><Relationship Id="rId507" Type="http://schemas.openxmlformats.org/officeDocument/2006/relationships/hyperlink" Target="http://www.iaea.org/PRIS/CountryStatistics/ReactorDetails.aspx?current=246" TargetMode="External"/><Relationship Id="rId500" Type="http://schemas.openxmlformats.org/officeDocument/2006/relationships/hyperlink" Target="http://www.iaea.org/PRIS/CountryStatistics/ReactorDetails.aspx?current=260" TargetMode="External"/><Relationship Id="rId501" Type="http://schemas.openxmlformats.org/officeDocument/2006/relationships/hyperlink" Target="http://www.iaea.org/PRIS/CountryStatistics/ReactorDetails.aspx?current=271" TargetMode="External"/><Relationship Id="rId502" Type="http://schemas.openxmlformats.org/officeDocument/2006/relationships/hyperlink" Target="http://www.iaea.org/PRIS/CountryStatistics/ReactorDetails.aspx?current=272" TargetMode="External"/><Relationship Id="rId503" Type="http://schemas.openxmlformats.org/officeDocument/2006/relationships/hyperlink" Target="http://www.iaea.org/PRIS/CountryStatistics/ReactorDetails.aspx?current=244" TargetMode="External"/><Relationship Id="rId400" Type="http://schemas.openxmlformats.org/officeDocument/2006/relationships/hyperlink" Target="http://www.iaea.org/PRIS/CountryStatistics/ReactorDetails.aspx?current=506" TargetMode="External"/><Relationship Id="rId401" Type="http://schemas.openxmlformats.org/officeDocument/2006/relationships/hyperlink" Target="http://www.iaea.org/PRIS/CountryStatistics/ReactorDetails.aspx?current=507" TargetMode="External"/><Relationship Id="rId402" Type="http://schemas.openxmlformats.org/officeDocument/2006/relationships/hyperlink" Target="http://www.iaea.org/PRIS/CountryStatistics/ReactorDetails.aspx?current=486" TargetMode="External"/><Relationship Id="rId403" Type="http://schemas.openxmlformats.org/officeDocument/2006/relationships/hyperlink" Target="http://www.iaea.org/PRIS/CountryStatistics/ReactorDetails.aspx?current=487" TargetMode="External"/><Relationship Id="rId404" Type="http://schemas.openxmlformats.org/officeDocument/2006/relationships/hyperlink" Target="http://www.iaea.org/PRIS/CountryStatistics/ReactorDetails.aspx?current=508" TargetMode="External"/><Relationship Id="rId405" Type="http://schemas.openxmlformats.org/officeDocument/2006/relationships/hyperlink" Target="http://www.iaea.org/PRIS/CountryStatistics/ReactorDetails.aspx?current=543" TargetMode="External"/><Relationship Id="rId406" Type="http://schemas.openxmlformats.org/officeDocument/2006/relationships/hyperlink" Target="http://www.iaea.org/PRIS/CountryStatistics/ReactorDetails.aspx?current=548" TargetMode="External"/><Relationship Id="rId407" Type="http://schemas.openxmlformats.org/officeDocument/2006/relationships/hyperlink" Target="http://www.iaea.org/PRIS/CountryStatistics/ReactorDetails.aspx?current=549" TargetMode="External"/><Relationship Id="rId408" Type="http://schemas.openxmlformats.org/officeDocument/2006/relationships/hyperlink" Target="http://www.iaea.org/PRIS/CountryStatistics/ReactorDetails.aspx?current=546" TargetMode="External"/><Relationship Id="rId296" Type="http://schemas.openxmlformats.org/officeDocument/2006/relationships/hyperlink" Target="http://www.iaea.org/PRIS/CountryStatistics/ReactorDetails.aspx?current=385" TargetMode="External"/><Relationship Id="rId297" Type="http://schemas.openxmlformats.org/officeDocument/2006/relationships/hyperlink" Target="http://www.iaea.org/PRIS/CountryStatistics/ReactorDetails.aspx?current=353" TargetMode="External"/><Relationship Id="rId294" Type="http://schemas.openxmlformats.org/officeDocument/2006/relationships/hyperlink" Target="http://www.iaea.org/PRIS/CountryStatistics/ReactorDetails.aspx?current=347" TargetMode="External"/><Relationship Id="rId295" Type="http://schemas.openxmlformats.org/officeDocument/2006/relationships/hyperlink" Target="http://www.iaea.org/PRIS/CountryStatistics/ReactorDetails.aspx?current=382" TargetMode="External"/><Relationship Id="rId298" Type="http://schemas.openxmlformats.org/officeDocument/2006/relationships/hyperlink" Target="http://www.iaea.org/PRIS/CountryStatistics/ReactorDetails.aspx?current=363" TargetMode="External"/><Relationship Id="rId299" Type="http://schemas.openxmlformats.org/officeDocument/2006/relationships/hyperlink" Target="http://www.iaea.org/PRIS/CountryStatistics/ReactorDetails.aspx?current=375" TargetMode="External"/><Relationship Id="rId495" Type="http://schemas.openxmlformats.org/officeDocument/2006/relationships/hyperlink" Target="http://www.iaea.org/PRIS/CountryStatistics/ReactorDetails.aspx?current=250" TargetMode="External"/><Relationship Id="rId494" Type="http://schemas.openxmlformats.org/officeDocument/2006/relationships/hyperlink" Target="http://www.iaea.org/PRIS/CountryStatistics/ReactorDetails.aspx?current=249" TargetMode="External"/><Relationship Id="rId493" Type="http://schemas.openxmlformats.org/officeDocument/2006/relationships/hyperlink" Target="http://www.iaea.org/PRIS/CountryStatistics/ReactorDetails.aspx?current=248" TargetMode="External"/><Relationship Id="rId492" Type="http://schemas.openxmlformats.org/officeDocument/2006/relationships/hyperlink" Target="http://www.iaea.org/PRIS/CountryStatistics/ReactorDetails.aspx?current=276" TargetMode="External"/><Relationship Id="rId499" Type="http://schemas.openxmlformats.org/officeDocument/2006/relationships/hyperlink" Target="http://www.iaea.org/PRIS/CountryStatistics/ReactorDetails.aspx?current=259" TargetMode="External"/><Relationship Id="rId498" Type="http://schemas.openxmlformats.org/officeDocument/2006/relationships/hyperlink" Target="http://www.iaea.org/PRIS/CountryStatistics/ReactorDetails.aspx?current=257" TargetMode="External"/><Relationship Id="rId497" Type="http://schemas.openxmlformats.org/officeDocument/2006/relationships/hyperlink" Target="http://www.iaea.org/PRIS/CountryStatistics/ReactorDetails.aspx?current=256" TargetMode="External"/><Relationship Id="rId496" Type="http://schemas.openxmlformats.org/officeDocument/2006/relationships/hyperlink" Target="http://www.iaea.org/PRIS/CountryStatistics/ReactorDetails.aspx?current=251" TargetMode="External"/><Relationship Id="rId399" Type="http://schemas.openxmlformats.org/officeDocument/2006/relationships/hyperlink" Target="http://www.iaea.org/PRIS/CountryStatistics/ReactorDetails.aspx?current=505" TargetMode="External"/><Relationship Id="rId398" Type="http://schemas.openxmlformats.org/officeDocument/2006/relationships/hyperlink" Target="http://www.iaea.org/PRIS/CountryStatistics/ReactorDetails.aspx?current=502" TargetMode="External"/><Relationship Id="rId259" Type="http://schemas.openxmlformats.org/officeDocument/2006/relationships/hyperlink" Target="http://www.iaea.org/PRIS/CountryStatistics/ReactorDetails.aspx?current=342" TargetMode="External"/><Relationship Id="rId397" Type="http://schemas.openxmlformats.org/officeDocument/2006/relationships/hyperlink" Target="http://www.iaea.org/PRIS/CountryStatistics/ReactorDetails.aspx?current=483" TargetMode="External"/><Relationship Id="rId258" Type="http://schemas.openxmlformats.org/officeDocument/2006/relationships/hyperlink" Target="http://www.iaea.org/PRIS/CountryStatistics/ReactorDetails.aspx?current=341" TargetMode="External"/><Relationship Id="rId396" Type="http://schemas.openxmlformats.org/officeDocument/2006/relationships/hyperlink" Target="http://www.iaea.org/PRIS/CountryStatistics/ReactorDetails.aspx?current=448" TargetMode="External"/><Relationship Id="rId395" Type="http://schemas.openxmlformats.org/officeDocument/2006/relationships/hyperlink" Target="http://www.iaea.org/PRIS/CountryStatistics/ReactorDetails.aspx?current=519" TargetMode="External"/><Relationship Id="rId394" Type="http://schemas.openxmlformats.org/officeDocument/2006/relationships/hyperlink" Target="http://www.iaea.org/PRIS/CountryStatistics/ReactorDetails.aspx?current=513" TargetMode="External"/><Relationship Id="rId393" Type="http://schemas.openxmlformats.org/officeDocument/2006/relationships/hyperlink" Target="http://www.iaea.org/PRIS/CountryStatistics/ReactorDetails.aspx?current=499" TargetMode="External"/><Relationship Id="rId253" Type="http://schemas.openxmlformats.org/officeDocument/2006/relationships/hyperlink" Target="http://www.iaea.org/PRIS/CountryStatistics/ReactorDetails.aspx?current=345" TargetMode="External"/><Relationship Id="rId252" Type="http://schemas.openxmlformats.org/officeDocument/2006/relationships/hyperlink" Target="http://www.iaea.org/PRIS/CountryStatistics/ReactorDetails.aspx?current=318" TargetMode="External"/><Relationship Id="rId251" Type="http://schemas.openxmlformats.org/officeDocument/2006/relationships/hyperlink" Target="http://www.iaea.org/PRIS/CountryStatistics/ReactorDetails.aspx?current=325" TargetMode="External"/><Relationship Id="rId250" Type="http://schemas.openxmlformats.org/officeDocument/2006/relationships/hyperlink" Target="http://www.iaea.org/PRIS/CountryStatistics/ReactorDetails.aspx?current=326" TargetMode="External"/><Relationship Id="rId257" Type="http://schemas.openxmlformats.org/officeDocument/2006/relationships/hyperlink" Target="http://www.iaea.org/PRIS/CountryStatistics/ReactorDetails.aspx?current=340" TargetMode="External"/><Relationship Id="rId256" Type="http://schemas.openxmlformats.org/officeDocument/2006/relationships/hyperlink" Target="http://www.iaea.org/PRIS/CountryStatistics/ReactorDetails.aspx?current=334" TargetMode="External"/><Relationship Id="rId255" Type="http://schemas.openxmlformats.org/officeDocument/2006/relationships/hyperlink" Target="http://www.iaea.org/PRIS/CountryStatistics/ReactorDetails.aspx?current=389" TargetMode="External"/><Relationship Id="rId254" Type="http://schemas.openxmlformats.org/officeDocument/2006/relationships/hyperlink" Target="http://www.iaea.org/PRIS/CountryStatistics/ReactorDetails.aspx?current=377" TargetMode="External"/><Relationship Id="rId260" Type="http://schemas.openxmlformats.org/officeDocument/2006/relationships/hyperlink" Target="http://www.iaea.org/PRIS/CountryStatistics/ReactorDetails.aspx?current=350" TargetMode="External"/><Relationship Id="rId109" Type="http://schemas.openxmlformats.org/officeDocument/2006/relationships/hyperlink" Target="http://www.iaea.org/PRIS/CountryStatistics/ReactorDetails.aspx?current=860" TargetMode="External"/><Relationship Id="rId108" Type="http://schemas.openxmlformats.org/officeDocument/2006/relationships/hyperlink" Target="http://www.iaea.org/PRIS/CountryStatistics/ReactorDetails.aspx?current=160" TargetMode="External"/><Relationship Id="rId269" Type="http://schemas.openxmlformats.org/officeDocument/2006/relationships/hyperlink" Target="http://www.iaea.org/PRIS/CountryStatistics/ReactorDetails.aspx?current=349" TargetMode="External"/><Relationship Id="rId105" Type="http://schemas.openxmlformats.org/officeDocument/2006/relationships/hyperlink" Target="http://www.iaea.org/PRIS/CountryStatistics/ReactorDetails.aspx?current=157" TargetMode="External"/><Relationship Id="rId104" Type="http://schemas.openxmlformats.org/officeDocument/2006/relationships/hyperlink" Target="http://www.iaea.org/PRIS/CountryStatistics/ReactorDetails.aspx?current=75" TargetMode="External"/><Relationship Id="rId107" Type="http://schemas.openxmlformats.org/officeDocument/2006/relationships/hyperlink" Target="http://www.iaea.org/PRIS/CountryStatistics/ReactorDetails.aspx?current=159" TargetMode="External"/><Relationship Id="rId106" Type="http://schemas.openxmlformats.org/officeDocument/2006/relationships/hyperlink" Target="http://www.iaea.org/PRIS/CountryStatistics/ReactorDetails.aspx?current=158" TargetMode="External"/><Relationship Id="rId101" Type="http://schemas.openxmlformats.org/officeDocument/2006/relationships/hyperlink" Target="http://www.iaea.org/PRIS/CountryStatistics/ReactorDetails.aspx?current=80" TargetMode="External"/><Relationship Id="rId262" Type="http://schemas.openxmlformats.org/officeDocument/2006/relationships/hyperlink" Target="http://www.iaea.org/PRIS/CountryStatistics/ReactorDetails.aspx?current=361" TargetMode="External"/><Relationship Id="rId100" Type="http://schemas.openxmlformats.org/officeDocument/2006/relationships/hyperlink" Target="http://www.iaea.org/PRIS/CountryStatistics/ReactorDetails.aspx?current=79" TargetMode="External"/><Relationship Id="rId261" Type="http://schemas.openxmlformats.org/officeDocument/2006/relationships/hyperlink" Target="http://www.iaea.org/PRIS/CountryStatistics/ReactorDetails.aspx?current=351" TargetMode="External"/><Relationship Id="rId103" Type="http://schemas.openxmlformats.org/officeDocument/2006/relationships/hyperlink" Target="http://www.iaea.org/PRIS/CountryStatistics/ReactorDetails.aspx?current=74" TargetMode="External"/><Relationship Id="rId264" Type="http://schemas.openxmlformats.org/officeDocument/2006/relationships/hyperlink" Target="http://www.iaea.org/PRIS/CountryStatistics/ReactorDetails.aspx?current=336" TargetMode="External"/><Relationship Id="rId102" Type="http://schemas.openxmlformats.org/officeDocument/2006/relationships/hyperlink" Target="http://www.iaea.org/PRIS/CountryStatistics/ReactorDetails.aspx?current=81" TargetMode="External"/><Relationship Id="rId263" Type="http://schemas.openxmlformats.org/officeDocument/2006/relationships/hyperlink" Target="http://www.iaea.org/PRIS/CountryStatistics/ReactorDetails.aspx?current=364" TargetMode="External"/><Relationship Id="rId266" Type="http://schemas.openxmlformats.org/officeDocument/2006/relationships/hyperlink" Target="http://www.iaea.org/PRIS/CountryStatistics/ReactorDetails.aspx?current=372" TargetMode="External"/><Relationship Id="rId265" Type="http://schemas.openxmlformats.org/officeDocument/2006/relationships/hyperlink" Target="http://www.iaea.org/PRIS/CountryStatistics/ReactorDetails.aspx?current=352" TargetMode="External"/><Relationship Id="rId268" Type="http://schemas.openxmlformats.org/officeDocument/2006/relationships/hyperlink" Target="http://www.iaea.org/PRIS/CountryStatistics/ReactorDetails.aspx?current=335" TargetMode="External"/><Relationship Id="rId267" Type="http://schemas.openxmlformats.org/officeDocument/2006/relationships/hyperlink" Target="http://www.iaea.org/PRIS/CountryStatistics/ReactorDetails.aspx?current=373" TargetMode="External"/><Relationship Id="rId270" Type="http://schemas.openxmlformats.org/officeDocument/2006/relationships/hyperlink" Target="http://www.iaea.org/PRIS/CountryStatistics/ReactorDetails.aspx?current=362" TargetMode="External"/><Relationship Id="rId271" Type="http://schemas.openxmlformats.org/officeDocument/2006/relationships/hyperlink" Target="http://www.iaea.org/PRIS/CountryStatistics/ReactorDetails.aspx?current=376" TargetMode="External"/><Relationship Id="rId118" Type="http://schemas.openxmlformats.org/officeDocument/2006/relationships/hyperlink" Target="http://www.iaea.org/PRIS/CountryStatistics/ReactorDetails.aspx?current=166" TargetMode="External"/><Relationship Id="rId374" Type="http://schemas.openxmlformats.org/officeDocument/2006/relationships/hyperlink" Target="http://www.iaea.org/PRIS/CountryStatistics/ReactorDetails.aspx?current=490" TargetMode="External"/><Relationship Id="rId117" Type="http://schemas.openxmlformats.org/officeDocument/2006/relationships/hyperlink" Target="http://www.iaea.org/PRIS/CountryStatistics/ReactorDetails.aspx?current=165" TargetMode="External"/><Relationship Id="rId373" Type="http://schemas.openxmlformats.org/officeDocument/2006/relationships/hyperlink" Target="http://www.iaea.org/PRIS/CountryStatistics/ReactorDetails.aspx?current=489" TargetMode="External"/><Relationship Id="rId116" Type="http://schemas.openxmlformats.org/officeDocument/2006/relationships/hyperlink" Target="http://www.iaea.org/PRIS/CountryStatistics/ReactorDetails.aspx?current=230" TargetMode="External"/><Relationship Id="rId372" Type="http://schemas.openxmlformats.org/officeDocument/2006/relationships/hyperlink" Target="http://www.iaea.org/PRIS/CountryStatistics/ReactorDetails.aspx?current=470" TargetMode="External"/><Relationship Id="rId115" Type="http://schemas.openxmlformats.org/officeDocument/2006/relationships/hyperlink" Target="http://www.iaea.org/PRIS/CountryStatistics/ReactorDetails.aspx?current=190" TargetMode="External"/><Relationship Id="rId371" Type="http://schemas.openxmlformats.org/officeDocument/2006/relationships/hyperlink" Target="http://www.iaea.org/PRIS/CountryStatistics/ReactorDetails.aspx?current=469" TargetMode="External"/><Relationship Id="rId378" Type="http://schemas.openxmlformats.org/officeDocument/2006/relationships/hyperlink" Target="http://www.iaea.org/PRIS/CountryStatistics/ReactorDetails.aspx?current=460" TargetMode="External"/><Relationship Id="rId377" Type="http://schemas.openxmlformats.org/officeDocument/2006/relationships/hyperlink" Target="http://www.iaea.org/PRIS/CountryStatistics/ReactorDetails.aspx?current=453" TargetMode="External"/><Relationship Id="rId376" Type="http://schemas.openxmlformats.org/officeDocument/2006/relationships/hyperlink" Target="http://www.iaea.org/PRIS/CountryStatistics/ReactorDetails.aspx?current=496" TargetMode="External"/><Relationship Id="rId119" Type="http://schemas.openxmlformats.org/officeDocument/2006/relationships/hyperlink" Target="http://www.iaea.org/PRIS/CountryStatistics/ReactorDetails.aspx?current=167" TargetMode="External"/><Relationship Id="rId375" Type="http://schemas.openxmlformats.org/officeDocument/2006/relationships/hyperlink" Target="http://www.iaea.org/PRIS/CountryStatistics/ReactorDetails.aspx?current=495" TargetMode="External"/><Relationship Id="rId110" Type="http://schemas.openxmlformats.org/officeDocument/2006/relationships/hyperlink" Target="http://www.iaea.org/PRIS/CountryStatistics/ReactorDetails.aspx?current=211" TargetMode="External"/><Relationship Id="rId279" Type="http://schemas.openxmlformats.org/officeDocument/2006/relationships/hyperlink" Target="http://www.iaea.org/PRIS/CountryStatistics/ReactorDetails.aspx?current=365" TargetMode="External"/><Relationship Id="rId278" Type="http://schemas.openxmlformats.org/officeDocument/2006/relationships/hyperlink" Target="http://www.iaea.org/PRIS/CountryStatistics/ReactorDetails.aspx?current=359" TargetMode="External"/><Relationship Id="rId277" Type="http://schemas.openxmlformats.org/officeDocument/2006/relationships/hyperlink" Target="http://www.iaea.org/PRIS/CountryStatistics/ReactorDetails.aspx?current=333" TargetMode="External"/><Relationship Id="rId276" Type="http://schemas.openxmlformats.org/officeDocument/2006/relationships/hyperlink" Target="http://www.iaea.org/PRIS/CountryStatistics/ReactorDetails.aspx?current=374" TargetMode="External"/><Relationship Id="rId379" Type="http://schemas.openxmlformats.org/officeDocument/2006/relationships/hyperlink" Target="http://www.iaea.org/PRIS/CountryStatistics/ReactorDetails.aspx?current=491" TargetMode="External"/><Relationship Id="rId114" Type="http://schemas.openxmlformats.org/officeDocument/2006/relationships/hyperlink" Target="http://www.iaea.org/PRIS/CountryStatistics/ReactorDetails.aspx?current=189" TargetMode="External"/><Relationship Id="rId275" Type="http://schemas.openxmlformats.org/officeDocument/2006/relationships/hyperlink" Target="http://www.iaea.org/PRIS/CountryStatistics/ReactorDetails.aspx?current=358" TargetMode="External"/><Relationship Id="rId113" Type="http://schemas.openxmlformats.org/officeDocument/2006/relationships/hyperlink" Target="http://www.iaea.org/PRIS/CountryStatistics/ReactorDetails.aspx?current=188" TargetMode="External"/><Relationship Id="rId274" Type="http://schemas.openxmlformats.org/officeDocument/2006/relationships/hyperlink" Target="http://www.iaea.org/PRIS/CountryStatistics/ReactorDetails.aspx?current=348" TargetMode="External"/><Relationship Id="rId112" Type="http://schemas.openxmlformats.org/officeDocument/2006/relationships/hyperlink" Target="http://www.iaea.org/PRIS/CountryStatistics/ReactorDetails.aspx?current=187" TargetMode="External"/><Relationship Id="rId273" Type="http://schemas.openxmlformats.org/officeDocument/2006/relationships/hyperlink" Target="http://www.iaea.org/PRIS/CountryStatistics/ReactorDetails.aspx?current=841" TargetMode="External"/><Relationship Id="rId111" Type="http://schemas.openxmlformats.org/officeDocument/2006/relationships/hyperlink" Target="http://www.iaea.org/PRIS/CountryStatistics/ReactorDetails.aspx?current=212" TargetMode="External"/><Relationship Id="rId272" Type="http://schemas.openxmlformats.org/officeDocument/2006/relationships/hyperlink" Target="http://www.iaea.org/PRIS/CountryStatistics/ReactorDetails.aspx?current=843" TargetMode="External"/><Relationship Id="rId281" Type="http://schemas.openxmlformats.org/officeDocument/2006/relationships/hyperlink" Target="http://www.iaea.org/PRIS/CountryStatistics/ReactorDetails.aspx?current=381" TargetMode="External"/><Relationship Id="rId282" Type="http://schemas.openxmlformats.org/officeDocument/2006/relationships/hyperlink" Target="http://www.iaea.org/PRIS/CountryStatistics/ReactorDetails.aspx?current=367" TargetMode="External"/><Relationship Id="rId280" Type="http://schemas.openxmlformats.org/officeDocument/2006/relationships/hyperlink" Target="http://www.iaea.org/PRIS/CountryStatistics/ReactorDetails.aspx?current=380" TargetMode="External"/><Relationship Id="rId380" Type="http://schemas.openxmlformats.org/officeDocument/2006/relationships/hyperlink" Target="http://www.iaea.org/PRIS/CountryStatistics/ReactorDetails.aspx?current=492" TargetMode="External"/><Relationship Id="rId381" Type="http://schemas.openxmlformats.org/officeDocument/2006/relationships/hyperlink" Target="http://www.iaea.org/PRIS/CountryStatistics/ReactorDetails.aspx?current=476" TargetMode="External"/><Relationship Id="rId127" Type="http://schemas.openxmlformats.org/officeDocument/2006/relationships/hyperlink" Target="http://www.iaea.org/PRIS/CountryStatistics/ReactorDetails.aspx?current=195" TargetMode="External"/><Relationship Id="rId383" Type="http://schemas.openxmlformats.org/officeDocument/2006/relationships/hyperlink" Target="http://www.iaea.org/PRIS/CountryStatistics/ReactorDetails.aspx?current=497" TargetMode="External"/><Relationship Id="rId126" Type="http://schemas.openxmlformats.org/officeDocument/2006/relationships/hyperlink" Target="http://www.iaea.org/PRIS/CountryStatistics/ReactorDetails.aspx?current=184" TargetMode="External"/><Relationship Id="rId382" Type="http://schemas.openxmlformats.org/officeDocument/2006/relationships/hyperlink" Target="http://www.iaea.org/PRIS/CountryStatistics/ReactorDetails.aspx?current=485" TargetMode="External"/><Relationship Id="rId385" Type="http://schemas.openxmlformats.org/officeDocument/2006/relationships/hyperlink" Target="http://www.iaea.org/PRIS/CountryStatistics/ReactorDetails.aspx?current=900" TargetMode="External"/><Relationship Id="rId129" Type="http://schemas.openxmlformats.org/officeDocument/2006/relationships/hyperlink" Target="http://www.iaea.org/PRIS/CountryStatistics/ReactorDetails.aspx?current=197" TargetMode="External"/><Relationship Id="rId128" Type="http://schemas.openxmlformats.org/officeDocument/2006/relationships/hyperlink" Target="http://www.iaea.org/PRIS/CountryStatistics/ReactorDetails.aspx?current=196" TargetMode="External"/><Relationship Id="rId384" Type="http://schemas.openxmlformats.org/officeDocument/2006/relationships/hyperlink" Target="http://www.iaea.org/PRIS/CountryStatistics/ReactorDetails.aspx?current=498" TargetMode="External"/><Relationship Id="rId387" Type="http://schemas.openxmlformats.org/officeDocument/2006/relationships/hyperlink" Target="http://www.iaea.org/PRIS/CountryStatistics/ReactorDetails.aspx?current=474" TargetMode="External"/><Relationship Id="rId386" Type="http://schemas.openxmlformats.org/officeDocument/2006/relationships/hyperlink" Target="http://www.iaea.org/PRIS/CountryStatistics/ReactorDetails.aspx?current=901" TargetMode="External"/><Relationship Id="rId389" Type="http://schemas.openxmlformats.org/officeDocument/2006/relationships/hyperlink" Target="http://www.iaea.org/PRIS/CountryStatistics/ReactorDetails.aspx?current=493" TargetMode="External"/><Relationship Id="rId388" Type="http://schemas.openxmlformats.org/officeDocument/2006/relationships/hyperlink" Target="http://www.iaea.org/PRIS/CountryStatistics/ReactorDetails.aspx?current=475" TargetMode="External"/><Relationship Id="rId288" Type="http://schemas.openxmlformats.org/officeDocument/2006/relationships/hyperlink" Target="http://www.iaea.org/PRIS/CountryStatistics/ReactorDetails.aspx?current=357" TargetMode="External"/><Relationship Id="rId287" Type="http://schemas.openxmlformats.org/officeDocument/2006/relationships/hyperlink" Target="http://www.iaea.org/PRIS/CountryStatistics/ReactorDetails.aspx?current=338" TargetMode="External"/><Relationship Id="rId121" Type="http://schemas.openxmlformats.org/officeDocument/2006/relationships/hyperlink" Target="http://www.iaea.org/PRIS/CountryStatistics/ReactorDetails.aspx?current=207" TargetMode="External"/><Relationship Id="rId120" Type="http://schemas.openxmlformats.org/officeDocument/2006/relationships/hyperlink" Target="http://www.iaea.org/PRIS/CountryStatistics/ReactorDetails.aspx?current=168" TargetMode="External"/><Relationship Id="rId289" Type="http://schemas.openxmlformats.org/officeDocument/2006/relationships/hyperlink" Target="http://www.iaea.org/PRIS/CountryStatistics/ReactorDetails.aspx?current=339" TargetMode="External"/><Relationship Id="rId123" Type="http://schemas.openxmlformats.org/officeDocument/2006/relationships/hyperlink" Target="http://www.iaea.org/PRIS/CountryStatistics/ReactorDetails.aspx?current=218" TargetMode="External"/><Relationship Id="rId284" Type="http://schemas.openxmlformats.org/officeDocument/2006/relationships/hyperlink" Target="http://www.iaea.org/PRIS/CountryStatistics/ReactorDetails.aspx?current=384" TargetMode="External"/><Relationship Id="rId122" Type="http://schemas.openxmlformats.org/officeDocument/2006/relationships/hyperlink" Target="http://www.iaea.org/PRIS/CountryStatistics/ReactorDetails.aspx?current=210" TargetMode="External"/><Relationship Id="rId283" Type="http://schemas.openxmlformats.org/officeDocument/2006/relationships/hyperlink" Target="http://www.iaea.org/PRIS/CountryStatistics/ReactorDetails.aspx?current=383" TargetMode="External"/><Relationship Id="rId125" Type="http://schemas.openxmlformats.org/officeDocument/2006/relationships/hyperlink" Target="http://www.iaea.org/PRIS/CountryStatistics/ReactorDetails.aspx?current=173" TargetMode="External"/><Relationship Id="rId286" Type="http://schemas.openxmlformats.org/officeDocument/2006/relationships/hyperlink" Target="http://www.iaea.org/PRIS/CountryStatistics/ReactorDetails.aspx?current=386" TargetMode="External"/><Relationship Id="rId124" Type="http://schemas.openxmlformats.org/officeDocument/2006/relationships/hyperlink" Target="http://www.iaea.org/PRIS/CountryStatistics/ReactorDetails.aspx?current=223" TargetMode="External"/><Relationship Id="rId285" Type="http://schemas.openxmlformats.org/officeDocument/2006/relationships/hyperlink" Target="http://www.iaea.org/PRIS/CountryStatistics/ReactorDetails.aspx?current=366" TargetMode="External"/><Relationship Id="rId290" Type="http://schemas.openxmlformats.org/officeDocument/2006/relationships/hyperlink" Target="http://www.iaea.org/PRIS/CountryStatistics/ReactorDetails.aspx?current=343" TargetMode="External"/><Relationship Id="rId291" Type="http://schemas.openxmlformats.org/officeDocument/2006/relationships/hyperlink" Target="http://www.iaea.org/PRIS/CountryStatistics/ReactorDetails.aspx?current=378" TargetMode="External"/><Relationship Id="rId292" Type="http://schemas.openxmlformats.org/officeDocument/2006/relationships/hyperlink" Target="http://www.iaea.org/PRIS/CountryStatistics/ReactorDetails.aspx?current=379" TargetMode="External"/><Relationship Id="rId293" Type="http://schemas.openxmlformats.org/officeDocument/2006/relationships/hyperlink" Target="http://www.iaea.org/PRIS/CountryStatistics/ReactorDetails.aspx?current=867" TargetMode="External"/><Relationship Id="rId390" Type="http://schemas.openxmlformats.org/officeDocument/2006/relationships/hyperlink" Target="http://www.iaea.org/PRIS/CountryStatistics/ReactorDetails.aspx?current=494" TargetMode="External"/><Relationship Id="rId391" Type="http://schemas.openxmlformats.org/officeDocument/2006/relationships/hyperlink" Target="http://www.iaea.org/PRIS/CountryStatistics/ReactorDetails.aspx?current=898" TargetMode="External"/><Relationship Id="rId392" Type="http://schemas.openxmlformats.org/officeDocument/2006/relationships/hyperlink" Target="http://www.iaea.org/PRIS/CountryStatistics/ReactorDetails.aspx?current=899" TargetMode="External"/></Relationships>
</file>

<file path=xl/worksheets/_rels/sheet2.xml.rels><?xml version="1.0" encoding="UTF-8" standalone="yes"?><Relationships xmlns="http://schemas.openxmlformats.org/package/2006/relationships"><Relationship Id="rId1682" Type="http://schemas.openxmlformats.org/officeDocument/2006/relationships/hyperlink" Target="http://www.iaea.org/PRIS/CountryStatistics/ReactorDetails.aspx?current=737" TargetMode="External"/><Relationship Id="rId1683" Type="http://schemas.openxmlformats.org/officeDocument/2006/relationships/hyperlink" Target="http://maps.google.com/?q=41.2436,-88.2292&amp;t=k" TargetMode="External"/><Relationship Id="rId429" Type="http://schemas.openxmlformats.org/officeDocument/2006/relationships/hyperlink" Target="http://maps.google.com/?q=45.2558,-0.69306&amp;t=k" TargetMode="External"/><Relationship Id="rId1684" Type="http://schemas.openxmlformats.org/officeDocument/2006/relationships/hyperlink" Target="https://www.google.com/search?q=BRAIDWOOD-2+nuclear+power+plant+in+UNITED+STATES" TargetMode="External"/><Relationship Id="rId428" Type="http://schemas.openxmlformats.org/officeDocument/2006/relationships/hyperlink" Target="http://www.iaea.org/PRIS/CountryStatistics/ReactorDetails.aspx?current=187" TargetMode="External"/><Relationship Id="rId1685" Type="http://schemas.openxmlformats.org/officeDocument/2006/relationships/hyperlink" Target="http://www.iaea.org/PRIS/CountryStatistics/ReactorDetails.aspx?current=738" TargetMode="External"/><Relationship Id="rId427" Type="http://schemas.openxmlformats.org/officeDocument/2006/relationships/hyperlink" Target="https://www.google.com/search?q=BLAYAIS-1+nuclear+power+plant+in+FRANCE" TargetMode="External"/><Relationship Id="rId426" Type="http://schemas.openxmlformats.org/officeDocument/2006/relationships/hyperlink" Target="http://maps.google.com/?q=47.7331,2.51667&amp;t=k" TargetMode="External"/><Relationship Id="rId425" Type="http://schemas.openxmlformats.org/officeDocument/2006/relationships/hyperlink" Target="http://www.iaea.org/PRIS/CountryStatistics/ReactorDetails.aspx?current=186" TargetMode="External"/><Relationship Id="rId1680" Type="http://schemas.openxmlformats.org/officeDocument/2006/relationships/hyperlink" Target="http://maps.google.com/?q=42.0742,-89.2819&amp;t=k" TargetMode="External"/><Relationship Id="rId424" Type="http://schemas.openxmlformats.org/officeDocument/2006/relationships/hyperlink" Target="https://www.google.com/search?q=DAMPIERRE-4+nuclear+power+plant+in+FRANCE" TargetMode="External"/><Relationship Id="rId1681" Type="http://schemas.openxmlformats.org/officeDocument/2006/relationships/hyperlink" Target="https://www.google.com/search?q=BRAIDWOOD-1+nuclear+power+plant+in+UNITED+STATES" TargetMode="External"/><Relationship Id="rId423" Type="http://schemas.openxmlformats.org/officeDocument/2006/relationships/hyperlink" Target="http://maps.google.com/?q=47.7331,2.51667&amp;t=k" TargetMode="External"/><Relationship Id="rId422" Type="http://schemas.openxmlformats.org/officeDocument/2006/relationships/hyperlink" Target="http://www.iaea.org/PRIS/CountryStatistics/ReactorDetails.aspx?current=185" TargetMode="External"/><Relationship Id="rId421" Type="http://schemas.openxmlformats.org/officeDocument/2006/relationships/hyperlink" Target="https://www.google.com/search?q=DAMPIERRE-3+nuclear+power+plant+in+FRANCE" TargetMode="External"/><Relationship Id="rId420" Type="http://schemas.openxmlformats.org/officeDocument/2006/relationships/hyperlink" Target="http://maps.google.com/?q=47.2325,0.1703&amp;t=k" TargetMode="External"/><Relationship Id="rId819" Type="http://schemas.openxmlformats.org/officeDocument/2006/relationships/hyperlink" Target="http://maps.google.com/?q=35.5406,135.652&amp;t=k" TargetMode="External"/><Relationship Id="rId818" Type="http://schemas.openxmlformats.org/officeDocument/2006/relationships/hyperlink" Target="http://www.iaea.org/PRIS/CountryStatistics/ReactorDetails.aspx?current=343" TargetMode="External"/><Relationship Id="rId817" Type="http://schemas.openxmlformats.org/officeDocument/2006/relationships/hyperlink" Target="https://www.google.com/search?q=OHI-2+nuclear+power+plant+in+JAPAN" TargetMode="External"/><Relationship Id="rId816" Type="http://schemas.openxmlformats.org/officeDocument/2006/relationships/hyperlink" Target="http://maps.google.com/?q=37.4231,141.033&amp;t=k" TargetMode="External"/><Relationship Id="rId814" Type="http://schemas.openxmlformats.org/officeDocument/2006/relationships/hyperlink" Target="https://www.google.com/search?q=FUKUSHIMA-DAIICHI-6+nuclear+power+plant+in+JAPAN" TargetMode="External"/><Relationship Id="rId815" Type="http://schemas.openxmlformats.org/officeDocument/2006/relationships/hyperlink" Target="http://www.iaea.org/PRIS/CountryStatistics/ReactorDetails.aspx?current=342" TargetMode="External"/><Relationship Id="rId812" Type="http://schemas.openxmlformats.org/officeDocument/2006/relationships/hyperlink" Target="http://www.iaea.org/PRIS/CountryStatistics/ReactorDetails.aspx?current=341" TargetMode="External"/><Relationship Id="rId813" Type="http://schemas.openxmlformats.org/officeDocument/2006/relationships/hyperlink" Target="http://maps.google.com/?q=37.4231,141.033&amp;t=k" TargetMode="External"/><Relationship Id="rId810" Type="http://schemas.openxmlformats.org/officeDocument/2006/relationships/hyperlink" Target="http://maps.google.com/?q=37.4231,141.033&amp;t=k" TargetMode="External"/><Relationship Id="rId811" Type="http://schemas.openxmlformats.org/officeDocument/2006/relationships/hyperlink" Target="https://www.google.com/search?q=FUKUSHIMA-DAIICHI-5+nuclear+power+plant+in+JAPAN" TargetMode="External"/><Relationship Id="rId1687" Type="http://schemas.openxmlformats.org/officeDocument/2006/relationships/hyperlink" Target="https://www.google.com/search?q=RIVER+BEND-1+nuclear+power+plant+in+UNITED+STATES" TargetMode="External"/><Relationship Id="rId1686" Type="http://schemas.openxmlformats.org/officeDocument/2006/relationships/hyperlink" Target="http://maps.google.com/?q=41.2436,-88.2292&amp;t=k" TargetMode="External"/><Relationship Id="rId1689" Type="http://schemas.openxmlformats.org/officeDocument/2006/relationships/hyperlink" Target="http://maps.google.com/?q=30.7567,-91.333&amp;t=k" TargetMode="External"/><Relationship Id="rId1688" Type="http://schemas.openxmlformats.org/officeDocument/2006/relationships/hyperlink" Target="http://www.iaea.org/PRIS/CountryStatistics/ReactorDetails.aspx?current=739" TargetMode="External"/><Relationship Id="rId1695" Type="http://schemas.openxmlformats.org/officeDocument/2006/relationships/hyperlink" Target="http://maps.google.com/?q=38.2389,-95.6889&amp;t=k" TargetMode="External"/><Relationship Id="rId417" Type="http://schemas.openxmlformats.org/officeDocument/2006/relationships/hyperlink" Target="http://maps.google.com/?q=47.7331,2.51667&amp;t=k" TargetMode="External"/><Relationship Id="rId1696" Type="http://schemas.openxmlformats.org/officeDocument/2006/relationships/hyperlink" Target="https://www.google.com/search?q=CALLAWAY-1+nuclear+power+plant+in+UNITED+STATES" TargetMode="External"/><Relationship Id="rId416" Type="http://schemas.openxmlformats.org/officeDocument/2006/relationships/hyperlink" Target="http://www.iaea.org/PRIS/CountryStatistics/ReactorDetails.aspx?current=183" TargetMode="External"/><Relationship Id="rId1693" Type="http://schemas.openxmlformats.org/officeDocument/2006/relationships/hyperlink" Target="https://www.google.com/search?q=WOLF+CREEK+nuclear+power+plant+in+UNITED+STATES" TargetMode="External"/><Relationship Id="rId419" Type="http://schemas.openxmlformats.org/officeDocument/2006/relationships/hyperlink" Target="http://www.iaea.org/PRIS/CountryStatistics/ReactorDetails.aspx?current=184" TargetMode="External"/><Relationship Id="rId1694" Type="http://schemas.openxmlformats.org/officeDocument/2006/relationships/hyperlink" Target="http://www.iaea.org/PRIS/CountryStatistics/ReactorDetails.aspx?current=751" TargetMode="External"/><Relationship Id="rId418" Type="http://schemas.openxmlformats.org/officeDocument/2006/relationships/hyperlink" Target="https://www.google.com/search?q=CHINON+A-2+nuclear+power+plant+in+FRANCE" TargetMode="External"/><Relationship Id="rId1691" Type="http://schemas.openxmlformats.org/officeDocument/2006/relationships/hyperlink" Target="http://www.iaea.org/PRIS/CountryStatistics/ReactorDetails.aspx?current=742" TargetMode="External"/><Relationship Id="rId413" Type="http://schemas.openxmlformats.org/officeDocument/2006/relationships/hyperlink" Target="http://www.iaea.org/PRIS/CountryStatistics/ReactorDetails.aspx?current=182" TargetMode="External"/><Relationship Id="rId1692" Type="http://schemas.openxmlformats.org/officeDocument/2006/relationships/hyperlink" Target="http://maps.google.com/?q=40.1722,-88.835&amp;t=k" TargetMode="External"/><Relationship Id="rId412" Type="http://schemas.openxmlformats.org/officeDocument/2006/relationships/hyperlink" Target="https://www.google.com/search?q=GRAVELINES-4+nuclear+power+plant+in+FRANCE" TargetMode="External"/><Relationship Id="rId415" Type="http://schemas.openxmlformats.org/officeDocument/2006/relationships/hyperlink" Target="https://www.google.com/search?q=DAMPIERRE-2+nuclear+power+plant+in+FRANCE" TargetMode="External"/><Relationship Id="rId1690" Type="http://schemas.openxmlformats.org/officeDocument/2006/relationships/hyperlink" Target="https://www.google.com/search?q=CLINTON-1+nuclear+power+plant+in+UNITED+STATES" TargetMode="External"/><Relationship Id="rId414" Type="http://schemas.openxmlformats.org/officeDocument/2006/relationships/hyperlink" Target="http://maps.google.com/?q=51.0153,2.13611&amp;t=k" TargetMode="External"/><Relationship Id="rId411" Type="http://schemas.openxmlformats.org/officeDocument/2006/relationships/hyperlink" Target="http://maps.google.com/?q=51.0153,2.13611&amp;t=k" TargetMode="External"/><Relationship Id="rId410" Type="http://schemas.openxmlformats.org/officeDocument/2006/relationships/hyperlink" Target="http://www.iaea.org/PRIS/CountryStatistics/ReactorDetails.aspx?current=181" TargetMode="External"/><Relationship Id="rId828" Type="http://schemas.openxmlformats.org/officeDocument/2006/relationships/hyperlink" Target="http://maps.google.com/?q=36.4664,140.607&amp;t=k" TargetMode="External"/><Relationship Id="rId827" Type="http://schemas.openxmlformats.org/officeDocument/2006/relationships/hyperlink" Target="http://www.iaea.org/PRIS/CountryStatistics/ReactorDetails.aspx?current=346" TargetMode="External"/><Relationship Id="rId829" Type="http://schemas.openxmlformats.org/officeDocument/2006/relationships/hyperlink" Target="https://www.google.com/search?q=ONAGAWA-1+nuclear+power+plant+in+JAPAN" TargetMode="External"/><Relationship Id="rId823" Type="http://schemas.openxmlformats.org/officeDocument/2006/relationships/hyperlink" Target="https://www.google.com/search?q=FUGEN+ATR+nuclear+power+plant+in+JAPAN" TargetMode="External"/><Relationship Id="rId824" Type="http://schemas.openxmlformats.org/officeDocument/2006/relationships/hyperlink" Target="http://www.iaea.org/PRIS/CountryStatistics/ReactorDetails.aspx?current=345" TargetMode="External"/><Relationship Id="rId825" Type="http://schemas.openxmlformats.org/officeDocument/2006/relationships/hyperlink" Target="http://maps.google.com/?q=35.7544,136.016&amp;t=k" TargetMode="External"/><Relationship Id="rId826" Type="http://schemas.openxmlformats.org/officeDocument/2006/relationships/hyperlink" Target="https://www.google.com/search?q=TOKAI-2+nuclear+power+plant+in+JAPAN" TargetMode="External"/><Relationship Id="rId820" Type="http://schemas.openxmlformats.org/officeDocument/2006/relationships/hyperlink" Target="https://www.google.com/search?q=TOKAI-1+nuclear+power+plant+in+JAPAN" TargetMode="External"/><Relationship Id="rId821" Type="http://schemas.openxmlformats.org/officeDocument/2006/relationships/hyperlink" Target="http://www.iaea.org/PRIS/CountryStatistics/ReactorDetails.aspx?current=344" TargetMode="External"/><Relationship Id="rId822" Type="http://schemas.openxmlformats.org/officeDocument/2006/relationships/hyperlink" Target="http://maps.google.com/?q=36.4664,140.607&amp;t=k" TargetMode="External"/><Relationship Id="rId1699" Type="http://schemas.openxmlformats.org/officeDocument/2006/relationships/hyperlink" Target="https://www.google.com/search?q=SOUTH+TEXAS-1+nuclear+power+plant+in+UNITED+STATES" TargetMode="External"/><Relationship Id="rId1698" Type="http://schemas.openxmlformats.org/officeDocument/2006/relationships/hyperlink" Target="http://maps.google.com/?q=38.7617,-91.78&amp;t=k" TargetMode="External"/><Relationship Id="rId1697" Type="http://schemas.openxmlformats.org/officeDocument/2006/relationships/hyperlink" Target="http://www.iaea.org/PRIS/CountryStatistics/ReactorDetails.aspx?current=752" TargetMode="External"/><Relationship Id="rId448" Type="http://schemas.openxmlformats.org/officeDocument/2006/relationships/hyperlink" Target="https://www.google.com/search?q=PALUEL-4+nuclear+power+plant+in+FRANCE" TargetMode="External"/><Relationship Id="rId447" Type="http://schemas.openxmlformats.org/officeDocument/2006/relationships/hyperlink" Target="http://maps.google.com/?q=49.8581,0.63556&amp;t=k" TargetMode="External"/><Relationship Id="rId446" Type="http://schemas.openxmlformats.org/officeDocument/2006/relationships/hyperlink" Target="http://www.iaea.org/PRIS/CountryStatistics/ReactorDetails.aspx?current=193" TargetMode="External"/><Relationship Id="rId445" Type="http://schemas.openxmlformats.org/officeDocument/2006/relationships/hyperlink" Target="https://www.google.com/search?q=PALUEL-3+nuclear+power+plant+in+FRANCE" TargetMode="External"/><Relationship Id="rId449" Type="http://schemas.openxmlformats.org/officeDocument/2006/relationships/hyperlink" Target="http://www.iaea.org/PRIS/CountryStatistics/ReactorDetails.aspx?current=194" TargetMode="External"/><Relationship Id="rId440" Type="http://schemas.openxmlformats.org/officeDocument/2006/relationships/hyperlink" Target="http://www.iaea.org/PRIS/CountryStatistics/ReactorDetails.aspx?current=191" TargetMode="External"/><Relationship Id="rId839" Type="http://schemas.openxmlformats.org/officeDocument/2006/relationships/hyperlink" Target="http://www.iaea.org/PRIS/CountryStatistics/ReactorDetails.aspx?current=350" TargetMode="External"/><Relationship Id="rId838" Type="http://schemas.openxmlformats.org/officeDocument/2006/relationships/hyperlink" Target="https://www.google.com/search?q=FUKUSHIMA-DAINI-1+nuclear+power+plant+in+JAPAN" TargetMode="External"/><Relationship Id="rId444" Type="http://schemas.openxmlformats.org/officeDocument/2006/relationships/hyperlink" Target="http://maps.google.com/?q=49.8581,0.63556&amp;t=k" TargetMode="External"/><Relationship Id="rId443" Type="http://schemas.openxmlformats.org/officeDocument/2006/relationships/hyperlink" Target="http://www.iaea.org/PRIS/CountryStatistics/ReactorDetails.aspx?current=192" TargetMode="External"/><Relationship Id="rId442" Type="http://schemas.openxmlformats.org/officeDocument/2006/relationships/hyperlink" Target="https://www.google.com/search?q=PALUEL-2+nuclear+power+plant+in+FRANCE" TargetMode="External"/><Relationship Id="rId441" Type="http://schemas.openxmlformats.org/officeDocument/2006/relationships/hyperlink" Target="http://maps.google.com/?q=49.8581,0.63556&amp;t=k" TargetMode="External"/><Relationship Id="rId832" Type="http://schemas.openxmlformats.org/officeDocument/2006/relationships/hyperlink" Target="https://www.google.com/search?q=IKATA-1+nuclear+power+plant+in+JAPAN" TargetMode="External"/><Relationship Id="rId833" Type="http://schemas.openxmlformats.org/officeDocument/2006/relationships/hyperlink" Target="http://www.iaea.org/PRIS/CountryStatistics/ReactorDetails.aspx?current=348" TargetMode="External"/><Relationship Id="rId830" Type="http://schemas.openxmlformats.org/officeDocument/2006/relationships/hyperlink" Target="http://www.iaea.org/PRIS/CountryStatistics/ReactorDetails.aspx?current=347" TargetMode="External"/><Relationship Id="rId831" Type="http://schemas.openxmlformats.org/officeDocument/2006/relationships/hyperlink" Target="http://maps.google.com/?q=38.4011,141.5&amp;t=k" TargetMode="External"/><Relationship Id="rId836" Type="http://schemas.openxmlformats.org/officeDocument/2006/relationships/hyperlink" Target="http://www.iaea.org/PRIS/CountryStatistics/ReactorDetails.aspx?current=349" TargetMode="External"/><Relationship Id="rId837" Type="http://schemas.openxmlformats.org/officeDocument/2006/relationships/hyperlink" Target="http://maps.google.com/?q=34.6236,138.143&amp;t=k" TargetMode="External"/><Relationship Id="rId834" Type="http://schemas.openxmlformats.org/officeDocument/2006/relationships/hyperlink" Target="http://maps.google.com/?q=33.4908,132.311&amp;t=k" TargetMode="External"/><Relationship Id="rId835" Type="http://schemas.openxmlformats.org/officeDocument/2006/relationships/hyperlink" Target="https://www.google.com/search?q=HAMAOKA-2+nuclear+power+plant+in+JAPAN" TargetMode="External"/><Relationship Id="rId435" Type="http://schemas.openxmlformats.org/officeDocument/2006/relationships/hyperlink" Target="http://maps.google.com/?q=45.2558,-0.69306&amp;t=k" TargetMode="External"/><Relationship Id="rId434" Type="http://schemas.openxmlformats.org/officeDocument/2006/relationships/hyperlink" Target="http://www.iaea.org/PRIS/CountryStatistics/ReactorDetails.aspx?current=189" TargetMode="External"/><Relationship Id="rId437" Type="http://schemas.openxmlformats.org/officeDocument/2006/relationships/hyperlink" Target="http://www.iaea.org/PRIS/CountryStatistics/ReactorDetails.aspx?current=190" TargetMode="External"/><Relationship Id="rId436" Type="http://schemas.openxmlformats.org/officeDocument/2006/relationships/hyperlink" Target="https://www.google.com/search?q=BLAYAIS-4+nuclear+power+plant+in+FRANCE" TargetMode="External"/><Relationship Id="rId439" Type="http://schemas.openxmlformats.org/officeDocument/2006/relationships/hyperlink" Target="https://www.google.com/search?q=PALUEL-1+nuclear+power+plant+in+FRANCE" TargetMode="External"/><Relationship Id="rId438" Type="http://schemas.openxmlformats.org/officeDocument/2006/relationships/hyperlink" Target="http://maps.google.com/?q=45.2558,-0.69306&amp;t=k" TargetMode="External"/><Relationship Id="rId849" Type="http://schemas.openxmlformats.org/officeDocument/2006/relationships/hyperlink" Target="http://maps.google.com/?q=31.8336,130.19&amp;t=k" TargetMode="External"/><Relationship Id="rId431" Type="http://schemas.openxmlformats.org/officeDocument/2006/relationships/hyperlink" Target="http://www.iaea.org/PRIS/CountryStatistics/ReactorDetails.aspx?current=188" TargetMode="External"/><Relationship Id="rId430" Type="http://schemas.openxmlformats.org/officeDocument/2006/relationships/hyperlink" Target="https://www.google.com/search?q=BLAYAIS-2+nuclear+power+plant+in+FRANCE" TargetMode="External"/><Relationship Id="rId433" Type="http://schemas.openxmlformats.org/officeDocument/2006/relationships/hyperlink" Target="https://www.google.com/search?q=BLAYAIS-3+nuclear+power+plant+in+FRANCE" TargetMode="External"/><Relationship Id="rId432" Type="http://schemas.openxmlformats.org/officeDocument/2006/relationships/hyperlink" Target="http://maps.google.com/?q=45.2558,-0.69306&amp;t=k" TargetMode="External"/><Relationship Id="rId841" Type="http://schemas.openxmlformats.org/officeDocument/2006/relationships/hyperlink" Target="https://www.google.com/search?q=FUKUSHIMA-DAINI-2+nuclear+power+plant+in+JAPAN" TargetMode="External"/><Relationship Id="rId842" Type="http://schemas.openxmlformats.org/officeDocument/2006/relationships/hyperlink" Target="http://www.iaea.org/PRIS/CountryStatistics/ReactorDetails.aspx?current=351" TargetMode="External"/><Relationship Id="rId843" Type="http://schemas.openxmlformats.org/officeDocument/2006/relationships/hyperlink" Target="http://maps.google.com/?q=37.3164,141.026&amp;t=k" TargetMode="External"/><Relationship Id="rId844" Type="http://schemas.openxmlformats.org/officeDocument/2006/relationships/hyperlink" Target="https://www.google.com/search?q=GENKAI-2+nuclear+power+plant+in+JAPAN" TargetMode="External"/><Relationship Id="rId845" Type="http://schemas.openxmlformats.org/officeDocument/2006/relationships/hyperlink" Target="http://www.iaea.org/PRIS/CountryStatistics/ReactorDetails.aspx?current=352" TargetMode="External"/><Relationship Id="rId846" Type="http://schemas.openxmlformats.org/officeDocument/2006/relationships/hyperlink" Target="http://maps.google.com/?q=33.5156,129.837&amp;t=k" TargetMode="External"/><Relationship Id="rId847" Type="http://schemas.openxmlformats.org/officeDocument/2006/relationships/hyperlink" Target="https://www.google.com/search?q=SENDAI-1+nuclear+power+plant+in+JAPAN" TargetMode="External"/><Relationship Id="rId848" Type="http://schemas.openxmlformats.org/officeDocument/2006/relationships/hyperlink" Target="http://www.iaea.org/PRIS/CountryStatistics/ReactorDetails.aspx?current=353" TargetMode="External"/><Relationship Id="rId840" Type="http://schemas.openxmlformats.org/officeDocument/2006/relationships/hyperlink" Target="http://maps.google.com/?q=37.3164,141.026&amp;t=k" TargetMode="External"/><Relationship Id="rId465" Type="http://schemas.openxmlformats.org/officeDocument/2006/relationships/hyperlink" Target="http://maps.google.com/?q=44.6331,4.75667&amp;t=k" TargetMode="External"/><Relationship Id="rId466" Type="http://schemas.openxmlformats.org/officeDocument/2006/relationships/hyperlink" Target="https://www.google.com/search?q=CRUAS-3+nuclear+power+plant+in+FRANCE" TargetMode="External"/><Relationship Id="rId463" Type="http://schemas.openxmlformats.org/officeDocument/2006/relationships/hyperlink" Target="https://www.google.com/search?q=CRUAS-2+nuclear+power+plant+in+FRANCE" TargetMode="External"/><Relationship Id="rId464" Type="http://schemas.openxmlformats.org/officeDocument/2006/relationships/hyperlink" Target="http://www.iaea.org/PRIS/CountryStatistics/ReactorDetails.aspx?current=199" TargetMode="External"/><Relationship Id="rId461" Type="http://schemas.openxmlformats.org/officeDocument/2006/relationships/hyperlink" Target="http://www.iaea.org/PRIS/CountryStatistics/ReactorDetails.aspx?current=198" TargetMode="External"/><Relationship Id="rId462" Type="http://schemas.openxmlformats.org/officeDocument/2006/relationships/hyperlink" Target="http://maps.google.com/?q=44.6331,4.75667&amp;t=k" TargetMode="External"/><Relationship Id="rId460" Type="http://schemas.openxmlformats.org/officeDocument/2006/relationships/hyperlink" Target="https://www.google.com/search?q=CRUAS-1+nuclear+power+plant+in+FRANCE" TargetMode="External"/><Relationship Id="rId1641" Type="http://schemas.openxmlformats.org/officeDocument/2006/relationships/hyperlink" Target="http://maps.google.com/?q=43.5208,-76.4069&amp;t=k" TargetMode="External"/><Relationship Id="rId1640" Type="http://schemas.openxmlformats.org/officeDocument/2006/relationships/hyperlink" Target="http://www.iaea.org/PRIS/CountryStatistics/ReactorDetails.aspx?current=711" TargetMode="External"/><Relationship Id="rId469" Type="http://schemas.openxmlformats.org/officeDocument/2006/relationships/hyperlink" Target="https://www.google.com/search?q=CRUAS-4+nuclear+power+plant+in+FRANCE" TargetMode="External"/><Relationship Id="rId467" Type="http://schemas.openxmlformats.org/officeDocument/2006/relationships/hyperlink" Target="http://www.iaea.org/PRIS/CountryStatistics/ReactorDetails.aspx?current=200" TargetMode="External"/><Relationship Id="rId468" Type="http://schemas.openxmlformats.org/officeDocument/2006/relationships/hyperlink" Target="http://maps.google.com/?q=44.6331,4.75667&amp;t=k" TargetMode="External"/><Relationship Id="rId1646" Type="http://schemas.openxmlformats.org/officeDocument/2006/relationships/hyperlink" Target="http://www.iaea.org/PRIS/CountryStatistics/ReactorDetails.aspx?current=713" TargetMode="External"/><Relationship Id="rId851" Type="http://schemas.openxmlformats.org/officeDocument/2006/relationships/hyperlink" Target="http://www.iaea.org/PRIS/CountryStatistics/ReactorDetails.aspx?current=354" TargetMode="External"/><Relationship Id="rId1647" Type="http://schemas.openxmlformats.org/officeDocument/2006/relationships/hyperlink" Target="http://maps.google.com/?q=35.0517,-81.07&amp;t=k" TargetMode="External"/><Relationship Id="rId850" Type="http://schemas.openxmlformats.org/officeDocument/2006/relationships/hyperlink" Target="https://www.google.com/search?q=TAKAHAMA-3+nuclear+power+plant+in+JAPAN" TargetMode="External"/><Relationship Id="rId1648" Type="http://schemas.openxmlformats.org/officeDocument/2006/relationships/hyperlink" Target="https://www.google.com/search?q=CATAWBA-2+nuclear+power+plant+in+UNITED+STATES" TargetMode="External"/><Relationship Id="rId1649" Type="http://schemas.openxmlformats.org/officeDocument/2006/relationships/hyperlink" Target="http://www.iaea.org/PRIS/CountryStatistics/ReactorDetails.aspx?current=714" TargetMode="External"/><Relationship Id="rId1642" Type="http://schemas.openxmlformats.org/officeDocument/2006/relationships/hyperlink" Target="https://www.google.com/search?q=BEAVER+VALLEY-2+nuclear+power+plant+in+UNITED+STATES" TargetMode="External"/><Relationship Id="rId1643" Type="http://schemas.openxmlformats.org/officeDocument/2006/relationships/hyperlink" Target="http://www.iaea.org/PRIS/CountryStatistics/ReactorDetails.aspx?current=712" TargetMode="External"/><Relationship Id="rId1644" Type="http://schemas.openxmlformats.org/officeDocument/2006/relationships/hyperlink" Target="http://maps.google.com/?q=40.6233,-80.4306&amp;t=k" TargetMode="External"/><Relationship Id="rId1645" Type="http://schemas.openxmlformats.org/officeDocument/2006/relationships/hyperlink" Target="https://www.google.com/search?q=CATAWBA-1+nuclear+power+plant+in+UNITED+STATES" TargetMode="External"/><Relationship Id="rId859" Type="http://schemas.openxmlformats.org/officeDocument/2006/relationships/hyperlink" Target="https://www.google.com/search?q=MONJU+nuclear+power+plant+in+JAPAN" TargetMode="External"/><Relationship Id="rId858" Type="http://schemas.openxmlformats.org/officeDocument/2006/relationships/hyperlink" Target="http://maps.google.com/?q=35.522,135.504&amp;t=k" TargetMode="External"/><Relationship Id="rId857" Type="http://schemas.openxmlformats.org/officeDocument/2006/relationships/hyperlink" Target="http://www.iaea.org/PRIS/CountryStatistics/ReactorDetails.aspx?current=356" TargetMode="External"/><Relationship Id="rId856" Type="http://schemas.openxmlformats.org/officeDocument/2006/relationships/hyperlink" Target="https://www.google.com/search?q=TAKAHAMA-4+nuclear+power+plant+in+JAPAN" TargetMode="External"/><Relationship Id="rId855" Type="http://schemas.openxmlformats.org/officeDocument/2006/relationships/hyperlink" Target="http://maps.google.com/?q=35.7519,136.019&amp;t=k" TargetMode="External"/><Relationship Id="rId854" Type="http://schemas.openxmlformats.org/officeDocument/2006/relationships/hyperlink" Target="http://www.iaea.org/PRIS/CountryStatistics/ReactorDetails.aspx?current=355" TargetMode="External"/><Relationship Id="rId853" Type="http://schemas.openxmlformats.org/officeDocument/2006/relationships/hyperlink" Target="https://www.google.com/search?q=TSURUGA-1+nuclear+power+plant+in+JAPAN" TargetMode="External"/><Relationship Id="rId852" Type="http://schemas.openxmlformats.org/officeDocument/2006/relationships/hyperlink" Target="http://maps.google.com/?q=35.522,135.504&amp;t=k" TargetMode="External"/><Relationship Id="rId452" Type="http://schemas.openxmlformats.org/officeDocument/2006/relationships/hyperlink" Target="http://www.iaea.org/PRIS/CountryStatistics/ReactorDetails.aspx?current=195" TargetMode="External"/><Relationship Id="rId453" Type="http://schemas.openxmlformats.org/officeDocument/2006/relationships/hyperlink" Target="http://maps.google.com/?q=47.2325,0.1703&amp;t=k" TargetMode="External"/><Relationship Id="rId454" Type="http://schemas.openxmlformats.org/officeDocument/2006/relationships/hyperlink" Target="https://www.google.com/search?q=CHINON+B-1+nuclear+power+plant+in+FRANCE" TargetMode="External"/><Relationship Id="rId455" Type="http://schemas.openxmlformats.org/officeDocument/2006/relationships/hyperlink" Target="http://www.iaea.org/PRIS/CountryStatistics/ReactorDetails.aspx?current=196" TargetMode="External"/><Relationship Id="rId450" Type="http://schemas.openxmlformats.org/officeDocument/2006/relationships/hyperlink" Target="http://maps.google.com/?q=49.8581,0.63556&amp;t=k" TargetMode="External"/><Relationship Id="rId451" Type="http://schemas.openxmlformats.org/officeDocument/2006/relationships/hyperlink" Target="https://www.google.com/search?q=CHINON+A-3+nuclear+power+plant+in+FRANCE" TargetMode="External"/><Relationship Id="rId1652" Type="http://schemas.openxmlformats.org/officeDocument/2006/relationships/hyperlink" Target="http://www.iaea.org/PRIS/CountryStatistics/ReactorDetails.aspx?current=715" TargetMode="External"/><Relationship Id="rId1651" Type="http://schemas.openxmlformats.org/officeDocument/2006/relationships/hyperlink" Target="https://www.google.com/search?q=GRAND+GULF-1+nuclear+power+plant+in+UNITED+STATES" TargetMode="External"/><Relationship Id="rId1650" Type="http://schemas.openxmlformats.org/officeDocument/2006/relationships/hyperlink" Target="http://maps.google.com/?q=35.0517,-81.07&amp;t=k" TargetMode="External"/><Relationship Id="rId456" Type="http://schemas.openxmlformats.org/officeDocument/2006/relationships/hyperlink" Target="http://maps.google.com/?q=47.2325,0.1703&amp;t=k" TargetMode="External"/><Relationship Id="rId457" Type="http://schemas.openxmlformats.org/officeDocument/2006/relationships/hyperlink" Target="https://www.google.com/search?q=CHINON+B-2+nuclear+power+plant+in+FRANCE" TargetMode="External"/><Relationship Id="rId458" Type="http://schemas.openxmlformats.org/officeDocument/2006/relationships/hyperlink" Target="http://www.iaea.org/PRIS/CountryStatistics/ReactorDetails.aspx?current=197" TargetMode="External"/><Relationship Id="rId459" Type="http://schemas.openxmlformats.org/officeDocument/2006/relationships/hyperlink" Target="http://maps.google.com/?q=47.2325,0.1703&amp;t=k" TargetMode="External"/><Relationship Id="rId1659" Type="http://schemas.openxmlformats.org/officeDocument/2006/relationships/hyperlink" Target="http://maps.google.com/?q=33.1433,-81.7606&amp;t=k" TargetMode="External"/><Relationship Id="rId860" Type="http://schemas.openxmlformats.org/officeDocument/2006/relationships/hyperlink" Target="http://www.iaea.org/PRIS/CountryStatistics/ReactorDetails.aspx?current=357" TargetMode="External"/><Relationship Id="rId1657" Type="http://schemas.openxmlformats.org/officeDocument/2006/relationships/hyperlink" Target="https://www.google.com/search?q=VOGTLE-1+nuclear+power+plant+in+UNITED+STATES" TargetMode="External"/><Relationship Id="rId862" Type="http://schemas.openxmlformats.org/officeDocument/2006/relationships/hyperlink" Target="https://www.google.com/search?q=IKATA-2+nuclear+power+plant+in+JAPAN" TargetMode="External"/><Relationship Id="rId1658" Type="http://schemas.openxmlformats.org/officeDocument/2006/relationships/hyperlink" Target="http://www.iaea.org/PRIS/CountryStatistics/ReactorDetails.aspx?current=718" TargetMode="External"/><Relationship Id="rId861" Type="http://schemas.openxmlformats.org/officeDocument/2006/relationships/hyperlink" Target="http://maps.google.com/?q=35.7403,135.988&amp;t=k" TargetMode="External"/><Relationship Id="rId1655" Type="http://schemas.openxmlformats.org/officeDocument/2006/relationships/hyperlink" Target="http://www.iaea.org/PRIS/CountryStatistics/ReactorDetails.aspx?current=717" TargetMode="External"/><Relationship Id="rId1656" Type="http://schemas.openxmlformats.org/officeDocument/2006/relationships/hyperlink" Target="http://maps.google.com/?q=41.3119,-72.1686&amp;t=k" TargetMode="External"/><Relationship Id="rId1653" Type="http://schemas.openxmlformats.org/officeDocument/2006/relationships/hyperlink" Target="http://maps.google.com/?q=32.0067,-91.0483&amp;t=k" TargetMode="External"/><Relationship Id="rId1654" Type="http://schemas.openxmlformats.org/officeDocument/2006/relationships/hyperlink" Target="https://www.google.com/search?q=MILLSTONE-3+nuclear+power+plant+in+UNITED+STATES" TargetMode="External"/><Relationship Id="rId868" Type="http://schemas.openxmlformats.org/officeDocument/2006/relationships/hyperlink" Target="https://www.google.com/search?q=TSURUGA-2+nuclear+power+plant+in+JAPAN" TargetMode="External"/><Relationship Id="rId867" Type="http://schemas.openxmlformats.org/officeDocument/2006/relationships/hyperlink" Target="http://maps.google.com/?q=37.4283,138.602&amp;t=k" TargetMode="External"/><Relationship Id="rId869" Type="http://schemas.openxmlformats.org/officeDocument/2006/relationships/hyperlink" Target="http://www.iaea.org/PRIS/CountryStatistics/ReactorDetails.aspx?current=360" TargetMode="External"/><Relationship Id="rId864" Type="http://schemas.openxmlformats.org/officeDocument/2006/relationships/hyperlink" Target="http://maps.google.com/?q=33.4908,132.311&amp;t=k" TargetMode="External"/><Relationship Id="rId863" Type="http://schemas.openxmlformats.org/officeDocument/2006/relationships/hyperlink" Target="http://www.iaea.org/PRIS/CountryStatistics/ReactorDetails.aspx?current=358" TargetMode="External"/><Relationship Id="rId866" Type="http://schemas.openxmlformats.org/officeDocument/2006/relationships/hyperlink" Target="http://www.iaea.org/PRIS/CountryStatistics/ReactorDetails.aspx?current=359" TargetMode="External"/><Relationship Id="rId865" Type="http://schemas.openxmlformats.org/officeDocument/2006/relationships/hyperlink" Target="https://www.google.com/search?q=KASHIWAZAKI+KARIWA-1+nuclear+power+plant+in+JAPAN" TargetMode="External"/><Relationship Id="rId483" Type="http://schemas.openxmlformats.org/officeDocument/2006/relationships/hyperlink" Target="http://maps.google.com/?q=45.4044,4.75528&amp;t=k" TargetMode="External"/><Relationship Id="rId484" Type="http://schemas.openxmlformats.org/officeDocument/2006/relationships/hyperlink" Target="https://www.google.com/search?q=CHOOZ-A+(ARDENNES)+nuclear+power+plant+in+FRANCE" TargetMode="External"/><Relationship Id="rId481" Type="http://schemas.openxmlformats.org/officeDocument/2006/relationships/hyperlink" Target="https://www.google.com/search?q=ST.+ALBAN-2+nuclear+power+plant+in+FRANCE" TargetMode="External"/><Relationship Id="rId482" Type="http://schemas.openxmlformats.org/officeDocument/2006/relationships/hyperlink" Target="http://www.iaea.org/PRIS/CountryStatistics/ReactorDetails.aspx?current=205" TargetMode="External"/><Relationship Id="rId487" Type="http://schemas.openxmlformats.org/officeDocument/2006/relationships/hyperlink" Target="https://www.google.com/search?q=CATTENOM-1+nuclear+power+plant+in+FRANCE" TargetMode="External"/><Relationship Id="rId488" Type="http://schemas.openxmlformats.org/officeDocument/2006/relationships/hyperlink" Target="http://www.iaea.org/PRIS/CountryStatistics/ReactorDetails.aspx?current=207" TargetMode="External"/><Relationship Id="rId485" Type="http://schemas.openxmlformats.org/officeDocument/2006/relationships/hyperlink" Target="http://www.iaea.org/PRIS/CountryStatistics/ReactorDetails.aspx?current=206" TargetMode="External"/><Relationship Id="rId486" Type="http://schemas.openxmlformats.org/officeDocument/2006/relationships/hyperlink" Target="http://maps.google.com/?q=50.09,4.78944&amp;t=k" TargetMode="External"/><Relationship Id="rId489" Type="http://schemas.openxmlformats.org/officeDocument/2006/relationships/hyperlink" Target="http://maps.google.com/?q=49.4158,6.21806&amp;t=k" TargetMode="External"/><Relationship Id="rId1661" Type="http://schemas.openxmlformats.org/officeDocument/2006/relationships/hyperlink" Target="http://www.iaea.org/PRIS/CountryStatistics/ReactorDetails.aspx?current=719" TargetMode="External"/><Relationship Id="rId1660" Type="http://schemas.openxmlformats.org/officeDocument/2006/relationships/hyperlink" Target="https://www.google.com/search?q=VOGTLE-2+nuclear+power+plant+in+UNITED+STATES" TargetMode="External"/><Relationship Id="rId1663" Type="http://schemas.openxmlformats.org/officeDocument/2006/relationships/hyperlink" Target="https://www.google.com/search?q=PERRY-1+nuclear+power+plant+in+UNITED+STATES" TargetMode="External"/><Relationship Id="rId1662" Type="http://schemas.openxmlformats.org/officeDocument/2006/relationships/hyperlink" Target="http://maps.google.com/?q=33.1433,-81.7606&amp;t=k" TargetMode="External"/><Relationship Id="rId1664" Type="http://schemas.openxmlformats.org/officeDocument/2006/relationships/hyperlink" Target="http://www.iaea.org/PRIS/CountryStatistics/ReactorDetails.aspx?current=725" TargetMode="External"/><Relationship Id="rId1665" Type="http://schemas.openxmlformats.org/officeDocument/2006/relationships/hyperlink" Target="http://maps.google.com/?q=41.8008,-81.1433&amp;t=k" TargetMode="External"/><Relationship Id="rId1666" Type="http://schemas.openxmlformats.org/officeDocument/2006/relationships/hyperlink" Target="https://www.google.com/search?q=SEABROOK-1+nuclear+power+plant+in+UNITED+STATES" TargetMode="External"/><Relationship Id="rId1667" Type="http://schemas.openxmlformats.org/officeDocument/2006/relationships/hyperlink" Target="http://www.iaea.org/PRIS/CountryStatistics/ReactorDetails.aspx?current=727" TargetMode="External"/><Relationship Id="rId1668" Type="http://schemas.openxmlformats.org/officeDocument/2006/relationships/hyperlink" Target="http://maps.google.com/?q=42.8989,-70.8508&amp;t=k" TargetMode="External"/><Relationship Id="rId873" Type="http://schemas.openxmlformats.org/officeDocument/2006/relationships/hyperlink" Target="http://maps.google.com/?q=37.3164,141.026&amp;t=k" TargetMode="External"/><Relationship Id="rId1669" Type="http://schemas.openxmlformats.org/officeDocument/2006/relationships/hyperlink" Target="https://www.google.com/search?q=COMANCHE+PEAK-1+nuclear+power+plant+in+UNITED+STATES" TargetMode="External"/><Relationship Id="rId872" Type="http://schemas.openxmlformats.org/officeDocument/2006/relationships/hyperlink" Target="http://www.iaea.org/PRIS/CountryStatistics/ReactorDetails.aspx?current=361" TargetMode="External"/><Relationship Id="rId871" Type="http://schemas.openxmlformats.org/officeDocument/2006/relationships/hyperlink" Target="https://www.google.com/search?q=FUKUSHIMA-DAINI-3+nuclear+power+plant+in+JAPAN" TargetMode="External"/><Relationship Id="rId870" Type="http://schemas.openxmlformats.org/officeDocument/2006/relationships/hyperlink" Target="http://maps.google.com/?q=35.7519,136.019&amp;t=k" TargetMode="External"/><Relationship Id="rId877" Type="http://schemas.openxmlformats.org/officeDocument/2006/relationships/hyperlink" Target="https://www.google.com/search?q=SENDAI-2+nuclear+power+plant+in+JAPAN" TargetMode="External"/><Relationship Id="rId876" Type="http://schemas.openxmlformats.org/officeDocument/2006/relationships/hyperlink" Target="http://maps.google.com/?q=34.6236,138.143&amp;t=k" TargetMode="External"/><Relationship Id="rId875" Type="http://schemas.openxmlformats.org/officeDocument/2006/relationships/hyperlink" Target="http://www.iaea.org/PRIS/CountryStatistics/ReactorDetails.aspx?current=362" TargetMode="External"/><Relationship Id="rId874" Type="http://schemas.openxmlformats.org/officeDocument/2006/relationships/hyperlink" Target="https://www.google.com/search?q=HAMAOKA-3+nuclear+power+plant+in+JAPAN" TargetMode="External"/><Relationship Id="rId491" Type="http://schemas.openxmlformats.org/officeDocument/2006/relationships/hyperlink" Target="http://www.iaea.org/PRIS/CountryStatistics/ReactorDetails.aspx?current=208" TargetMode="External"/><Relationship Id="rId490" Type="http://schemas.openxmlformats.org/officeDocument/2006/relationships/hyperlink" Target="https://www.google.com/search?q=GRAVELINES-5+nuclear+power+plant+in+FRANCE" TargetMode="External"/><Relationship Id="rId879" Type="http://schemas.openxmlformats.org/officeDocument/2006/relationships/hyperlink" Target="http://maps.google.com/?q=31.8336,130.19&amp;t=k" TargetMode="External"/><Relationship Id="rId878" Type="http://schemas.openxmlformats.org/officeDocument/2006/relationships/hyperlink" Target="http://www.iaea.org/PRIS/CountryStatistics/ReactorDetails.aspx?current=363" TargetMode="External"/><Relationship Id="rId470" Type="http://schemas.openxmlformats.org/officeDocument/2006/relationships/hyperlink" Target="http://www.iaea.org/PRIS/CountryStatistics/ReactorDetails.aspx?current=201" TargetMode="External"/><Relationship Id="rId471" Type="http://schemas.openxmlformats.org/officeDocument/2006/relationships/hyperlink" Target="http://maps.google.com/?q=44.6331,4.75667&amp;t=k" TargetMode="External"/><Relationship Id="rId472" Type="http://schemas.openxmlformats.org/officeDocument/2006/relationships/hyperlink" Target="https://www.google.com/search?q=FLAMANVILLE-1+nuclear+power+plant+in+FRANCE" TargetMode="External"/><Relationship Id="rId473" Type="http://schemas.openxmlformats.org/officeDocument/2006/relationships/hyperlink" Target="http://www.iaea.org/PRIS/CountryStatistics/ReactorDetails.aspx?current=202" TargetMode="External"/><Relationship Id="rId474" Type="http://schemas.openxmlformats.org/officeDocument/2006/relationships/hyperlink" Target="http://maps.google.com/?q=49.5364,-1.88167&amp;t=k" TargetMode="External"/><Relationship Id="rId475" Type="http://schemas.openxmlformats.org/officeDocument/2006/relationships/hyperlink" Target="https://www.google.com/search?q=FLAMANVILLE-2+nuclear+power+plant+in+FRANCE" TargetMode="External"/><Relationship Id="rId476" Type="http://schemas.openxmlformats.org/officeDocument/2006/relationships/hyperlink" Target="http://www.iaea.org/PRIS/CountryStatistics/ReactorDetails.aspx?current=203" TargetMode="External"/><Relationship Id="rId477" Type="http://schemas.openxmlformats.org/officeDocument/2006/relationships/hyperlink" Target="http://maps.google.com/?q=49.5364,-1.88167&amp;t=k" TargetMode="External"/><Relationship Id="rId1670" Type="http://schemas.openxmlformats.org/officeDocument/2006/relationships/hyperlink" Target="http://www.iaea.org/PRIS/CountryStatistics/ReactorDetails.aspx?current=729" TargetMode="External"/><Relationship Id="rId478" Type="http://schemas.openxmlformats.org/officeDocument/2006/relationships/hyperlink" Target="https://www.google.com/search?q=ST.+ALBAN-1+nuclear+power+plant+in+FRANCE" TargetMode="External"/><Relationship Id="rId479" Type="http://schemas.openxmlformats.org/officeDocument/2006/relationships/hyperlink" Target="http://www.iaea.org/PRIS/CountryStatistics/ReactorDetails.aspx?current=204" TargetMode="External"/><Relationship Id="rId1674" Type="http://schemas.openxmlformats.org/officeDocument/2006/relationships/hyperlink" Target="http://maps.google.com/?q=32.2983,-97.785&amp;t=k" TargetMode="External"/><Relationship Id="rId1673" Type="http://schemas.openxmlformats.org/officeDocument/2006/relationships/hyperlink" Target="http://www.iaea.org/PRIS/CountryStatistics/ReactorDetails.aspx?current=730" TargetMode="External"/><Relationship Id="rId1672" Type="http://schemas.openxmlformats.org/officeDocument/2006/relationships/hyperlink" Target="https://www.google.com/search?q=COMANCHE+PEAK-2+nuclear+power+plant+in+UNITED+STATES" TargetMode="External"/><Relationship Id="rId1671" Type="http://schemas.openxmlformats.org/officeDocument/2006/relationships/hyperlink" Target="http://maps.google.com/?q=32.2983,-97.785&amp;t=k" TargetMode="External"/><Relationship Id="rId1677" Type="http://schemas.openxmlformats.org/officeDocument/2006/relationships/hyperlink" Target="http://maps.google.com/?q=42.0742,-89.2819&amp;t=k" TargetMode="External"/><Relationship Id="rId1678" Type="http://schemas.openxmlformats.org/officeDocument/2006/relationships/hyperlink" Target="https://www.google.com/search?q=BYRON-2+nuclear+power+plant+in+UNITED+STATES" TargetMode="External"/><Relationship Id="rId1675" Type="http://schemas.openxmlformats.org/officeDocument/2006/relationships/hyperlink" Target="https://www.google.com/search?q=BYRON-1+nuclear+power+plant+in+UNITED+STATES" TargetMode="External"/><Relationship Id="rId880" Type="http://schemas.openxmlformats.org/officeDocument/2006/relationships/hyperlink" Target="https://www.google.com/search?q=FUKUSHIMA-DAINI-4+nuclear+power+plant+in+JAPAN" TargetMode="External"/><Relationship Id="rId1676" Type="http://schemas.openxmlformats.org/officeDocument/2006/relationships/hyperlink" Target="http://www.iaea.org/PRIS/CountryStatistics/ReactorDetails.aspx?current=735" TargetMode="External"/><Relationship Id="rId882" Type="http://schemas.openxmlformats.org/officeDocument/2006/relationships/hyperlink" Target="http://maps.google.com/?q=37.3164,141.026&amp;t=k" TargetMode="External"/><Relationship Id="rId881" Type="http://schemas.openxmlformats.org/officeDocument/2006/relationships/hyperlink" Target="http://www.iaea.org/PRIS/CountryStatistics/ReactorDetails.aspx?current=364" TargetMode="External"/><Relationship Id="rId1679" Type="http://schemas.openxmlformats.org/officeDocument/2006/relationships/hyperlink" Target="http://www.iaea.org/PRIS/CountryStatistics/ReactorDetails.aspx?current=736" TargetMode="External"/><Relationship Id="rId884" Type="http://schemas.openxmlformats.org/officeDocument/2006/relationships/hyperlink" Target="http://www.iaea.org/PRIS/CountryStatistics/ReactorDetails.aspx?current=365" TargetMode="External"/><Relationship Id="rId883" Type="http://schemas.openxmlformats.org/officeDocument/2006/relationships/hyperlink" Target="https://www.google.com/search?q=KASHIWAZAKI+KARIWA-2+nuclear+power+plant+in+JAPAN" TargetMode="External"/><Relationship Id="rId886" Type="http://schemas.openxmlformats.org/officeDocument/2006/relationships/hyperlink" Target="https://www.google.com/search?q=MIHAMA-1+nuclear+power+plant+in+JAPAN" TargetMode="External"/><Relationship Id="rId885" Type="http://schemas.openxmlformats.org/officeDocument/2006/relationships/hyperlink" Target="http://maps.google.com/?q=37.4283,138.602&amp;t=k" TargetMode="External"/><Relationship Id="rId888" Type="http://schemas.openxmlformats.org/officeDocument/2006/relationships/hyperlink" Target="http://maps.google.com/?q=35.7035,135.964&amp;t=k" TargetMode="External"/><Relationship Id="rId887" Type="http://schemas.openxmlformats.org/officeDocument/2006/relationships/hyperlink" Target="http://www.iaea.org/PRIS/CountryStatistics/ReactorDetails.aspx?current=366" TargetMode="External"/><Relationship Id="rId889" Type="http://schemas.openxmlformats.org/officeDocument/2006/relationships/hyperlink" Target="https://www.google.com/search?q=KASHIWAZAKI+KARIWA-5+nuclear+power+plant+in+JAPAN" TargetMode="External"/><Relationship Id="rId480" Type="http://schemas.openxmlformats.org/officeDocument/2006/relationships/hyperlink" Target="http://maps.google.com/?q=45.4044,4.75528&amp;t=k" TargetMode="External"/><Relationship Id="rId896" Type="http://schemas.openxmlformats.org/officeDocument/2006/relationships/hyperlink" Target="http://www.iaea.org/PRIS/CountryStatistics/ReactorDetails.aspx?current=370" TargetMode="External"/><Relationship Id="rId897" Type="http://schemas.openxmlformats.org/officeDocument/2006/relationships/hyperlink" Target="http://maps.google.com/?q=43.0361,140.512&amp;t=k" TargetMode="External"/><Relationship Id="rId898" Type="http://schemas.openxmlformats.org/officeDocument/2006/relationships/hyperlink" Target="https://www.google.com/search?q=TOMARI-2+nuclear+power+plant+in+JAPAN" TargetMode="External"/><Relationship Id="rId899" Type="http://schemas.openxmlformats.org/officeDocument/2006/relationships/hyperlink" Target="http://www.iaea.org/PRIS/CountryStatistics/ReactorDetails.aspx?current=371" TargetMode="External"/><Relationship Id="rId892" Type="http://schemas.openxmlformats.org/officeDocument/2006/relationships/hyperlink" Target="https://www.google.com/search?q=SHIMANE-2+nuclear+power+plant+in+JAPAN" TargetMode="External"/><Relationship Id="rId893" Type="http://schemas.openxmlformats.org/officeDocument/2006/relationships/hyperlink" Target="http://www.iaea.org/PRIS/CountryStatistics/ReactorDetails.aspx?current=368" TargetMode="External"/><Relationship Id="rId894" Type="http://schemas.openxmlformats.org/officeDocument/2006/relationships/hyperlink" Target="http://maps.google.com/?q=35.5383,132.999&amp;t=k" TargetMode="External"/><Relationship Id="rId895" Type="http://schemas.openxmlformats.org/officeDocument/2006/relationships/hyperlink" Target="https://www.google.com/search?q=TOMARI-1+nuclear+power+plant+in+JAPAN" TargetMode="External"/><Relationship Id="rId890" Type="http://schemas.openxmlformats.org/officeDocument/2006/relationships/hyperlink" Target="http://www.iaea.org/PRIS/CountryStatistics/ReactorDetails.aspx?current=367" TargetMode="External"/><Relationship Id="rId891" Type="http://schemas.openxmlformats.org/officeDocument/2006/relationships/hyperlink" Target="http://maps.google.com/?q=37.4283,138.602&amp;t=k" TargetMode="External"/><Relationship Id="rId409" Type="http://schemas.openxmlformats.org/officeDocument/2006/relationships/hyperlink" Target="https://www.google.com/search?q=GRAVELINES-3+nuclear+power+plant+in+FRANCE" TargetMode="External"/><Relationship Id="rId400" Type="http://schemas.openxmlformats.org/officeDocument/2006/relationships/hyperlink" Target="https://www.google.com/search?q=SUPER-PHENIX+nuclear+power+plant+in+FRANCE" TargetMode="External"/><Relationship Id="rId401" Type="http://schemas.openxmlformats.org/officeDocument/2006/relationships/hyperlink" Target="http://www.iaea.org/PRIS/CountryStatistics/ReactorDetails.aspx?current=178" TargetMode="External"/><Relationship Id="rId402" Type="http://schemas.openxmlformats.org/officeDocument/2006/relationships/hyperlink" Target="http://maps.google.com/?q=45.7583,5.47222&amp;t=k" TargetMode="External"/><Relationship Id="rId403" Type="http://schemas.openxmlformats.org/officeDocument/2006/relationships/hyperlink" Target="https://www.google.com/search?q=TRICASTIN-3+nuclear+power+plant+in+FRANCE" TargetMode="External"/><Relationship Id="rId404" Type="http://schemas.openxmlformats.org/officeDocument/2006/relationships/hyperlink" Target="http://www.iaea.org/PRIS/CountryStatistics/ReactorDetails.aspx?current=179" TargetMode="External"/><Relationship Id="rId405" Type="http://schemas.openxmlformats.org/officeDocument/2006/relationships/hyperlink" Target="http://maps.google.com/?q=44.3297,4.73222&amp;t=k" TargetMode="External"/><Relationship Id="rId406" Type="http://schemas.openxmlformats.org/officeDocument/2006/relationships/hyperlink" Target="https://www.google.com/search?q=TRICASTIN-4+nuclear+power+plant+in+FRANCE" TargetMode="External"/><Relationship Id="rId407" Type="http://schemas.openxmlformats.org/officeDocument/2006/relationships/hyperlink" Target="http://www.iaea.org/PRIS/CountryStatistics/ReactorDetails.aspx?current=180" TargetMode="External"/><Relationship Id="rId408" Type="http://schemas.openxmlformats.org/officeDocument/2006/relationships/hyperlink" Target="http://maps.google.com/?q=44.3297,4.73222&amp;t=k" TargetMode="External"/><Relationship Id="rId1299" Type="http://schemas.openxmlformats.org/officeDocument/2006/relationships/hyperlink" Target="http://maps.google.com/?q=51.3897,30.0992&amp;t=k" TargetMode="External"/><Relationship Id="rId1298" Type="http://schemas.openxmlformats.org/officeDocument/2006/relationships/hyperlink" Target="http://www.iaea.org/PRIS/CountryStatistics/ReactorDetails.aspx?current=576" TargetMode="External"/><Relationship Id="rId1297" Type="http://schemas.openxmlformats.org/officeDocument/2006/relationships/hyperlink" Target="https://www.google.com/search?q=CHERNOBYL-4+nuclear+power+plant+in+UKRAINE" TargetMode="External"/><Relationship Id="rId1296" Type="http://schemas.openxmlformats.org/officeDocument/2006/relationships/hyperlink" Target="http://maps.google.com/?q=51.3897,30.0992&amp;t=k" TargetMode="External"/><Relationship Id="rId1295" Type="http://schemas.openxmlformats.org/officeDocument/2006/relationships/hyperlink" Target="http://www.iaea.org/PRIS/CountryStatistics/ReactorDetails.aspx?current=575" TargetMode="External"/><Relationship Id="rId1294" Type="http://schemas.openxmlformats.org/officeDocument/2006/relationships/hyperlink" Target="https://www.google.com/search?q=CHERNOBYL-3+nuclear+power+plant+in+UKRAINE" TargetMode="External"/><Relationship Id="rId1293" Type="http://schemas.openxmlformats.org/officeDocument/2006/relationships/hyperlink" Target="http://maps.google.com/?q=50.3014,26.6498&amp;t=k" TargetMode="External"/><Relationship Id="rId1292" Type="http://schemas.openxmlformats.org/officeDocument/2006/relationships/hyperlink" Target="http://www.iaea.org/PRIS/CountryStatistics/ReactorDetails.aspx?current=574" TargetMode="External"/><Relationship Id="rId1291" Type="http://schemas.openxmlformats.org/officeDocument/2006/relationships/hyperlink" Target="https://www.google.com/search?q=KHMELNITSKI-2+nuclear+power+plant+in+UKRAINE" TargetMode="External"/><Relationship Id="rId1290" Type="http://schemas.openxmlformats.org/officeDocument/2006/relationships/hyperlink" Target="http://maps.google.com/?q=50.3014,26.6498&amp;t=k" TargetMode="External"/><Relationship Id="rId1287" Type="http://schemas.openxmlformats.org/officeDocument/2006/relationships/hyperlink" Target="http://maps.google.com/?q=51.3278,25.8917&amp;t=k" TargetMode="External"/><Relationship Id="rId1286" Type="http://schemas.openxmlformats.org/officeDocument/2006/relationships/hyperlink" Target="http://www.iaea.org/PRIS/CountryStatistics/ReactorDetails.aspx?current=572" TargetMode="External"/><Relationship Id="rId1289" Type="http://schemas.openxmlformats.org/officeDocument/2006/relationships/hyperlink" Target="http://www.iaea.org/PRIS/CountryStatistics/ReactorDetails.aspx?current=573" TargetMode="External"/><Relationship Id="rId1288" Type="http://schemas.openxmlformats.org/officeDocument/2006/relationships/hyperlink" Target="https://www.google.com/search?q=KHMELNITSKI-1+nuclear+power+plant+in+UKRAINE" TargetMode="External"/><Relationship Id="rId1283" Type="http://schemas.openxmlformats.org/officeDocument/2006/relationships/hyperlink" Target="http://www.iaea.org/PRIS/CountryStatistics/ReactorDetails.aspx?current=571" TargetMode="External"/><Relationship Id="rId1282" Type="http://schemas.openxmlformats.org/officeDocument/2006/relationships/hyperlink" Target="https://www.google.com/search?q=ROVNO-2+nuclear+power+plant+in+UKRAINE" TargetMode="External"/><Relationship Id="rId1285" Type="http://schemas.openxmlformats.org/officeDocument/2006/relationships/hyperlink" Target="https://www.google.com/search?q=ROVNO-3+nuclear+power+plant+in+UKRAINE" TargetMode="External"/><Relationship Id="rId1284" Type="http://schemas.openxmlformats.org/officeDocument/2006/relationships/hyperlink" Target="http://maps.google.com/?q=51.3278,25.8917&amp;t=k" TargetMode="External"/><Relationship Id="rId1281" Type="http://schemas.openxmlformats.org/officeDocument/2006/relationships/hyperlink" Target="http://maps.google.com/?q=51.3278,25.8917&amp;t=k" TargetMode="External"/><Relationship Id="rId1280" Type="http://schemas.openxmlformats.org/officeDocument/2006/relationships/hyperlink" Target="http://www.iaea.org/PRIS/CountryStatistics/ReactorDetails.aspx?current=570" TargetMode="External"/><Relationship Id="rId1279" Type="http://schemas.openxmlformats.org/officeDocument/2006/relationships/hyperlink" Target="https://www.google.com/search?q=ROVNO-1+nuclear+power+plant+in+UKRAINE" TargetMode="External"/><Relationship Id="rId1270" Type="http://schemas.openxmlformats.org/officeDocument/2006/relationships/hyperlink" Target="https://www.google.com/search?q=ZAPOROZHYE-6+nuclear+power+plant+in+UKRAINE" TargetMode="External"/><Relationship Id="rId1273" Type="http://schemas.openxmlformats.org/officeDocument/2006/relationships/hyperlink" Target="https://www.google.com/search?q=CHERNOBYL-1+nuclear+power+plant+in+UKRAINE" TargetMode="External"/><Relationship Id="rId1274" Type="http://schemas.openxmlformats.org/officeDocument/2006/relationships/hyperlink" Target="http://www.iaea.org/PRIS/CountryStatistics/ReactorDetails.aspx?current=568" TargetMode="External"/><Relationship Id="rId1271" Type="http://schemas.openxmlformats.org/officeDocument/2006/relationships/hyperlink" Target="http://www.iaea.org/PRIS/CountryStatistics/ReactorDetails.aspx?current=567" TargetMode="External"/><Relationship Id="rId1272" Type="http://schemas.openxmlformats.org/officeDocument/2006/relationships/hyperlink" Target="http://maps.google.com/?q=47.5122,34.5858&amp;t=k" TargetMode="External"/><Relationship Id="rId1277" Type="http://schemas.openxmlformats.org/officeDocument/2006/relationships/hyperlink" Target="http://www.iaea.org/PRIS/CountryStatistics/ReactorDetails.aspx?current=569" TargetMode="External"/><Relationship Id="rId1278" Type="http://schemas.openxmlformats.org/officeDocument/2006/relationships/hyperlink" Target="http://maps.google.com/?q=51.3,30.005&amp;t=k" TargetMode="External"/><Relationship Id="rId1275" Type="http://schemas.openxmlformats.org/officeDocument/2006/relationships/hyperlink" Target="http://maps.google.com/?q=51.3896,30.0991&amp;t=k" TargetMode="External"/><Relationship Id="rId1276" Type="http://schemas.openxmlformats.org/officeDocument/2006/relationships/hyperlink" Target="https://www.google.com/search?q=CHERNOBYL-2+nuclear+power+plant+in+UKRAINE" TargetMode="External"/><Relationship Id="rId1269" Type="http://schemas.openxmlformats.org/officeDocument/2006/relationships/hyperlink" Target="http://maps.google.com/?q=47.5122,34.5858&amp;t=k" TargetMode="External"/><Relationship Id="rId1268" Type="http://schemas.openxmlformats.org/officeDocument/2006/relationships/hyperlink" Target="http://www.iaea.org/PRIS/CountryStatistics/ReactorDetails.aspx?current=566" TargetMode="External"/><Relationship Id="rId1260" Type="http://schemas.openxmlformats.org/officeDocument/2006/relationships/hyperlink" Target="http://maps.google.com/?q=21.9583,120.751&amp;t=k" TargetMode="External"/><Relationship Id="rId1261" Type="http://schemas.openxmlformats.org/officeDocument/2006/relationships/hyperlink" Target="https://www.google.com/search?q=LUNGMEN+1+nuclear+power+plant+in+TAIWAN" TargetMode="External"/><Relationship Id="rId1262" Type="http://schemas.openxmlformats.org/officeDocument/2006/relationships/hyperlink" Target="http://www.iaea.org/PRIS/CountryStatistics/ReactorDetails.aspx?current=560" TargetMode="External"/><Relationship Id="rId1263" Type="http://schemas.openxmlformats.org/officeDocument/2006/relationships/hyperlink" Target="http://maps.google.com/?q=25.0386,121.924&amp;t=k" TargetMode="External"/><Relationship Id="rId1264" Type="http://schemas.openxmlformats.org/officeDocument/2006/relationships/hyperlink" Target="https://www.google.com/search?q=LUNGMEN+2+nuclear+power+plant+in+TAIWAN" TargetMode="External"/><Relationship Id="rId1265" Type="http://schemas.openxmlformats.org/officeDocument/2006/relationships/hyperlink" Target="http://www.iaea.org/PRIS/CountryStatistics/ReactorDetails.aspx?current=561" TargetMode="External"/><Relationship Id="rId1266" Type="http://schemas.openxmlformats.org/officeDocument/2006/relationships/hyperlink" Target="http://maps.google.com/?q=25.0386,121.924&amp;t=k" TargetMode="External"/><Relationship Id="rId1267" Type="http://schemas.openxmlformats.org/officeDocument/2006/relationships/hyperlink" Target="https://www.google.com/search?q=ZAPOROZHYE-5+nuclear+power+plant+in+UKRAINE" TargetMode="External"/><Relationship Id="rId1259" Type="http://schemas.openxmlformats.org/officeDocument/2006/relationships/hyperlink" Target="http://www.iaea.org/PRIS/CountryStatistics/ReactorDetails.aspx?current=559" TargetMode="External"/><Relationship Id="rId1258" Type="http://schemas.openxmlformats.org/officeDocument/2006/relationships/hyperlink" Target="https://www.google.com/search?q=MAANSHAN-2+nuclear+power+plant+in+TAIWAN" TargetMode="External"/><Relationship Id="rId1257" Type="http://schemas.openxmlformats.org/officeDocument/2006/relationships/hyperlink" Target="http://maps.google.com/?q=21.9583,120.751&amp;t=k" TargetMode="External"/><Relationship Id="rId1255" Type="http://schemas.openxmlformats.org/officeDocument/2006/relationships/hyperlink" Target="https://www.google.com/search?q=MAANSHAN-1+nuclear+power+plant+in+TAIWAN" TargetMode="External"/><Relationship Id="rId1256" Type="http://schemas.openxmlformats.org/officeDocument/2006/relationships/hyperlink" Target="http://www.iaea.org/PRIS/CountryStatistics/ReactorDetails.aspx?current=558" TargetMode="External"/><Relationship Id="rId1253" Type="http://schemas.openxmlformats.org/officeDocument/2006/relationships/hyperlink" Target="http://www.iaea.org/PRIS/CountryStatistics/ReactorDetails.aspx?current=557" TargetMode="External"/><Relationship Id="rId1254" Type="http://schemas.openxmlformats.org/officeDocument/2006/relationships/hyperlink" Target="http://maps.google.com/?q=25.2028,121.662&amp;t=k" TargetMode="External"/><Relationship Id="rId1251" Type="http://schemas.openxmlformats.org/officeDocument/2006/relationships/hyperlink" Target="http://maps.google.com/?q=25.2028,121.662&amp;t=k" TargetMode="External"/><Relationship Id="rId1252" Type="http://schemas.openxmlformats.org/officeDocument/2006/relationships/hyperlink" Target="https://www.google.com/search?q=KUOSHENG-2+nuclear+power+plant+in+TAIWAN" TargetMode="External"/><Relationship Id="rId1250" Type="http://schemas.openxmlformats.org/officeDocument/2006/relationships/hyperlink" Target="http://www.iaea.org/PRIS/CountryStatistics/ReactorDetails.aspx?current=556" TargetMode="External"/><Relationship Id="rId1247" Type="http://schemas.openxmlformats.org/officeDocument/2006/relationships/hyperlink" Target="http://www.iaea.org/PRIS/CountryStatistics/ReactorDetails.aspx?current=555" TargetMode="External"/><Relationship Id="rId1246" Type="http://schemas.openxmlformats.org/officeDocument/2006/relationships/hyperlink" Target="https://www.google.com/search?q=CHINSHAN-2+nuclear+power+plant+in+TAIWAN" TargetMode="External"/><Relationship Id="rId1249" Type="http://schemas.openxmlformats.org/officeDocument/2006/relationships/hyperlink" Target="https://www.google.com/search?q=KUOSHENG-1+nuclear+power+plant+in+TAIWAN" TargetMode="External"/><Relationship Id="rId1248" Type="http://schemas.openxmlformats.org/officeDocument/2006/relationships/hyperlink" Target="http://maps.google.com/?q=25.2858,121.586&amp;t=k" TargetMode="External"/><Relationship Id="rId1242" Type="http://schemas.openxmlformats.org/officeDocument/2006/relationships/hyperlink" Target="http://maps.google.com/?q=48.2639,18.4569&amp;t=k" TargetMode="External"/><Relationship Id="rId1243" Type="http://schemas.openxmlformats.org/officeDocument/2006/relationships/hyperlink" Target="https://www.google.com/search?q=CHINSHAN-1+nuclear+power+plant+in+TAIWAN" TargetMode="External"/><Relationship Id="rId1244" Type="http://schemas.openxmlformats.org/officeDocument/2006/relationships/hyperlink" Target="http://www.iaea.org/PRIS/CountryStatistics/ReactorDetails.aspx?current=554" TargetMode="External"/><Relationship Id="rId1245" Type="http://schemas.openxmlformats.org/officeDocument/2006/relationships/hyperlink" Target="http://maps.google.com/?q=25.2858,121.586&amp;t=k" TargetMode="External"/><Relationship Id="rId1240" Type="http://schemas.openxmlformats.org/officeDocument/2006/relationships/hyperlink" Target="https://www.google.com/search?q=MOCHOVCE-2+nuclear+power+plant+in+SLOVAKIA" TargetMode="External"/><Relationship Id="rId1241" Type="http://schemas.openxmlformats.org/officeDocument/2006/relationships/hyperlink" Target="http://www.iaea.org/PRIS/CountryStatistics/ReactorDetails.aspx?current=551" TargetMode="External"/><Relationship Id="rId1618" Type="http://schemas.openxmlformats.org/officeDocument/2006/relationships/hyperlink" Target="https://www.google.com/search?q=WATTS+BAR-1+nuclear+power+plant+in+UNITED+STATES" TargetMode="External"/><Relationship Id="rId1617" Type="http://schemas.openxmlformats.org/officeDocument/2006/relationships/hyperlink" Target="http://maps.google.com/?q=27.3486,-80.2464&amp;t=k" TargetMode="External"/><Relationship Id="rId1230" Type="http://schemas.openxmlformats.org/officeDocument/2006/relationships/hyperlink" Target="http://maps.google.com/?q=48.4944,17.6819&amp;t=k" TargetMode="External"/><Relationship Id="rId1619" Type="http://schemas.openxmlformats.org/officeDocument/2006/relationships/hyperlink" Target="http://www.iaea.org/PRIS/CountryStatistics/ReactorDetails.aspx?current=699" TargetMode="External"/><Relationship Id="rId1232" Type="http://schemas.openxmlformats.org/officeDocument/2006/relationships/hyperlink" Target="http://www.iaea.org/PRIS/CountryStatistics/ReactorDetails.aspx?current=548" TargetMode="External"/><Relationship Id="rId1231" Type="http://schemas.openxmlformats.org/officeDocument/2006/relationships/hyperlink" Target="https://www.google.com/search?q=BOHUNICE-1+nuclear+power+plant+in+SLOVAKIA" TargetMode="External"/><Relationship Id="rId1234" Type="http://schemas.openxmlformats.org/officeDocument/2006/relationships/hyperlink" Target="https://www.google.com/search?q=BOHUNICE-2+nuclear+power+plant+in+SLOVAKIA" TargetMode="External"/><Relationship Id="rId1233" Type="http://schemas.openxmlformats.org/officeDocument/2006/relationships/hyperlink" Target="http://maps.google.com/?q=48.4944,17.6819&amp;t=k" TargetMode="External"/><Relationship Id="rId1610" Type="http://schemas.openxmlformats.org/officeDocument/2006/relationships/hyperlink" Target="http://www.iaea.org/PRIS/CountryStatistics/ReactorDetails.aspx?current=696" TargetMode="External"/><Relationship Id="rId1612" Type="http://schemas.openxmlformats.org/officeDocument/2006/relationships/hyperlink" Target="https://www.google.com/search?q=SUSQUEHANNA-2+nuclear+power+plant+in+UNITED+STATES" TargetMode="External"/><Relationship Id="rId1611" Type="http://schemas.openxmlformats.org/officeDocument/2006/relationships/hyperlink" Target="http://maps.google.com/?q=41.0889,-76.1489&amp;t=k" TargetMode="External"/><Relationship Id="rId1614" Type="http://schemas.openxmlformats.org/officeDocument/2006/relationships/hyperlink" Target="http://maps.google.com/?q=41.0889,-76.1489&amp;t=k" TargetMode="External"/><Relationship Id="rId1613" Type="http://schemas.openxmlformats.org/officeDocument/2006/relationships/hyperlink" Target="http://www.iaea.org/PRIS/CountryStatistics/ReactorDetails.aspx?current=697" TargetMode="External"/><Relationship Id="rId1616" Type="http://schemas.openxmlformats.org/officeDocument/2006/relationships/hyperlink" Target="http://www.iaea.org/PRIS/CountryStatistics/ReactorDetails.aspx?current=698" TargetMode="External"/><Relationship Id="rId1615" Type="http://schemas.openxmlformats.org/officeDocument/2006/relationships/hyperlink" Target="https://www.google.com/search?q=ST.+LUCIE-2+nuclear+power+plant+in+UNITED+STATES" TargetMode="External"/><Relationship Id="rId495" Type="http://schemas.openxmlformats.org/officeDocument/2006/relationships/hyperlink" Target="http://maps.google.com/?q=51.0153,2.13611&amp;t=k" TargetMode="External"/><Relationship Id="rId1235" Type="http://schemas.openxmlformats.org/officeDocument/2006/relationships/hyperlink" Target="http://www.iaea.org/PRIS/CountryStatistics/ReactorDetails.aspx?current=549" TargetMode="External"/><Relationship Id="rId494" Type="http://schemas.openxmlformats.org/officeDocument/2006/relationships/hyperlink" Target="http://www.iaea.org/PRIS/CountryStatistics/ReactorDetails.aspx?current=209" TargetMode="External"/><Relationship Id="rId1236" Type="http://schemas.openxmlformats.org/officeDocument/2006/relationships/hyperlink" Target="http://maps.google.com/?q=48.4944,17.6819&amp;t=k" TargetMode="External"/><Relationship Id="rId493" Type="http://schemas.openxmlformats.org/officeDocument/2006/relationships/hyperlink" Target="https://www.google.com/search?q=GRAVELINES-6+nuclear+power+plant+in+FRANCE" TargetMode="External"/><Relationship Id="rId1237" Type="http://schemas.openxmlformats.org/officeDocument/2006/relationships/hyperlink" Target="https://www.google.com/search?q=MOCHOVCE-1+nuclear+power+plant+in+SLOVAKIA" TargetMode="External"/><Relationship Id="rId492" Type="http://schemas.openxmlformats.org/officeDocument/2006/relationships/hyperlink" Target="http://maps.google.com/?q=51.0153,2.13611&amp;t=k" TargetMode="External"/><Relationship Id="rId1238" Type="http://schemas.openxmlformats.org/officeDocument/2006/relationships/hyperlink" Target="http://www.iaea.org/PRIS/CountryStatistics/ReactorDetails.aspx?current=550" TargetMode="External"/><Relationship Id="rId499" Type="http://schemas.openxmlformats.org/officeDocument/2006/relationships/hyperlink" Target="https://www.google.com/search?q=BELLEVILLE-1+nuclear+power+plant+in+FRANCE" TargetMode="External"/><Relationship Id="rId1239" Type="http://schemas.openxmlformats.org/officeDocument/2006/relationships/hyperlink" Target="http://maps.google.com/?q=48.2639,18.4569&amp;t=k" TargetMode="External"/><Relationship Id="rId498" Type="http://schemas.openxmlformats.org/officeDocument/2006/relationships/hyperlink" Target="http://maps.google.com/?q=49.4158,6.21806&amp;t=k" TargetMode="External"/><Relationship Id="rId497" Type="http://schemas.openxmlformats.org/officeDocument/2006/relationships/hyperlink" Target="http://www.iaea.org/PRIS/CountryStatistics/ReactorDetails.aspx?current=210" TargetMode="External"/><Relationship Id="rId496" Type="http://schemas.openxmlformats.org/officeDocument/2006/relationships/hyperlink" Target="https://www.google.com/search?q=CATTENOM-2+nuclear+power+plant+in+FRANCE" TargetMode="External"/><Relationship Id="rId1609" Type="http://schemas.openxmlformats.org/officeDocument/2006/relationships/hyperlink" Target="https://www.google.com/search?q=SUSQUEHANNA-1+nuclear+power+plant+in+UNITED+STATES" TargetMode="External"/><Relationship Id="rId1608" Type="http://schemas.openxmlformats.org/officeDocument/2006/relationships/hyperlink" Target="http://maps.google.com/?q=29.9953,-90.4711&amp;t=k" TargetMode="External"/><Relationship Id="rId1607" Type="http://schemas.openxmlformats.org/officeDocument/2006/relationships/hyperlink" Target="http://www.iaea.org/PRIS/CountryStatistics/ReactorDetails.aspx?current=695" TargetMode="External"/><Relationship Id="rId1606" Type="http://schemas.openxmlformats.org/officeDocument/2006/relationships/hyperlink" Target="https://www.google.com/search?q=WATERFORD-3+nuclear+power+plant+in+UNITED+STATES" TargetMode="External"/><Relationship Id="rId1223" Type="http://schemas.openxmlformats.org/officeDocument/2006/relationships/hyperlink" Target="http://www.iaea.org/PRIS/CountryStatistics/ReactorDetails.aspx?current=545" TargetMode="External"/><Relationship Id="rId1222" Type="http://schemas.openxmlformats.org/officeDocument/2006/relationships/hyperlink" Target="https://www.google.com/search?q=MOCHOVCE-4+nuclear+power+plant+in+SLOVAKIA" TargetMode="External"/><Relationship Id="rId1221" Type="http://schemas.openxmlformats.org/officeDocument/2006/relationships/hyperlink" Target="http://maps.google.com/?q=48.2639,18.4569&amp;t=k" TargetMode="External"/><Relationship Id="rId1220" Type="http://schemas.openxmlformats.org/officeDocument/2006/relationships/hyperlink" Target="http://www.iaea.org/PRIS/CountryStatistics/ReactorDetails.aspx?current=544" TargetMode="External"/><Relationship Id="rId1601" Type="http://schemas.openxmlformats.org/officeDocument/2006/relationships/hyperlink" Target="http://www.iaea.org/PRIS/CountryStatistics/ReactorDetails.aspx?current=692" TargetMode="External"/><Relationship Id="rId1600" Type="http://schemas.openxmlformats.org/officeDocument/2006/relationships/hyperlink" Target="https://www.google.com/search?q=LASALLE-1+nuclear+power+plant+in+UNITED+STATES" TargetMode="External"/><Relationship Id="rId1605" Type="http://schemas.openxmlformats.org/officeDocument/2006/relationships/hyperlink" Target="http://maps.google.com/?q=41.2456,-88.6692&amp;t=k" TargetMode="External"/><Relationship Id="rId1604" Type="http://schemas.openxmlformats.org/officeDocument/2006/relationships/hyperlink" Target="http://www.iaea.org/PRIS/CountryStatistics/ReactorDetails.aspx?current=693" TargetMode="External"/><Relationship Id="rId1603" Type="http://schemas.openxmlformats.org/officeDocument/2006/relationships/hyperlink" Target="https://www.google.com/search?q=LASALLE-2+nuclear+power+plant+in+UNITED+STATES" TargetMode="External"/><Relationship Id="rId1602" Type="http://schemas.openxmlformats.org/officeDocument/2006/relationships/hyperlink" Target="http://maps.google.com/?q=41.2456,-88.6692&amp;t=k" TargetMode="External"/><Relationship Id="rId1226" Type="http://schemas.openxmlformats.org/officeDocument/2006/relationships/hyperlink" Target="http://www.iaea.org/PRIS/CountryStatistics/ReactorDetails.aspx?current=546" TargetMode="External"/><Relationship Id="rId1227" Type="http://schemas.openxmlformats.org/officeDocument/2006/relationships/hyperlink" Target="http://maps.google.com/?q=48.4944,17.6819&amp;t=k" TargetMode="External"/><Relationship Id="rId1224" Type="http://schemas.openxmlformats.org/officeDocument/2006/relationships/hyperlink" Target="http://maps.google.com/?q=48.2639,18.4569&amp;t=k" TargetMode="External"/><Relationship Id="rId1225" Type="http://schemas.openxmlformats.org/officeDocument/2006/relationships/hyperlink" Target="https://www.google.com/search?q=BOHUNICE-3+nuclear+power+plant+in+SLOVAKIA" TargetMode="External"/><Relationship Id="rId1228" Type="http://schemas.openxmlformats.org/officeDocument/2006/relationships/hyperlink" Target="https://www.google.com/search?q=BOHUNICE-4+nuclear+power+plant+in+SLOVAKIA" TargetMode="External"/><Relationship Id="rId1229" Type="http://schemas.openxmlformats.org/officeDocument/2006/relationships/hyperlink" Target="http://www.iaea.org/PRIS/CountryStatistics/ReactorDetails.aspx?current=547" TargetMode="External"/><Relationship Id="rId1210" Type="http://schemas.openxmlformats.org/officeDocument/2006/relationships/hyperlink" Target="https://www.google.com/search?q=FORSMARK-1+nuclear+power+plant+in+SWEDEN" TargetMode="External"/><Relationship Id="rId1212" Type="http://schemas.openxmlformats.org/officeDocument/2006/relationships/hyperlink" Target="http://maps.google.com/?q=60.4033,18.1667&amp;t=k" TargetMode="External"/><Relationship Id="rId1211" Type="http://schemas.openxmlformats.org/officeDocument/2006/relationships/hyperlink" Target="http://www.iaea.org/PRIS/CountryStatistics/ReactorDetails.aspx?current=541" TargetMode="External"/><Relationship Id="rId1639" Type="http://schemas.openxmlformats.org/officeDocument/2006/relationships/hyperlink" Target="https://www.google.com/search?q=NINE+MILE+POINT-2+nuclear+power+plant+in+UNITED+STATES" TargetMode="External"/><Relationship Id="rId1636" Type="http://schemas.openxmlformats.org/officeDocument/2006/relationships/hyperlink" Target="https://www.google.com/search?q=LACROSSE+nuclear+power+plant+in+UNITED+STATES" TargetMode="External"/><Relationship Id="rId1635" Type="http://schemas.openxmlformats.org/officeDocument/2006/relationships/hyperlink" Target="http://maps.google.com/?q=35.6333,-78.955&amp;t=k" TargetMode="External"/><Relationship Id="rId1638" Type="http://schemas.openxmlformats.org/officeDocument/2006/relationships/hyperlink" Target="http://maps.google.com/?q=43.5601,-91.2315&amp;t=k" TargetMode="External"/><Relationship Id="rId1637" Type="http://schemas.openxmlformats.org/officeDocument/2006/relationships/hyperlink" Target="http://www.iaea.org/PRIS/CountryStatistics/ReactorDetails.aspx?current=710" TargetMode="External"/><Relationship Id="rId1632" Type="http://schemas.openxmlformats.org/officeDocument/2006/relationships/hyperlink" Target="http://maps.google.com/?q=18.3664,-67.2686&amp;t=k" TargetMode="External"/><Relationship Id="rId1631" Type="http://schemas.openxmlformats.org/officeDocument/2006/relationships/hyperlink" Target="http://www.iaea.org/PRIS/CountryStatistics/ReactorDetails.aspx?current=703" TargetMode="External"/><Relationship Id="rId1634" Type="http://schemas.openxmlformats.org/officeDocument/2006/relationships/hyperlink" Target="http://www.iaea.org/PRIS/CountryStatistics/ReactorDetails.aspx?current=704" TargetMode="External"/><Relationship Id="rId1633" Type="http://schemas.openxmlformats.org/officeDocument/2006/relationships/hyperlink" Target="https://www.google.com/search?q=HARRIS-1+nuclear+power+plant+in+UNITED+STATES" TargetMode="External"/><Relationship Id="rId1630" Type="http://schemas.openxmlformats.org/officeDocument/2006/relationships/hyperlink" Target="https://www.google.com/search?q=BONUS+nuclear+power+plant+in+UNITED+STATES" TargetMode="External"/><Relationship Id="rId1217" Type="http://schemas.openxmlformats.org/officeDocument/2006/relationships/hyperlink" Target="http://www.iaea.org/PRIS/CountryStatistics/ReactorDetails.aspx?current=543" TargetMode="External"/><Relationship Id="rId1218" Type="http://schemas.openxmlformats.org/officeDocument/2006/relationships/hyperlink" Target="http://maps.google.com/?q=48.4944,17.6819&amp;t=k" TargetMode="External"/><Relationship Id="rId1219" Type="http://schemas.openxmlformats.org/officeDocument/2006/relationships/hyperlink" Target="https://www.google.com/search?q=MOCHOVCE-3+nuclear+power+plant+in+SLOVAKIA" TargetMode="External"/><Relationship Id="rId1213" Type="http://schemas.openxmlformats.org/officeDocument/2006/relationships/hyperlink" Target="https://www.google.com/search?q=KRSKO+nuclear+power+plant+in+SLOVENIA" TargetMode="External"/><Relationship Id="rId1214" Type="http://schemas.openxmlformats.org/officeDocument/2006/relationships/hyperlink" Target="http://www.iaea.org/PRIS/CountryStatistics/ReactorDetails.aspx?current=542" TargetMode="External"/><Relationship Id="rId1215" Type="http://schemas.openxmlformats.org/officeDocument/2006/relationships/hyperlink" Target="http://maps.google.com/?q=45.9383,15.5156&amp;t=k" TargetMode="External"/><Relationship Id="rId1216" Type="http://schemas.openxmlformats.org/officeDocument/2006/relationships/hyperlink" Target="https://www.google.com/search?q=BOHUNICE+A1+nuclear+power+plant+in+SLOVAKIA" TargetMode="External"/><Relationship Id="rId1201" Type="http://schemas.openxmlformats.org/officeDocument/2006/relationships/hyperlink" Target="https://www.google.com/search?q=BARSEBACK-1+nuclear+power+plant+in+SWEDEN" TargetMode="External"/><Relationship Id="rId1200" Type="http://schemas.openxmlformats.org/officeDocument/2006/relationships/hyperlink" Target="http://maps.google.com/?q=57.2597,12.1108&amp;t=k" TargetMode="External"/><Relationship Id="rId1629" Type="http://schemas.openxmlformats.org/officeDocument/2006/relationships/hyperlink" Target="http://maps.google.com/?q=46.4711,-119.334&amp;t=k" TargetMode="External"/><Relationship Id="rId1628" Type="http://schemas.openxmlformats.org/officeDocument/2006/relationships/hyperlink" Target="http://www.iaea.org/PRIS/CountryStatistics/ReactorDetails.aspx?current=702" TargetMode="External"/><Relationship Id="rId1627" Type="http://schemas.openxmlformats.org/officeDocument/2006/relationships/hyperlink" Target="https://www.google.com/search?q=COLUMBIA+nuclear+power+plant+in+UNITED+STATES" TargetMode="External"/><Relationship Id="rId1626" Type="http://schemas.openxmlformats.org/officeDocument/2006/relationships/hyperlink" Target="http://maps.google.com/?q=34.2986,-81.3147&amp;t=k" TargetMode="External"/><Relationship Id="rId1625" Type="http://schemas.openxmlformats.org/officeDocument/2006/relationships/hyperlink" Target="http://www.iaea.org/PRIS/CountryStatistics/ReactorDetails.aspx?current=701" TargetMode="External"/><Relationship Id="rId1624" Type="http://schemas.openxmlformats.org/officeDocument/2006/relationships/hyperlink" Target="https://www.google.com/search?q=SUMMER-1+nuclear+power+plant+in+UNITED+STATES" TargetMode="External"/><Relationship Id="rId1623" Type="http://schemas.openxmlformats.org/officeDocument/2006/relationships/hyperlink" Target="http://maps.google.com/?q=35.6028,-84.7894&amp;t=k" TargetMode="External"/><Relationship Id="rId1622" Type="http://schemas.openxmlformats.org/officeDocument/2006/relationships/hyperlink" Target="http://www.iaea.org/PRIS/CountryStatistics/ReactorDetails.aspx?current=700" TargetMode="External"/><Relationship Id="rId1621" Type="http://schemas.openxmlformats.org/officeDocument/2006/relationships/hyperlink" Target="https://www.google.com/search?q=WATTS+BAR-2+nuclear+power+plant+in+UNITED+STATES" TargetMode="External"/><Relationship Id="rId1620" Type="http://schemas.openxmlformats.org/officeDocument/2006/relationships/hyperlink" Target="http://maps.google.com/?q=35.6028,-84.7894&amp;t=k" TargetMode="External"/><Relationship Id="rId1208" Type="http://schemas.openxmlformats.org/officeDocument/2006/relationships/hyperlink" Target="http://www.iaea.org/PRIS/CountryStatistics/ReactorDetails.aspx?current=540" TargetMode="External"/><Relationship Id="rId1209" Type="http://schemas.openxmlformats.org/officeDocument/2006/relationships/hyperlink" Target="http://maps.google.com/?q=55.7444,12.9208&amp;t=k" TargetMode="External"/><Relationship Id="rId1206" Type="http://schemas.openxmlformats.org/officeDocument/2006/relationships/hyperlink" Target="http://maps.google.com/?q=57.2597,12.1108&amp;t=k" TargetMode="External"/><Relationship Id="rId1207" Type="http://schemas.openxmlformats.org/officeDocument/2006/relationships/hyperlink" Target="https://www.google.com/search?q=BARSEBACK-2+nuclear+power+plant+in+SWEDEN" TargetMode="External"/><Relationship Id="rId1204" Type="http://schemas.openxmlformats.org/officeDocument/2006/relationships/hyperlink" Target="https://www.google.com/search?q=RINGHALS-3+nuclear+power+plant+in+SWEDEN" TargetMode="External"/><Relationship Id="rId1205" Type="http://schemas.openxmlformats.org/officeDocument/2006/relationships/hyperlink" Target="http://www.iaea.org/PRIS/CountryStatistics/ReactorDetails.aspx?current=539" TargetMode="External"/><Relationship Id="rId1202" Type="http://schemas.openxmlformats.org/officeDocument/2006/relationships/hyperlink" Target="http://www.iaea.org/PRIS/CountryStatistics/ReactorDetails.aspx?current=538" TargetMode="External"/><Relationship Id="rId1203" Type="http://schemas.openxmlformats.org/officeDocument/2006/relationships/hyperlink" Target="http://maps.google.com/?q=55.7444,12.9208&amp;t=k" TargetMode="External"/><Relationship Id="rId903" Type="http://schemas.openxmlformats.org/officeDocument/2006/relationships/hyperlink" Target="http://maps.google.com/?q=33.5156,129.837&amp;t=k" TargetMode="External"/><Relationship Id="rId902" Type="http://schemas.openxmlformats.org/officeDocument/2006/relationships/hyperlink" Target="http://www.iaea.org/PRIS/CountryStatistics/ReactorDetails.aspx?current=372" TargetMode="External"/><Relationship Id="rId901" Type="http://schemas.openxmlformats.org/officeDocument/2006/relationships/hyperlink" Target="https://www.google.com/search?q=GENKAI-3+nuclear+power+plant+in+JAPAN" TargetMode="External"/><Relationship Id="rId900" Type="http://schemas.openxmlformats.org/officeDocument/2006/relationships/hyperlink" Target="http://maps.google.com/?q=43.0361,140.512&amp;t=k" TargetMode="External"/><Relationship Id="rId906" Type="http://schemas.openxmlformats.org/officeDocument/2006/relationships/hyperlink" Target="http://maps.google.com/?q=33.5156,129.837&amp;t=k" TargetMode="External"/><Relationship Id="rId907" Type="http://schemas.openxmlformats.org/officeDocument/2006/relationships/hyperlink" Target="https://www.google.com/search?q=IKATA-3+nuclear+power+plant+in+JAPAN" TargetMode="External"/><Relationship Id="rId904" Type="http://schemas.openxmlformats.org/officeDocument/2006/relationships/hyperlink" Target="https://www.google.com/search?q=GENKAI-4+nuclear+power+plant+in+JAPAN" TargetMode="External"/><Relationship Id="rId905" Type="http://schemas.openxmlformats.org/officeDocument/2006/relationships/hyperlink" Target="http://www.iaea.org/PRIS/CountryStatistics/ReactorDetails.aspx?current=373" TargetMode="External"/><Relationship Id="rId908" Type="http://schemas.openxmlformats.org/officeDocument/2006/relationships/hyperlink" Target="http://www.iaea.org/PRIS/CountryStatistics/ReactorDetails.aspx?current=374" TargetMode="External"/><Relationship Id="rId909" Type="http://schemas.openxmlformats.org/officeDocument/2006/relationships/hyperlink" Target="http://maps.google.com/?q=33.4908,132.311&amp;t=k" TargetMode="External"/><Relationship Id="rId925" Type="http://schemas.openxmlformats.org/officeDocument/2006/relationships/hyperlink" Target="https://www.google.com/search?q=KASHIWAZAKI+KARIWA-3+nuclear+power+plant+in+JAPAN" TargetMode="External"/><Relationship Id="rId924" Type="http://schemas.openxmlformats.org/officeDocument/2006/relationships/hyperlink" Target="http://maps.google.com/?q=35.5406,135.652&amp;t=k" TargetMode="External"/><Relationship Id="rId923" Type="http://schemas.openxmlformats.org/officeDocument/2006/relationships/hyperlink" Target="http://www.iaea.org/PRIS/CountryStatistics/ReactorDetails.aspx?current=379" TargetMode="External"/><Relationship Id="rId922" Type="http://schemas.openxmlformats.org/officeDocument/2006/relationships/hyperlink" Target="https://www.google.com/search?q=OHI-4+nuclear+power+plant+in+JAPAN" TargetMode="External"/><Relationship Id="rId921" Type="http://schemas.openxmlformats.org/officeDocument/2006/relationships/hyperlink" Target="http://maps.google.com/?q=35.5406,135.652&amp;t=k" TargetMode="External"/><Relationship Id="rId920" Type="http://schemas.openxmlformats.org/officeDocument/2006/relationships/hyperlink" Target="http://www.iaea.org/PRIS/CountryStatistics/ReactorDetails.aspx?current=378" TargetMode="External"/><Relationship Id="rId928" Type="http://schemas.openxmlformats.org/officeDocument/2006/relationships/hyperlink" Target="https://www.google.com/search?q=KASHIWAZAKI+KARIWA-4+nuclear+power+plant+in+JAPAN" TargetMode="External"/><Relationship Id="rId929" Type="http://schemas.openxmlformats.org/officeDocument/2006/relationships/hyperlink" Target="http://www.iaea.org/PRIS/CountryStatistics/ReactorDetails.aspx?current=381" TargetMode="External"/><Relationship Id="rId926" Type="http://schemas.openxmlformats.org/officeDocument/2006/relationships/hyperlink" Target="http://www.iaea.org/PRIS/CountryStatistics/ReactorDetails.aspx?current=380" TargetMode="External"/><Relationship Id="rId927" Type="http://schemas.openxmlformats.org/officeDocument/2006/relationships/hyperlink" Target="http://maps.google.com/?q=37.4283,138.602&amp;t=k" TargetMode="External"/><Relationship Id="rId912" Type="http://schemas.openxmlformats.org/officeDocument/2006/relationships/hyperlink" Target="http://maps.google.com/?q=37.0611,136.726&amp;t=k" TargetMode="External"/><Relationship Id="rId911" Type="http://schemas.openxmlformats.org/officeDocument/2006/relationships/hyperlink" Target="http://www.iaea.org/PRIS/CountryStatistics/ReactorDetails.aspx?current=375" TargetMode="External"/><Relationship Id="rId914" Type="http://schemas.openxmlformats.org/officeDocument/2006/relationships/hyperlink" Target="http://www.iaea.org/PRIS/CountryStatistics/ReactorDetails.aspx?current=376" TargetMode="External"/><Relationship Id="rId913" Type="http://schemas.openxmlformats.org/officeDocument/2006/relationships/hyperlink" Target="https://www.google.com/search?q=HAMAOKA-4+nuclear+power+plant+in+JAPAN" TargetMode="External"/><Relationship Id="rId910" Type="http://schemas.openxmlformats.org/officeDocument/2006/relationships/hyperlink" Target="https://www.google.com/search?q=SHIKA-1+nuclear+power+plant+in+JAPAN" TargetMode="External"/><Relationship Id="rId919" Type="http://schemas.openxmlformats.org/officeDocument/2006/relationships/hyperlink" Target="https://www.google.com/search?q=OHI-3+nuclear+power+plant+in+JAPAN" TargetMode="External"/><Relationship Id="rId915" Type="http://schemas.openxmlformats.org/officeDocument/2006/relationships/hyperlink" Target="http://maps.google.com/?q=34.6236,138.143&amp;t=k" TargetMode="External"/><Relationship Id="rId916" Type="http://schemas.openxmlformats.org/officeDocument/2006/relationships/hyperlink" Target="https://www.google.com/search?q=FUKUSHIMA-DAIICHI-1+nuclear+power+plant+in+JAPAN" TargetMode="External"/><Relationship Id="rId917" Type="http://schemas.openxmlformats.org/officeDocument/2006/relationships/hyperlink" Target="http://www.iaea.org/PRIS/CountryStatistics/ReactorDetails.aspx?current=377" TargetMode="External"/><Relationship Id="rId918" Type="http://schemas.openxmlformats.org/officeDocument/2006/relationships/hyperlink" Target="http://maps.google.com/?q=37.4231,141.033&amp;t=k" TargetMode="External"/><Relationship Id="rId561" Type="http://schemas.openxmlformats.org/officeDocument/2006/relationships/hyperlink" Target="http://maps.google.com/?q=54.4205,-3.4975&amp;t=k" TargetMode="External"/><Relationship Id="rId560" Type="http://schemas.openxmlformats.org/officeDocument/2006/relationships/hyperlink" Target="http://www.iaea.org/PRIS/CountryStatistics/ReactorDetails.aspx?current=231" TargetMode="External"/><Relationship Id="rId959" Type="http://schemas.openxmlformats.org/officeDocument/2006/relationships/hyperlink" Target="http://www.iaea.org/PRIS/CountryStatistics/ReactorDetails.aspx?current=395" TargetMode="External"/><Relationship Id="rId565" Type="http://schemas.openxmlformats.org/officeDocument/2006/relationships/hyperlink" Target="https://www.google.com/search?q=CALDER+HALL-3+nuclear+power+plant+in+UNITED+KINGDOM" TargetMode="External"/><Relationship Id="rId564" Type="http://schemas.openxmlformats.org/officeDocument/2006/relationships/hyperlink" Target="http://maps.google.com/?q=54.4205,-3.4975&amp;t=k" TargetMode="External"/><Relationship Id="rId563" Type="http://schemas.openxmlformats.org/officeDocument/2006/relationships/hyperlink" Target="http://www.iaea.org/PRIS/CountryStatistics/ReactorDetails.aspx?current=232" TargetMode="External"/><Relationship Id="rId562" Type="http://schemas.openxmlformats.org/officeDocument/2006/relationships/hyperlink" Target="https://www.google.com/search?q=CALDER+HALL-2+nuclear+power+plant+in+UNITED+KINGDOM" TargetMode="External"/><Relationship Id="rId569" Type="http://schemas.openxmlformats.org/officeDocument/2006/relationships/hyperlink" Target="http://www.iaea.org/PRIS/CountryStatistics/ReactorDetails.aspx?current=234" TargetMode="External"/><Relationship Id="rId39" Type="http://schemas.openxmlformats.org/officeDocument/2006/relationships/hyperlink" Target="http://maps.google.com/?q=50.5346,5.27253&amp;t=k" TargetMode="External"/><Relationship Id="rId1580" Type="http://schemas.openxmlformats.org/officeDocument/2006/relationships/hyperlink" Target="http://www.iaea.org/PRIS/CountryStatistics/ReactorDetails.aspx?current=683" TargetMode="External"/><Relationship Id="rId568" Type="http://schemas.openxmlformats.org/officeDocument/2006/relationships/hyperlink" Target="https://www.google.com/search?q=CALDER+HALL-4+nuclear+power+plant+in+UNITED+KINGDOM" TargetMode="External"/><Relationship Id="rId38" Type="http://schemas.openxmlformats.org/officeDocument/2006/relationships/hyperlink" Target="http://www.iaea.org/PRIS/CountryStatistics/ReactorDetails.aspx?current=15" TargetMode="External"/><Relationship Id="rId1581" Type="http://schemas.openxmlformats.org/officeDocument/2006/relationships/hyperlink" Target="http://maps.google.com/?q=33.3689,-117.555&amp;t=k" TargetMode="External"/><Relationship Id="rId567" Type="http://schemas.openxmlformats.org/officeDocument/2006/relationships/hyperlink" Target="http://maps.google.com/?q=54.4205,-3.4975&amp;t=k" TargetMode="External"/><Relationship Id="rId37" Type="http://schemas.openxmlformats.org/officeDocument/2006/relationships/hyperlink" Target="https://www.google.com/search?q=TIHANGE-3+nuclear+power+plant+in+BELGIUM" TargetMode="External"/><Relationship Id="rId1582" Type="http://schemas.openxmlformats.org/officeDocument/2006/relationships/hyperlink" Target="https://www.google.com/search?q=SAN+ONOFRE-3+nuclear+power+plant+in+UNITED+STATES" TargetMode="External"/><Relationship Id="rId566" Type="http://schemas.openxmlformats.org/officeDocument/2006/relationships/hyperlink" Target="http://www.iaea.org/PRIS/CountryStatistics/ReactorDetails.aspx?current=233" TargetMode="External"/><Relationship Id="rId36" Type="http://schemas.openxmlformats.org/officeDocument/2006/relationships/hyperlink" Target="http://maps.google.com/?q=51.3247,4.25861&amp;t=k" TargetMode="External"/><Relationship Id="rId1583" Type="http://schemas.openxmlformats.org/officeDocument/2006/relationships/hyperlink" Target="http://www.iaea.org/PRIS/CountryStatistics/ReactorDetails.aspx?current=684" TargetMode="External"/><Relationship Id="rId150" Type="http://schemas.openxmlformats.org/officeDocument/2006/relationships/hyperlink" Target="http://maps.google.com/?q=47.5521,8.22849&amp;t=k" TargetMode="External"/><Relationship Id="rId1584" Type="http://schemas.openxmlformats.org/officeDocument/2006/relationships/hyperlink" Target="http://maps.google.com/?q=33.3689,-117.555&amp;t=k" TargetMode="External"/><Relationship Id="rId1585" Type="http://schemas.openxmlformats.org/officeDocument/2006/relationships/hyperlink" Target="https://www.google.com/search?q=FARLEY-2+nuclear+power+plant+in+UNITED+STATES" TargetMode="External"/><Relationship Id="rId1586" Type="http://schemas.openxmlformats.org/officeDocument/2006/relationships/hyperlink" Target="http://www.iaea.org/PRIS/CountryStatistics/ReactorDetails.aspx?current=686" TargetMode="External"/><Relationship Id="rId1588" Type="http://schemas.openxmlformats.org/officeDocument/2006/relationships/hyperlink" Target="https://www.google.com/search?q=HATCH-2+nuclear+power+plant+in+UNITED+STATES" TargetMode="External"/><Relationship Id="rId142" Type="http://schemas.openxmlformats.org/officeDocument/2006/relationships/hyperlink" Target="https://www.google.com/search?q=BEZNAU-1+nuclear+power+plant+in+SWITZERLAND" TargetMode="External"/><Relationship Id="rId30" Type="http://schemas.openxmlformats.org/officeDocument/2006/relationships/hyperlink" Target="http://maps.google.com/?q=51.3247,4.25861&amp;t=k" TargetMode="External"/><Relationship Id="rId1587" Type="http://schemas.openxmlformats.org/officeDocument/2006/relationships/hyperlink" Target="http://maps.google.com/?q=31.2231,-85.1117&amp;t=k" TargetMode="External"/><Relationship Id="rId143" Type="http://schemas.openxmlformats.org/officeDocument/2006/relationships/hyperlink" Target="http://www.iaea.org/PRIS/CountryStatistics/ReactorDetails.aspx?current=55" TargetMode="External"/><Relationship Id="rId31" Type="http://schemas.openxmlformats.org/officeDocument/2006/relationships/hyperlink" Target="https://www.google.com/search?q=TIHANGE-2+nuclear+power+plant+in+BELGIUM" TargetMode="External"/><Relationship Id="rId140" Type="http://schemas.openxmlformats.org/officeDocument/2006/relationships/hyperlink" Target="http://www.iaea.org/PRIS/CountryStatistics/ReactorDetails.aspx?current=54" TargetMode="External"/><Relationship Id="rId1589" Type="http://schemas.openxmlformats.org/officeDocument/2006/relationships/hyperlink" Target="http://www.iaea.org/PRIS/CountryStatistics/ReactorDetails.aspx?current=687" TargetMode="External"/><Relationship Id="rId141" Type="http://schemas.openxmlformats.org/officeDocument/2006/relationships/hyperlink" Target="http://maps.google.com/?q=44.3253,-81.5994&amp;t=k" TargetMode="External"/><Relationship Id="rId146" Type="http://schemas.openxmlformats.org/officeDocument/2006/relationships/hyperlink" Target="http://www.iaea.org/PRIS/CountryStatistics/ReactorDetails.aspx?current=56" TargetMode="External"/><Relationship Id="rId34" Type="http://schemas.openxmlformats.org/officeDocument/2006/relationships/hyperlink" Target="https://www.google.com/search?q=DOEL-4+nuclear+power+plant+in+BELGIUM" TargetMode="External"/><Relationship Id="rId147" Type="http://schemas.openxmlformats.org/officeDocument/2006/relationships/hyperlink" Target="http://maps.google.com/?q=47.4703,8.31098&amp;t=k" TargetMode="External"/><Relationship Id="rId35" Type="http://schemas.openxmlformats.org/officeDocument/2006/relationships/hyperlink" Target="http://www.iaea.org/PRIS/CountryStatistics/ReactorDetails.aspx?current=14" TargetMode="External"/><Relationship Id="rId950" Type="http://schemas.openxmlformats.org/officeDocument/2006/relationships/hyperlink" Target="http://www.iaea.org/PRIS/CountryStatistics/ReactorDetails.aspx?current=388" TargetMode="External"/><Relationship Id="rId144" Type="http://schemas.openxmlformats.org/officeDocument/2006/relationships/hyperlink" Target="http://maps.google.com/?q=47.5521,8.22849&amp;t=k" TargetMode="External"/><Relationship Id="rId32" Type="http://schemas.openxmlformats.org/officeDocument/2006/relationships/hyperlink" Target="http://www.iaea.org/PRIS/CountryStatistics/ReactorDetails.aspx?current=13" TargetMode="External"/><Relationship Id="rId145" Type="http://schemas.openxmlformats.org/officeDocument/2006/relationships/hyperlink" Target="https://www.google.com/search?q=MUEHLEBERG+nuclear+power+plant+in+SWITZERLAND" TargetMode="External"/><Relationship Id="rId33" Type="http://schemas.openxmlformats.org/officeDocument/2006/relationships/hyperlink" Target="http://maps.google.com/?q=50.5346,5.27253&amp;t=k" TargetMode="External"/><Relationship Id="rId953" Type="http://schemas.openxmlformats.org/officeDocument/2006/relationships/hyperlink" Target="http://www.iaea.org/PRIS/CountryStatistics/ReactorDetails.aspx?current=389" TargetMode="External"/><Relationship Id="rId954" Type="http://schemas.openxmlformats.org/officeDocument/2006/relationships/hyperlink" Target="http://maps.google.com/?q=37.4231,141.033&amp;t=k" TargetMode="External"/><Relationship Id="rId148" Type="http://schemas.openxmlformats.org/officeDocument/2006/relationships/hyperlink" Target="https://www.google.com/search?q=BEZNAU-2+nuclear+power+plant+in+SWITZERLAND" TargetMode="External"/><Relationship Id="rId951" Type="http://schemas.openxmlformats.org/officeDocument/2006/relationships/hyperlink" Target="http://maps.google.com/?q=35.522,135.504&amp;t=k" TargetMode="External"/><Relationship Id="rId149" Type="http://schemas.openxmlformats.org/officeDocument/2006/relationships/hyperlink" Target="http://www.iaea.org/PRIS/CountryStatistics/ReactorDetails.aspx?current=57" TargetMode="External"/><Relationship Id="rId952" Type="http://schemas.openxmlformats.org/officeDocument/2006/relationships/hyperlink" Target="https://www.google.com/search?q=FUKUSHIMA-DAIICHI-2+nuclear+power+plant+in+JAPAN" TargetMode="External"/><Relationship Id="rId957" Type="http://schemas.openxmlformats.org/officeDocument/2006/relationships/hyperlink" Target="http://maps.google.com/?q=35.3199,129.29&amp;t=k" TargetMode="External"/><Relationship Id="rId958" Type="http://schemas.openxmlformats.org/officeDocument/2006/relationships/hyperlink" Target="https://www.google.com/search?q=HANUL-2+nuclear+power+plant+in+SOUTH+KOREA" TargetMode="External"/><Relationship Id="rId955" Type="http://schemas.openxmlformats.org/officeDocument/2006/relationships/hyperlink" Target="https://www.google.com/search?q=KORI-1+nuclear+power+plant+in+SOUTH+KOREA" TargetMode="External"/><Relationship Id="rId956" Type="http://schemas.openxmlformats.org/officeDocument/2006/relationships/hyperlink" Target="http://www.iaea.org/PRIS/CountryStatistics/ReactorDetails.aspx?current=394" TargetMode="External"/><Relationship Id="rId550" Type="http://schemas.openxmlformats.org/officeDocument/2006/relationships/hyperlink" Target="https://www.google.com/search?q=CIVAUX-2+nuclear+power+plant+in+FRANCE" TargetMode="External"/><Relationship Id="rId552" Type="http://schemas.openxmlformats.org/officeDocument/2006/relationships/hyperlink" Target="http://maps.google.com/?q=46.4567,0.65278&amp;t=k" TargetMode="External"/><Relationship Id="rId551" Type="http://schemas.openxmlformats.org/officeDocument/2006/relationships/hyperlink" Target="http://www.iaea.org/PRIS/CountryStatistics/ReactorDetails.aspx?current=228" TargetMode="External"/><Relationship Id="rId554" Type="http://schemas.openxmlformats.org/officeDocument/2006/relationships/hyperlink" Target="http://www.iaea.org/PRIS/CountryStatistics/ReactorDetails.aspx?current=229" TargetMode="External"/><Relationship Id="rId553" Type="http://schemas.openxmlformats.org/officeDocument/2006/relationships/hyperlink" Target="https://www.google.com/search?q=ST.+LAURENT+A-2+nuclear+power+plant+in+FRANCE" TargetMode="External"/><Relationship Id="rId1592" Type="http://schemas.openxmlformats.org/officeDocument/2006/relationships/hyperlink" Target="http://www.iaea.org/PRIS/CountryStatistics/ReactorDetails.aspx?current=689" TargetMode="External"/><Relationship Id="rId556" Type="http://schemas.openxmlformats.org/officeDocument/2006/relationships/hyperlink" Target="https://www.google.com/search?q=BUGEY-1+nuclear+power+plant+in+FRANCE" TargetMode="External"/><Relationship Id="rId48" Type="http://schemas.openxmlformats.org/officeDocument/2006/relationships/hyperlink" Target="http://maps.google.com/?q=43.7461,23.7706&amp;t=k" TargetMode="External"/><Relationship Id="rId1593" Type="http://schemas.openxmlformats.org/officeDocument/2006/relationships/hyperlink" Target="http://maps.google.com/?q=35.3103,-93.2314&amp;t=k" TargetMode="External"/><Relationship Id="rId555" Type="http://schemas.openxmlformats.org/officeDocument/2006/relationships/hyperlink" Target="http://maps.google.com/?q=47.72,1.5775&amp;t=k" TargetMode="External"/><Relationship Id="rId47" Type="http://schemas.openxmlformats.org/officeDocument/2006/relationships/hyperlink" Target="http://www.iaea.org/PRIS/CountryStatistics/ReactorDetails.aspx?current=18" TargetMode="External"/><Relationship Id="rId1590" Type="http://schemas.openxmlformats.org/officeDocument/2006/relationships/hyperlink" Target="http://maps.google.com/?q=31.9342,-82.3439&amp;t=k" TargetMode="External"/><Relationship Id="rId558" Type="http://schemas.openxmlformats.org/officeDocument/2006/relationships/hyperlink" Target="http://maps.google.com/?q=45.7983,5.27083&amp;t=k" TargetMode="External"/><Relationship Id="rId1591" Type="http://schemas.openxmlformats.org/officeDocument/2006/relationships/hyperlink" Target="https://www.google.com/search?q=ANO-2+nuclear+power+plant+in+UNITED+STATES" TargetMode="External"/><Relationship Id="rId557" Type="http://schemas.openxmlformats.org/officeDocument/2006/relationships/hyperlink" Target="http://www.iaea.org/PRIS/CountryStatistics/ReactorDetails.aspx?current=230" TargetMode="External"/><Relationship Id="rId49" Type="http://schemas.openxmlformats.org/officeDocument/2006/relationships/hyperlink" Target="https://www.google.com/search?q=KOZLODUY-4+nuclear+power+plant+in+BULGARIA" TargetMode="External"/><Relationship Id="rId1596" Type="http://schemas.openxmlformats.org/officeDocument/2006/relationships/hyperlink" Target="http://maps.google.com/?q=35.4325,-80.9483&amp;t=k" TargetMode="External"/><Relationship Id="rId1597" Type="http://schemas.openxmlformats.org/officeDocument/2006/relationships/hyperlink" Target="https://www.google.com/search?q=MCGUIRE-2+nuclear+power+plant+in+UNITED+STATES" TargetMode="External"/><Relationship Id="rId559" Type="http://schemas.openxmlformats.org/officeDocument/2006/relationships/hyperlink" Target="https://www.google.com/search?q=CALDER+HALL-1+nuclear+power+plant+in+UNITED+KINGDOM" TargetMode="External"/><Relationship Id="rId1594" Type="http://schemas.openxmlformats.org/officeDocument/2006/relationships/hyperlink" Target="https://www.google.com/search?q=MCGUIRE-1+nuclear+power+plant+in+UNITED+STATES" TargetMode="External"/><Relationship Id="rId1595" Type="http://schemas.openxmlformats.org/officeDocument/2006/relationships/hyperlink" Target="http://www.iaea.org/PRIS/CountryStatistics/ReactorDetails.aspx?current=690" TargetMode="External"/><Relationship Id="rId130" Type="http://schemas.openxmlformats.org/officeDocument/2006/relationships/hyperlink" Target="https://www.google.com/search?q=PICKERING-3+nuclear+power+plant+in+CANADA" TargetMode="External"/><Relationship Id="rId40" Type="http://schemas.openxmlformats.org/officeDocument/2006/relationships/hyperlink" Target="https://www.google.com/search?q=KOZLODUY-1+nuclear+power+plant+in+BULGARIA" TargetMode="External"/><Relationship Id="rId1599" Type="http://schemas.openxmlformats.org/officeDocument/2006/relationships/hyperlink" Target="http://maps.google.com/?q=35.4325,-80.9483&amp;t=k" TargetMode="External"/><Relationship Id="rId131" Type="http://schemas.openxmlformats.org/officeDocument/2006/relationships/hyperlink" Target="http://www.iaea.org/PRIS/CountryStatistics/ReactorDetails.aspx?current=51" TargetMode="External"/><Relationship Id="rId41" Type="http://schemas.openxmlformats.org/officeDocument/2006/relationships/hyperlink" Target="http://www.iaea.org/PRIS/CountryStatistics/ReactorDetails.aspx?current=16" TargetMode="External"/><Relationship Id="rId1598" Type="http://schemas.openxmlformats.org/officeDocument/2006/relationships/hyperlink" Target="http://www.iaea.org/PRIS/CountryStatistics/ReactorDetails.aspx?current=691" TargetMode="External"/><Relationship Id="rId132" Type="http://schemas.openxmlformats.org/officeDocument/2006/relationships/hyperlink" Target="http://maps.google.com/?q=43.8117,-79.0658&amp;t=k" TargetMode="External"/><Relationship Id="rId42" Type="http://schemas.openxmlformats.org/officeDocument/2006/relationships/hyperlink" Target="http://maps.google.com/?q=43.7461,23.7706&amp;t=k" TargetMode="External"/><Relationship Id="rId133" Type="http://schemas.openxmlformats.org/officeDocument/2006/relationships/hyperlink" Target="https://www.google.com/search?q=PICKERING-4+nuclear+power+plant+in+CANADA" TargetMode="External"/><Relationship Id="rId43" Type="http://schemas.openxmlformats.org/officeDocument/2006/relationships/hyperlink" Target="https://www.google.com/search?q=KOZLODUY-2+nuclear+power+plant+in+BULGARIA" TargetMode="External"/><Relationship Id="rId134" Type="http://schemas.openxmlformats.org/officeDocument/2006/relationships/hyperlink" Target="http://www.iaea.org/PRIS/CountryStatistics/ReactorDetails.aspx?current=52" TargetMode="External"/><Relationship Id="rId44" Type="http://schemas.openxmlformats.org/officeDocument/2006/relationships/hyperlink" Target="http://www.iaea.org/PRIS/CountryStatistics/ReactorDetails.aspx?current=17" TargetMode="External"/><Relationship Id="rId135" Type="http://schemas.openxmlformats.org/officeDocument/2006/relationships/hyperlink" Target="http://maps.google.com/?q=43.8117,-79.0658&amp;t=k" TargetMode="External"/><Relationship Id="rId45" Type="http://schemas.openxmlformats.org/officeDocument/2006/relationships/hyperlink" Target="http://maps.google.com/?q=43.7461,23.7706&amp;t=k" TargetMode="External"/><Relationship Id="rId960" Type="http://schemas.openxmlformats.org/officeDocument/2006/relationships/hyperlink" Target="http://maps.google.com/?q=37.0928,129.384&amp;t=k" TargetMode="External"/><Relationship Id="rId136" Type="http://schemas.openxmlformats.org/officeDocument/2006/relationships/hyperlink" Target="https://www.google.com/search?q=BRUCE-1+nuclear+power+plant+in+CANADA" TargetMode="External"/><Relationship Id="rId46" Type="http://schemas.openxmlformats.org/officeDocument/2006/relationships/hyperlink" Target="https://www.google.com/search?q=KOZLODUY-3+nuclear+power+plant+in+BULGARIA" TargetMode="External"/><Relationship Id="rId961" Type="http://schemas.openxmlformats.org/officeDocument/2006/relationships/hyperlink" Target="https://www.google.com/search?q=HANBIT-3+nuclear+power+plant+in+SOUTH+KOREA" TargetMode="External"/><Relationship Id="rId137" Type="http://schemas.openxmlformats.org/officeDocument/2006/relationships/hyperlink" Target="http://www.iaea.org/PRIS/CountryStatistics/ReactorDetails.aspx?current=53" TargetMode="External"/><Relationship Id="rId962" Type="http://schemas.openxmlformats.org/officeDocument/2006/relationships/hyperlink" Target="http://www.iaea.org/PRIS/CountryStatistics/ReactorDetails.aspx?current=396" TargetMode="External"/><Relationship Id="rId138" Type="http://schemas.openxmlformats.org/officeDocument/2006/relationships/hyperlink" Target="http://maps.google.com/?q=44.3253,-81.5994&amp;t=k" TargetMode="External"/><Relationship Id="rId963" Type="http://schemas.openxmlformats.org/officeDocument/2006/relationships/hyperlink" Target="http://maps.google.com/?q=35.415,126.424&amp;t=k" TargetMode="External"/><Relationship Id="rId139" Type="http://schemas.openxmlformats.org/officeDocument/2006/relationships/hyperlink" Target="https://www.google.com/search?q=BRUCE-2+nuclear+power+plant+in+CANADA" TargetMode="External"/><Relationship Id="rId964" Type="http://schemas.openxmlformats.org/officeDocument/2006/relationships/hyperlink" Target="https://www.google.com/search?q=HANBIT-4+nuclear+power+plant+in+SOUTH+KOREA" TargetMode="External"/><Relationship Id="rId965" Type="http://schemas.openxmlformats.org/officeDocument/2006/relationships/hyperlink" Target="http://www.iaea.org/PRIS/CountryStatistics/ReactorDetails.aspx?current=397" TargetMode="External"/><Relationship Id="rId966" Type="http://schemas.openxmlformats.org/officeDocument/2006/relationships/hyperlink" Target="http://maps.google.com/?q=35.415,126.424&amp;t=k" TargetMode="External"/><Relationship Id="rId967" Type="http://schemas.openxmlformats.org/officeDocument/2006/relationships/hyperlink" Target="https://www.google.com/search?q=HANUL-3+nuclear+power+plant+in+SOUTH+KOREA" TargetMode="External"/><Relationship Id="rId968" Type="http://schemas.openxmlformats.org/officeDocument/2006/relationships/hyperlink" Target="http://www.iaea.org/PRIS/CountryStatistics/ReactorDetails.aspx?current=398" TargetMode="External"/><Relationship Id="rId969" Type="http://schemas.openxmlformats.org/officeDocument/2006/relationships/hyperlink" Target="http://maps.google.com/?q=37.0928,129.384&amp;t=k" TargetMode="External"/><Relationship Id="rId543" Type="http://schemas.openxmlformats.org/officeDocument/2006/relationships/hyperlink" Target="http://maps.google.com/?q=47.72,1.5775&amp;t=k" TargetMode="External"/><Relationship Id="rId542" Type="http://schemas.openxmlformats.org/officeDocument/2006/relationships/hyperlink" Target="http://www.iaea.org/PRIS/CountryStatistics/ReactorDetails.aspx?current=225" TargetMode="External"/><Relationship Id="rId541" Type="http://schemas.openxmlformats.org/officeDocument/2006/relationships/hyperlink" Target="https://www.google.com/search?q=ST.+LAURENT+A-1+nuclear+power+plant+in+FRANCE" TargetMode="External"/><Relationship Id="rId540" Type="http://schemas.openxmlformats.org/officeDocument/2006/relationships/hyperlink" Target="http://maps.google.com/?q=44.1067,0.84528&amp;t=k" TargetMode="External"/><Relationship Id="rId939" Type="http://schemas.openxmlformats.org/officeDocument/2006/relationships/hyperlink" Target="http://maps.google.com/?q=37.4283,138.602&amp;t=k" TargetMode="External"/><Relationship Id="rId938" Type="http://schemas.openxmlformats.org/officeDocument/2006/relationships/hyperlink" Target="http://www.iaea.org/PRIS/CountryStatistics/ReactorDetails.aspx?current=384" TargetMode="External"/><Relationship Id="rId937" Type="http://schemas.openxmlformats.org/officeDocument/2006/relationships/hyperlink" Target="https://www.google.com/search?q=KASHIWAZAKI+KARIWA-7+nuclear+power+plant+in+JAPAN" TargetMode="External"/><Relationship Id="rId1561" Type="http://schemas.openxmlformats.org/officeDocument/2006/relationships/hyperlink" Target="https://www.google.com/search?q=TROJAN+nuclear+power+plant+in+UNITED+STATES" TargetMode="External"/><Relationship Id="rId172" Type="http://schemas.openxmlformats.org/officeDocument/2006/relationships/hyperlink" Target="https://www.google.com/search?q=LING+AO-1+nuclear+power+plant+in+CHINA" TargetMode="External"/><Relationship Id="rId1562" Type="http://schemas.openxmlformats.org/officeDocument/2006/relationships/hyperlink" Target="http://www.iaea.org/PRIS/CountryStatistics/ReactorDetails.aspx?current=675" TargetMode="External"/><Relationship Id="rId171" Type="http://schemas.openxmlformats.org/officeDocument/2006/relationships/hyperlink" Target="http://maps.google.com/?q=30.4331,120.95&amp;t=k" TargetMode="External"/><Relationship Id="rId1563" Type="http://schemas.openxmlformats.org/officeDocument/2006/relationships/hyperlink" Target="http://maps.google.com/?q=46.0383,-122.885&amp;t=k" TargetMode="External"/><Relationship Id="rId549" Type="http://schemas.openxmlformats.org/officeDocument/2006/relationships/hyperlink" Target="http://maps.google.com/?q=46.4567,0.65278&amp;t=k" TargetMode="External"/><Relationship Id="rId170" Type="http://schemas.openxmlformats.org/officeDocument/2006/relationships/hyperlink" Target="http://www.iaea.org/PRIS/CountryStatistics/ReactorDetails.aspx?current=66" TargetMode="External"/><Relationship Id="rId19" Type="http://schemas.openxmlformats.org/officeDocument/2006/relationships/hyperlink" Target="https://www.google.com/search?q=DOEL-1+nuclear+power+plant+in+BELGIUM" TargetMode="External"/><Relationship Id="rId1564" Type="http://schemas.openxmlformats.org/officeDocument/2006/relationships/hyperlink" Target="https://www.google.com/search?q=DAVIS+BESSE-1+nuclear+power+plant+in+UNITED+STATES" TargetMode="External"/><Relationship Id="rId548" Type="http://schemas.openxmlformats.org/officeDocument/2006/relationships/hyperlink" Target="http://www.iaea.org/PRIS/CountryStatistics/ReactorDetails.aspx?current=227" TargetMode="External"/><Relationship Id="rId18" Type="http://schemas.openxmlformats.org/officeDocument/2006/relationships/hyperlink" Target="http://maps.google.com/?q=0,0&amp;t=k" TargetMode="External"/><Relationship Id="rId547" Type="http://schemas.openxmlformats.org/officeDocument/2006/relationships/hyperlink" Target="https://www.google.com/search?q=CIVAUX-1+nuclear+power+plant+in+FRANCE" TargetMode="External"/><Relationship Id="rId17" Type="http://schemas.openxmlformats.org/officeDocument/2006/relationships/hyperlink" Target="http://www.iaea.org/PRIS/CountryStatistics/ReactorDetails.aspx?current=8" TargetMode="External"/><Relationship Id="rId546" Type="http://schemas.openxmlformats.org/officeDocument/2006/relationships/hyperlink" Target="http://maps.google.com/?q=50.09,4.78944&amp;t=k" TargetMode="External"/><Relationship Id="rId16" Type="http://schemas.openxmlformats.org/officeDocument/2006/relationships/hyperlink" Target="https://www.google.com/search?q=BR-3+nuclear+power+plant+in+BELGIUM" TargetMode="External"/><Relationship Id="rId545" Type="http://schemas.openxmlformats.org/officeDocument/2006/relationships/hyperlink" Target="http://www.iaea.org/PRIS/CountryStatistics/ReactorDetails.aspx?current=226" TargetMode="External"/><Relationship Id="rId15" Type="http://schemas.openxmlformats.org/officeDocument/2006/relationships/hyperlink" Target="http://maps.google.com/?q=-33.9675,-59.2051&amp;t=k" TargetMode="External"/><Relationship Id="rId1560" Type="http://schemas.openxmlformats.org/officeDocument/2006/relationships/hyperlink" Target="http://maps.google.com/?q=41.9628,-83.2575&amp;t=k" TargetMode="External"/><Relationship Id="rId544" Type="http://schemas.openxmlformats.org/officeDocument/2006/relationships/hyperlink" Target="https://www.google.com/search?q=CHOOZ+B-2+nuclear+power+plant+in+FRANCE" TargetMode="External"/><Relationship Id="rId14" Type="http://schemas.openxmlformats.org/officeDocument/2006/relationships/hyperlink" Target="http://www.iaea.org/PRIS/CountryStatistics/ReactorDetails.aspx?current=5" TargetMode="External"/><Relationship Id="rId168" Type="http://schemas.openxmlformats.org/officeDocument/2006/relationships/hyperlink" Target="http://maps.google.com/?q=30.4331,120.95&amp;t=k" TargetMode="External"/><Relationship Id="rId12" Type="http://schemas.openxmlformats.org/officeDocument/2006/relationships/hyperlink" Target="http://maps.google.com/?q=-32.232,-64.443&amp;t=k" TargetMode="External"/><Relationship Id="rId1569" Type="http://schemas.openxmlformats.org/officeDocument/2006/relationships/hyperlink" Target="http://maps.google.com/?q=31.2231,-85.1117&amp;t=k" TargetMode="External"/><Relationship Id="rId169" Type="http://schemas.openxmlformats.org/officeDocument/2006/relationships/hyperlink" Target="https://www.google.com/search?q=QINSHAN+2-2+nuclear+power+plant+in+CHINA" TargetMode="External"/><Relationship Id="rId13" Type="http://schemas.openxmlformats.org/officeDocument/2006/relationships/hyperlink" Target="https://www.google.com/search?q=ATUCHA-2+nuclear+power+plant+in+ARGENTINA" TargetMode="External"/><Relationship Id="rId166" Type="http://schemas.openxmlformats.org/officeDocument/2006/relationships/hyperlink" Target="https://www.google.com/search?q=QINSHAN+2-1+nuclear+power+plant+in+CHINA" TargetMode="External"/><Relationship Id="rId10" Type="http://schemas.openxmlformats.org/officeDocument/2006/relationships/hyperlink" Target="https://www.google.com/search?q=EMBALSE+nuclear+power+plant+in+ARGENTINA" TargetMode="External"/><Relationship Id="rId167" Type="http://schemas.openxmlformats.org/officeDocument/2006/relationships/hyperlink" Target="http://www.iaea.org/PRIS/CountryStatistics/ReactorDetails.aspx?current=65" TargetMode="External"/><Relationship Id="rId11" Type="http://schemas.openxmlformats.org/officeDocument/2006/relationships/hyperlink" Target="http://www.iaea.org/PRIS/CountryStatistics/ReactorDetails.aspx?current=4" TargetMode="External"/><Relationship Id="rId1566" Type="http://schemas.openxmlformats.org/officeDocument/2006/relationships/hyperlink" Target="http://maps.google.com/?q=41.5967,-83.0864&amp;t=k" TargetMode="External"/><Relationship Id="rId164" Type="http://schemas.openxmlformats.org/officeDocument/2006/relationships/hyperlink" Target="http://www.iaea.org/PRIS/CountryStatistics/ReactorDetails.aspx?current=64" TargetMode="External"/><Relationship Id="rId1565" Type="http://schemas.openxmlformats.org/officeDocument/2006/relationships/hyperlink" Target="http://www.iaea.org/PRIS/CountryStatistics/ReactorDetails.aspx?current=676" TargetMode="External"/><Relationship Id="rId165" Type="http://schemas.openxmlformats.org/officeDocument/2006/relationships/hyperlink" Target="http://maps.google.com/?q=22.5972,114.544&amp;t=k" TargetMode="External"/><Relationship Id="rId1568" Type="http://schemas.openxmlformats.org/officeDocument/2006/relationships/hyperlink" Target="http://www.iaea.org/PRIS/CountryStatistics/ReactorDetails.aspx?current=677" TargetMode="External"/><Relationship Id="rId162" Type="http://schemas.openxmlformats.org/officeDocument/2006/relationships/hyperlink" Target="http://maps.google.com/?q=22.5972,114.544&amp;t=k" TargetMode="External"/><Relationship Id="rId1567" Type="http://schemas.openxmlformats.org/officeDocument/2006/relationships/hyperlink" Target="https://www.google.com/search?q=FARLEY-1+nuclear+power+plant+in+UNITED+STATES" TargetMode="External"/><Relationship Id="rId163" Type="http://schemas.openxmlformats.org/officeDocument/2006/relationships/hyperlink" Target="https://www.google.com/search?q=DAYA+BAY-2+nuclear+power+plant+in+CHINA" TargetMode="External"/><Relationship Id="rId935" Type="http://schemas.openxmlformats.org/officeDocument/2006/relationships/hyperlink" Target="http://www.iaea.org/PRIS/CountryStatistics/ReactorDetails.aspx?current=383" TargetMode="External"/><Relationship Id="rId936" Type="http://schemas.openxmlformats.org/officeDocument/2006/relationships/hyperlink" Target="http://maps.google.com/?q=37.4283,138.602&amp;t=k" TargetMode="External"/><Relationship Id="rId933" Type="http://schemas.openxmlformats.org/officeDocument/2006/relationships/hyperlink" Target="http://maps.google.com/?q=38.4011,141.5&amp;t=k" TargetMode="External"/><Relationship Id="rId934" Type="http://schemas.openxmlformats.org/officeDocument/2006/relationships/hyperlink" Target="https://www.google.com/search?q=KASHIWAZAKI+KARIWA-6+nuclear+power+plant+in+JAPAN" TargetMode="External"/><Relationship Id="rId931" Type="http://schemas.openxmlformats.org/officeDocument/2006/relationships/hyperlink" Target="https://www.google.com/search?q=ONAGAWA-2+nuclear+power+plant+in+JAPAN" TargetMode="External"/><Relationship Id="rId932" Type="http://schemas.openxmlformats.org/officeDocument/2006/relationships/hyperlink" Target="http://www.iaea.org/PRIS/CountryStatistics/ReactorDetails.aspx?current=382" TargetMode="External"/><Relationship Id="rId930" Type="http://schemas.openxmlformats.org/officeDocument/2006/relationships/hyperlink" Target="http://maps.google.com/?q=37.4283,138.602&amp;t=k" TargetMode="External"/><Relationship Id="rId530" Type="http://schemas.openxmlformats.org/officeDocument/2006/relationships/hyperlink" Target="http://www.iaea.org/PRIS/CountryStatistics/ReactorDetails.aspx?current=221" TargetMode="External"/><Relationship Id="rId532" Type="http://schemas.openxmlformats.org/officeDocument/2006/relationships/hyperlink" Target="https://www.google.com/search?q=PENLY-2+nuclear+power+plant+in+FRANCE" TargetMode="External"/><Relationship Id="rId531" Type="http://schemas.openxmlformats.org/officeDocument/2006/relationships/hyperlink" Target="http://maps.google.com/?q=49.9767,1.21194&amp;t=k" TargetMode="External"/><Relationship Id="rId949" Type="http://schemas.openxmlformats.org/officeDocument/2006/relationships/hyperlink" Target="https://www.google.com/search?q=TAKAHAMA-1+nuclear+power+plant+in+JAPAN" TargetMode="External"/><Relationship Id="rId948" Type="http://schemas.openxmlformats.org/officeDocument/2006/relationships/hyperlink" Target="http://maps.google.com/?q=35.5383,132.999&amp;t=k" TargetMode="External"/><Relationship Id="rId1574" Type="http://schemas.openxmlformats.org/officeDocument/2006/relationships/hyperlink" Target="http://www.iaea.org/PRIS/CountryStatistics/ReactorDetails.aspx?current=679" TargetMode="External"/><Relationship Id="rId538" Type="http://schemas.openxmlformats.org/officeDocument/2006/relationships/hyperlink" Target="https://www.google.com/search?q=GOLFECH-2+nuclear+power+plant+in+FRANCE" TargetMode="External"/><Relationship Id="rId1575" Type="http://schemas.openxmlformats.org/officeDocument/2006/relationships/hyperlink" Target="http://maps.google.com/?q=40.2267,-75.5872&amp;t=k" TargetMode="External"/><Relationship Id="rId537" Type="http://schemas.openxmlformats.org/officeDocument/2006/relationships/hyperlink" Target="http://maps.google.com/?q=49.4158,6.21806&amp;t=k" TargetMode="External"/><Relationship Id="rId29" Type="http://schemas.openxmlformats.org/officeDocument/2006/relationships/hyperlink" Target="http://www.iaea.org/PRIS/CountryStatistics/ReactorDetails.aspx?current=12" TargetMode="External"/><Relationship Id="rId1572" Type="http://schemas.openxmlformats.org/officeDocument/2006/relationships/hyperlink" Target="http://maps.google.com/?q=40.2267,-75.5872&amp;t=k" TargetMode="External"/><Relationship Id="rId161" Type="http://schemas.openxmlformats.org/officeDocument/2006/relationships/hyperlink" Target="http://www.iaea.org/PRIS/CountryStatistics/ReactorDetails.aspx?current=63" TargetMode="External"/><Relationship Id="rId1573" Type="http://schemas.openxmlformats.org/officeDocument/2006/relationships/hyperlink" Target="https://www.google.com/search?q=LIMERICK-2+nuclear+power+plant+in+UNITED+STATES" TargetMode="External"/><Relationship Id="rId539" Type="http://schemas.openxmlformats.org/officeDocument/2006/relationships/hyperlink" Target="http://www.iaea.org/PRIS/CountryStatistics/ReactorDetails.aspx?current=224" TargetMode="External"/><Relationship Id="rId160" Type="http://schemas.openxmlformats.org/officeDocument/2006/relationships/hyperlink" Target="https://www.google.com/search?q=DAYA+BAY-1+nuclear+power+plant+in+CHINA" TargetMode="External"/><Relationship Id="rId1570" Type="http://schemas.openxmlformats.org/officeDocument/2006/relationships/hyperlink" Target="https://www.google.com/search?q=LIMERICK-1+nuclear+power+plant+in+UNITED+STATES" TargetMode="External"/><Relationship Id="rId534" Type="http://schemas.openxmlformats.org/officeDocument/2006/relationships/hyperlink" Target="http://maps.google.com/?q=49.9767,1.21194&amp;t=k" TargetMode="External"/><Relationship Id="rId26" Type="http://schemas.openxmlformats.org/officeDocument/2006/relationships/hyperlink" Target="http://www.iaea.org/PRIS/CountryStatistics/ReactorDetails.aspx?current=11" TargetMode="External"/><Relationship Id="rId1571" Type="http://schemas.openxmlformats.org/officeDocument/2006/relationships/hyperlink" Target="http://www.iaea.org/PRIS/CountryStatistics/ReactorDetails.aspx?current=678" TargetMode="External"/><Relationship Id="rId533" Type="http://schemas.openxmlformats.org/officeDocument/2006/relationships/hyperlink" Target="http://www.iaea.org/PRIS/CountryStatistics/ReactorDetails.aspx?current=222" TargetMode="External"/><Relationship Id="rId25" Type="http://schemas.openxmlformats.org/officeDocument/2006/relationships/hyperlink" Target="https://www.google.com/search?q=DOEL-2+nuclear+power+plant+in+BELGIUM" TargetMode="External"/><Relationship Id="rId536" Type="http://schemas.openxmlformats.org/officeDocument/2006/relationships/hyperlink" Target="http://www.iaea.org/PRIS/CountryStatistics/ReactorDetails.aspx?current=223" TargetMode="External"/><Relationship Id="rId28" Type="http://schemas.openxmlformats.org/officeDocument/2006/relationships/hyperlink" Target="https://www.google.com/search?q=DOEL-3+nuclear+power+plant+in+BELGIUM" TargetMode="External"/><Relationship Id="rId535" Type="http://schemas.openxmlformats.org/officeDocument/2006/relationships/hyperlink" Target="https://www.google.com/search?q=CATTENOM-4+nuclear+power+plant+in+FRANCE" TargetMode="External"/><Relationship Id="rId27" Type="http://schemas.openxmlformats.org/officeDocument/2006/relationships/hyperlink" Target="http://maps.google.com/?q=51.3247,4.25861&amp;t=k" TargetMode="External"/><Relationship Id="rId155" Type="http://schemas.openxmlformats.org/officeDocument/2006/relationships/hyperlink" Target="http://www.iaea.org/PRIS/CountryStatistics/ReactorDetails.aspx?current=59" TargetMode="External"/><Relationship Id="rId21" Type="http://schemas.openxmlformats.org/officeDocument/2006/relationships/hyperlink" Target="http://maps.google.com/?q=51.3247,4.25861&amp;t=k" TargetMode="External"/><Relationship Id="rId156" Type="http://schemas.openxmlformats.org/officeDocument/2006/relationships/hyperlink" Target="http://maps.google.com/?q=47.6031,8.18472&amp;t=k" TargetMode="External"/><Relationship Id="rId22" Type="http://schemas.openxmlformats.org/officeDocument/2006/relationships/hyperlink" Target="https://www.google.com/search?q=TIHANGE-1+nuclear+power+plant+in+BELGIUM" TargetMode="External"/><Relationship Id="rId157" Type="http://schemas.openxmlformats.org/officeDocument/2006/relationships/hyperlink" Target="https://www.google.com/search?q=QINSHAN-1+nuclear+power+plant+in+CHINA" TargetMode="External"/><Relationship Id="rId23" Type="http://schemas.openxmlformats.org/officeDocument/2006/relationships/hyperlink" Target="http://www.iaea.org/PRIS/CountryStatistics/ReactorDetails.aspx?current=10" TargetMode="External"/><Relationship Id="rId158" Type="http://schemas.openxmlformats.org/officeDocument/2006/relationships/hyperlink" Target="http://www.iaea.org/PRIS/CountryStatistics/ReactorDetails.aspx?current=62" TargetMode="External"/><Relationship Id="rId24" Type="http://schemas.openxmlformats.org/officeDocument/2006/relationships/hyperlink" Target="http://maps.google.com/?q=50.5346,5.27253&amp;t=k" TargetMode="External"/><Relationship Id="rId1579" Type="http://schemas.openxmlformats.org/officeDocument/2006/relationships/hyperlink" Target="https://www.google.com/search?q=SAN+ONOFRE-2+nuclear+power+plant+in+UNITED+STATES" TargetMode="External"/><Relationship Id="rId151" Type="http://schemas.openxmlformats.org/officeDocument/2006/relationships/hyperlink" Target="https://www.google.com/search?q=GOESGEN+nuclear+power+plant+in+SWITZERLAND" TargetMode="External"/><Relationship Id="rId1578" Type="http://schemas.openxmlformats.org/officeDocument/2006/relationships/hyperlink" Target="http://maps.google.com/?q=39.4678,-75.5381&amp;t=k" TargetMode="External"/><Relationship Id="rId152" Type="http://schemas.openxmlformats.org/officeDocument/2006/relationships/hyperlink" Target="http://www.iaea.org/PRIS/CountryStatistics/ReactorDetails.aspx?current=58" TargetMode="External"/><Relationship Id="rId1577" Type="http://schemas.openxmlformats.org/officeDocument/2006/relationships/hyperlink" Target="http://www.iaea.org/PRIS/CountryStatistics/ReactorDetails.aspx?current=680" TargetMode="External"/><Relationship Id="rId153" Type="http://schemas.openxmlformats.org/officeDocument/2006/relationships/hyperlink" Target="http://maps.google.com/?q=47.3661,7.96667&amp;t=k" TargetMode="External"/><Relationship Id="rId1576" Type="http://schemas.openxmlformats.org/officeDocument/2006/relationships/hyperlink" Target="https://www.google.com/search?q=HOPE+CREEK-1+nuclear+power+plant+in+UNITED+STATES" TargetMode="External"/><Relationship Id="rId154" Type="http://schemas.openxmlformats.org/officeDocument/2006/relationships/hyperlink" Target="https://www.google.com/search?q=LEIBSTADT+nuclear+power+plant+in+SWITZERLAND" TargetMode="External"/><Relationship Id="rId20" Type="http://schemas.openxmlformats.org/officeDocument/2006/relationships/hyperlink" Target="http://www.iaea.org/PRIS/CountryStatistics/ReactorDetails.aspx?current=9" TargetMode="External"/><Relationship Id="rId944" Type="http://schemas.openxmlformats.org/officeDocument/2006/relationships/hyperlink" Target="http://www.iaea.org/PRIS/CountryStatistics/ReactorDetails.aspx?current=386" TargetMode="External"/><Relationship Id="rId945" Type="http://schemas.openxmlformats.org/officeDocument/2006/relationships/hyperlink" Target="http://maps.google.com/?q=35.7035,135.964&amp;t=k" TargetMode="External"/><Relationship Id="rId946" Type="http://schemas.openxmlformats.org/officeDocument/2006/relationships/hyperlink" Target="https://www.google.com/search?q=SHIMANE-1+nuclear+power+plant+in+JAPAN" TargetMode="External"/><Relationship Id="rId947" Type="http://schemas.openxmlformats.org/officeDocument/2006/relationships/hyperlink" Target="http://www.iaea.org/PRIS/CountryStatistics/ReactorDetails.aspx?current=387" TargetMode="External"/><Relationship Id="rId159" Type="http://schemas.openxmlformats.org/officeDocument/2006/relationships/hyperlink" Target="http://maps.google.com/?q=30.4331,120.95&amp;t=k" TargetMode="External"/><Relationship Id="rId940" Type="http://schemas.openxmlformats.org/officeDocument/2006/relationships/hyperlink" Target="https://www.google.com/search?q=ONAGAWA-3+nuclear+power+plant+in+JAPAN" TargetMode="External"/><Relationship Id="rId941" Type="http://schemas.openxmlformats.org/officeDocument/2006/relationships/hyperlink" Target="http://www.iaea.org/PRIS/CountryStatistics/ReactorDetails.aspx?current=385" TargetMode="External"/><Relationship Id="rId942" Type="http://schemas.openxmlformats.org/officeDocument/2006/relationships/hyperlink" Target="http://maps.google.com/?q=38.4011,141.5&amp;t=k" TargetMode="External"/><Relationship Id="rId943" Type="http://schemas.openxmlformats.org/officeDocument/2006/relationships/hyperlink" Target="https://www.google.com/search?q=MIHAMA-2+nuclear+power+plant+in+JAPAN" TargetMode="External"/><Relationship Id="rId190" Type="http://schemas.openxmlformats.org/officeDocument/2006/relationships/hyperlink" Target="https://www.google.com/search?q=DUKOVANY-2+nuclear+power+plant+in+CZECH+REPUBLIC" TargetMode="External"/><Relationship Id="rId1540" Type="http://schemas.openxmlformats.org/officeDocument/2006/relationships/hyperlink" Target="https://www.google.com/search?q=FITZPATRICK+nuclear+power+plant+in+UNITED+STATES" TargetMode="External"/><Relationship Id="rId193" Type="http://schemas.openxmlformats.org/officeDocument/2006/relationships/hyperlink" Target="https://www.google.com/search?q=DUKOVANY-3+nuclear+power+plant+in+CZECH+REPUBLIC" TargetMode="External"/><Relationship Id="rId194" Type="http://schemas.openxmlformats.org/officeDocument/2006/relationships/hyperlink" Target="http://www.iaea.org/PRIS/CountryStatistics/ReactorDetails.aspx?current=80" TargetMode="External"/><Relationship Id="rId1542" Type="http://schemas.openxmlformats.org/officeDocument/2006/relationships/hyperlink" Target="http://maps.google.com/?q=43.5233,-76.3983&amp;t=k" TargetMode="External"/><Relationship Id="rId191" Type="http://schemas.openxmlformats.org/officeDocument/2006/relationships/hyperlink" Target="http://www.iaea.org/PRIS/CountryStatistics/ReactorDetails.aspx?current=79" TargetMode="External"/><Relationship Id="rId1541" Type="http://schemas.openxmlformats.org/officeDocument/2006/relationships/hyperlink" Target="http://www.iaea.org/PRIS/CountryStatistics/ReactorDetails.aspx?current=668" TargetMode="External"/><Relationship Id="rId192" Type="http://schemas.openxmlformats.org/officeDocument/2006/relationships/hyperlink" Target="http://maps.google.com/?q=49.085,16.1489&amp;t=k" TargetMode="External"/><Relationship Id="rId998" Type="http://schemas.openxmlformats.org/officeDocument/2006/relationships/hyperlink" Target="http://www.iaea.org/PRIS/CountryStatistics/ReactorDetails.aspx?current=408" TargetMode="External"/><Relationship Id="rId997" Type="http://schemas.openxmlformats.org/officeDocument/2006/relationships/hyperlink" Target="https://www.google.com/search?q=WOLSONG-2+nuclear+power+plant+in+SOUTH+KOREA" TargetMode="External"/><Relationship Id="rId996" Type="http://schemas.openxmlformats.org/officeDocument/2006/relationships/hyperlink" Target="http://maps.google.com/?q=35.7167,129.478&amp;t=k" TargetMode="External"/><Relationship Id="rId995" Type="http://schemas.openxmlformats.org/officeDocument/2006/relationships/hyperlink" Target="http://www.iaea.org/PRIS/CountryStatistics/ReactorDetails.aspx?current=407" TargetMode="External"/><Relationship Id="rId71" Type="http://schemas.openxmlformats.org/officeDocument/2006/relationships/hyperlink" Target="http://www.iaea.org/PRIS/CountryStatistics/ReactorDetails.aspx?current=30" TargetMode="External"/><Relationship Id="rId70" Type="http://schemas.openxmlformats.org/officeDocument/2006/relationships/hyperlink" Target="https://www.google.com/search?q=BRUCE-3+nuclear+power+plant+in+CANADA" TargetMode="External"/><Relationship Id="rId999" Type="http://schemas.openxmlformats.org/officeDocument/2006/relationships/hyperlink" Target="http://maps.google.com/?q=35.7167,129.478&amp;t=k" TargetMode="External"/><Relationship Id="rId1543" Type="http://schemas.openxmlformats.org/officeDocument/2006/relationships/hyperlink" Target="https://www.google.com/search?q=BEAVER+VALLEY-1+nuclear+power+plant+in+UNITED+STATES" TargetMode="External"/><Relationship Id="rId187" Type="http://schemas.openxmlformats.org/officeDocument/2006/relationships/hyperlink" Target="https://www.google.com/search?q=DUKOVANY-1+nuclear+power+plant+in+CZECH+REPUBLIC" TargetMode="External"/><Relationship Id="rId75" Type="http://schemas.openxmlformats.org/officeDocument/2006/relationships/hyperlink" Target="http://maps.google.com/?q=44.3253,-81.5994&amp;t=k" TargetMode="External"/><Relationship Id="rId990" Type="http://schemas.openxmlformats.org/officeDocument/2006/relationships/hyperlink" Target="http://maps.google.com/?q=35.3199,129.29&amp;t=k" TargetMode="External"/><Relationship Id="rId1544" Type="http://schemas.openxmlformats.org/officeDocument/2006/relationships/hyperlink" Target="http://www.iaea.org/PRIS/CountryStatistics/ReactorDetails.aspx?current=669" TargetMode="External"/><Relationship Id="rId186" Type="http://schemas.openxmlformats.org/officeDocument/2006/relationships/hyperlink" Target="http://maps.google.com/?q=49.18,14.3761&amp;t=k" TargetMode="External"/><Relationship Id="rId74" Type="http://schemas.openxmlformats.org/officeDocument/2006/relationships/hyperlink" Target="http://www.iaea.org/PRIS/CountryStatistics/ReactorDetails.aspx?current=31" TargetMode="External"/><Relationship Id="rId1545" Type="http://schemas.openxmlformats.org/officeDocument/2006/relationships/hyperlink" Target="http://maps.google.com/?q=40.6233,-80.4306&amp;t=k" TargetMode="External"/><Relationship Id="rId185" Type="http://schemas.openxmlformats.org/officeDocument/2006/relationships/hyperlink" Target="http://www.iaea.org/PRIS/CountryStatistics/ReactorDetails.aspx?current=75" TargetMode="External"/><Relationship Id="rId73" Type="http://schemas.openxmlformats.org/officeDocument/2006/relationships/hyperlink" Target="https://www.google.com/search?q=BRUCE-4+nuclear+power+plant+in+CANADA" TargetMode="External"/><Relationship Id="rId1546" Type="http://schemas.openxmlformats.org/officeDocument/2006/relationships/hyperlink" Target="https://www.google.com/search?q=ST.+LUCIE-1+nuclear+power+plant+in+UNITED+STATES" TargetMode="External"/><Relationship Id="rId184" Type="http://schemas.openxmlformats.org/officeDocument/2006/relationships/hyperlink" Target="https://www.google.com/search?q=TEMELIN-2+nuclear+power+plant+in+CZECH+REPUBLIC" TargetMode="External"/><Relationship Id="rId72" Type="http://schemas.openxmlformats.org/officeDocument/2006/relationships/hyperlink" Target="http://maps.google.com/?q=44.3253,-81.5994&amp;t=k" TargetMode="External"/><Relationship Id="rId1547" Type="http://schemas.openxmlformats.org/officeDocument/2006/relationships/hyperlink" Target="http://www.iaea.org/PRIS/CountryStatistics/ReactorDetails.aspx?current=670" TargetMode="External"/><Relationship Id="rId79" Type="http://schemas.openxmlformats.org/officeDocument/2006/relationships/hyperlink" Target="https://www.google.com/search?q=PICKERING-5+nuclear+power+plant+in+CANADA" TargetMode="External"/><Relationship Id="rId994" Type="http://schemas.openxmlformats.org/officeDocument/2006/relationships/hyperlink" Target="https://www.google.com/search?q=WOLSONG-1+nuclear+power+plant+in+SOUTH+KOREA" TargetMode="External"/><Relationship Id="rId1548" Type="http://schemas.openxmlformats.org/officeDocument/2006/relationships/hyperlink" Target="http://maps.google.com/?q=27.3486,-80.2464&amp;t=k" TargetMode="External"/><Relationship Id="rId78" Type="http://schemas.openxmlformats.org/officeDocument/2006/relationships/hyperlink" Target="http://maps.google.com/?q=46.3958,-72.3569&amp;t=k" TargetMode="External"/><Relationship Id="rId993" Type="http://schemas.openxmlformats.org/officeDocument/2006/relationships/hyperlink" Target="http://maps.google.com/?q=37.0928,129.384&amp;t=k" TargetMode="External"/><Relationship Id="rId1549" Type="http://schemas.openxmlformats.org/officeDocument/2006/relationships/hyperlink" Target="https://www.google.com/search?q=MILLSTONE-2+nuclear+power+plant+in+UNITED+STATES" TargetMode="External"/><Relationship Id="rId189" Type="http://schemas.openxmlformats.org/officeDocument/2006/relationships/hyperlink" Target="http://maps.google.com/?q=49.085,16.1489&amp;t=k" TargetMode="External"/><Relationship Id="rId77" Type="http://schemas.openxmlformats.org/officeDocument/2006/relationships/hyperlink" Target="http://www.iaea.org/PRIS/CountryStatistics/ReactorDetails.aspx?current=32" TargetMode="External"/><Relationship Id="rId992" Type="http://schemas.openxmlformats.org/officeDocument/2006/relationships/hyperlink" Target="http://www.iaea.org/PRIS/CountryStatistics/ReactorDetails.aspx?current=406" TargetMode="External"/><Relationship Id="rId188" Type="http://schemas.openxmlformats.org/officeDocument/2006/relationships/hyperlink" Target="http://www.iaea.org/PRIS/CountryStatistics/ReactorDetails.aspx?current=78" TargetMode="External"/><Relationship Id="rId76" Type="http://schemas.openxmlformats.org/officeDocument/2006/relationships/hyperlink" Target="https://www.google.com/search?q=GENTILLY-2+nuclear+power+plant+in+CANADA" TargetMode="External"/><Relationship Id="rId991" Type="http://schemas.openxmlformats.org/officeDocument/2006/relationships/hyperlink" Target="https://www.google.com/search?q=HANUL-6+nuclear+power+plant+in+SOUTH+KOREA" TargetMode="External"/><Relationship Id="rId599" Type="http://schemas.openxmlformats.org/officeDocument/2006/relationships/hyperlink" Target="http://www.iaea.org/PRIS/CountryStatistics/ReactorDetails.aspx?current=244" TargetMode="External"/><Relationship Id="rId1553" Type="http://schemas.openxmlformats.org/officeDocument/2006/relationships/hyperlink" Target="http://www.iaea.org/PRIS/CountryStatistics/ReactorDetails.aspx?current=672" TargetMode="External"/><Relationship Id="rId180" Type="http://schemas.openxmlformats.org/officeDocument/2006/relationships/hyperlink" Target="http://maps.google.com/?q=30.4331,120.95&amp;t=k" TargetMode="External"/><Relationship Id="rId1552" Type="http://schemas.openxmlformats.org/officeDocument/2006/relationships/hyperlink" Target="https://www.google.com/search?q=NORTH+ANNA-1+nuclear+power+plant+in+UNITED+STATES" TargetMode="External"/><Relationship Id="rId181" Type="http://schemas.openxmlformats.org/officeDocument/2006/relationships/hyperlink" Target="https://www.google.com/search?q=TEMELIN-1+nuclear+power+plant+in+CZECH+REPUBLIC" TargetMode="External"/><Relationship Id="rId1551" Type="http://schemas.openxmlformats.org/officeDocument/2006/relationships/hyperlink" Target="http://maps.google.com/?q=41.3119,-72.1686&amp;t=k" TargetMode="External"/><Relationship Id="rId182" Type="http://schemas.openxmlformats.org/officeDocument/2006/relationships/hyperlink" Target="http://www.iaea.org/PRIS/CountryStatistics/ReactorDetails.aspx?current=74" TargetMode="External"/><Relationship Id="rId1550" Type="http://schemas.openxmlformats.org/officeDocument/2006/relationships/hyperlink" Target="http://www.iaea.org/PRIS/CountryStatistics/ReactorDetails.aspx?current=671" TargetMode="External"/><Relationship Id="rId183" Type="http://schemas.openxmlformats.org/officeDocument/2006/relationships/hyperlink" Target="http://maps.google.com/?q=49.18,14.3761&amp;t=k" TargetMode="External"/><Relationship Id="rId591" Type="http://schemas.openxmlformats.org/officeDocument/2006/relationships/hyperlink" Target="http://maps.google.com/?q=53.417,-4.483&amp;t=k" TargetMode="External"/><Relationship Id="rId592" Type="http://schemas.openxmlformats.org/officeDocument/2006/relationships/hyperlink" Target="https://www.google.com/search?q=DOUNREAY+DFR+nuclear+power+plant+in+UNITED+KINGDOM" TargetMode="External"/><Relationship Id="rId593" Type="http://schemas.openxmlformats.org/officeDocument/2006/relationships/hyperlink" Target="http://www.iaea.org/PRIS/CountryStatistics/ReactorDetails.aspx?current=242" TargetMode="External"/><Relationship Id="rId594" Type="http://schemas.openxmlformats.org/officeDocument/2006/relationships/hyperlink" Target="http://maps.google.com/?q=58.5781,-3.75233&amp;t=k" TargetMode="External"/><Relationship Id="rId595" Type="http://schemas.openxmlformats.org/officeDocument/2006/relationships/hyperlink" Target="https://www.google.com/search?q=DOUNREAY+PFR+nuclear+power+plant+in+UNITED+KINGDOM" TargetMode="External"/><Relationship Id="rId596" Type="http://schemas.openxmlformats.org/officeDocument/2006/relationships/hyperlink" Target="http://www.iaea.org/PRIS/CountryStatistics/ReactorDetails.aspx?current=243" TargetMode="External"/><Relationship Id="rId597" Type="http://schemas.openxmlformats.org/officeDocument/2006/relationships/hyperlink" Target="http://maps.google.com/?q=58.5781,-3.75233&amp;t=k" TargetMode="External"/><Relationship Id="rId598" Type="http://schemas.openxmlformats.org/officeDocument/2006/relationships/hyperlink" Target="https://www.google.com/search?q=HINKLEY+POINT+B-1+nuclear+power+plant+in+UNITED+KINGDOM" TargetMode="External"/><Relationship Id="rId80" Type="http://schemas.openxmlformats.org/officeDocument/2006/relationships/hyperlink" Target="http://www.iaea.org/PRIS/CountryStatistics/ReactorDetails.aspx?current=33" TargetMode="External"/><Relationship Id="rId82" Type="http://schemas.openxmlformats.org/officeDocument/2006/relationships/hyperlink" Target="https://www.google.com/search?q=PICKERING-6+nuclear+power+plant+in+CANADA" TargetMode="External"/><Relationship Id="rId81" Type="http://schemas.openxmlformats.org/officeDocument/2006/relationships/hyperlink" Target="http://maps.google.com/?q=43.8117,-79.0658&amp;t=k" TargetMode="External"/><Relationship Id="rId1556" Type="http://schemas.openxmlformats.org/officeDocument/2006/relationships/hyperlink" Target="http://www.iaea.org/PRIS/CountryStatistics/ReactorDetails.aspx?current=673" TargetMode="External"/><Relationship Id="rId174" Type="http://schemas.openxmlformats.org/officeDocument/2006/relationships/hyperlink" Target="http://maps.google.com/?q=22.6048,114.551&amp;t=k" TargetMode="External"/><Relationship Id="rId84" Type="http://schemas.openxmlformats.org/officeDocument/2006/relationships/hyperlink" Target="http://maps.google.com/?q=43.8117,-79.0658&amp;t=k" TargetMode="External"/><Relationship Id="rId1557" Type="http://schemas.openxmlformats.org/officeDocument/2006/relationships/hyperlink" Target="http://maps.google.com/?q=38.0606,-77.7894&amp;t=k" TargetMode="External"/><Relationship Id="rId173" Type="http://schemas.openxmlformats.org/officeDocument/2006/relationships/hyperlink" Target="http://www.iaea.org/PRIS/CountryStatistics/ReactorDetails.aspx?current=67" TargetMode="External"/><Relationship Id="rId83" Type="http://schemas.openxmlformats.org/officeDocument/2006/relationships/hyperlink" Target="http://www.iaea.org/PRIS/CountryStatistics/ReactorDetails.aspx?current=34" TargetMode="External"/><Relationship Id="rId1554" Type="http://schemas.openxmlformats.org/officeDocument/2006/relationships/hyperlink" Target="http://maps.google.com/?q=38.0606,-77.7894&amp;t=k" TargetMode="External"/><Relationship Id="rId176" Type="http://schemas.openxmlformats.org/officeDocument/2006/relationships/hyperlink" Target="http://www.iaea.org/PRIS/CountryStatistics/ReactorDetails.aspx?current=68" TargetMode="External"/><Relationship Id="rId86" Type="http://schemas.openxmlformats.org/officeDocument/2006/relationships/hyperlink" Target="http://www.iaea.org/PRIS/CountryStatistics/ReactorDetails.aspx?current=35" TargetMode="External"/><Relationship Id="rId1555" Type="http://schemas.openxmlformats.org/officeDocument/2006/relationships/hyperlink" Target="https://www.google.com/search?q=NORTH+ANNA-2+nuclear+power+plant+in+UNITED+STATES" TargetMode="External"/><Relationship Id="rId175" Type="http://schemas.openxmlformats.org/officeDocument/2006/relationships/hyperlink" Target="https://www.google.com/search?q=LING+AO-2+nuclear+power+plant+in+CHINA" TargetMode="External"/><Relationship Id="rId85" Type="http://schemas.openxmlformats.org/officeDocument/2006/relationships/hyperlink" Target="https://www.google.com/search?q=PICKERING-7+nuclear+power+plant+in+CANADA" TargetMode="External"/><Relationship Id="rId178" Type="http://schemas.openxmlformats.org/officeDocument/2006/relationships/hyperlink" Target="https://www.google.com/search?q=QINSHAN+3-1+nuclear+power+plant+in+CHINA" TargetMode="External"/><Relationship Id="rId88" Type="http://schemas.openxmlformats.org/officeDocument/2006/relationships/hyperlink" Target="https://www.google.com/search?q=PICKERING-8+nuclear+power+plant+in+CANADA" TargetMode="External"/><Relationship Id="rId177" Type="http://schemas.openxmlformats.org/officeDocument/2006/relationships/hyperlink" Target="http://maps.google.com/?q=22.6048,114.551&amp;t=k" TargetMode="External"/><Relationship Id="rId87" Type="http://schemas.openxmlformats.org/officeDocument/2006/relationships/hyperlink" Target="http://maps.google.com/?q=43.8117,-79.0658&amp;t=k" TargetMode="External"/><Relationship Id="rId1558" Type="http://schemas.openxmlformats.org/officeDocument/2006/relationships/hyperlink" Target="https://www.google.com/search?q=FERMI-2+nuclear+power+plant+in+UNITED+STATES" TargetMode="External"/><Relationship Id="rId1559" Type="http://schemas.openxmlformats.org/officeDocument/2006/relationships/hyperlink" Target="http://www.iaea.org/PRIS/CountryStatistics/ReactorDetails.aspx?current=674" TargetMode="External"/><Relationship Id="rId179" Type="http://schemas.openxmlformats.org/officeDocument/2006/relationships/hyperlink" Target="http://www.iaea.org/PRIS/CountryStatistics/ReactorDetails.aspx?current=69" TargetMode="External"/><Relationship Id="rId89" Type="http://schemas.openxmlformats.org/officeDocument/2006/relationships/hyperlink" Target="http://www.iaea.org/PRIS/CountryStatistics/ReactorDetails.aspx?current=36" TargetMode="External"/><Relationship Id="rId1520" Type="http://schemas.openxmlformats.org/officeDocument/2006/relationships/hyperlink" Target="http://www.iaea.org/PRIS/CountryStatistics/ReactorDetails.aspx?current=659" TargetMode="External"/><Relationship Id="rId588" Type="http://schemas.openxmlformats.org/officeDocument/2006/relationships/hyperlink" Target="http://maps.google.com/?q=53.417,-4.483&amp;t=k" TargetMode="External"/><Relationship Id="rId58" Type="http://schemas.openxmlformats.org/officeDocument/2006/relationships/hyperlink" Target="https://www.google.com/search?q=ANGRA-1+nuclear+power+plant+in+BRAZIL" TargetMode="External"/><Relationship Id="rId589" Type="http://schemas.openxmlformats.org/officeDocument/2006/relationships/hyperlink" Target="https://www.google.com/search?q=WYLFA-2+nuclear+power+plant+in+UNITED+KINGDOM" TargetMode="External"/><Relationship Id="rId59" Type="http://schemas.openxmlformats.org/officeDocument/2006/relationships/hyperlink" Target="http://www.iaea.org/PRIS/CountryStatistics/ReactorDetails.aspx?current=24" TargetMode="External"/><Relationship Id="rId586" Type="http://schemas.openxmlformats.org/officeDocument/2006/relationships/hyperlink" Target="https://www.google.com/search?q=WYLFA-1+nuclear+power+plant+in+UNITED+KINGDOM" TargetMode="External"/><Relationship Id="rId587" Type="http://schemas.openxmlformats.org/officeDocument/2006/relationships/hyperlink" Target="http://www.iaea.org/PRIS/CountryStatistics/ReactorDetails.aspx?current=240" TargetMode="External"/><Relationship Id="rId584" Type="http://schemas.openxmlformats.org/officeDocument/2006/relationships/hyperlink" Target="http://www.iaea.org/PRIS/CountryStatistics/ReactorDetails.aspx?current=239" TargetMode="External"/><Relationship Id="rId585" Type="http://schemas.openxmlformats.org/officeDocument/2006/relationships/hyperlink" Target="http://maps.google.com/?q=50.682,-2.261&amp;t=k" TargetMode="External"/><Relationship Id="rId582" Type="http://schemas.openxmlformats.org/officeDocument/2006/relationships/hyperlink" Target="http://maps.google.com/?q=51.6489,-2.57083&amp;t=k" TargetMode="External"/><Relationship Id="rId583" Type="http://schemas.openxmlformats.org/officeDocument/2006/relationships/hyperlink" Target="https://www.google.com/search?q=WINFRITH+SGHWR+nuclear+power+plant+in+UNITED+KINGDOM" TargetMode="External"/><Relationship Id="rId580" Type="http://schemas.openxmlformats.org/officeDocument/2006/relationships/hyperlink" Target="https://www.google.com/search?q=OLDBURY+A-2+nuclear+power+plant+in+UNITED+KINGDOM" TargetMode="External"/><Relationship Id="rId581" Type="http://schemas.openxmlformats.org/officeDocument/2006/relationships/hyperlink" Target="http://www.iaea.org/PRIS/CountryStatistics/ReactorDetails.aspx?current=238" TargetMode="External"/><Relationship Id="rId590" Type="http://schemas.openxmlformats.org/officeDocument/2006/relationships/hyperlink" Target="http://www.iaea.org/PRIS/CountryStatistics/ReactorDetails.aspx?current=241" TargetMode="External"/><Relationship Id="rId979" Type="http://schemas.openxmlformats.org/officeDocument/2006/relationships/hyperlink" Target="https://www.google.com/search?q=HANBIT-5+nuclear+power+plant+in+SOUTH+KOREA" TargetMode="External"/><Relationship Id="rId978" Type="http://schemas.openxmlformats.org/officeDocument/2006/relationships/hyperlink" Target="http://maps.google.com/?q=35.7167,129.478&amp;t=k" TargetMode="External"/><Relationship Id="rId977" Type="http://schemas.openxmlformats.org/officeDocument/2006/relationships/hyperlink" Target="http://www.iaea.org/PRIS/CountryStatistics/ReactorDetails.aspx?current=401" TargetMode="External"/><Relationship Id="rId976" Type="http://schemas.openxmlformats.org/officeDocument/2006/relationships/hyperlink" Target="https://www.google.com/search?q=WOLSONG-4+nuclear+power+plant+in+SOUTH+KOREA" TargetMode="External"/><Relationship Id="rId1529" Type="http://schemas.openxmlformats.org/officeDocument/2006/relationships/hyperlink" Target="http://www.iaea.org/PRIS/CountryStatistics/ReactorDetails.aspx?current=662" TargetMode="External"/><Relationship Id="rId975" Type="http://schemas.openxmlformats.org/officeDocument/2006/relationships/hyperlink" Target="http://maps.google.com/?q=35.7167,129.478&amp;t=k" TargetMode="External"/><Relationship Id="rId974" Type="http://schemas.openxmlformats.org/officeDocument/2006/relationships/hyperlink" Target="http://www.iaea.org/PRIS/CountryStatistics/ReactorDetails.aspx?current=400" TargetMode="External"/><Relationship Id="rId973" Type="http://schemas.openxmlformats.org/officeDocument/2006/relationships/hyperlink" Target="https://www.google.com/search?q=WOLSONG-3+nuclear+power+plant+in+SOUTH+KOREA" TargetMode="External"/><Relationship Id="rId57" Type="http://schemas.openxmlformats.org/officeDocument/2006/relationships/hyperlink" Target="http://maps.google.com/?q=43.7461,23.7706&amp;t=k" TargetMode="External"/><Relationship Id="rId972" Type="http://schemas.openxmlformats.org/officeDocument/2006/relationships/hyperlink" Target="http://maps.google.com/?q=37.0928,129.384&amp;t=k" TargetMode="External"/><Relationship Id="rId1525" Type="http://schemas.openxmlformats.org/officeDocument/2006/relationships/hyperlink" Target="https://www.google.com/search?q=BRUNSWICK-2+nuclear+power+plant+in+UNITED+STATES" TargetMode="External"/><Relationship Id="rId56" Type="http://schemas.openxmlformats.org/officeDocument/2006/relationships/hyperlink" Target="http://www.iaea.org/PRIS/CountryStatistics/ReactorDetails.aspx?current=21" TargetMode="External"/><Relationship Id="rId971" Type="http://schemas.openxmlformats.org/officeDocument/2006/relationships/hyperlink" Target="http://www.iaea.org/PRIS/CountryStatistics/ReactorDetails.aspx?current=399" TargetMode="External"/><Relationship Id="rId1526" Type="http://schemas.openxmlformats.org/officeDocument/2006/relationships/hyperlink" Target="http://www.iaea.org/PRIS/CountryStatistics/ReactorDetails.aspx?current=661" TargetMode="External"/><Relationship Id="rId55" Type="http://schemas.openxmlformats.org/officeDocument/2006/relationships/hyperlink" Target="https://www.google.com/search?q=KOZLODUY-6+nuclear+power+plant+in+BULGARIA" TargetMode="External"/><Relationship Id="rId970" Type="http://schemas.openxmlformats.org/officeDocument/2006/relationships/hyperlink" Target="https://www.google.com/search?q=HANUL-4+nuclear+power+plant+in+SOUTH+KOREA" TargetMode="External"/><Relationship Id="rId1527" Type="http://schemas.openxmlformats.org/officeDocument/2006/relationships/hyperlink" Target="http://maps.google.com/?q=33.9583,-78.0103&amp;t=k" TargetMode="External"/><Relationship Id="rId54" Type="http://schemas.openxmlformats.org/officeDocument/2006/relationships/hyperlink" Target="http://maps.google.com/?q=43.7461,23.7706&amp;t=k" TargetMode="External"/><Relationship Id="rId1528" Type="http://schemas.openxmlformats.org/officeDocument/2006/relationships/hyperlink" Target="https://www.google.com/search?q=BRUNSWICK-1+nuclear+power+plant+in+UNITED+STATES" TargetMode="External"/><Relationship Id="rId53" Type="http://schemas.openxmlformats.org/officeDocument/2006/relationships/hyperlink" Target="http://www.iaea.org/PRIS/CountryStatistics/ReactorDetails.aspx?current=20" TargetMode="External"/><Relationship Id="rId1521" Type="http://schemas.openxmlformats.org/officeDocument/2006/relationships/hyperlink" Target="http://maps.google.com/?q=40.9611,-72.865&amp;t=k" TargetMode="External"/><Relationship Id="rId52" Type="http://schemas.openxmlformats.org/officeDocument/2006/relationships/hyperlink" Target="https://www.google.com/search?q=KOZLODUY-5+nuclear+power+plant+in+BULGARIA" TargetMode="External"/><Relationship Id="rId1522" Type="http://schemas.openxmlformats.org/officeDocument/2006/relationships/hyperlink" Target="https://www.google.com/search?q=DIABLO+CANYON-2+nuclear+power+plant+in+UNITED+STATES" TargetMode="External"/><Relationship Id="rId51" Type="http://schemas.openxmlformats.org/officeDocument/2006/relationships/hyperlink" Target="http://maps.google.com/?q=43.7461,23.7706&amp;t=k" TargetMode="External"/><Relationship Id="rId1523" Type="http://schemas.openxmlformats.org/officeDocument/2006/relationships/hyperlink" Target="http://www.iaea.org/PRIS/CountryStatistics/ReactorDetails.aspx?current=660" TargetMode="External"/><Relationship Id="rId50" Type="http://schemas.openxmlformats.org/officeDocument/2006/relationships/hyperlink" Target="http://www.iaea.org/PRIS/CountryStatistics/ReactorDetails.aspx?current=19" TargetMode="External"/><Relationship Id="rId1524" Type="http://schemas.openxmlformats.org/officeDocument/2006/relationships/hyperlink" Target="http://maps.google.com/?q=35.2108,-120.856&amp;t=k" TargetMode="External"/><Relationship Id="rId1531" Type="http://schemas.openxmlformats.org/officeDocument/2006/relationships/hyperlink" Target="https://www.google.com/search?q=SEQUOYAH-1+nuclear+power+plant+in+UNITED+STATES" TargetMode="External"/><Relationship Id="rId1530" Type="http://schemas.openxmlformats.org/officeDocument/2006/relationships/hyperlink" Target="http://maps.google.com/?q=33.9583,-78.0103&amp;t=k" TargetMode="External"/><Relationship Id="rId577" Type="http://schemas.openxmlformats.org/officeDocument/2006/relationships/hyperlink" Target="https://www.google.com/search?q=OLDBURY+A-1+nuclear+power+plant+in+UNITED+KINGDOM" TargetMode="External"/><Relationship Id="rId69" Type="http://schemas.openxmlformats.org/officeDocument/2006/relationships/hyperlink" Target="http://maps.google.com/?q=46.1811,-77.6958&amp;t=k" TargetMode="External"/><Relationship Id="rId578" Type="http://schemas.openxmlformats.org/officeDocument/2006/relationships/hyperlink" Target="http://www.iaea.org/PRIS/CountryStatistics/ReactorDetails.aspx?current=237" TargetMode="External"/><Relationship Id="rId579" Type="http://schemas.openxmlformats.org/officeDocument/2006/relationships/hyperlink" Target="http://maps.google.com/?q=51.6489,-2.57083&amp;t=k" TargetMode="External"/><Relationship Id="rId573" Type="http://schemas.openxmlformats.org/officeDocument/2006/relationships/hyperlink" Target="http://maps.google.com/?q=52.215,1.61972&amp;t=k" TargetMode="External"/><Relationship Id="rId574" Type="http://schemas.openxmlformats.org/officeDocument/2006/relationships/hyperlink" Target="https://www.google.com/search?q=SIZEWELL+A-2+nuclear+power+plant+in+UNITED+KINGDOM" TargetMode="External"/><Relationship Id="rId575" Type="http://schemas.openxmlformats.org/officeDocument/2006/relationships/hyperlink" Target="http://www.iaea.org/PRIS/CountryStatistics/ReactorDetails.aspx?current=236" TargetMode="External"/><Relationship Id="rId576" Type="http://schemas.openxmlformats.org/officeDocument/2006/relationships/hyperlink" Target="http://maps.google.com/?q=52.215,1.61972&amp;t=k" TargetMode="External"/><Relationship Id="rId570" Type="http://schemas.openxmlformats.org/officeDocument/2006/relationships/hyperlink" Target="http://maps.google.com/?q=54.4205,-3.4975&amp;t=k" TargetMode="External"/><Relationship Id="rId571" Type="http://schemas.openxmlformats.org/officeDocument/2006/relationships/hyperlink" Target="https://www.google.com/search?q=SIZEWELL+A-1+nuclear+power+plant+in+UNITED+KINGDOM" TargetMode="External"/><Relationship Id="rId572" Type="http://schemas.openxmlformats.org/officeDocument/2006/relationships/hyperlink" Target="http://www.iaea.org/PRIS/CountryStatistics/ReactorDetails.aspx?current=235" TargetMode="External"/><Relationship Id="rId989" Type="http://schemas.openxmlformats.org/officeDocument/2006/relationships/hyperlink" Target="http://www.iaea.org/PRIS/CountryStatistics/ReactorDetails.aspx?current=405" TargetMode="External"/><Relationship Id="rId988" Type="http://schemas.openxmlformats.org/officeDocument/2006/relationships/hyperlink" Target="https://www.google.com/search?q=KORI-2+nuclear+power+plant+in+SOUTH+KOREA" TargetMode="External"/><Relationship Id="rId60" Type="http://schemas.openxmlformats.org/officeDocument/2006/relationships/hyperlink" Target="http://maps.google.com/?q=-23.0083,-44.4572&amp;t=k" TargetMode="External"/><Relationship Id="rId985" Type="http://schemas.openxmlformats.org/officeDocument/2006/relationships/hyperlink" Target="https://www.google.com/search?q=HANUL-5+nuclear+power+plant+in+SOUTH+KOREA" TargetMode="External"/><Relationship Id="rId984" Type="http://schemas.openxmlformats.org/officeDocument/2006/relationships/hyperlink" Target="http://maps.google.com/?q=35.415,126.424&amp;t=k" TargetMode="External"/><Relationship Id="rId987" Type="http://schemas.openxmlformats.org/officeDocument/2006/relationships/hyperlink" Target="http://maps.google.com/?q=37.0928,129.384&amp;t=k" TargetMode="External"/><Relationship Id="rId986" Type="http://schemas.openxmlformats.org/officeDocument/2006/relationships/hyperlink" Target="http://www.iaea.org/PRIS/CountryStatistics/ReactorDetails.aspx?current=404" TargetMode="External"/><Relationship Id="rId1538" Type="http://schemas.openxmlformats.org/officeDocument/2006/relationships/hyperlink" Target="http://www.iaea.org/PRIS/CountryStatistics/ReactorDetails.aspx?current=667" TargetMode="External"/><Relationship Id="rId66" Type="http://schemas.openxmlformats.org/officeDocument/2006/relationships/hyperlink" Target="http://maps.google.com/?q=-23.0083,-44.4572&amp;t=k" TargetMode="External"/><Relationship Id="rId981" Type="http://schemas.openxmlformats.org/officeDocument/2006/relationships/hyperlink" Target="http://maps.google.com/?q=35.415,126.424&amp;t=k" TargetMode="External"/><Relationship Id="rId1539" Type="http://schemas.openxmlformats.org/officeDocument/2006/relationships/hyperlink" Target="http://maps.google.com/?q=42.1006,-91.7772&amp;t=k" TargetMode="External"/><Relationship Id="rId199" Type="http://schemas.openxmlformats.org/officeDocument/2006/relationships/hyperlink" Target="https://www.google.com/search?q=VAK+KAHL+nuclear+power+plant+in+GERMANY" TargetMode="External"/><Relationship Id="rId65" Type="http://schemas.openxmlformats.org/officeDocument/2006/relationships/hyperlink" Target="http://www.iaea.org/PRIS/CountryStatistics/ReactorDetails.aspx?current=26" TargetMode="External"/><Relationship Id="rId980" Type="http://schemas.openxmlformats.org/officeDocument/2006/relationships/hyperlink" Target="http://www.iaea.org/PRIS/CountryStatistics/ReactorDetails.aspx?current=402" TargetMode="External"/><Relationship Id="rId68" Type="http://schemas.openxmlformats.org/officeDocument/2006/relationships/hyperlink" Target="http://www.iaea.org/PRIS/CountryStatistics/ReactorDetails.aspx?current=29" TargetMode="External"/><Relationship Id="rId983" Type="http://schemas.openxmlformats.org/officeDocument/2006/relationships/hyperlink" Target="http://www.iaea.org/PRIS/CountryStatistics/ReactorDetails.aspx?current=403" TargetMode="External"/><Relationship Id="rId1536" Type="http://schemas.openxmlformats.org/officeDocument/2006/relationships/hyperlink" Target="http://maps.google.com/?q=35.2264,-85.0917&amp;t=k" TargetMode="External"/><Relationship Id="rId1537" Type="http://schemas.openxmlformats.org/officeDocument/2006/relationships/hyperlink" Target="https://www.google.com/search?q=DUANE+ARNOLD-1+nuclear+power+plant+in+UNITED+STATES" TargetMode="External"/><Relationship Id="rId67" Type="http://schemas.openxmlformats.org/officeDocument/2006/relationships/hyperlink" Target="https://www.google.com/search?q=ROLPHTON+NPD+nuclear+power+plant+in+CANADA" TargetMode="External"/><Relationship Id="rId982" Type="http://schemas.openxmlformats.org/officeDocument/2006/relationships/hyperlink" Target="https://www.google.com/search?q=HANBIT-6+nuclear+power+plant+in+SOUTH+KOREA" TargetMode="External"/><Relationship Id="rId196" Type="http://schemas.openxmlformats.org/officeDocument/2006/relationships/hyperlink" Target="https://www.google.com/search?q=DUKOVANY-4+nuclear+power+plant+in+CZECH+REPUBLIC" TargetMode="External"/><Relationship Id="rId62" Type="http://schemas.openxmlformats.org/officeDocument/2006/relationships/hyperlink" Target="http://www.iaea.org/PRIS/CountryStatistics/ReactorDetails.aspx?current=25" TargetMode="External"/><Relationship Id="rId1534" Type="http://schemas.openxmlformats.org/officeDocument/2006/relationships/hyperlink" Target="https://www.google.com/search?q=SEQUOYAH-2+nuclear+power+plant+in+UNITED+STATES" TargetMode="External"/><Relationship Id="rId195" Type="http://schemas.openxmlformats.org/officeDocument/2006/relationships/hyperlink" Target="http://maps.google.com/?q=49.085,16.1489&amp;t=k" TargetMode="External"/><Relationship Id="rId61" Type="http://schemas.openxmlformats.org/officeDocument/2006/relationships/hyperlink" Target="https://www.google.com/search?q=ANGRA-2+nuclear+power+plant+in+BRAZIL" TargetMode="External"/><Relationship Id="rId1535" Type="http://schemas.openxmlformats.org/officeDocument/2006/relationships/hyperlink" Target="http://www.iaea.org/PRIS/CountryStatistics/ReactorDetails.aspx?current=664" TargetMode="External"/><Relationship Id="rId198" Type="http://schemas.openxmlformats.org/officeDocument/2006/relationships/hyperlink" Target="http://maps.google.com/?q=49.085,16.1489&amp;t=k" TargetMode="External"/><Relationship Id="rId64" Type="http://schemas.openxmlformats.org/officeDocument/2006/relationships/hyperlink" Target="https://www.google.com/search?q=ANGRA-3+nuclear+power+plant+in+BRAZIL" TargetMode="External"/><Relationship Id="rId1532" Type="http://schemas.openxmlformats.org/officeDocument/2006/relationships/hyperlink" Target="http://www.iaea.org/PRIS/CountryStatistics/ReactorDetails.aspx?current=663" TargetMode="External"/><Relationship Id="rId197" Type="http://schemas.openxmlformats.org/officeDocument/2006/relationships/hyperlink" Target="http://www.iaea.org/PRIS/CountryStatistics/ReactorDetails.aspx?current=81" TargetMode="External"/><Relationship Id="rId63" Type="http://schemas.openxmlformats.org/officeDocument/2006/relationships/hyperlink" Target="http://maps.google.com/?q=-23.0083,-44.4572&amp;t=k" TargetMode="External"/><Relationship Id="rId1533" Type="http://schemas.openxmlformats.org/officeDocument/2006/relationships/hyperlink" Target="http://maps.google.com/?q=35.2264,-85.0917&amp;t=k" TargetMode="External"/><Relationship Id="rId2" Type="http://schemas.openxmlformats.org/officeDocument/2006/relationships/hyperlink" Target="http://www.iaea.org/PRIS/CountryStatistics/ReactorDetails.aspx?current=1" TargetMode="External"/><Relationship Id="rId1" Type="http://schemas.openxmlformats.org/officeDocument/2006/relationships/hyperlink" Target="https://www.google.com/search?q=ARMENIAN-1+nuclear+power+plant+in+ARMENIA" TargetMode="External"/><Relationship Id="rId4" Type="http://schemas.openxmlformats.org/officeDocument/2006/relationships/hyperlink" Target="https://www.google.com/search?q=ARMENIAN-2+nuclear+power+plant+in+ARMENIA" TargetMode="External"/><Relationship Id="rId3" Type="http://schemas.openxmlformats.org/officeDocument/2006/relationships/hyperlink" Target="http://maps.google.com/?q=40.1808,44.1489&amp;t=k" TargetMode="External"/><Relationship Id="rId9" Type="http://schemas.openxmlformats.org/officeDocument/2006/relationships/hyperlink" Target="http://maps.google.com/?q=-33.9633,-59.1864&amp;t=k" TargetMode="External"/><Relationship Id="rId6" Type="http://schemas.openxmlformats.org/officeDocument/2006/relationships/hyperlink" Target="http://maps.google.com/?q=40.1808,44.1489&amp;t=k" TargetMode="External"/><Relationship Id="rId5" Type="http://schemas.openxmlformats.org/officeDocument/2006/relationships/hyperlink" Target="http://www.iaea.org/PRIS/CountryStatistics/ReactorDetails.aspx?current=2" TargetMode="External"/><Relationship Id="rId8" Type="http://schemas.openxmlformats.org/officeDocument/2006/relationships/hyperlink" Target="http://www.iaea.org/PRIS/CountryStatistics/ReactorDetails.aspx?current=3" TargetMode="External"/><Relationship Id="rId7" Type="http://schemas.openxmlformats.org/officeDocument/2006/relationships/hyperlink" Target="https://www.google.com/search?q=ATUCHA-1+nuclear+power+plant+in+ARGENTINA" TargetMode="External"/><Relationship Id="rId98" Type="http://schemas.openxmlformats.org/officeDocument/2006/relationships/hyperlink" Target="http://www.iaea.org/PRIS/CountryStatistics/ReactorDetails.aspx?current=39" TargetMode="External"/><Relationship Id="rId99" Type="http://schemas.openxmlformats.org/officeDocument/2006/relationships/hyperlink" Target="http://maps.google.com/?q=44.3253,-81.5994&amp;t=k" TargetMode="External"/><Relationship Id="rId94" Type="http://schemas.openxmlformats.org/officeDocument/2006/relationships/hyperlink" Target="https://www.google.com/search?q=BRUCE-5+nuclear+power+plant+in+CANADA" TargetMode="External"/><Relationship Id="rId95" Type="http://schemas.openxmlformats.org/officeDocument/2006/relationships/hyperlink" Target="http://www.iaea.org/PRIS/CountryStatistics/ReactorDetails.aspx?current=38" TargetMode="External"/><Relationship Id="rId96" Type="http://schemas.openxmlformats.org/officeDocument/2006/relationships/hyperlink" Target="http://maps.google.com/?q=44.3253,-81.5994&amp;t=k" TargetMode="External"/><Relationship Id="rId97" Type="http://schemas.openxmlformats.org/officeDocument/2006/relationships/hyperlink" Target="https://www.google.com/search?q=BRUCE-6+nuclear+power+plant+in+CANADA" TargetMode="External"/><Relationship Id="rId90" Type="http://schemas.openxmlformats.org/officeDocument/2006/relationships/hyperlink" Target="http://maps.google.com/?q=43.8117,-79.0658&amp;t=k" TargetMode="External"/><Relationship Id="rId91" Type="http://schemas.openxmlformats.org/officeDocument/2006/relationships/hyperlink" Target="https://www.google.com/search?q=POINT+LEPREAU+nuclear+power+plant+in+CANADA" TargetMode="External"/><Relationship Id="rId92" Type="http://schemas.openxmlformats.org/officeDocument/2006/relationships/hyperlink" Target="http://www.iaea.org/PRIS/CountryStatistics/ReactorDetails.aspx?current=37" TargetMode="External"/><Relationship Id="rId93" Type="http://schemas.openxmlformats.org/officeDocument/2006/relationships/hyperlink" Target="http://maps.google.com/?q=45.0689,-66.4547&amp;t=k" TargetMode="External"/><Relationship Id="rId1086" Type="http://schemas.openxmlformats.org/officeDocument/2006/relationships/hyperlink" Target="http://maps.google.com/?q=51.675,35.6056&amp;t=k" TargetMode="External"/><Relationship Id="rId1087" Type="http://schemas.openxmlformats.org/officeDocument/2006/relationships/hyperlink" Target="https://www.google.com/search?q=NOVOVORONEZH-5+nuclear+power+plant+in+RUSSIA" TargetMode="External"/><Relationship Id="rId1084" Type="http://schemas.openxmlformats.org/officeDocument/2006/relationships/hyperlink" Target="https://www.google.com/search?q=KURSK-1+nuclear+power+plant+in+RUSSIA" TargetMode="External"/><Relationship Id="rId1085" Type="http://schemas.openxmlformats.org/officeDocument/2006/relationships/hyperlink" Target="http://www.iaea.org/PRIS/CountryStatistics/ReactorDetails.aspx?current=476" TargetMode="External"/><Relationship Id="rId1088" Type="http://schemas.openxmlformats.org/officeDocument/2006/relationships/hyperlink" Target="http://www.iaea.org/PRIS/CountryStatistics/ReactorDetails.aspx?current=483" TargetMode="External"/><Relationship Id="rId1089" Type="http://schemas.openxmlformats.org/officeDocument/2006/relationships/hyperlink" Target="http://maps.google.com/?q=51.275,39.2&amp;t=k" TargetMode="External"/><Relationship Id="rId1082" Type="http://schemas.openxmlformats.org/officeDocument/2006/relationships/hyperlink" Target="http://www.iaea.org/PRIS/CountryStatistics/ReactorDetails.aspx?current=475" TargetMode="External"/><Relationship Id="rId1083" Type="http://schemas.openxmlformats.org/officeDocument/2006/relationships/hyperlink" Target="http://maps.google.com/?q=59.8472,29.0436&amp;t=k" TargetMode="External"/><Relationship Id="rId1080" Type="http://schemas.openxmlformats.org/officeDocument/2006/relationships/hyperlink" Target="http://maps.google.com/?q=59.8472,29.0436&amp;t=k" TargetMode="External"/><Relationship Id="rId1081" Type="http://schemas.openxmlformats.org/officeDocument/2006/relationships/hyperlink" Target="https://www.google.com/search?q=LENINGRAD-2+nuclear+power+plant+in+RUSSIA" TargetMode="External"/><Relationship Id="rId522" Type="http://schemas.openxmlformats.org/officeDocument/2006/relationships/hyperlink" Target="http://maps.google.com/?q=49.4158,6.21806&amp;t=k" TargetMode="External"/><Relationship Id="rId523" Type="http://schemas.openxmlformats.org/officeDocument/2006/relationships/hyperlink" Target="https://www.google.com/search?q=GOLFECH-1+nuclear+power+plant+in+FRANCE" TargetMode="External"/><Relationship Id="rId524" Type="http://schemas.openxmlformats.org/officeDocument/2006/relationships/hyperlink" Target="http://www.iaea.org/PRIS/CountryStatistics/ReactorDetails.aspx?current=219" TargetMode="External"/><Relationship Id="rId525" Type="http://schemas.openxmlformats.org/officeDocument/2006/relationships/hyperlink" Target="http://maps.google.com/?q=44.1067,0.84528&amp;t=k" TargetMode="External"/><Relationship Id="rId526" Type="http://schemas.openxmlformats.org/officeDocument/2006/relationships/hyperlink" Target="https://www.google.com/search?q=CHOOZ+B-1+nuclear+power+plant+in+FRANCE" TargetMode="External"/><Relationship Id="rId527" Type="http://schemas.openxmlformats.org/officeDocument/2006/relationships/hyperlink" Target="http://www.iaea.org/PRIS/CountryStatistics/ReactorDetails.aspx?current=220" TargetMode="External"/><Relationship Id="rId528" Type="http://schemas.openxmlformats.org/officeDocument/2006/relationships/hyperlink" Target="http://maps.google.com/?q=50.09,4.78944&amp;t=k" TargetMode="External"/><Relationship Id="rId529" Type="http://schemas.openxmlformats.org/officeDocument/2006/relationships/hyperlink" Target="https://www.google.com/search?q=PENLY-1+nuclear+power+plant+in+FRANCE" TargetMode="External"/><Relationship Id="rId520" Type="http://schemas.openxmlformats.org/officeDocument/2006/relationships/hyperlink" Target="https://www.google.com/search?q=CATTENOM-3+nuclear+power+plant+in+FRANCE" TargetMode="External"/><Relationship Id="rId521" Type="http://schemas.openxmlformats.org/officeDocument/2006/relationships/hyperlink" Target="http://www.iaea.org/PRIS/CountryStatistics/ReactorDetails.aspx?current=218" TargetMode="External"/><Relationship Id="rId1095" Type="http://schemas.openxmlformats.org/officeDocument/2006/relationships/hyperlink" Target="http://maps.google.com/?q=51.675,35.6056&amp;t=k" TargetMode="External"/><Relationship Id="rId1096" Type="http://schemas.openxmlformats.org/officeDocument/2006/relationships/hyperlink" Target="https://www.google.com/search?q=SMOLENSK-1+nuclear+power+plant+in+RUSSIA" TargetMode="External"/><Relationship Id="rId1097" Type="http://schemas.openxmlformats.org/officeDocument/2006/relationships/hyperlink" Target="http://www.iaea.org/PRIS/CountryStatistics/ReactorDetails.aspx?current=486" TargetMode="External"/><Relationship Id="rId1098" Type="http://schemas.openxmlformats.org/officeDocument/2006/relationships/hyperlink" Target="http://maps.google.com/?q=54.1692,33.2466&amp;t=k" TargetMode="External"/><Relationship Id="rId1099" Type="http://schemas.openxmlformats.org/officeDocument/2006/relationships/hyperlink" Target="https://www.google.com/search?q=SMOLENSK-2+nuclear+power+plant+in+RUSSIA" TargetMode="External"/><Relationship Id="rId519" Type="http://schemas.openxmlformats.org/officeDocument/2006/relationships/hyperlink" Target="http://maps.google.com/?q=48.3533,-3.8722&amp;t=k" TargetMode="External"/><Relationship Id="rId1090" Type="http://schemas.openxmlformats.org/officeDocument/2006/relationships/hyperlink" Target="https://www.google.com/search?q=BELOYARSK-3+nuclear+power+plant+in+RUSSIA" TargetMode="External"/><Relationship Id="rId1091" Type="http://schemas.openxmlformats.org/officeDocument/2006/relationships/hyperlink" Target="http://www.iaea.org/PRIS/CountryStatistics/ReactorDetails.aspx?current=484" TargetMode="External"/><Relationship Id="rId1092" Type="http://schemas.openxmlformats.org/officeDocument/2006/relationships/hyperlink" Target="http://maps.google.com/?q=56.8417,61.3225&amp;t=k" TargetMode="External"/><Relationship Id="rId1093" Type="http://schemas.openxmlformats.org/officeDocument/2006/relationships/hyperlink" Target="https://www.google.com/search?q=KURSK-2+nuclear+power+plant+in+RUSSIA" TargetMode="External"/><Relationship Id="rId1094" Type="http://schemas.openxmlformats.org/officeDocument/2006/relationships/hyperlink" Target="http://www.iaea.org/PRIS/CountryStatistics/ReactorDetails.aspx?current=485" TargetMode="External"/><Relationship Id="rId513" Type="http://schemas.openxmlformats.org/officeDocument/2006/relationships/hyperlink" Target="http://maps.google.com/?q=48.5153,3.51778&amp;t=k" TargetMode="External"/><Relationship Id="rId514" Type="http://schemas.openxmlformats.org/officeDocument/2006/relationships/hyperlink" Target="https://www.google.com/search?q=NOGENT-2+nuclear+power+plant+in+FRANCE" TargetMode="External"/><Relationship Id="rId511" Type="http://schemas.openxmlformats.org/officeDocument/2006/relationships/hyperlink" Target="https://www.google.com/search?q=NOGENT-1+nuclear+power+plant+in+FRANCE" TargetMode="External"/><Relationship Id="rId512" Type="http://schemas.openxmlformats.org/officeDocument/2006/relationships/hyperlink" Target="http://www.iaea.org/PRIS/CountryStatistics/ReactorDetails.aspx?current=215" TargetMode="External"/><Relationship Id="rId517" Type="http://schemas.openxmlformats.org/officeDocument/2006/relationships/hyperlink" Target="https://www.google.com/search?q=EL-4+(MONTS+DARREE)+nuclear+power+plant+in+FRANCE" TargetMode="External"/><Relationship Id="rId518" Type="http://schemas.openxmlformats.org/officeDocument/2006/relationships/hyperlink" Target="http://www.iaea.org/PRIS/CountryStatistics/ReactorDetails.aspx?current=217" TargetMode="External"/><Relationship Id="rId515" Type="http://schemas.openxmlformats.org/officeDocument/2006/relationships/hyperlink" Target="http://www.iaea.org/PRIS/CountryStatistics/ReactorDetails.aspx?current=216" TargetMode="External"/><Relationship Id="rId516" Type="http://schemas.openxmlformats.org/officeDocument/2006/relationships/hyperlink" Target="http://maps.google.com/?q=48.5153,3.51778&amp;t=k" TargetMode="External"/><Relationship Id="rId510" Type="http://schemas.openxmlformats.org/officeDocument/2006/relationships/hyperlink" Target="http://maps.google.com/?q=47.2325,0.1703&amp;t=k" TargetMode="External"/><Relationship Id="rId509" Type="http://schemas.openxmlformats.org/officeDocument/2006/relationships/hyperlink" Target="http://www.iaea.org/PRIS/CountryStatistics/ReactorDetails.aspx?current=214" TargetMode="External"/><Relationship Id="rId508" Type="http://schemas.openxmlformats.org/officeDocument/2006/relationships/hyperlink" Target="https://www.google.com/search?q=CHINON+B-4+nuclear+power+plant+in+FRANCE" TargetMode="External"/><Relationship Id="rId504" Type="http://schemas.openxmlformats.org/officeDocument/2006/relationships/hyperlink" Target="http://maps.google.com/?q=47.5097,2.875&amp;t=k" TargetMode="External"/><Relationship Id="rId505" Type="http://schemas.openxmlformats.org/officeDocument/2006/relationships/hyperlink" Target="https://www.google.com/search?q=CHINON+B-3+nuclear+power+plant+in+FRANCE" TargetMode="External"/><Relationship Id="rId506" Type="http://schemas.openxmlformats.org/officeDocument/2006/relationships/hyperlink" Target="http://www.iaea.org/PRIS/CountryStatistics/ReactorDetails.aspx?current=213" TargetMode="External"/><Relationship Id="rId507" Type="http://schemas.openxmlformats.org/officeDocument/2006/relationships/hyperlink" Target="http://maps.google.com/?q=47.2325,0.1703&amp;t=k" TargetMode="External"/><Relationship Id="rId500" Type="http://schemas.openxmlformats.org/officeDocument/2006/relationships/hyperlink" Target="http://www.iaea.org/PRIS/CountryStatistics/ReactorDetails.aspx?current=211" TargetMode="External"/><Relationship Id="rId501" Type="http://schemas.openxmlformats.org/officeDocument/2006/relationships/hyperlink" Target="http://maps.google.com/?q=47.5097,2.875&amp;t=k" TargetMode="External"/><Relationship Id="rId502" Type="http://schemas.openxmlformats.org/officeDocument/2006/relationships/hyperlink" Target="https://www.google.com/search?q=BELLEVILLE-2+nuclear+power+plant+in+FRANCE" TargetMode="External"/><Relationship Id="rId503" Type="http://schemas.openxmlformats.org/officeDocument/2006/relationships/hyperlink" Target="http://www.iaea.org/PRIS/CountryStatistics/ReactorDetails.aspx?current=212" TargetMode="External"/><Relationship Id="rId1171" Type="http://schemas.openxmlformats.org/officeDocument/2006/relationships/hyperlink" Target="https://www.google.com/search?q=BALAKOVO-4+nuclear+power+plant+in+RUSSIA" TargetMode="External"/><Relationship Id="rId1170" Type="http://schemas.openxmlformats.org/officeDocument/2006/relationships/hyperlink" Target="http://maps.google.com/?q=52.0911,47.9553&amp;t=k" TargetMode="External"/><Relationship Id="rId1179" Type="http://schemas.openxmlformats.org/officeDocument/2006/relationships/hyperlink" Target="http://maps.google.com/?q=57.2597,12.1108&amp;t=k" TargetMode="External"/><Relationship Id="rId1981" Type="http://schemas.openxmlformats.org/officeDocument/2006/relationships/drawing" Target="../drawings/worksheetdrawing2.xml"/><Relationship Id="rId1178" Type="http://schemas.openxmlformats.org/officeDocument/2006/relationships/hyperlink" Target="http://www.iaea.org/PRIS/CountryStatistics/ReactorDetails.aspx?current=529" TargetMode="External"/><Relationship Id="rId1980" Type="http://schemas.openxmlformats.org/officeDocument/2006/relationships/hyperlink" Target="http://maps.google.com/?q=54.7583,26.0917&amp;t=k" TargetMode="External"/><Relationship Id="rId1177" Type="http://schemas.openxmlformats.org/officeDocument/2006/relationships/hyperlink" Target="https://www.google.com/search?q=RINGHALS-4+nuclear+power+plant+in+SWEDEN" TargetMode="External"/><Relationship Id="rId1176" Type="http://schemas.openxmlformats.org/officeDocument/2006/relationships/hyperlink" Target="http://maps.google.com/?q=59.206,18.0829&amp;t=k" TargetMode="External"/><Relationship Id="rId1175" Type="http://schemas.openxmlformats.org/officeDocument/2006/relationships/hyperlink" Target="http://www.iaea.org/PRIS/CountryStatistics/ReactorDetails.aspx?current=528" TargetMode="External"/><Relationship Id="rId1174" Type="http://schemas.openxmlformats.org/officeDocument/2006/relationships/hyperlink" Target="https://www.google.com/search?q=AGESTA+nuclear+power+plant+in+SWEDEN" TargetMode="External"/><Relationship Id="rId1173" Type="http://schemas.openxmlformats.org/officeDocument/2006/relationships/hyperlink" Target="http://maps.google.com/?q=52.0911,47.9553&amp;t=k" TargetMode="External"/><Relationship Id="rId1172" Type="http://schemas.openxmlformats.org/officeDocument/2006/relationships/hyperlink" Target="http://www.iaea.org/PRIS/CountryStatistics/ReactorDetails.aspx?current=527" TargetMode="External"/><Relationship Id="rId1169" Type="http://schemas.openxmlformats.org/officeDocument/2006/relationships/hyperlink" Target="http://www.iaea.org/PRIS/CountryStatistics/ReactorDetails.aspx?current=526" TargetMode="External"/><Relationship Id="rId1160" Type="http://schemas.openxmlformats.org/officeDocument/2006/relationships/hyperlink" Target="http://www.iaea.org/PRIS/CountryStatistics/ReactorDetails.aspx?current=519" TargetMode="External"/><Relationship Id="rId1166" Type="http://schemas.openxmlformats.org/officeDocument/2006/relationships/hyperlink" Target="http://www.iaea.org/PRIS/CountryStatistics/ReactorDetails.aspx?current=525" TargetMode="External"/><Relationship Id="rId1165" Type="http://schemas.openxmlformats.org/officeDocument/2006/relationships/hyperlink" Target="https://www.google.com/search?q=BALAKOVO-2+nuclear+power+plant+in+RUSSIA" TargetMode="External"/><Relationship Id="rId1168" Type="http://schemas.openxmlformats.org/officeDocument/2006/relationships/hyperlink" Target="https://www.google.com/search?q=BALAKOVO-3+nuclear+power+plant+in+RUSSIA" TargetMode="External"/><Relationship Id="rId1167" Type="http://schemas.openxmlformats.org/officeDocument/2006/relationships/hyperlink" Target="http://maps.google.com/?q=52.0911,47.9553&amp;t=k" TargetMode="External"/><Relationship Id="rId1162" Type="http://schemas.openxmlformats.org/officeDocument/2006/relationships/hyperlink" Target="https://www.google.com/search?q=BALAKOVO-1+nuclear+power+plant+in+RUSSIA" TargetMode="External"/><Relationship Id="rId1161" Type="http://schemas.openxmlformats.org/officeDocument/2006/relationships/hyperlink" Target="http://maps.google.com/?q=51.275,39.2&amp;t=k" TargetMode="External"/><Relationship Id="rId1164" Type="http://schemas.openxmlformats.org/officeDocument/2006/relationships/hyperlink" Target="http://maps.google.com/?q=52.0911,47.9553&amp;t=k" TargetMode="External"/><Relationship Id="rId1163" Type="http://schemas.openxmlformats.org/officeDocument/2006/relationships/hyperlink" Target="http://www.iaea.org/PRIS/CountryStatistics/ReactorDetails.aspx?current=524" TargetMode="External"/><Relationship Id="rId1963" Type="http://schemas.openxmlformats.org/officeDocument/2006/relationships/hyperlink" Target="https://www.google.com/search?q=BARAKAH-1+nuclear+power+plant+in+UNITED+ARAB+EMIRATES" TargetMode="External"/><Relationship Id="rId1964" Type="http://schemas.openxmlformats.org/officeDocument/2006/relationships/hyperlink" Target="http://www.iaea.org/PRIS/CountryStatistics/ReactorDetails.aspx?current=1050" TargetMode="External"/><Relationship Id="rId1961" Type="http://schemas.openxmlformats.org/officeDocument/2006/relationships/hyperlink" Target="http://www.iaea.org/PRIS/CountryStatistics/ReactorDetails.aspx?current=1047" TargetMode="External"/><Relationship Id="rId1962" Type="http://schemas.openxmlformats.org/officeDocument/2006/relationships/hyperlink" Target="http://maps.google.com/?q=39.7409,116.03&amp;t=k" TargetMode="External"/><Relationship Id="rId1967" Type="http://schemas.openxmlformats.org/officeDocument/2006/relationships/hyperlink" Target="http://www.iaea.org/PRIS/CountryStatistics/ReactorDetails.aspx?current=1051" TargetMode="External"/><Relationship Id="rId1968" Type="http://schemas.openxmlformats.org/officeDocument/2006/relationships/hyperlink" Target="http://maps.google.com/?q=23.9849,52.2837&amp;t=k" TargetMode="External"/><Relationship Id="rId1965" Type="http://schemas.openxmlformats.org/officeDocument/2006/relationships/hyperlink" Target="http://maps.google.com/?q=23.9849,52.2837&amp;t=k" TargetMode="External"/><Relationship Id="rId1966" Type="http://schemas.openxmlformats.org/officeDocument/2006/relationships/hyperlink" Target="https://www.google.com/search?q=BARAKAH-2+nuclear+power+plant+in+UNITED+ARAB+EMIRATES" TargetMode="External"/><Relationship Id="rId1969" Type="http://schemas.openxmlformats.org/officeDocument/2006/relationships/hyperlink" Target="https://www.google.com/search?q=BARAKAH-3+nuclear+power+plant+in+UNITED+ARAB+EMIRATES" TargetMode="External"/><Relationship Id="rId1193" Type="http://schemas.openxmlformats.org/officeDocument/2006/relationships/hyperlink" Target="http://www.iaea.org/PRIS/CountryStatistics/ReactorDetails.aspx?current=535" TargetMode="External"/><Relationship Id="rId1192" Type="http://schemas.openxmlformats.org/officeDocument/2006/relationships/hyperlink" Target="https://www.google.com/search?q=OSKARSHAMN-2+nuclear+power+plant+in+SWEDEN" TargetMode="External"/><Relationship Id="rId1191" Type="http://schemas.openxmlformats.org/officeDocument/2006/relationships/hyperlink" Target="http://maps.google.com/?q=57.4156,16.6711&amp;t=k" TargetMode="External"/><Relationship Id="rId1190" Type="http://schemas.openxmlformats.org/officeDocument/2006/relationships/hyperlink" Target="http://www.iaea.org/PRIS/CountryStatistics/ReactorDetails.aspx?current=534" TargetMode="External"/><Relationship Id="rId1197" Type="http://schemas.openxmlformats.org/officeDocument/2006/relationships/hyperlink" Target="http://maps.google.com/?q=57.2597,12.1108&amp;t=k" TargetMode="External"/><Relationship Id="rId1196" Type="http://schemas.openxmlformats.org/officeDocument/2006/relationships/hyperlink" Target="http://www.iaea.org/PRIS/CountryStatistics/ReactorDetails.aspx?current=536" TargetMode="External"/><Relationship Id="rId1195" Type="http://schemas.openxmlformats.org/officeDocument/2006/relationships/hyperlink" Target="https://www.google.com/search?q=RINGHALS-1+nuclear+power+plant+in+SWEDEN" TargetMode="External"/><Relationship Id="rId1194" Type="http://schemas.openxmlformats.org/officeDocument/2006/relationships/hyperlink" Target="http://maps.google.com/?q=57.4156,16.6711&amp;t=k" TargetMode="External"/><Relationship Id="rId1960" Type="http://schemas.openxmlformats.org/officeDocument/2006/relationships/hyperlink" Target="https://www.google.com/search?q=CEFR+nuclear+power+plant+in+CHINA" TargetMode="External"/><Relationship Id="rId1199" Type="http://schemas.openxmlformats.org/officeDocument/2006/relationships/hyperlink" Target="http://www.iaea.org/PRIS/CountryStatistics/ReactorDetails.aspx?current=537" TargetMode="External"/><Relationship Id="rId1198" Type="http://schemas.openxmlformats.org/officeDocument/2006/relationships/hyperlink" Target="https://www.google.com/search?q=RINGHALS-2+nuclear+power+plant+in+SWEDEN" TargetMode="External"/><Relationship Id="rId1972" Type="http://schemas.openxmlformats.org/officeDocument/2006/relationships/hyperlink" Target="https://www.google.com/search?q=CAREM25+nuclear+power+plant+in+ARGENTINA" TargetMode="External"/><Relationship Id="rId1973" Type="http://schemas.openxmlformats.org/officeDocument/2006/relationships/hyperlink" Target="http://www.iaea.org/PRIS/CountryStatistics/ReactorDetails.aspx?current=1055" TargetMode="External"/><Relationship Id="rId1974" Type="http://schemas.openxmlformats.org/officeDocument/2006/relationships/hyperlink" Target="http://maps.google.com/?q=0,0&amp;t=k" TargetMode="External"/><Relationship Id="rId1975" Type="http://schemas.openxmlformats.org/officeDocument/2006/relationships/hyperlink" Target="https://www.google.com/search?q=BELARUSIAN-1+nuclear+power+plant+in+BELARUS" TargetMode="External"/><Relationship Id="rId1976" Type="http://schemas.openxmlformats.org/officeDocument/2006/relationships/hyperlink" Target="http://www.iaea.org/PRIS/CountryStatistics/ReactorDetails.aspx?current=1056" TargetMode="External"/><Relationship Id="rId1977" Type="http://schemas.openxmlformats.org/officeDocument/2006/relationships/hyperlink" Target="http://maps.google.com/?q=54.7583,26.0917&amp;t=k" TargetMode="External"/><Relationship Id="rId1978" Type="http://schemas.openxmlformats.org/officeDocument/2006/relationships/hyperlink" Target="https://www.google.com/search?q=BELARUSIAN-2+nuclear+power+plant+in+BELARUS" TargetMode="External"/><Relationship Id="rId1979" Type="http://schemas.openxmlformats.org/officeDocument/2006/relationships/hyperlink" Target="http://www.iaea.org/PRIS/CountryStatistics/ReactorDetails.aspx?current=1061" TargetMode="External"/><Relationship Id="rId1180" Type="http://schemas.openxmlformats.org/officeDocument/2006/relationships/hyperlink" Target="https://www.google.com/search?q=FORSMARK-2+nuclear+power+plant+in+SWEDEN" TargetMode="External"/><Relationship Id="rId1182" Type="http://schemas.openxmlformats.org/officeDocument/2006/relationships/hyperlink" Target="http://maps.google.com/?q=60.4033,18.1667&amp;t=k" TargetMode="External"/><Relationship Id="rId1181" Type="http://schemas.openxmlformats.org/officeDocument/2006/relationships/hyperlink" Target="http://www.iaea.org/PRIS/CountryStatistics/ReactorDetails.aspx?current=530" TargetMode="External"/><Relationship Id="rId1184" Type="http://schemas.openxmlformats.org/officeDocument/2006/relationships/hyperlink" Target="http://www.iaea.org/PRIS/CountryStatistics/ReactorDetails.aspx?current=531" TargetMode="External"/><Relationship Id="rId1183" Type="http://schemas.openxmlformats.org/officeDocument/2006/relationships/hyperlink" Target="https://www.google.com/search?q=OSKARSHAMN-3+nuclear+power+plant+in+SWEDEN" TargetMode="External"/><Relationship Id="rId1186" Type="http://schemas.openxmlformats.org/officeDocument/2006/relationships/hyperlink" Target="https://www.google.com/search?q=FORSMARK-3+nuclear+power+plant+in+SWEDEN" TargetMode="External"/><Relationship Id="rId1185" Type="http://schemas.openxmlformats.org/officeDocument/2006/relationships/hyperlink" Target="http://maps.google.com/?q=57.4156,16.6711&amp;t=k" TargetMode="External"/><Relationship Id="rId1188" Type="http://schemas.openxmlformats.org/officeDocument/2006/relationships/hyperlink" Target="http://maps.google.com/?q=60.4033,18.1667&amp;t=k" TargetMode="External"/><Relationship Id="rId1187" Type="http://schemas.openxmlformats.org/officeDocument/2006/relationships/hyperlink" Target="http://www.iaea.org/PRIS/CountryStatistics/ReactorDetails.aspx?current=532" TargetMode="External"/><Relationship Id="rId1971" Type="http://schemas.openxmlformats.org/officeDocument/2006/relationships/hyperlink" Target="http://maps.google.com/?q=23.9849,52.2837&amp;t=k" TargetMode="External"/><Relationship Id="rId1970" Type="http://schemas.openxmlformats.org/officeDocument/2006/relationships/hyperlink" Target="http://www.iaea.org/PRIS/CountryStatistics/ReactorDetails.aspx?current=1052" TargetMode="External"/><Relationship Id="rId1189" Type="http://schemas.openxmlformats.org/officeDocument/2006/relationships/hyperlink" Target="https://www.google.com/search?q=OSKARSHAMN-1+nuclear+power+plant+in+SWEDEN" TargetMode="External"/><Relationship Id="rId1949" Type="http://schemas.openxmlformats.org/officeDocument/2006/relationships/hyperlink" Target="http://www.iaea.org/PRIS/CountryStatistics/ReactorDetails.aspx?current=1042" TargetMode="External"/><Relationship Id="rId1948" Type="http://schemas.openxmlformats.org/officeDocument/2006/relationships/hyperlink" Target="https://www.google.com/search?q=VOGTLE-3+nuclear+power+plant+in+UNITED+STATES" TargetMode="External"/><Relationship Id="rId1947" Type="http://schemas.openxmlformats.org/officeDocument/2006/relationships/hyperlink" Target="http://maps.google.com/?q=34.2986,-81.3147&amp;t=k" TargetMode="External"/><Relationship Id="rId1946" Type="http://schemas.openxmlformats.org/officeDocument/2006/relationships/hyperlink" Target="http://www.iaea.org/PRIS/CountryStatistics/ReactorDetails.aspx?current=1039" TargetMode="External"/><Relationship Id="rId1945" Type="http://schemas.openxmlformats.org/officeDocument/2006/relationships/hyperlink" Target="https://www.google.com/search?q=SUMMER-3+nuclear+power+plant+in+UNITED+STATES" TargetMode="External"/><Relationship Id="rId1944" Type="http://schemas.openxmlformats.org/officeDocument/2006/relationships/hyperlink" Target="http://maps.google.com/?q=34.2986,-81.3147&amp;t=k" TargetMode="External"/><Relationship Id="rId1943" Type="http://schemas.openxmlformats.org/officeDocument/2006/relationships/hyperlink" Target="http://www.iaea.org/PRIS/CountryStatistics/ReactorDetails.aspx?current=1038" TargetMode="External"/><Relationship Id="rId1942" Type="http://schemas.openxmlformats.org/officeDocument/2006/relationships/hyperlink" Target="https://www.google.com/search?q=SUMMER-2+nuclear+power+plant+in+UNITED+STATES" TargetMode="External"/><Relationship Id="rId1139" Type="http://schemas.openxmlformats.org/officeDocument/2006/relationships/hyperlink" Target="http://www.iaea.org/PRIS/CountryStatistics/ReactorDetails.aspx?current=502" TargetMode="External"/><Relationship Id="rId1941" Type="http://schemas.openxmlformats.org/officeDocument/2006/relationships/hyperlink" Target="http://maps.google.com/?q=21.2386,73.35&amp;t=k" TargetMode="External"/><Relationship Id="rId1138" Type="http://schemas.openxmlformats.org/officeDocument/2006/relationships/hyperlink" Target="https://www.google.com/search?q=ROSTOV-1+nuclear+power+plant+in+RUSSIA" TargetMode="External"/><Relationship Id="rId1940" Type="http://schemas.openxmlformats.org/officeDocument/2006/relationships/hyperlink" Target="http://www.iaea.org/PRIS/CountryStatistics/ReactorDetails.aspx?current=987" TargetMode="External"/><Relationship Id="rId1137" Type="http://schemas.openxmlformats.org/officeDocument/2006/relationships/hyperlink" Target="http://maps.google.com/?q=51.275,39.2&amp;t=k" TargetMode="External"/><Relationship Id="rId1136" Type="http://schemas.openxmlformats.org/officeDocument/2006/relationships/hyperlink" Target="http://www.iaea.org/PRIS/CountryStatistics/ReactorDetails.aspx?current=499" TargetMode="External"/><Relationship Id="rId1134" Type="http://schemas.openxmlformats.org/officeDocument/2006/relationships/hyperlink" Target="http://maps.google.com/?q=51.675,35.6056&amp;t=k" TargetMode="External"/><Relationship Id="rId1135" Type="http://schemas.openxmlformats.org/officeDocument/2006/relationships/hyperlink" Target="https://www.google.com/search?q=NOVOVORONEZH-1+nuclear+power+plant+in+RUSSIA" TargetMode="External"/><Relationship Id="rId1132" Type="http://schemas.openxmlformats.org/officeDocument/2006/relationships/hyperlink" Target="https://www.google.com/search?q=KURSK-4+nuclear+power+plant+in+RUSSIA" TargetMode="External"/><Relationship Id="rId1133" Type="http://schemas.openxmlformats.org/officeDocument/2006/relationships/hyperlink" Target="http://www.iaea.org/PRIS/CountryStatistics/ReactorDetails.aspx?current=498" TargetMode="External"/><Relationship Id="rId1130" Type="http://schemas.openxmlformats.org/officeDocument/2006/relationships/hyperlink" Target="http://www.iaea.org/PRIS/CountryStatistics/ReactorDetails.aspx?current=497" TargetMode="External"/><Relationship Id="rId1131" Type="http://schemas.openxmlformats.org/officeDocument/2006/relationships/hyperlink" Target="http://maps.google.com/?q=51.675,35.6056&amp;t=k" TargetMode="External"/><Relationship Id="rId1959" Type="http://schemas.openxmlformats.org/officeDocument/2006/relationships/hyperlink" Target="http://maps.google.com/?q=32.3903,71.4625&amp;t=k" TargetMode="External"/><Relationship Id="rId1958" Type="http://schemas.openxmlformats.org/officeDocument/2006/relationships/hyperlink" Target="http://www.iaea.org/PRIS/CountryStatistics/ReactorDetails.aspx?current=1045" TargetMode="External"/><Relationship Id="rId1955" Type="http://schemas.openxmlformats.org/officeDocument/2006/relationships/hyperlink" Target="http://www.iaea.org/PRIS/CountryStatistics/ReactorDetails.aspx?current=1044" TargetMode="External"/><Relationship Id="rId1954" Type="http://schemas.openxmlformats.org/officeDocument/2006/relationships/hyperlink" Target="https://www.google.com/search?q=CHASNUPP-3+nuclear+power+plant+in+PAKISTAN" TargetMode="External"/><Relationship Id="rId1129" Type="http://schemas.openxmlformats.org/officeDocument/2006/relationships/hyperlink" Target="https://www.google.com/search?q=KURSK-3+nuclear+power+plant+in+RUSSIA" TargetMode="External"/><Relationship Id="rId1957" Type="http://schemas.openxmlformats.org/officeDocument/2006/relationships/hyperlink" Target="https://www.google.com/search?q=CHASNUPP-4+nuclear+power+plant+in+PAKISTAN" TargetMode="External"/><Relationship Id="rId1956" Type="http://schemas.openxmlformats.org/officeDocument/2006/relationships/hyperlink" Target="http://maps.google.com/?q=32.3903,71.4625&amp;t=k" TargetMode="External"/><Relationship Id="rId1951" Type="http://schemas.openxmlformats.org/officeDocument/2006/relationships/hyperlink" Target="https://www.google.com/search?q=VOGTLE-4+nuclear+power+plant+in+UNITED+STATES" TargetMode="External"/><Relationship Id="rId1126" Type="http://schemas.openxmlformats.org/officeDocument/2006/relationships/hyperlink" Target="https://www.google.com/search?q=KALININ-4+nuclear+power+plant+in+RUSSIA" TargetMode="External"/><Relationship Id="rId1950" Type="http://schemas.openxmlformats.org/officeDocument/2006/relationships/hyperlink" Target="http://maps.google.com/?q=33.1433,-81.7606&amp;t=k" TargetMode="External"/><Relationship Id="rId1125" Type="http://schemas.openxmlformats.org/officeDocument/2006/relationships/hyperlink" Target="http://maps.google.com/?q=57.9056,35.0603&amp;t=k" TargetMode="External"/><Relationship Id="rId1953" Type="http://schemas.openxmlformats.org/officeDocument/2006/relationships/hyperlink" Target="http://maps.google.com/?q=33.1433,-81.7606&amp;t=k" TargetMode="External"/><Relationship Id="rId1128" Type="http://schemas.openxmlformats.org/officeDocument/2006/relationships/hyperlink" Target="http://maps.google.com/?q=57.9056,35.0603&amp;t=k" TargetMode="External"/><Relationship Id="rId1952" Type="http://schemas.openxmlformats.org/officeDocument/2006/relationships/hyperlink" Target="http://www.iaea.org/PRIS/CountryStatistics/ReactorDetails.aspx?current=1043" TargetMode="External"/><Relationship Id="rId1127" Type="http://schemas.openxmlformats.org/officeDocument/2006/relationships/hyperlink" Target="http://www.iaea.org/PRIS/CountryStatistics/ReactorDetails.aspx?current=496" TargetMode="External"/><Relationship Id="rId1121" Type="http://schemas.openxmlformats.org/officeDocument/2006/relationships/hyperlink" Target="http://www.iaea.org/PRIS/CountryStatistics/ReactorDetails.aspx?current=494" TargetMode="External"/><Relationship Id="rId1122" Type="http://schemas.openxmlformats.org/officeDocument/2006/relationships/hyperlink" Target="http://maps.google.com/?q=59.8472,29.0436&amp;t=k" TargetMode="External"/><Relationship Id="rId1123" Type="http://schemas.openxmlformats.org/officeDocument/2006/relationships/hyperlink" Target="https://www.google.com/search?q=KALININ-3+nuclear+power+plant+in+RUSSIA" TargetMode="External"/><Relationship Id="rId1124" Type="http://schemas.openxmlformats.org/officeDocument/2006/relationships/hyperlink" Target="http://www.iaea.org/PRIS/CountryStatistics/ReactorDetails.aspx?current=495" TargetMode="External"/><Relationship Id="rId1120" Type="http://schemas.openxmlformats.org/officeDocument/2006/relationships/hyperlink" Target="https://www.google.com/search?q=LENINGRAD-4+nuclear+power+plant+in+RUSSIA" TargetMode="External"/><Relationship Id="rId1928" Type="http://schemas.openxmlformats.org/officeDocument/2006/relationships/hyperlink" Target="http://www.iaea.org/PRIS/CountryStatistics/ReactorDetails.aspx?current=968" TargetMode="External"/><Relationship Id="rId1927" Type="http://schemas.openxmlformats.org/officeDocument/2006/relationships/hyperlink" Target="https://www.google.com/search?q=BALTIC-1+nuclear+power+plant+in+RUSSIA" TargetMode="External"/><Relationship Id="rId1926" Type="http://schemas.openxmlformats.org/officeDocument/2006/relationships/hyperlink" Target="http://maps.google.com/?q=46.6928,6.8275&amp;t=k" TargetMode="External"/><Relationship Id="rId1925" Type="http://schemas.openxmlformats.org/officeDocument/2006/relationships/hyperlink" Target="http://www.iaea.org/PRIS/CountryStatistics/ReactorDetails.aspx?current=966" TargetMode="External"/><Relationship Id="rId1929" Type="http://schemas.openxmlformats.org/officeDocument/2006/relationships/hyperlink" Target="http://maps.google.com/?q=54.9389,22.1611&amp;t=k" TargetMode="External"/><Relationship Id="rId1920" Type="http://schemas.openxmlformats.org/officeDocument/2006/relationships/hyperlink" Target="http://maps.google.com/?q=21.667,108.567&amp;t=k" TargetMode="External"/><Relationship Id="rId1159" Type="http://schemas.openxmlformats.org/officeDocument/2006/relationships/hyperlink" Target="https://www.google.com/search?q=NOVOVORONEZH-3+nuclear+power+plant+in+RUSSIA" TargetMode="External"/><Relationship Id="rId1158" Type="http://schemas.openxmlformats.org/officeDocument/2006/relationships/hyperlink" Target="http://maps.google.com/?q=51.275,39.2&amp;t=k" TargetMode="External"/><Relationship Id="rId1924" Type="http://schemas.openxmlformats.org/officeDocument/2006/relationships/hyperlink" Target="https://www.google.com/search?q=LUCENS+nuclear+power+plant+in+SWITZERLAND" TargetMode="External"/><Relationship Id="rId1923" Type="http://schemas.openxmlformats.org/officeDocument/2006/relationships/hyperlink" Target="http://maps.google.com/?q=22.5972,114.544&amp;t=k" TargetMode="External"/><Relationship Id="rId1922" Type="http://schemas.openxmlformats.org/officeDocument/2006/relationships/hyperlink" Target="http://www.iaea.org/PRIS/CountryStatistics/ReactorDetails.aspx?current=957" TargetMode="External"/><Relationship Id="rId1921" Type="http://schemas.openxmlformats.org/officeDocument/2006/relationships/hyperlink" Target="https://www.google.com/search?q=SHIDAO+BAY-1+nuclear+power+plant+in+CHINA" TargetMode="External"/><Relationship Id="rId1152" Type="http://schemas.openxmlformats.org/officeDocument/2006/relationships/hyperlink" Target="http://maps.google.com/?q=47.5993,42.3719&amp;t=k" TargetMode="External"/><Relationship Id="rId1153" Type="http://schemas.openxmlformats.org/officeDocument/2006/relationships/hyperlink" Target="https://www.google.com/search?q=SMOLENSK-3+nuclear+power+plant+in+RUSSIA" TargetMode="External"/><Relationship Id="rId1150" Type="http://schemas.openxmlformats.org/officeDocument/2006/relationships/hyperlink" Target="https://www.google.com/search?q=ROSTOV-4+nuclear+power+plant+in+RUSSIA" TargetMode="External"/><Relationship Id="rId1151" Type="http://schemas.openxmlformats.org/officeDocument/2006/relationships/hyperlink" Target="http://www.iaea.org/PRIS/CountryStatistics/ReactorDetails.aspx?current=507" TargetMode="External"/><Relationship Id="rId1156" Type="http://schemas.openxmlformats.org/officeDocument/2006/relationships/hyperlink" Target="https://www.google.com/search?q=NOVOVORONEZH-2+nuclear+power+plant+in+RUSSIA" TargetMode="External"/><Relationship Id="rId1157" Type="http://schemas.openxmlformats.org/officeDocument/2006/relationships/hyperlink" Target="http://www.iaea.org/PRIS/CountryStatistics/ReactorDetails.aspx?current=513" TargetMode="External"/><Relationship Id="rId1154" Type="http://schemas.openxmlformats.org/officeDocument/2006/relationships/hyperlink" Target="http://www.iaea.org/PRIS/CountryStatistics/ReactorDetails.aspx?current=508" TargetMode="External"/><Relationship Id="rId1155" Type="http://schemas.openxmlformats.org/officeDocument/2006/relationships/hyperlink" Target="http://maps.google.com/?q=54.1692,33.2466&amp;t=k" TargetMode="External"/><Relationship Id="rId1937" Type="http://schemas.openxmlformats.org/officeDocument/2006/relationships/hyperlink" Target="http://www.iaea.org/PRIS/CountryStatistics/ReactorDetails.aspx?current=986" TargetMode="External"/><Relationship Id="rId1936" Type="http://schemas.openxmlformats.org/officeDocument/2006/relationships/hyperlink" Target="https://www.google.com/search?q=KAKRAPAR-3+nuclear+power+plant+in+INDIA" TargetMode="External"/><Relationship Id="rId1939" Type="http://schemas.openxmlformats.org/officeDocument/2006/relationships/hyperlink" Target="https://www.google.com/search?q=KAKRAPAR-4+nuclear+power+plant+in+INDIA" TargetMode="External"/><Relationship Id="rId1938" Type="http://schemas.openxmlformats.org/officeDocument/2006/relationships/hyperlink" Target="http://maps.google.com/?q=21.2386,73.35&amp;t=k" TargetMode="External"/><Relationship Id="rId1148" Type="http://schemas.openxmlformats.org/officeDocument/2006/relationships/hyperlink" Target="http://www.iaea.org/PRIS/CountryStatistics/ReactorDetails.aspx?current=506" TargetMode="External"/><Relationship Id="rId1147" Type="http://schemas.openxmlformats.org/officeDocument/2006/relationships/hyperlink" Target="https://www.google.com/search?q=ROSTOV-3+nuclear+power+plant+in+RUSSIA" TargetMode="External"/><Relationship Id="rId1931" Type="http://schemas.openxmlformats.org/officeDocument/2006/relationships/hyperlink" Target="http://www.iaea.org/PRIS/CountryStatistics/ReactorDetails.aspx?current=973" TargetMode="External"/><Relationship Id="rId1930" Type="http://schemas.openxmlformats.org/officeDocument/2006/relationships/hyperlink" Target="https://www.google.com/search?q=TIANWAN-3+nuclear+power+plant+in+CHINA" TargetMode="External"/><Relationship Id="rId1149" Type="http://schemas.openxmlformats.org/officeDocument/2006/relationships/hyperlink" Target="http://maps.google.com/?q=47.5993,42.3719&amp;t=k" TargetMode="External"/><Relationship Id="rId1933" Type="http://schemas.openxmlformats.org/officeDocument/2006/relationships/hyperlink" Target="https://www.google.com/search?q=TIANWAN-4+nuclear+power+plant+in+CHINA" TargetMode="External"/><Relationship Id="rId1932" Type="http://schemas.openxmlformats.org/officeDocument/2006/relationships/hyperlink" Target="http://maps.google.com/?q=34.6869,119.46&amp;t=k" TargetMode="External"/><Relationship Id="rId1935" Type="http://schemas.openxmlformats.org/officeDocument/2006/relationships/hyperlink" Target="http://maps.google.com/?q=34.6869,119.46&amp;t=k" TargetMode="External"/><Relationship Id="rId1934" Type="http://schemas.openxmlformats.org/officeDocument/2006/relationships/hyperlink" Target="http://www.iaea.org/PRIS/CountryStatistics/ReactorDetails.aspx?current=974" TargetMode="External"/><Relationship Id="rId1140" Type="http://schemas.openxmlformats.org/officeDocument/2006/relationships/hyperlink" Target="http://maps.google.com/?q=47.5993,42.3719&amp;t=k" TargetMode="External"/><Relationship Id="rId1141" Type="http://schemas.openxmlformats.org/officeDocument/2006/relationships/hyperlink" Target="https://www.google.com/search?q=BELOYARSK-2+nuclear+power+plant+in+RUSSIA" TargetMode="External"/><Relationship Id="rId1142" Type="http://schemas.openxmlformats.org/officeDocument/2006/relationships/hyperlink" Target="http://www.iaea.org/PRIS/CountryStatistics/ReactorDetails.aspx?current=503" TargetMode="External"/><Relationship Id="rId1143" Type="http://schemas.openxmlformats.org/officeDocument/2006/relationships/hyperlink" Target="http://maps.google.com/?q=56.8417,61.3225&amp;t=k" TargetMode="External"/><Relationship Id="rId1144" Type="http://schemas.openxmlformats.org/officeDocument/2006/relationships/hyperlink" Target="https://www.google.com/search?q=ROSTOV-2+nuclear+power+plant+in+RUSSIA" TargetMode="External"/><Relationship Id="rId1145" Type="http://schemas.openxmlformats.org/officeDocument/2006/relationships/hyperlink" Target="http://www.iaea.org/PRIS/CountryStatistics/ReactorDetails.aspx?current=505" TargetMode="External"/><Relationship Id="rId1146" Type="http://schemas.openxmlformats.org/officeDocument/2006/relationships/hyperlink" Target="http://maps.google.com/?q=47.5993,42.3719&amp;t=k" TargetMode="External"/><Relationship Id="rId1515" Type="http://schemas.openxmlformats.org/officeDocument/2006/relationships/hyperlink" Target="http://maps.google.com/?q=40.1533,-76.7253&amp;t=k" TargetMode="External"/><Relationship Id="rId1514" Type="http://schemas.openxmlformats.org/officeDocument/2006/relationships/hyperlink" Target="http://www.iaea.org/PRIS/CountryStatistics/ReactorDetails.aspx?current=657" TargetMode="External"/><Relationship Id="rId1517" Type="http://schemas.openxmlformats.org/officeDocument/2006/relationships/hyperlink" Target="http://www.iaea.org/PRIS/CountryStatistics/ReactorDetails.aspx?current=658" TargetMode="External"/><Relationship Id="rId1516" Type="http://schemas.openxmlformats.org/officeDocument/2006/relationships/hyperlink" Target="https://www.google.com/search?q=HATCH-1+nuclear+power+plant+in+UNITED+STATES" TargetMode="External"/><Relationship Id="rId1511" Type="http://schemas.openxmlformats.org/officeDocument/2006/relationships/hyperlink" Target="http://www.iaea.org/PRIS/CountryStatistics/ReactorDetails.aspx?current=656" TargetMode="External"/><Relationship Id="rId1510" Type="http://schemas.openxmlformats.org/officeDocument/2006/relationships/hyperlink" Target="https://www.google.com/search?q=CALVERT+CLIFFS-2+nuclear+power+plant+in+UNITED+STATES" TargetMode="External"/><Relationship Id="rId1513" Type="http://schemas.openxmlformats.org/officeDocument/2006/relationships/hyperlink" Target="https://www.google.com/search?q=THREE+MILE+ISLAND-2+nuclear+power+plant+in+UNITED+STATES" TargetMode="External"/><Relationship Id="rId1512" Type="http://schemas.openxmlformats.org/officeDocument/2006/relationships/hyperlink" Target="http://maps.google.com/?q=38.4319,-76.4422&amp;t=k" TargetMode="External"/><Relationship Id="rId1519" Type="http://schemas.openxmlformats.org/officeDocument/2006/relationships/hyperlink" Target="https://www.google.com/search?q=SHOREHAM+nuclear+power+plant+in+UNITED+STATES" TargetMode="External"/><Relationship Id="rId1518" Type="http://schemas.openxmlformats.org/officeDocument/2006/relationships/hyperlink" Target="http://maps.google.com/?q=31.9342,-82.3439&amp;t=k" TargetMode="External"/><Relationship Id="rId1900" Type="http://schemas.openxmlformats.org/officeDocument/2006/relationships/hyperlink" Target="https://www.google.com/search?q=YANGJIANG-6+nuclear+power+plant+in+CHINA" TargetMode="External"/><Relationship Id="rId1901" Type="http://schemas.openxmlformats.org/officeDocument/2006/relationships/hyperlink" Target="http://www.iaea.org/PRIS/CountryStatistics/ReactorDetails.aspx?current=934" TargetMode="External"/><Relationship Id="rId1902" Type="http://schemas.openxmlformats.org/officeDocument/2006/relationships/hyperlink" Target="http://maps.google.com/?q=21.7083,112.261&amp;t=k" TargetMode="External"/><Relationship Id="rId1907" Type="http://schemas.openxmlformats.org/officeDocument/2006/relationships/hyperlink" Target="http://www.iaea.org/PRIS/CountryStatistics/ReactorDetails.aspx?current=936" TargetMode="External"/><Relationship Id="rId1908" Type="http://schemas.openxmlformats.org/officeDocument/2006/relationships/hyperlink" Target="http://maps.google.com/?q=25.4458,119.447&amp;t=k" TargetMode="External"/><Relationship Id="rId1909" Type="http://schemas.openxmlformats.org/officeDocument/2006/relationships/hyperlink" Target="https://www.google.com/search?q=CHANGJIANG-1+nuclear+power+plant+in+CHINA" TargetMode="External"/><Relationship Id="rId1903" Type="http://schemas.openxmlformats.org/officeDocument/2006/relationships/hyperlink" Target="https://www.google.com/search?q=FUQING-3+nuclear+power+plant+in+CHINA" TargetMode="External"/><Relationship Id="rId1904" Type="http://schemas.openxmlformats.org/officeDocument/2006/relationships/hyperlink" Target="http://www.iaea.org/PRIS/CountryStatistics/ReactorDetails.aspx?current=935" TargetMode="External"/><Relationship Id="rId1905" Type="http://schemas.openxmlformats.org/officeDocument/2006/relationships/hyperlink" Target="http://maps.google.com/?q=25.4458,119.447&amp;t=k" TargetMode="External"/><Relationship Id="rId1906" Type="http://schemas.openxmlformats.org/officeDocument/2006/relationships/hyperlink" Target="https://www.google.com/search?q=FUQING-4+nuclear+power+plant+in+CHINA" TargetMode="External"/><Relationship Id="rId1506" Type="http://schemas.openxmlformats.org/officeDocument/2006/relationships/hyperlink" Target="http://maps.google.com/?q=41.9754,-86.5659&amp;t=k" TargetMode="External"/><Relationship Id="rId1505" Type="http://schemas.openxmlformats.org/officeDocument/2006/relationships/hyperlink" Target="http://www.iaea.org/PRIS/CountryStatistics/ReactorDetails.aspx?current=654" TargetMode="External"/><Relationship Id="rId1504" Type="http://schemas.openxmlformats.org/officeDocument/2006/relationships/hyperlink" Target="https://www.google.com/search?q=COOK-2+nuclear+power+plant+in+UNITED+STATES" TargetMode="External"/><Relationship Id="rId1503" Type="http://schemas.openxmlformats.org/officeDocument/2006/relationships/hyperlink" Target="http://maps.google.com/?q=41.9754,-86.5659&amp;t=k" TargetMode="External"/><Relationship Id="rId1502" Type="http://schemas.openxmlformats.org/officeDocument/2006/relationships/hyperlink" Target="http://www.iaea.org/PRIS/CountryStatistics/ReactorDetails.aspx?current=653" TargetMode="External"/><Relationship Id="rId1501" Type="http://schemas.openxmlformats.org/officeDocument/2006/relationships/hyperlink" Target="https://www.google.com/search?q=COOK-1+nuclear+power+plant+in+UNITED+STATES" TargetMode="External"/><Relationship Id="rId1500" Type="http://schemas.openxmlformats.org/officeDocument/2006/relationships/hyperlink" Target="http://maps.google.com/?q=35.3103,-93.2314&amp;t=k" TargetMode="External"/><Relationship Id="rId1509" Type="http://schemas.openxmlformats.org/officeDocument/2006/relationships/hyperlink" Target="http://maps.google.com/?q=38.4319,-76.4422&amp;t=k" TargetMode="External"/><Relationship Id="rId1508" Type="http://schemas.openxmlformats.org/officeDocument/2006/relationships/hyperlink" Target="http://www.iaea.org/PRIS/CountryStatistics/ReactorDetails.aspx?current=655" TargetMode="External"/><Relationship Id="rId1507" Type="http://schemas.openxmlformats.org/officeDocument/2006/relationships/hyperlink" Target="https://www.google.com/search?q=CALVERT+CLIFFS-1+nuclear+power+plant+in+UNITED+STATES" TargetMode="External"/><Relationship Id="rId1912" Type="http://schemas.openxmlformats.org/officeDocument/2006/relationships/hyperlink" Target="https://www.google.com/search?q=CHANGJIANG-2+nuclear+power+plant+in+CHINA" TargetMode="External"/><Relationship Id="rId1913" Type="http://schemas.openxmlformats.org/officeDocument/2006/relationships/hyperlink" Target="http://www.iaea.org/PRIS/CountryStatistics/ReactorDetails.aspx?current=940" TargetMode="External"/><Relationship Id="rId1910" Type="http://schemas.openxmlformats.org/officeDocument/2006/relationships/hyperlink" Target="http://www.iaea.org/PRIS/CountryStatistics/ReactorDetails.aspx?current=939" TargetMode="External"/><Relationship Id="rId1911" Type="http://schemas.openxmlformats.org/officeDocument/2006/relationships/hyperlink" Target="http://maps.google.com/?q=19.4608,108.9&amp;t=k" TargetMode="External"/><Relationship Id="rId1918" Type="http://schemas.openxmlformats.org/officeDocument/2006/relationships/hyperlink" Target="https://www.google.com/search?q=FANGCHENGGANG-2+nuclear+power+plant+in+CHINA" TargetMode="External"/><Relationship Id="rId1919" Type="http://schemas.openxmlformats.org/officeDocument/2006/relationships/hyperlink" Target="http://www.iaea.org/PRIS/CountryStatistics/ReactorDetails.aspx?current=944" TargetMode="External"/><Relationship Id="rId1916" Type="http://schemas.openxmlformats.org/officeDocument/2006/relationships/hyperlink" Target="http://www.iaea.org/PRIS/CountryStatistics/ReactorDetails.aspx?current=943" TargetMode="External"/><Relationship Id="rId1917" Type="http://schemas.openxmlformats.org/officeDocument/2006/relationships/hyperlink" Target="http://maps.google.com/?q=21.667,108.567&amp;t=k" TargetMode="External"/><Relationship Id="rId1914" Type="http://schemas.openxmlformats.org/officeDocument/2006/relationships/hyperlink" Target="http://maps.google.com/?q=19.4608,108.9&amp;t=k" TargetMode="External"/><Relationship Id="rId1915" Type="http://schemas.openxmlformats.org/officeDocument/2006/relationships/hyperlink" Target="https://www.google.com/search?q=FANGCHENGGANG-1+nuclear+power+plant+in+CHINA" TargetMode="External"/><Relationship Id="rId1111" Type="http://schemas.openxmlformats.org/officeDocument/2006/relationships/hyperlink" Target="https://www.google.com/search?q=KOLA-3+nuclear+power+plant+in+RUSSIA" TargetMode="External"/><Relationship Id="rId1110" Type="http://schemas.openxmlformats.org/officeDocument/2006/relationships/hyperlink" Target="http://maps.google.com/?q=57.9056,35.0603&amp;t=k" TargetMode="External"/><Relationship Id="rId1113" Type="http://schemas.openxmlformats.org/officeDocument/2006/relationships/hyperlink" Target="http://maps.google.com/?q=67.467,32.467&amp;t=k" TargetMode="External"/><Relationship Id="rId1112" Type="http://schemas.openxmlformats.org/officeDocument/2006/relationships/hyperlink" Target="http://www.iaea.org/PRIS/CountryStatistics/ReactorDetails.aspx?current=491" TargetMode="External"/><Relationship Id="rId1114" Type="http://schemas.openxmlformats.org/officeDocument/2006/relationships/hyperlink" Target="https://www.google.com/search?q=KOLA-4+nuclear+power+plant+in+RUSSIA" TargetMode="External"/><Relationship Id="rId1115" Type="http://schemas.openxmlformats.org/officeDocument/2006/relationships/hyperlink" Target="http://www.iaea.org/PRIS/CountryStatistics/ReactorDetails.aspx?current=492" TargetMode="External"/><Relationship Id="rId1116" Type="http://schemas.openxmlformats.org/officeDocument/2006/relationships/hyperlink" Target="http://maps.google.com/?q=67.467,32.467&amp;t=k" TargetMode="External"/><Relationship Id="rId1117" Type="http://schemas.openxmlformats.org/officeDocument/2006/relationships/hyperlink" Target="https://www.google.com/search?q=LENINGRAD-3+nuclear+power+plant+in+RUSSIA" TargetMode="External"/><Relationship Id="rId1118" Type="http://schemas.openxmlformats.org/officeDocument/2006/relationships/hyperlink" Target="http://www.iaea.org/PRIS/CountryStatistics/ReactorDetails.aspx?current=493" TargetMode="External"/><Relationship Id="rId1119" Type="http://schemas.openxmlformats.org/officeDocument/2006/relationships/hyperlink" Target="http://maps.google.com/?q=59.8472,29.0436&amp;t=k" TargetMode="External"/><Relationship Id="rId1102" Type="http://schemas.openxmlformats.org/officeDocument/2006/relationships/hyperlink" Target="https://www.google.com/search?q=BELOYARSK-1+nuclear+power+plant+in+RUSSIA" TargetMode="External"/><Relationship Id="rId1101" Type="http://schemas.openxmlformats.org/officeDocument/2006/relationships/hyperlink" Target="http://maps.google.com/?q=54.1692,33.2466&amp;t=k" TargetMode="External"/><Relationship Id="rId1100" Type="http://schemas.openxmlformats.org/officeDocument/2006/relationships/hyperlink" Target="http://www.iaea.org/PRIS/CountryStatistics/ReactorDetails.aspx?current=487" TargetMode="External"/><Relationship Id="rId1105" Type="http://schemas.openxmlformats.org/officeDocument/2006/relationships/hyperlink" Target="https://www.google.com/search?q=KALININ-1+nuclear+power+plant+in+RUSSIA" TargetMode="External"/><Relationship Id="rId1106" Type="http://schemas.openxmlformats.org/officeDocument/2006/relationships/hyperlink" Target="http://www.iaea.org/PRIS/CountryStatistics/ReactorDetails.aspx?current=489" TargetMode="External"/><Relationship Id="rId1103" Type="http://schemas.openxmlformats.org/officeDocument/2006/relationships/hyperlink" Target="http://www.iaea.org/PRIS/CountryStatistics/ReactorDetails.aspx?current=488" TargetMode="External"/><Relationship Id="rId1104" Type="http://schemas.openxmlformats.org/officeDocument/2006/relationships/hyperlink" Target="http://maps.google.com/?q=56.8417,61.3225&amp;t=k" TargetMode="External"/><Relationship Id="rId1109" Type="http://schemas.openxmlformats.org/officeDocument/2006/relationships/hyperlink" Target="http://www.iaea.org/PRIS/CountryStatistics/ReactorDetails.aspx?current=490" TargetMode="External"/><Relationship Id="rId1107" Type="http://schemas.openxmlformats.org/officeDocument/2006/relationships/hyperlink" Target="http://maps.google.com/?q=57.9056,35.0603&amp;t=k" TargetMode="External"/><Relationship Id="rId1108" Type="http://schemas.openxmlformats.org/officeDocument/2006/relationships/hyperlink" Target="https://www.google.com/search?q=KALININ-2+nuclear+power+plant+in+RUSSIA" TargetMode="External"/><Relationship Id="rId109" Type="http://schemas.openxmlformats.org/officeDocument/2006/relationships/hyperlink" Target="https://www.google.com/search?q=DARLINGTON-1+nuclear+power+plant+in+CANADA" TargetMode="External"/><Relationship Id="rId108" Type="http://schemas.openxmlformats.org/officeDocument/2006/relationships/hyperlink" Target="http://maps.google.com/?q=44.3253,-81.5994&amp;t=k" TargetMode="External"/><Relationship Id="rId105" Type="http://schemas.openxmlformats.org/officeDocument/2006/relationships/hyperlink" Target="http://maps.google.com/?q=44.3253,-81.5994&amp;t=k" TargetMode="External"/><Relationship Id="rId104" Type="http://schemas.openxmlformats.org/officeDocument/2006/relationships/hyperlink" Target="http://www.iaea.org/PRIS/CountryStatistics/ReactorDetails.aspx?current=41" TargetMode="External"/><Relationship Id="rId107" Type="http://schemas.openxmlformats.org/officeDocument/2006/relationships/hyperlink" Target="http://www.iaea.org/PRIS/CountryStatistics/ReactorDetails.aspx?current=42" TargetMode="External"/><Relationship Id="rId106" Type="http://schemas.openxmlformats.org/officeDocument/2006/relationships/hyperlink" Target="https://www.google.com/search?q=BRUCE-8+nuclear+power+plant+in+CANADA" TargetMode="External"/><Relationship Id="rId101" Type="http://schemas.openxmlformats.org/officeDocument/2006/relationships/hyperlink" Target="http://www.iaea.org/PRIS/CountryStatistics/ReactorDetails.aspx?current=40" TargetMode="External"/><Relationship Id="rId100" Type="http://schemas.openxmlformats.org/officeDocument/2006/relationships/hyperlink" Target="https://www.google.com/search?q=DOUGLAS+POINT+nuclear+power+plant+in+CANADA" TargetMode="External"/><Relationship Id="rId103" Type="http://schemas.openxmlformats.org/officeDocument/2006/relationships/hyperlink" Target="https://www.google.com/search?q=BRUCE-7+nuclear+power+plant+in+CANADA" TargetMode="External"/><Relationship Id="rId102" Type="http://schemas.openxmlformats.org/officeDocument/2006/relationships/hyperlink" Target="http://maps.google.com/?q=44.3267,-81.6&amp;t=k" TargetMode="External"/><Relationship Id="rId118" Type="http://schemas.openxmlformats.org/officeDocument/2006/relationships/hyperlink" Target="https://www.google.com/search?q=DARLINGTON-4+nuclear+power+plant+in+CANADA" TargetMode="External"/><Relationship Id="rId117" Type="http://schemas.openxmlformats.org/officeDocument/2006/relationships/hyperlink" Target="http://maps.google.com/?q=43.8728,-78.7197&amp;t=k" TargetMode="External"/><Relationship Id="rId116" Type="http://schemas.openxmlformats.org/officeDocument/2006/relationships/hyperlink" Target="http://www.iaea.org/PRIS/CountryStatistics/ReactorDetails.aspx?current=45" TargetMode="External"/><Relationship Id="rId115" Type="http://schemas.openxmlformats.org/officeDocument/2006/relationships/hyperlink" Target="https://www.google.com/search?q=DARLINGTON-3+nuclear+power+plant+in+CANADA" TargetMode="External"/><Relationship Id="rId119" Type="http://schemas.openxmlformats.org/officeDocument/2006/relationships/hyperlink" Target="http://www.iaea.org/PRIS/CountryStatistics/ReactorDetails.aspx?current=46" TargetMode="External"/><Relationship Id="rId110" Type="http://schemas.openxmlformats.org/officeDocument/2006/relationships/hyperlink" Target="http://www.iaea.org/PRIS/CountryStatistics/ReactorDetails.aspx?current=43" TargetMode="External"/><Relationship Id="rId114" Type="http://schemas.openxmlformats.org/officeDocument/2006/relationships/hyperlink" Target="http://maps.google.com/?q=43.8728,-78.7197&amp;t=k" TargetMode="External"/><Relationship Id="rId113" Type="http://schemas.openxmlformats.org/officeDocument/2006/relationships/hyperlink" Target="http://www.iaea.org/PRIS/CountryStatistics/ReactorDetails.aspx?current=44" TargetMode="External"/><Relationship Id="rId112" Type="http://schemas.openxmlformats.org/officeDocument/2006/relationships/hyperlink" Target="https://www.google.com/search?q=DARLINGTON-2+nuclear+power+plant+in+CANADA" TargetMode="External"/><Relationship Id="rId111" Type="http://schemas.openxmlformats.org/officeDocument/2006/relationships/hyperlink" Target="http://maps.google.com/?q=43.8728,-78.7197&amp;t=k" TargetMode="External"/><Relationship Id="rId127" Type="http://schemas.openxmlformats.org/officeDocument/2006/relationships/hyperlink" Target="https://www.google.com/search?q=PICKERING-2+nuclear+power+plant+in+CANADA" TargetMode="External"/><Relationship Id="rId126" Type="http://schemas.openxmlformats.org/officeDocument/2006/relationships/hyperlink" Target="http://maps.google.com/?q=43.8117,-79.0658&amp;t=k" TargetMode="External"/><Relationship Id="rId129" Type="http://schemas.openxmlformats.org/officeDocument/2006/relationships/hyperlink" Target="http://maps.google.com/?q=43.8117,-79.0658&amp;t=k" TargetMode="External"/><Relationship Id="rId128" Type="http://schemas.openxmlformats.org/officeDocument/2006/relationships/hyperlink" Target="http://www.iaea.org/PRIS/CountryStatistics/ReactorDetails.aspx?current=50" TargetMode="External"/><Relationship Id="rId121" Type="http://schemas.openxmlformats.org/officeDocument/2006/relationships/hyperlink" Target="https://www.google.com/search?q=GENTILLY-1+nuclear+power+plant+in+CANADA" TargetMode="External"/><Relationship Id="rId120" Type="http://schemas.openxmlformats.org/officeDocument/2006/relationships/hyperlink" Target="http://maps.google.com/?q=43.8728,-78.7197&amp;t=k" TargetMode="External"/><Relationship Id="rId123" Type="http://schemas.openxmlformats.org/officeDocument/2006/relationships/hyperlink" Target="http://maps.google.com/?q=46.3958,-72.3569&amp;t=k" TargetMode="External"/><Relationship Id="rId122" Type="http://schemas.openxmlformats.org/officeDocument/2006/relationships/hyperlink" Target="http://www.iaea.org/PRIS/CountryStatistics/ReactorDetails.aspx?current=47" TargetMode="External"/><Relationship Id="rId125" Type="http://schemas.openxmlformats.org/officeDocument/2006/relationships/hyperlink" Target="http://www.iaea.org/PRIS/CountryStatistics/ReactorDetails.aspx?current=49" TargetMode="External"/><Relationship Id="rId124" Type="http://schemas.openxmlformats.org/officeDocument/2006/relationships/hyperlink" Target="https://www.google.com/search?q=PICKERING-1+nuclear+power+plant+in+CANADA" TargetMode="External"/><Relationship Id="rId1404" Type="http://schemas.openxmlformats.org/officeDocument/2006/relationships/hyperlink" Target="http://maps.google.com/?q=45.3336,-93.8492&amp;t=k" TargetMode="External"/><Relationship Id="rId1405" Type="http://schemas.openxmlformats.org/officeDocument/2006/relationships/hyperlink" Target="https://www.google.com/search?q=QUAD+CITIES-2+nuclear+power+plant+in+UNITED+STATES" TargetMode="External"/><Relationship Id="rId1406" Type="http://schemas.openxmlformats.org/officeDocument/2006/relationships/hyperlink" Target="http://www.iaea.org/PRIS/CountryStatistics/ReactorDetails.aspx?current=621" TargetMode="External"/><Relationship Id="rId1407" Type="http://schemas.openxmlformats.org/officeDocument/2006/relationships/hyperlink" Target="http://maps.google.com/?q=41.7264,-90.31&amp;t=k" TargetMode="External"/><Relationship Id="rId1400" Type="http://schemas.openxmlformats.org/officeDocument/2006/relationships/hyperlink" Target="http://www.iaea.org/PRIS/CountryStatistics/ReactorDetails.aspx?current=619" TargetMode="External"/><Relationship Id="rId1401" Type="http://schemas.openxmlformats.org/officeDocument/2006/relationships/hyperlink" Target="http://maps.google.com/?q=34.4028,-80.1583&amp;t=k" TargetMode="External"/><Relationship Id="rId1402" Type="http://schemas.openxmlformats.org/officeDocument/2006/relationships/hyperlink" Target="https://www.google.com/search?q=MONTICELLO+nuclear+power+plant+in+UNITED+STATES" TargetMode="External"/><Relationship Id="rId1403" Type="http://schemas.openxmlformats.org/officeDocument/2006/relationships/hyperlink" Target="http://www.iaea.org/PRIS/CountryStatistics/ReactorDetails.aspx?current=620" TargetMode="External"/><Relationship Id="rId617" Type="http://schemas.openxmlformats.org/officeDocument/2006/relationships/hyperlink" Target="http://www.iaea.org/PRIS/CountryStatistics/ReactorDetails.aspx?current=250" TargetMode="External"/><Relationship Id="rId616" Type="http://schemas.openxmlformats.org/officeDocument/2006/relationships/hyperlink" Target="https://www.google.com/search?q=HARTLEPOOL+A-1+nuclear+power+plant+in+UNITED+KINGDOM" TargetMode="External"/><Relationship Id="rId615" Type="http://schemas.openxmlformats.org/officeDocument/2006/relationships/hyperlink" Target="http://maps.google.com/?q=50.9139,0.963889&amp;t=k" TargetMode="External"/><Relationship Id="rId614" Type="http://schemas.openxmlformats.org/officeDocument/2006/relationships/hyperlink" Target="http://www.iaea.org/PRIS/CountryStatistics/ReactorDetails.aspx?current=249" TargetMode="External"/><Relationship Id="rId613" Type="http://schemas.openxmlformats.org/officeDocument/2006/relationships/hyperlink" Target="https://www.google.com/search?q=DUNGENESS+B-2+nuclear+power+plant+in+UNITED+KINGDOM" TargetMode="External"/><Relationship Id="rId1408" Type="http://schemas.openxmlformats.org/officeDocument/2006/relationships/hyperlink" Target="https://www.google.com/search?q=POINT+BEACH-1+nuclear+power+plant+in+UNITED+STATES" TargetMode="External"/><Relationship Id="rId612" Type="http://schemas.openxmlformats.org/officeDocument/2006/relationships/hyperlink" Target="http://maps.google.com/?q=50.9139,0.963889&amp;t=k" TargetMode="External"/><Relationship Id="rId1409" Type="http://schemas.openxmlformats.org/officeDocument/2006/relationships/hyperlink" Target="http://www.iaea.org/PRIS/CountryStatistics/ReactorDetails.aspx?current=622" TargetMode="External"/><Relationship Id="rId611" Type="http://schemas.openxmlformats.org/officeDocument/2006/relationships/hyperlink" Target="http://www.iaea.org/PRIS/CountryStatistics/ReactorDetails.aspx?current=248" TargetMode="External"/><Relationship Id="rId610" Type="http://schemas.openxmlformats.org/officeDocument/2006/relationships/hyperlink" Target="https://www.google.com/search?q=DUNGENESS+B-1+nuclear+power+plant+in+UNITED+KINGDOM" TargetMode="External"/><Relationship Id="rId223" Type="http://schemas.openxmlformats.org/officeDocument/2006/relationships/hyperlink" Target="https://www.google.com/search?q=UNTERWESER+nuclear+power+plant+in+GERMANY" TargetMode="External"/><Relationship Id="rId224" Type="http://schemas.openxmlformats.org/officeDocument/2006/relationships/hyperlink" Target="http://www.iaea.org/PRIS/CountryStatistics/ReactorDetails.aspx?current=90" TargetMode="External"/><Relationship Id="rId221" Type="http://schemas.openxmlformats.org/officeDocument/2006/relationships/hyperlink" Target="http://www.iaea.org/PRIS/CountryStatistics/ReactorDetails.aspx?current=89" TargetMode="External"/><Relationship Id="rId222" Type="http://schemas.openxmlformats.org/officeDocument/2006/relationships/hyperlink" Target="http://maps.google.com/?q=48.6056,12.2932&amp;t=k" TargetMode="External"/><Relationship Id="rId220" Type="http://schemas.openxmlformats.org/officeDocument/2006/relationships/hyperlink" Target="https://www.google.com/search?q=ISAR-1+nuclear+power+plant+in+GERMANY" TargetMode="External"/><Relationship Id="rId618" Type="http://schemas.openxmlformats.org/officeDocument/2006/relationships/hyperlink" Target="http://maps.google.com/?q=54.635,-1.18083&amp;t=k" TargetMode="External"/><Relationship Id="rId619" Type="http://schemas.openxmlformats.org/officeDocument/2006/relationships/hyperlink" Target="https://www.google.com/search?q=HARTLEPOOL+A-2+nuclear+power+plant+in+UNITED+KINGDOM" TargetMode="External"/><Relationship Id="rId229" Type="http://schemas.openxmlformats.org/officeDocument/2006/relationships/hyperlink" Target="https://www.google.com/search?q=THTR-300+nuclear+power+plant+in+GERMANY" TargetMode="External"/><Relationship Id="rId227" Type="http://schemas.openxmlformats.org/officeDocument/2006/relationships/hyperlink" Target="http://www.iaea.org/PRIS/CountryStatistics/ReactorDetails.aspx?current=91" TargetMode="External"/><Relationship Id="rId228" Type="http://schemas.openxmlformats.org/officeDocument/2006/relationships/hyperlink" Target="http://maps.google.com/?q=49.71,8.41528&amp;t=k" TargetMode="External"/><Relationship Id="rId225" Type="http://schemas.openxmlformats.org/officeDocument/2006/relationships/hyperlink" Target="http://maps.google.com/?q=53.4277,8.4802&amp;t=k" TargetMode="External"/><Relationship Id="rId226" Type="http://schemas.openxmlformats.org/officeDocument/2006/relationships/hyperlink" Target="https://www.google.com/search?q=BIBLIS-B+nuclear+power+plant+in+GERMANY" TargetMode="External"/><Relationship Id="rId1417" Type="http://schemas.openxmlformats.org/officeDocument/2006/relationships/hyperlink" Target="https://www.google.com/search?q=OCONEE-2+nuclear+power+plant+in+UNITED+STATES" TargetMode="External"/><Relationship Id="rId1418" Type="http://schemas.openxmlformats.org/officeDocument/2006/relationships/hyperlink" Target="http://www.iaea.org/PRIS/CountryStatistics/ReactorDetails.aspx?current=625" TargetMode="External"/><Relationship Id="rId620" Type="http://schemas.openxmlformats.org/officeDocument/2006/relationships/hyperlink" Target="http://www.iaea.org/PRIS/CountryStatistics/ReactorDetails.aspx?current=251" TargetMode="External"/><Relationship Id="rId1415" Type="http://schemas.openxmlformats.org/officeDocument/2006/relationships/hyperlink" Target="http://www.iaea.org/PRIS/CountryStatistics/ReactorDetails.aspx?current=624" TargetMode="External"/><Relationship Id="rId1416" Type="http://schemas.openxmlformats.org/officeDocument/2006/relationships/hyperlink" Target="http://maps.google.com/?q=34.7939,-82.8981&amp;t=k" TargetMode="External"/><Relationship Id="rId1413" Type="http://schemas.openxmlformats.org/officeDocument/2006/relationships/hyperlink" Target="http://maps.google.com/?q=40.2444,-104.874&amp;t=k" TargetMode="External"/><Relationship Id="rId1414" Type="http://schemas.openxmlformats.org/officeDocument/2006/relationships/hyperlink" Target="https://www.google.com/search?q=OCONEE-1+nuclear+power+plant+in+UNITED+STATES" TargetMode="External"/><Relationship Id="rId1411" Type="http://schemas.openxmlformats.org/officeDocument/2006/relationships/hyperlink" Target="https://www.google.com/search?q=FORT+ST.+VRAIN+nuclear+power+plant+in+UNITED+STATES" TargetMode="External"/><Relationship Id="rId1412" Type="http://schemas.openxmlformats.org/officeDocument/2006/relationships/hyperlink" Target="http://www.iaea.org/PRIS/CountryStatistics/ReactorDetails.aspx?current=623" TargetMode="External"/><Relationship Id="rId626" Type="http://schemas.openxmlformats.org/officeDocument/2006/relationships/hyperlink" Target="http://www.iaea.org/PRIS/CountryStatistics/ReactorDetails.aspx?current=253" TargetMode="External"/><Relationship Id="rId625" Type="http://schemas.openxmlformats.org/officeDocument/2006/relationships/hyperlink" Target="https://www.google.com/search?q=CHAPELCROSS-2+nuclear+power+plant+in+UNITED+KINGDOM" TargetMode="External"/><Relationship Id="rId628" Type="http://schemas.openxmlformats.org/officeDocument/2006/relationships/hyperlink" Target="https://www.google.com/search?q=CHAPELCROSS-3+nuclear+power+plant+in+UNITED+KINGDOM" TargetMode="External"/><Relationship Id="rId627" Type="http://schemas.openxmlformats.org/officeDocument/2006/relationships/hyperlink" Target="http://maps.google.com/?q=55.0157,-3.22605&amp;t=k" TargetMode="External"/><Relationship Id="rId622" Type="http://schemas.openxmlformats.org/officeDocument/2006/relationships/hyperlink" Target="https://www.google.com/search?q=CHAPELCROSS-1+nuclear+power+plant+in+UNITED+KINGDOM" TargetMode="External"/><Relationship Id="rId621" Type="http://schemas.openxmlformats.org/officeDocument/2006/relationships/hyperlink" Target="http://maps.google.com/?q=54.635,-1.18083&amp;t=k" TargetMode="External"/><Relationship Id="rId624" Type="http://schemas.openxmlformats.org/officeDocument/2006/relationships/hyperlink" Target="http://maps.google.com/?q=55.0157,-3.22605&amp;t=k" TargetMode="External"/><Relationship Id="rId1419" Type="http://schemas.openxmlformats.org/officeDocument/2006/relationships/hyperlink" Target="http://maps.google.com/?q=34.7939,-82.8981&amp;t=k" TargetMode="External"/><Relationship Id="rId623" Type="http://schemas.openxmlformats.org/officeDocument/2006/relationships/hyperlink" Target="http://www.iaea.org/PRIS/CountryStatistics/ReactorDetails.aspx?current=252" TargetMode="External"/><Relationship Id="rId210" Type="http://schemas.openxmlformats.org/officeDocument/2006/relationships/hyperlink" Target="http://maps.google.com/?q=49.71,8.41528&amp;t=k" TargetMode="External"/><Relationship Id="rId211" Type="http://schemas.openxmlformats.org/officeDocument/2006/relationships/hyperlink" Target="https://www.google.com/search?q=BRUNSBUETTEL+nuclear+power+plant+in+GERMANY" TargetMode="External"/><Relationship Id="rId212" Type="http://schemas.openxmlformats.org/officeDocument/2006/relationships/hyperlink" Target="http://www.iaea.org/PRIS/CountryStatistics/ReactorDetails.aspx?current=86" TargetMode="External"/><Relationship Id="rId213" Type="http://schemas.openxmlformats.org/officeDocument/2006/relationships/hyperlink" Target="http://maps.google.com/?q=53.8917,9.20167&amp;t=k" TargetMode="External"/><Relationship Id="rId629" Type="http://schemas.openxmlformats.org/officeDocument/2006/relationships/hyperlink" Target="http://www.iaea.org/PRIS/CountryStatistics/ReactorDetails.aspx?current=254" TargetMode="External"/><Relationship Id="rId218" Type="http://schemas.openxmlformats.org/officeDocument/2006/relationships/hyperlink" Target="http://www.iaea.org/PRIS/CountryStatistics/ReactorDetails.aspx?current=88" TargetMode="External"/><Relationship Id="rId1410" Type="http://schemas.openxmlformats.org/officeDocument/2006/relationships/hyperlink" Target="http://maps.google.com/?q=44.2811,-87.5367&amp;t=k" TargetMode="External"/><Relationship Id="rId219" Type="http://schemas.openxmlformats.org/officeDocument/2006/relationships/hyperlink" Target="http://maps.google.com/?q=49.0417,9.175&amp;t=k" TargetMode="External"/><Relationship Id="rId214" Type="http://schemas.openxmlformats.org/officeDocument/2006/relationships/hyperlink" Target="https://www.google.com/search?q=PHILIPPSBURG-1+nuclear+power+plant+in+GERMANY" TargetMode="External"/><Relationship Id="rId215" Type="http://schemas.openxmlformats.org/officeDocument/2006/relationships/hyperlink" Target="http://www.iaea.org/PRIS/CountryStatistics/ReactorDetails.aspx?current=87" TargetMode="External"/><Relationship Id="rId216" Type="http://schemas.openxmlformats.org/officeDocument/2006/relationships/hyperlink" Target="http://maps.google.com/?q=49.2525,8.43639&amp;t=k" TargetMode="External"/><Relationship Id="rId217" Type="http://schemas.openxmlformats.org/officeDocument/2006/relationships/hyperlink" Target="https://www.google.com/search?q=NECKARWESTHEIM-1+nuclear+power+plant+in+GERMANY" TargetMode="External"/><Relationship Id="rId1422" Type="http://schemas.openxmlformats.org/officeDocument/2006/relationships/hyperlink" Target="http://maps.google.com/?q=42.7789,-72.5131&amp;t=k" TargetMode="External"/><Relationship Id="rId1423" Type="http://schemas.openxmlformats.org/officeDocument/2006/relationships/hyperlink" Target="https://www.google.com/search?q=SALEM-1+nuclear+power+plant+in+UNITED+STATES" TargetMode="External"/><Relationship Id="rId1424" Type="http://schemas.openxmlformats.org/officeDocument/2006/relationships/hyperlink" Target="http://www.iaea.org/PRIS/CountryStatistics/ReactorDetails.aspx?current=627" TargetMode="External"/><Relationship Id="rId1425" Type="http://schemas.openxmlformats.org/officeDocument/2006/relationships/hyperlink" Target="http://maps.google.com/?q=39.4628,-75.5356&amp;t=k" TargetMode="External"/><Relationship Id="rId631" Type="http://schemas.openxmlformats.org/officeDocument/2006/relationships/hyperlink" Target="https://www.google.com/search?q=CHAPELCROSS-4+nuclear+power+plant+in+UNITED+KINGDOM" TargetMode="External"/><Relationship Id="rId1426" Type="http://schemas.openxmlformats.org/officeDocument/2006/relationships/hyperlink" Target="https://www.google.com/search?q=DIABLO+CANYON-1+nuclear+power+plant+in+UNITED+STATES" TargetMode="External"/><Relationship Id="rId630" Type="http://schemas.openxmlformats.org/officeDocument/2006/relationships/hyperlink" Target="http://maps.google.com/?q=55.0157,-3.22605&amp;t=k" TargetMode="External"/><Relationship Id="rId1427" Type="http://schemas.openxmlformats.org/officeDocument/2006/relationships/hyperlink" Target="http://www.iaea.org/PRIS/CountryStatistics/ReactorDetails.aspx?current=628" TargetMode="External"/><Relationship Id="rId1428" Type="http://schemas.openxmlformats.org/officeDocument/2006/relationships/hyperlink" Target="http://maps.google.com/?q=35.2108,-120.856&amp;t=k" TargetMode="External"/><Relationship Id="rId1429" Type="http://schemas.openxmlformats.org/officeDocument/2006/relationships/hyperlink" Target="https://www.google.com/search?q=PEACH+BOTTOM-2+nuclear+power+plant+in+UNITED+STATES" TargetMode="External"/><Relationship Id="rId635" Type="http://schemas.openxmlformats.org/officeDocument/2006/relationships/hyperlink" Target="http://www.iaea.org/PRIS/CountryStatistics/ReactorDetails.aspx?current=256" TargetMode="External"/><Relationship Id="rId634" Type="http://schemas.openxmlformats.org/officeDocument/2006/relationships/hyperlink" Target="https://www.google.com/search?q=HEYSHAM+A-1+nuclear+power+plant+in+UNITED+KINGDOM" TargetMode="External"/><Relationship Id="rId633" Type="http://schemas.openxmlformats.org/officeDocument/2006/relationships/hyperlink" Target="http://maps.google.com/?q=55.0157,-3.22605&amp;t=k" TargetMode="External"/><Relationship Id="rId632" Type="http://schemas.openxmlformats.org/officeDocument/2006/relationships/hyperlink" Target="http://www.iaea.org/PRIS/CountryStatistics/ReactorDetails.aspx?current=255" TargetMode="External"/><Relationship Id="rId639" Type="http://schemas.openxmlformats.org/officeDocument/2006/relationships/hyperlink" Target="http://maps.google.com/?q=54.0289,-2.91611&amp;t=k" TargetMode="External"/><Relationship Id="rId638" Type="http://schemas.openxmlformats.org/officeDocument/2006/relationships/hyperlink" Target="http://www.iaea.org/PRIS/CountryStatistics/ReactorDetails.aspx?current=257" TargetMode="External"/><Relationship Id="rId637" Type="http://schemas.openxmlformats.org/officeDocument/2006/relationships/hyperlink" Target="https://www.google.com/search?q=HEYSHAM+A-2+nuclear+power+plant+in+UNITED+KINGDOM" TargetMode="External"/><Relationship Id="rId636" Type="http://schemas.openxmlformats.org/officeDocument/2006/relationships/hyperlink" Target="http://maps.google.com/?q=54.0289,-2.91611&amp;t=k" TargetMode="External"/><Relationship Id="rId241" Type="http://schemas.openxmlformats.org/officeDocument/2006/relationships/hyperlink" Target="https://www.google.com/search?q=GRAFENRHEINFELD+nuclear+power+plant+in+GERMANY" TargetMode="External"/><Relationship Id="rId242" Type="http://schemas.openxmlformats.org/officeDocument/2006/relationships/hyperlink" Target="http://www.iaea.org/PRIS/CountryStatistics/ReactorDetails.aspx?current=97" TargetMode="External"/><Relationship Id="rId240" Type="http://schemas.openxmlformats.org/officeDocument/2006/relationships/hyperlink" Target="http://maps.google.com/?q=50.4081,7.49&amp;t=k" TargetMode="External"/><Relationship Id="rId245" Type="http://schemas.openxmlformats.org/officeDocument/2006/relationships/hyperlink" Target="http://www.iaea.org/PRIS/CountryStatistics/ReactorDetails.aspx?current=98" TargetMode="External"/><Relationship Id="rId246" Type="http://schemas.openxmlformats.org/officeDocument/2006/relationships/hyperlink" Target="http://maps.google.com/?q=49.2525,8.43639&amp;t=k" TargetMode="External"/><Relationship Id="rId243" Type="http://schemas.openxmlformats.org/officeDocument/2006/relationships/hyperlink" Target="http://maps.google.com/?q=49.9841,10.1847&amp;t=k" TargetMode="External"/><Relationship Id="rId244" Type="http://schemas.openxmlformats.org/officeDocument/2006/relationships/hyperlink" Target="https://www.google.com/search?q=PHILIPPSBURG-2+nuclear+power+plant+in+GERMANY" TargetMode="External"/><Relationship Id="rId249" Type="http://schemas.openxmlformats.org/officeDocument/2006/relationships/hyperlink" Target="http://maps.google.com/?q=48.5147,10.4022&amp;t=k" TargetMode="External"/><Relationship Id="rId247" Type="http://schemas.openxmlformats.org/officeDocument/2006/relationships/hyperlink" Target="https://www.google.com/search?q=GUNDREMMINGEN-B+nuclear+power+plant+in+GERMANY" TargetMode="External"/><Relationship Id="rId248" Type="http://schemas.openxmlformats.org/officeDocument/2006/relationships/hyperlink" Target="http://www.iaea.org/PRIS/CountryStatistics/ReactorDetails.aspx?current=100" TargetMode="External"/><Relationship Id="rId1421" Type="http://schemas.openxmlformats.org/officeDocument/2006/relationships/hyperlink" Target="http://www.iaea.org/PRIS/CountryStatistics/ReactorDetails.aspx?current=626" TargetMode="External"/><Relationship Id="rId1420" Type="http://schemas.openxmlformats.org/officeDocument/2006/relationships/hyperlink" Target="https://www.google.com/search?q=VERMONT+YANKEE+nuclear+power+plant+in+UNITED+STATES" TargetMode="External"/><Relationship Id="rId1435" Type="http://schemas.openxmlformats.org/officeDocument/2006/relationships/hyperlink" Target="https://www.google.com/search?q=SURRY-1+nuclear+power+plant+in+UNITED+STATES" TargetMode="External"/><Relationship Id="rId1436" Type="http://schemas.openxmlformats.org/officeDocument/2006/relationships/hyperlink" Target="http://www.iaea.org/PRIS/CountryStatistics/ReactorDetails.aspx?current=631" TargetMode="External"/><Relationship Id="rId1433" Type="http://schemas.openxmlformats.org/officeDocument/2006/relationships/hyperlink" Target="http://www.iaea.org/PRIS/CountryStatistics/ReactorDetails.aspx?current=630" TargetMode="External"/><Relationship Id="rId1434" Type="http://schemas.openxmlformats.org/officeDocument/2006/relationships/hyperlink" Target="http://maps.google.com/?q=39.7583,-76.2681&amp;t=k" TargetMode="External"/><Relationship Id="rId640" Type="http://schemas.openxmlformats.org/officeDocument/2006/relationships/hyperlink" Target="https://www.google.com/search?q=HEYSHAM+B-1+nuclear+power+plant+in+UNITED+KINGDOM" TargetMode="External"/><Relationship Id="rId1439" Type="http://schemas.openxmlformats.org/officeDocument/2006/relationships/hyperlink" Target="http://www.iaea.org/PRIS/CountryStatistics/ReactorDetails.aspx?current=632" TargetMode="External"/><Relationship Id="rId642" Type="http://schemas.openxmlformats.org/officeDocument/2006/relationships/hyperlink" Target="http://maps.google.com/?q=54.0289,-2.91611&amp;t=k" TargetMode="External"/><Relationship Id="rId1437" Type="http://schemas.openxmlformats.org/officeDocument/2006/relationships/hyperlink" Target="http://maps.google.com/?q=37.1656,-76.6978&amp;t=k" TargetMode="External"/><Relationship Id="rId641" Type="http://schemas.openxmlformats.org/officeDocument/2006/relationships/hyperlink" Target="http://www.iaea.org/PRIS/CountryStatistics/ReactorDetails.aspx?current=259" TargetMode="External"/><Relationship Id="rId1438" Type="http://schemas.openxmlformats.org/officeDocument/2006/relationships/hyperlink" Target="https://www.google.com/search?q=SURRY-2+nuclear+power+plant+in+UNITED+STATES" TargetMode="External"/><Relationship Id="rId644" Type="http://schemas.openxmlformats.org/officeDocument/2006/relationships/hyperlink" Target="http://www.iaea.org/PRIS/CountryStatistics/ReactorDetails.aspx?current=260" TargetMode="External"/><Relationship Id="rId643" Type="http://schemas.openxmlformats.org/officeDocument/2006/relationships/hyperlink" Target="https://www.google.com/search?q=HEYSHAM+B-2+nuclear+power+plant+in+UNITED+KINGDOM" TargetMode="External"/><Relationship Id="rId646" Type="http://schemas.openxmlformats.org/officeDocument/2006/relationships/hyperlink" Target="https://www.google.com/search?q=TORNESS-1+nuclear+power+plant+in+UNITED+KINGDOM" TargetMode="External"/><Relationship Id="rId645" Type="http://schemas.openxmlformats.org/officeDocument/2006/relationships/hyperlink" Target="http://maps.google.com/?q=54.0289,-2.91611&amp;t=k" TargetMode="External"/><Relationship Id="rId648" Type="http://schemas.openxmlformats.org/officeDocument/2006/relationships/hyperlink" Target="http://maps.google.com/?q=55.968,-2.40908&amp;t=k" TargetMode="External"/><Relationship Id="rId647" Type="http://schemas.openxmlformats.org/officeDocument/2006/relationships/hyperlink" Target="http://www.iaea.org/PRIS/CountryStatistics/ReactorDetails.aspx?current=261" TargetMode="External"/><Relationship Id="rId649" Type="http://schemas.openxmlformats.org/officeDocument/2006/relationships/hyperlink" Target="https://www.google.com/search?q=TORNESS-2+nuclear+power+plant+in+UNITED+KINGDOM" TargetMode="External"/><Relationship Id="rId230" Type="http://schemas.openxmlformats.org/officeDocument/2006/relationships/hyperlink" Target="http://www.iaea.org/PRIS/CountryStatistics/ReactorDetails.aspx?current=92" TargetMode="External"/><Relationship Id="rId231" Type="http://schemas.openxmlformats.org/officeDocument/2006/relationships/hyperlink" Target="http://maps.google.com/?q=51.6792,7.97167&amp;t=k" TargetMode="External"/><Relationship Id="rId232" Type="http://schemas.openxmlformats.org/officeDocument/2006/relationships/hyperlink" Target="https://www.google.com/search?q=MZFR+nuclear+power+plant+in+GERMANY" TargetMode="External"/><Relationship Id="rId233" Type="http://schemas.openxmlformats.org/officeDocument/2006/relationships/hyperlink" Target="http://www.iaea.org/PRIS/CountryStatistics/ReactorDetails.aspx?current=93" TargetMode="External"/><Relationship Id="rId234" Type="http://schemas.openxmlformats.org/officeDocument/2006/relationships/hyperlink" Target="http://maps.google.com/?q=49.1043,8.43259&amp;t=k" TargetMode="External"/><Relationship Id="rId235" Type="http://schemas.openxmlformats.org/officeDocument/2006/relationships/hyperlink" Target="https://www.google.com/search?q=KRUEMMEL+nuclear+power+plant+in+GERMANY" TargetMode="External"/><Relationship Id="rId236" Type="http://schemas.openxmlformats.org/officeDocument/2006/relationships/hyperlink" Target="http://www.iaea.org/PRIS/CountryStatistics/ReactorDetails.aspx?current=94" TargetMode="External"/><Relationship Id="rId237" Type="http://schemas.openxmlformats.org/officeDocument/2006/relationships/hyperlink" Target="http://maps.google.com/?q=53.41,10.4089&amp;t=k" TargetMode="External"/><Relationship Id="rId238" Type="http://schemas.openxmlformats.org/officeDocument/2006/relationships/hyperlink" Target="https://www.google.com/search?q=MUELHEIM-KAERLICH+nuclear+power+plant+in+GERMANY" TargetMode="External"/><Relationship Id="rId239" Type="http://schemas.openxmlformats.org/officeDocument/2006/relationships/hyperlink" Target="http://www.iaea.org/PRIS/CountryStatistics/ReactorDetails.aspx?current=96" TargetMode="External"/><Relationship Id="rId1432" Type="http://schemas.openxmlformats.org/officeDocument/2006/relationships/hyperlink" Target="https://www.google.com/search?q=PEACH+BOTTOM-3+nuclear+power+plant+in+UNITED+STATES" TargetMode="External"/><Relationship Id="rId1431" Type="http://schemas.openxmlformats.org/officeDocument/2006/relationships/hyperlink" Target="http://maps.google.com/?q=39.7583,-76.2681&amp;t=k" TargetMode="External"/><Relationship Id="rId1430" Type="http://schemas.openxmlformats.org/officeDocument/2006/relationships/hyperlink" Target="http://www.iaea.org/PRIS/CountryStatistics/ReactorDetails.aspx?current=629" TargetMode="External"/><Relationship Id="rId1449" Type="http://schemas.openxmlformats.org/officeDocument/2006/relationships/hyperlink" Target="http://maps.google.com/?q=41.2697,-73.9522&amp;t=k" TargetMode="External"/><Relationship Id="rId1448" Type="http://schemas.openxmlformats.org/officeDocument/2006/relationships/hyperlink" Target="http://www.iaea.org/PRIS/CountryStatistics/ReactorDetails.aspx?current=635" TargetMode="External"/><Relationship Id="rId1445" Type="http://schemas.openxmlformats.org/officeDocument/2006/relationships/hyperlink" Target="http://www.iaea.org/PRIS/CountryStatistics/ReactorDetails.aspx?current=634" TargetMode="External"/><Relationship Id="rId1444" Type="http://schemas.openxmlformats.org/officeDocument/2006/relationships/hyperlink" Target="https://www.google.com/search?q=FORT+CALHOUN-1+nuclear+power+plant+in+UNITED+STATES" TargetMode="External"/><Relationship Id="rId1447" Type="http://schemas.openxmlformats.org/officeDocument/2006/relationships/hyperlink" Target="https://www.google.com/search?q=INDIAN+POINT-3+nuclear+power+plant+in+UNITED+STATES" TargetMode="External"/><Relationship Id="rId1446" Type="http://schemas.openxmlformats.org/officeDocument/2006/relationships/hyperlink" Target="http://maps.google.com/?q=41.5203,-96.0772&amp;t=k" TargetMode="External"/><Relationship Id="rId1440" Type="http://schemas.openxmlformats.org/officeDocument/2006/relationships/hyperlink" Target="http://maps.google.com/?q=37.1656,-76.6978&amp;t=k" TargetMode="External"/><Relationship Id="rId1441" Type="http://schemas.openxmlformats.org/officeDocument/2006/relationships/hyperlink" Target="https://www.google.com/search?q=PRAIRIE+ISLAND-1+nuclear+power+plant+in+UNITED+STATES" TargetMode="External"/><Relationship Id="rId1442" Type="http://schemas.openxmlformats.org/officeDocument/2006/relationships/hyperlink" Target="http://www.iaea.org/PRIS/CountryStatistics/ReactorDetails.aspx?current=633" TargetMode="External"/><Relationship Id="rId1443" Type="http://schemas.openxmlformats.org/officeDocument/2006/relationships/hyperlink" Target="http://maps.google.com/?q=44.6217,-92.6331&amp;t=k" TargetMode="External"/><Relationship Id="rId1459" Type="http://schemas.openxmlformats.org/officeDocument/2006/relationships/hyperlink" Target="https://www.google.com/search?q=PILGRIM-1+nuclear+power+plant+in+UNITED+STATES" TargetMode="External"/><Relationship Id="rId1458" Type="http://schemas.openxmlformats.org/officeDocument/2006/relationships/hyperlink" Target="http://maps.google.com/?q=42.7278,-72.9291&amp;t=k" TargetMode="External"/><Relationship Id="rId1457" Type="http://schemas.openxmlformats.org/officeDocument/2006/relationships/hyperlink" Target="http://www.iaea.org/PRIS/CountryStatistics/ReactorDetails.aspx?current=638" TargetMode="External"/><Relationship Id="rId1456" Type="http://schemas.openxmlformats.org/officeDocument/2006/relationships/hyperlink" Target="https://www.google.com/search?q=YANKEE+NPS+nuclear+power+plant+in+UNITED+STATES" TargetMode="External"/><Relationship Id="rId1455" Type="http://schemas.openxmlformats.org/officeDocument/2006/relationships/hyperlink" Target="http://maps.google.com/?q=40.1533,-76.7253&amp;t=k" TargetMode="External"/><Relationship Id="rId1453" Type="http://schemas.openxmlformats.org/officeDocument/2006/relationships/hyperlink" Target="https://www.google.com/search?q=THREE+MILE+ISLAND-1+nuclear+power+plant+in+UNITED+STATES" TargetMode="External"/><Relationship Id="rId1454" Type="http://schemas.openxmlformats.org/officeDocument/2006/relationships/hyperlink" Target="http://www.iaea.org/PRIS/CountryStatistics/ReactorDetails.aspx?current=637" TargetMode="External"/><Relationship Id="rId1451" Type="http://schemas.openxmlformats.org/officeDocument/2006/relationships/hyperlink" Target="http://www.iaea.org/PRIS/CountryStatistics/ReactorDetails.aspx?current=636" TargetMode="External"/><Relationship Id="rId1452" Type="http://schemas.openxmlformats.org/officeDocument/2006/relationships/hyperlink" Target="http://maps.google.com/?q=34.7939,-82.8981&amp;t=k" TargetMode="External"/><Relationship Id="rId1450" Type="http://schemas.openxmlformats.org/officeDocument/2006/relationships/hyperlink" Target="https://www.google.com/search?q=OCONEE-3+nuclear+power+plant+in+UNITED+STATES" TargetMode="External"/><Relationship Id="rId1467" Type="http://schemas.openxmlformats.org/officeDocument/2006/relationships/hyperlink" Target="http://maps.google.com/?q=34.7039,-87.1186&amp;t=k" TargetMode="External"/><Relationship Id="rId1466" Type="http://schemas.openxmlformats.org/officeDocument/2006/relationships/hyperlink" Target="http://www.iaea.org/PRIS/CountryStatistics/ReactorDetails.aspx?current=641" TargetMode="External"/><Relationship Id="rId1469" Type="http://schemas.openxmlformats.org/officeDocument/2006/relationships/hyperlink" Target="http://www.iaea.org/PRIS/CountryStatistics/ReactorDetails.aspx?current=642" TargetMode="External"/><Relationship Id="rId1468" Type="http://schemas.openxmlformats.org/officeDocument/2006/relationships/hyperlink" Target="https://www.google.com/search?q=COOPER+nuclear+power+plant+in+UNITED+STATES" TargetMode="External"/><Relationship Id="rId206" Type="http://schemas.openxmlformats.org/officeDocument/2006/relationships/hyperlink" Target="http://www.iaea.org/PRIS/CountryStatistics/ReactorDetails.aspx?current=84" TargetMode="External"/><Relationship Id="rId205" Type="http://schemas.openxmlformats.org/officeDocument/2006/relationships/hyperlink" Target="https://www.google.com/search?q=NIEDERAICHBACH+nuclear+power+plant+in+GERMANY" TargetMode="External"/><Relationship Id="rId204" Type="http://schemas.openxmlformats.org/officeDocument/2006/relationships/hyperlink" Target="http://maps.google.com/?q=53.62,9.53083&amp;t=k" TargetMode="External"/><Relationship Id="rId1460" Type="http://schemas.openxmlformats.org/officeDocument/2006/relationships/hyperlink" Target="http://www.iaea.org/PRIS/CountryStatistics/ReactorDetails.aspx?current=639" TargetMode="External"/><Relationship Id="rId203" Type="http://schemas.openxmlformats.org/officeDocument/2006/relationships/hyperlink" Target="http://www.iaea.org/PRIS/CountryStatistics/ReactorDetails.aspx?current=83" TargetMode="External"/><Relationship Id="rId1461" Type="http://schemas.openxmlformats.org/officeDocument/2006/relationships/hyperlink" Target="http://maps.google.com/?q=41.945,-70.5783&amp;t=k" TargetMode="External"/><Relationship Id="rId1462" Type="http://schemas.openxmlformats.org/officeDocument/2006/relationships/hyperlink" Target="https://www.google.com/search?q=ZION-1+nuclear+power+plant+in+UNITED+STATES" TargetMode="External"/><Relationship Id="rId209" Type="http://schemas.openxmlformats.org/officeDocument/2006/relationships/hyperlink" Target="http://www.iaea.org/PRIS/CountryStatistics/ReactorDetails.aspx?current=85" TargetMode="External"/><Relationship Id="rId1463" Type="http://schemas.openxmlformats.org/officeDocument/2006/relationships/hyperlink" Target="http://www.iaea.org/PRIS/CountryStatistics/ReactorDetails.aspx?current=640" TargetMode="External"/><Relationship Id="rId208" Type="http://schemas.openxmlformats.org/officeDocument/2006/relationships/hyperlink" Target="https://www.google.com/search?q=BIBLIS-A+nuclear+power+plant+in+GERMANY" TargetMode="External"/><Relationship Id="rId1464" Type="http://schemas.openxmlformats.org/officeDocument/2006/relationships/hyperlink" Target="http://maps.google.com/?q=42.4464,-87.803&amp;t=k" TargetMode="External"/><Relationship Id="rId207" Type="http://schemas.openxmlformats.org/officeDocument/2006/relationships/hyperlink" Target="http://maps.google.com/?q=48.6058,12.3001&amp;t=k" TargetMode="External"/><Relationship Id="rId1465" Type="http://schemas.openxmlformats.org/officeDocument/2006/relationships/hyperlink" Target="https://www.google.com/search?q=BROWNS+FERRY-3+nuclear+power+plant+in+UNITED+STATES" TargetMode="External"/><Relationship Id="rId202" Type="http://schemas.openxmlformats.org/officeDocument/2006/relationships/hyperlink" Target="https://www.google.com/search?q=STADE+nuclear+power+plant+in+GERMANY" TargetMode="External"/><Relationship Id="rId201" Type="http://schemas.openxmlformats.org/officeDocument/2006/relationships/hyperlink" Target="http://maps.google.com/?q=50.0591,8.98728&amp;t=k" TargetMode="External"/><Relationship Id="rId200" Type="http://schemas.openxmlformats.org/officeDocument/2006/relationships/hyperlink" Target="http://www.iaea.org/PRIS/CountryStatistics/ReactorDetails.aspx?current=82" TargetMode="External"/><Relationship Id="rId600" Type="http://schemas.openxmlformats.org/officeDocument/2006/relationships/hyperlink" Target="http://maps.google.com/?q=51.209,-3.12748&amp;t=k" TargetMode="External"/><Relationship Id="rId601" Type="http://schemas.openxmlformats.org/officeDocument/2006/relationships/hyperlink" Target="https://www.google.com/search?q=HINKLEY+POINT+B-2+nuclear+power+plant+in+UNITED+KINGDOM" TargetMode="External"/><Relationship Id="rId602" Type="http://schemas.openxmlformats.org/officeDocument/2006/relationships/hyperlink" Target="http://www.iaea.org/PRIS/CountryStatistics/ReactorDetails.aspx?current=245" TargetMode="External"/><Relationship Id="rId603" Type="http://schemas.openxmlformats.org/officeDocument/2006/relationships/hyperlink" Target="http://maps.google.com/?q=51.209,-3.12748&amp;t=k" TargetMode="External"/><Relationship Id="rId604" Type="http://schemas.openxmlformats.org/officeDocument/2006/relationships/hyperlink" Target="https://www.google.com/search?q=HUNTERSTON+B-1+nuclear+power+plant+in+UNITED+KINGDOM" TargetMode="External"/><Relationship Id="rId605" Type="http://schemas.openxmlformats.org/officeDocument/2006/relationships/hyperlink" Target="http://www.iaea.org/PRIS/CountryStatistics/ReactorDetails.aspx?current=246" TargetMode="External"/><Relationship Id="rId606" Type="http://schemas.openxmlformats.org/officeDocument/2006/relationships/hyperlink" Target="http://maps.google.com/?q=55.7221,-4.89009&amp;t=k" TargetMode="External"/><Relationship Id="rId1479" Type="http://schemas.openxmlformats.org/officeDocument/2006/relationships/hyperlink" Target="http://maps.google.com/?q=28.9575,-82.6983&amp;t=k" TargetMode="External"/><Relationship Id="rId1478" Type="http://schemas.openxmlformats.org/officeDocument/2006/relationships/hyperlink" Target="http://www.iaea.org/PRIS/CountryStatistics/ReactorDetails.aspx?current=645" TargetMode="External"/><Relationship Id="rId1477" Type="http://schemas.openxmlformats.org/officeDocument/2006/relationships/hyperlink" Target="https://www.google.com/search?q=CRYSTAL+RIVER-3+nuclear+power+plant+in+UNITED+STATES" TargetMode="External"/><Relationship Id="rId1471" Type="http://schemas.openxmlformats.org/officeDocument/2006/relationships/hyperlink" Target="https://www.google.com/search?q=INDIAN+POINT-1+nuclear+power+plant+in+UNITED+STATES" TargetMode="External"/><Relationship Id="rId1472" Type="http://schemas.openxmlformats.org/officeDocument/2006/relationships/hyperlink" Target="http://www.iaea.org/PRIS/CountryStatistics/ReactorDetails.aspx?current=643" TargetMode="External"/><Relationship Id="rId1470" Type="http://schemas.openxmlformats.org/officeDocument/2006/relationships/hyperlink" Target="http://maps.google.com/?q=40.3619,-95.6414&amp;t=k" TargetMode="External"/><Relationship Id="rId1475" Type="http://schemas.openxmlformats.org/officeDocument/2006/relationships/hyperlink" Target="http://www.iaea.org/PRIS/CountryStatistics/ReactorDetails.aspx?current=644" TargetMode="External"/><Relationship Id="rId1476" Type="http://schemas.openxmlformats.org/officeDocument/2006/relationships/hyperlink" Target="http://maps.google.com/?q=44.2811,-87.5367&amp;t=k" TargetMode="External"/><Relationship Id="rId1473" Type="http://schemas.openxmlformats.org/officeDocument/2006/relationships/hyperlink" Target="http://maps.google.com/?q=41.2697,-73.9522&amp;t=k" TargetMode="External"/><Relationship Id="rId1474" Type="http://schemas.openxmlformats.org/officeDocument/2006/relationships/hyperlink" Target="https://www.google.com/search?q=POINT+BEACH-2+nuclear+power+plant+in+UNITED+STATES" TargetMode="External"/><Relationship Id="rId608" Type="http://schemas.openxmlformats.org/officeDocument/2006/relationships/hyperlink" Target="http://www.iaea.org/PRIS/CountryStatistics/ReactorDetails.aspx?current=247" TargetMode="External"/><Relationship Id="rId607" Type="http://schemas.openxmlformats.org/officeDocument/2006/relationships/hyperlink" Target="https://www.google.com/search?q=HUNTERSTON+B-2+nuclear+power+plant+in+UNITED+KINGDOM" TargetMode="External"/><Relationship Id="rId609" Type="http://schemas.openxmlformats.org/officeDocument/2006/relationships/hyperlink" Target="http://maps.google.com/?q=55.7221,-4.89009&amp;t=k" TargetMode="External"/><Relationship Id="rId1899" Type="http://schemas.openxmlformats.org/officeDocument/2006/relationships/hyperlink" Target="http://maps.google.com/?q=21.7083,112.261&amp;t=k" TargetMode="External"/><Relationship Id="rId1898" Type="http://schemas.openxmlformats.org/officeDocument/2006/relationships/hyperlink" Target="http://www.iaea.org/PRIS/CountryStatistics/ReactorDetails.aspx?current=933" TargetMode="External"/><Relationship Id="rId1897" Type="http://schemas.openxmlformats.org/officeDocument/2006/relationships/hyperlink" Target="https://www.google.com/search?q=YANGJIANG-5+nuclear+power+plant+in+CHINA" TargetMode="External"/><Relationship Id="rId1896" Type="http://schemas.openxmlformats.org/officeDocument/2006/relationships/hyperlink" Target="http://maps.google.com/?q=21.7083,112.261&amp;t=k" TargetMode="External"/><Relationship Id="rId1895" Type="http://schemas.openxmlformats.org/officeDocument/2006/relationships/hyperlink" Target="http://www.iaea.org/PRIS/CountryStatistics/ReactorDetails.aspx?current=932" TargetMode="External"/><Relationship Id="rId1487" Type="http://schemas.openxmlformats.org/officeDocument/2006/relationships/hyperlink" Target="http://www.iaea.org/PRIS/CountryStatistics/ReactorDetails.aspx?current=648" TargetMode="External"/><Relationship Id="rId1486" Type="http://schemas.openxmlformats.org/officeDocument/2006/relationships/hyperlink" Target="https://www.google.com/search?q=PRAIRIE+ISLAND-2+nuclear+power+plant+in+UNITED+STATES" TargetMode="External"/><Relationship Id="rId1485" Type="http://schemas.openxmlformats.org/officeDocument/2006/relationships/hyperlink" Target="http://maps.google.com/?q=44.3422,-87.5361&amp;t=k" TargetMode="External"/><Relationship Id="rId1484" Type="http://schemas.openxmlformats.org/officeDocument/2006/relationships/hyperlink" Target="http://www.iaea.org/PRIS/CountryStatistics/ReactorDetails.aspx?current=647" TargetMode="External"/><Relationship Id="rId1483" Type="http://schemas.openxmlformats.org/officeDocument/2006/relationships/hyperlink" Target="https://www.google.com/search?q=KEWAUNEE+nuclear+power+plant+in+UNITED+STATES" TargetMode="External"/><Relationship Id="rId1482" Type="http://schemas.openxmlformats.org/officeDocument/2006/relationships/hyperlink" Target="http://maps.google.com/?q=42.4464,-87.803&amp;t=k" TargetMode="External"/><Relationship Id="rId1481" Type="http://schemas.openxmlformats.org/officeDocument/2006/relationships/hyperlink" Target="http://www.iaea.org/PRIS/CountryStatistics/ReactorDetails.aspx?current=646" TargetMode="External"/><Relationship Id="rId1480" Type="http://schemas.openxmlformats.org/officeDocument/2006/relationships/hyperlink" Target="https://www.google.com/search?q=ZION-2+nuclear+power+plant+in+UNITED+STATES" TargetMode="External"/><Relationship Id="rId695" Type="http://schemas.openxmlformats.org/officeDocument/2006/relationships/hyperlink" Target="http://www.iaea.org/PRIS/CountryStatistics/ReactorDetails.aspx?current=278" TargetMode="External"/><Relationship Id="rId694" Type="http://schemas.openxmlformats.org/officeDocument/2006/relationships/hyperlink" Target="https://www.google.com/search?q=PAKS-1+nuclear+power+plant+in+HUNGARY" TargetMode="External"/><Relationship Id="rId697" Type="http://schemas.openxmlformats.org/officeDocument/2006/relationships/hyperlink" Target="https://www.google.com/search?q=PAKS-2+nuclear+power+plant+in+HUNGARY" TargetMode="External"/><Relationship Id="rId696" Type="http://schemas.openxmlformats.org/officeDocument/2006/relationships/hyperlink" Target="http://maps.google.com/?q=46.5725,18.8542&amp;t=k" TargetMode="External"/><Relationship Id="rId691" Type="http://schemas.openxmlformats.org/officeDocument/2006/relationships/hyperlink" Target="https://www.google.com/search?q=DUNGENESS+A-2+nuclear+power+plant+in+UNITED+KINGDOM" TargetMode="External"/><Relationship Id="rId690" Type="http://schemas.openxmlformats.org/officeDocument/2006/relationships/hyperlink" Target="http://maps.google.com/?q=50.9139,0.963889&amp;t=k" TargetMode="External"/><Relationship Id="rId693" Type="http://schemas.openxmlformats.org/officeDocument/2006/relationships/hyperlink" Target="http://maps.google.com/?q=52.215,1.61972&amp;t=k" TargetMode="External"/><Relationship Id="rId1488" Type="http://schemas.openxmlformats.org/officeDocument/2006/relationships/hyperlink" Target="http://maps.google.com/?q=44.6217,-92.6331&amp;t=k" TargetMode="External"/><Relationship Id="rId692" Type="http://schemas.openxmlformats.org/officeDocument/2006/relationships/hyperlink" Target="http://www.iaea.org/PRIS/CountryStatistics/ReactorDetails.aspx?current=276" TargetMode="External"/><Relationship Id="rId1489" Type="http://schemas.openxmlformats.org/officeDocument/2006/relationships/hyperlink" Target="https://www.google.com/search?q=MAINE+YANKEE+nuclear+power+plant+in+UNITED+STATES" TargetMode="External"/><Relationship Id="rId1893" Type="http://schemas.openxmlformats.org/officeDocument/2006/relationships/hyperlink" Target="http://maps.google.com/?q=21.7083,112.261&amp;t=k" TargetMode="External"/><Relationship Id="rId1894" Type="http://schemas.openxmlformats.org/officeDocument/2006/relationships/hyperlink" Target="https://www.google.com/search?q=YANGJIANG-4+nuclear+power+plant+in+CHINA" TargetMode="External"/><Relationship Id="rId1891" Type="http://schemas.openxmlformats.org/officeDocument/2006/relationships/hyperlink" Target="https://www.google.com/search?q=YANGJIANG-3+nuclear+power+plant+in+CHINA" TargetMode="External"/><Relationship Id="rId1892" Type="http://schemas.openxmlformats.org/officeDocument/2006/relationships/hyperlink" Target="http://www.iaea.org/PRIS/CountryStatistics/ReactorDetails.aspx?current=931" TargetMode="External"/><Relationship Id="rId699" Type="http://schemas.openxmlformats.org/officeDocument/2006/relationships/hyperlink" Target="http://maps.google.com/?q=46.5725,18.8542&amp;t=k" TargetMode="External"/><Relationship Id="rId1890" Type="http://schemas.openxmlformats.org/officeDocument/2006/relationships/hyperlink" Target="http://maps.google.com/?q=27.0444,120.283&amp;t=k" TargetMode="External"/><Relationship Id="rId698" Type="http://schemas.openxmlformats.org/officeDocument/2006/relationships/hyperlink" Target="http://www.iaea.org/PRIS/CountryStatistics/ReactorDetails.aspx?current=279" TargetMode="External"/><Relationship Id="rId1889" Type="http://schemas.openxmlformats.org/officeDocument/2006/relationships/hyperlink" Target="http://www.iaea.org/PRIS/CountryStatistics/ReactorDetails.aspx?current=924" TargetMode="External"/><Relationship Id="rId1888" Type="http://schemas.openxmlformats.org/officeDocument/2006/relationships/hyperlink" Target="https://www.google.com/search?q=NINGDE-4+nuclear+power+plant+in+CHINA" TargetMode="External"/><Relationship Id="rId1490" Type="http://schemas.openxmlformats.org/officeDocument/2006/relationships/hyperlink" Target="http://www.iaea.org/PRIS/CountryStatistics/ReactorDetails.aspx?current=649" TargetMode="External"/><Relationship Id="rId1885" Type="http://schemas.openxmlformats.org/officeDocument/2006/relationships/hyperlink" Target="https://www.google.com/search?q=NINGDE-3+nuclear+power+plant+in+CHINA" TargetMode="External"/><Relationship Id="rId1884" Type="http://schemas.openxmlformats.org/officeDocument/2006/relationships/hyperlink" Target="http://maps.google.com/?q=27.0444,120.283&amp;t=k" TargetMode="External"/><Relationship Id="rId1887" Type="http://schemas.openxmlformats.org/officeDocument/2006/relationships/hyperlink" Target="http://maps.google.com/?q=27.0444,120.283&amp;t=k" TargetMode="External"/><Relationship Id="rId1886" Type="http://schemas.openxmlformats.org/officeDocument/2006/relationships/hyperlink" Target="http://www.iaea.org/PRIS/CountryStatistics/ReactorDetails.aspx?current=923" TargetMode="External"/><Relationship Id="rId1496" Type="http://schemas.openxmlformats.org/officeDocument/2006/relationships/hyperlink" Target="http://www.iaea.org/PRIS/CountryStatistics/ReactorDetails.aspx?current=651" TargetMode="External"/><Relationship Id="rId1495" Type="http://schemas.openxmlformats.org/officeDocument/2006/relationships/hyperlink" Target="https://www.google.com/search?q=RANCHO+SECO-1+nuclear+power+plant+in+UNITED+STATES" TargetMode="External"/><Relationship Id="rId1498" Type="http://schemas.openxmlformats.org/officeDocument/2006/relationships/hyperlink" Target="https://www.google.com/search?q=ANO-1+nuclear+power+plant+in+UNITED+STATES" TargetMode="External"/><Relationship Id="rId1497" Type="http://schemas.openxmlformats.org/officeDocument/2006/relationships/hyperlink" Target="http://maps.google.com/?q=38.3453,-121.122&amp;t=k" TargetMode="External"/><Relationship Id="rId1492" Type="http://schemas.openxmlformats.org/officeDocument/2006/relationships/hyperlink" Target="https://www.google.com/search?q=SALEM-2+nuclear+power+plant+in+UNITED+STATES" TargetMode="External"/><Relationship Id="rId1491" Type="http://schemas.openxmlformats.org/officeDocument/2006/relationships/hyperlink" Target="http://maps.google.com/?q=43.9518,-69.6962&amp;t=k" TargetMode="External"/><Relationship Id="rId1494" Type="http://schemas.openxmlformats.org/officeDocument/2006/relationships/hyperlink" Target="http://maps.google.com/?q=39.4628,-75.5356&amp;t=k" TargetMode="External"/><Relationship Id="rId1493" Type="http://schemas.openxmlformats.org/officeDocument/2006/relationships/hyperlink" Target="http://www.iaea.org/PRIS/CountryStatistics/ReactorDetails.aspx?current=650" TargetMode="External"/><Relationship Id="rId1499" Type="http://schemas.openxmlformats.org/officeDocument/2006/relationships/hyperlink" Target="http://www.iaea.org/PRIS/CountryStatistics/ReactorDetails.aspx?current=652" TargetMode="External"/><Relationship Id="rId1880" Type="http://schemas.openxmlformats.org/officeDocument/2006/relationships/hyperlink" Target="http://www.iaea.org/PRIS/CountryStatistics/ReactorDetails.aspx?current=921" TargetMode="External"/><Relationship Id="rId1881" Type="http://schemas.openxmlformats.org/officeDocument/2006/relationships/hyperlink" Target="http://maps.google.com/?q=27.0444,120.283&amp;t=k" TargetMode="External"/><Relationship Id="rId1882" Type="http://schemas.openxmlformats.org/officeDocument/2006/relationships/hyperlink" Target="https://www.google.com/search?q=NINGDE-2+nuclear+power+plant+in+CHINA" TargetMode="External"/><Relationship Id="rId1883" Type="http://schemas.openxmlformats.org/officeDocument/2006/relationships/hyperlink" Target="http://www.iaea.org/PRIS/CountryStatistics/ReactorDetails.aspx?current=922" TargetMode="External"/><Relationship Id="rId658" Type="http://schemas.openxmlformats.org/officeDocument/2006/relationships/hyperlink" Target="https://www.google.com/search?q=BERKELEY-2+nuclear+power+plant+in+UNITED+KINGDOM" TargetMode="External"/><Relationship Id="rId659" Type="http://schemas.openxmlformats.org/officeDocument/2006/relationships/hyperlink" Target="http://www.iaea.org/PRIS/CountryStatistics/ReactorDetails.aspx?current=265" TargetMode="External"/><Relationship Id="rId654" Type="http://schemas.openxmlformats.org/officeDocument/2006/relationships/hyperlink" Target="http://maps.google.com/?q=52.215,1.61972&amp;t=k" TargetMode="External"/><Relationship Id="rId655" Type="http://schemas.openxmlformats.org/officeDocument/2006/relationships/hyperlink" Target="https://www.google.com/search?q=BERKELEY-1+nuclear+power+plant+in+UNITED+KINGDOM" TargetMode="External"/><Relationship Id="rId656" Type="http://schemas.openxmlformats.org/officeDocument/2006/relationships/hyperlink" Target="http://www.iaea.org/PRIS/CountryStatistics/ReactorDetails.aspx?current=264" TargetMode="External"/><Relationship Id="rId657" Type="http://schemas.openxmlformats.org/officeDocument/2006/relationships/hyperlink" Target="http://maps.google.com/?q=51.6925,-2.49361&amp;t=k" TargetMode="External"/><Relationship Id="rId650" Type="http://schemas.openxmlformats.org/officeDocument/2006/relationships/hyperlink" Target="http://www.iaea.org/PRIS/CountryStatistics/ReactorDetails.aspx?current=262" TargetMode="External"/><Relationship Id="rId651" Type="http://schemas.openxmlformats.org/officeDocument/2006/relationships/hyperlink" Target="http://maps.google.com/?q=55.968,-2.40908&amp;t=k" TargetMode="External"/><Relationship Id="rId652" Type="http://schemas.openxmlformats.org/officeDocument/2006/relationships/hyperlink" Target="https://www.google.com/search?q=SIZEWELL+B+nuclear+power+plant+in+UNITED+KINGDOM" TargetMode="External"/><Relationship Id="rId653" Type="http://schemas.openxmlformats.org/officeDocument/2006/relationships/hyperlink" Target="http://www.iaea.org/PRIS/CountryStatistics/ReactorDetails.aspx?current=263" TargetMode="External"/><Relationship Id="rId669" Type="http://schemas.openxmlformats.org/officeDocument/2006/relationships/hyperlink" Target="http://maps.google.com/?q=0,0&amp;t=k" TargetMode="External"/><Relationship Id="rId667" Type="http://schemas.openxmlformats.org/officeDocument/2006/relationships/hyperlink" Target="https://www.google.com/search?q=WINDSCALE+AGR+nuclear+power+plant+in+UNITED+KINGDOM" TargetMode="External"/><Relationship Id="rId668" Type="http://schemas.openxmlformats.org/officeDocument/2006/relationships/hyperlink" Target="http://www.iaea.org/PRIS/CountryStatistics/ReactorDetails.aspx?current=268" TargetMode="External"/><Relationship Id="rId665" Type="http://schemas.openxmlformats.org/officeDocument/2006/relationships/hyperlink" Target="http://www.iaea.org/PRIS/CountryStatistics/ReactorDetails.aspx?current=267" TargetMode="External"/><Relationship Id="rId666" Type="http://schemas.openxmlformats.org/officeDocument/2006/relationships/hyperlink" Target="http://maps.google.com/?q=51.7414,0.89694&amp;t=k" TargetMode="External"/><Relationship Id="rId663" Type="http://schemas.openxmlformats.org/officeDocument/2006/relationships/hyperlink" Target="http://maps.google.com/?q=51.7414,0.89694&amp;t=k" TargetMode="External"/><Relationship Id="rId664" Type="http://schemas.openxmlformats.org/officeDocument/2006/relationships/hyperlink" Target="https://www.google.com/search?q=BRADWELL-2+nuclear+power+plant+in+UNITED+KINGDOM" TargetMode="External"/><Relationship Id="rId661" Type="http://schemas.openxmlformats.org/officeDocument/2006/relationships/hyperlink" Target="https://www.google.com/search?q=BRADWELL-1+nuclear+power+plant+in+UNITED+KINGDOM" TargetMode="External"/><Relationship Id="rId662" Type="http://schemas.openxmlformats.org/officeDocument/2006/relationships/hyperlink" Target="http://www.iaea.org/PRIS/CountryStatistics/ReactorDetails.aspx?current=266" TargetMode="External"/><Relationship Id="rId660" Type="http://schemas.openxmlformats.org/officeDocument/2006/relationships/hyperlink" Target="http://maps.google.com/?q=51.6925,-2.49361&amp;t=k" TargetMode="External"/><Relationship Id="rId676" Type="http://schemas.openxmlformats.org/officeDocument/2006/relationships/hyperlink" Target="https://www.google.com/search?q=HINKLEY+POINT+A-1+nuclear+power+plant+in+UNITED+KINGDOM" TargetMode="External"/><Relationship Id="rId677" Type="http://schemas.openxmlformats.org/officeDocument/2006/relationships/hyperlink" Target="http://www.iaea.org/PRIS/CountryStatistics/ReactorDetails.aspx?current=271" TargetMode="External"/><Relationship Id="rId678" Type="http://schemas.openxmlformats.org/officeDocument/2006/relationships/hyperlink" Target="http://maps.google.com/?q=51.2087,-3.13374&amp;t=k" TargetMode="External"/><Relationship Id="rId679" Type="http://schemas.openxmlformats.org/officeDocument/2006/relationships/hyperlink" Target="https://www.google.com/search?q=HINKLEY+POINT+A-2+nuclear+power+plant+in+UNITED+KINGDOM" TargetMode="External"/><Relationship Id="rId670" Type="http://schemas.openxmlformats.org/officeDocument/2006/relationships/hyperlink" Target="https://www.google.com/search?q=HUNTERSTON+A-1+nuclear+power+plant+in+UNITED+KINGDOM" TargetMode="External"/><Relationship Id="rId671" Type="http://schemas.openxmlformats.org/officeDocument/2006/relationships/hyperlink" Target="http://www.iaea.org/PRIS/CountryStatistics/ReactorDetails.aspx?current=269" TargetMode="External"/><Relationship Id="rId672" Type="http://schemas.openxmlformats.org/officeDocument/2006/relationships/hyperlink" Target="http://maps.google.com/?q=55.7222,-4.89&amp;t=k" TargetMode="External"/><Relationship Id="rId673" Type="http://schemas.openxmlformats.org/officeDocument/2006/relationships/hyperlink" Target="https://www.google.com/search?q=HUNTERSTON+A-2+nuclear+power+plant+in+UNITED+KINGDOM" TargetMode="External"/><Relationship Id="rId674" Type="http://schemas.openxmlformats.org/officeDocument/2006/relationships/hyperlink" Target="http://www.iaea.org/PRIS/CountryStatistics/ReactorDetails.aspx?current=270" TargetMode="External"/><Relationship Id="rId675" Type="http://schemas.openxmlformats.org/officeDocument/2006/relationships/hyperlink" Target="http://maps.google.com/?q=55.7222,-4.89&amp;t=k" TargetMode="External"/><Relationship Id="rId689" Type="http://schemas.openxmlformats.org/officeDocument/2006/relationships/hyperlink" Target="http://www.iaea.org/PRIS/CountryStatistics/ReactorDetails.aspx?current=275" TargetMode="External"/><Relationship Id="rId687" Type="http://schemas.openxmlformats.org/officeDocument/2006/relationships/hyperlink" Target="http://maps.google.com/?q=52.9249,-3.94844&amp;t=k" TargetMode="External"/><Relationship Id="rId688" Type="http://schemas.openxmlformats.org/officeDocument/2006/relationships/hyperlink" Target="https://www.google.com/search?q=DUNGENESS+A-1+nuclear+power+plant+in+UNITED+KINGDOM" TargetMode="External"/><Relationship Id="rId681" Type="http://schemas.openxmlformats.org/officeDocument/2006/relationships/hyperlink" Target="http://maps.google.com/?q=51.209,-3.12748&amp;t=k" TargetMode="External"/><Relationship Id="rId682" Type="http://schemas.openxmlformats.org/officeDocument/2006/relationships/hyperlink" Target="https://www.google.com/search?q=TRAWSFYNYDD-1+nuclear+power+plant+in+UNITED+KINGDOM" TargetMode="External"/><Relationship Id="rId680" Type="http://schemas.openxmlformats.org/officeDocument/2006/relationships/hyperlink" Target="http://www.iaea.org/PRIS/CountryStatistics/ReactorDetails.aspx?current=272" TargetMode="External"/><Relationship Id="rId685" Type="http://schemas.openxmlformats.org/officeDocument/2006/relationships/hyperlink" Target="https://www.google.com/search?q=TRAWSFYNYDD-2+nuclear+power+plant+in+UNITED+KINGDOM" TargetMode="External"/><Relationship Id="rId686" Type="http://schemas.openxmlformats.org/officeDocument/2006/relationships/hyperlink" Target="http://www.iaea.org/PRIS/CountryStatistics/ReactorDetails.aspx?current=274" TargetMode="External"/><Relationship Id="rId683" Type="http://schemas.openxmlformats.org/officeDocument/2006/relationships/hyperlink" Target="http://www.iaea.org/PRIS/CountryStatistics/ReactorDetails.aspx?current=273" TargetMode="External"/><Relationship Id="rId684" Type="http://schemas.openxmlformats.org/officeDocument/2006/relationships/hyperlink" Target="http://maps.google.com/?q=52.9249,-3.94844&amp;t=k" TargetMode="External"/><Relationship Id="rId1031" Type="http://schemas.openxmlformats.org/officeDocument/2006/relationships/hyperlink" Target="http://www.iaea.org/PRIS/CountryStatistics/ReactorDetails.aspx?current=422" TargetMode="External"/><Relationship Id="rId1032" Type="http://schemas.openxmlformats.org/officeDocument/2006/relationships/hyperlink" Target="http://maps.google.com/?q=51.8997,5.68611&amp;t=k" TargetMode="External"/><Relationship Id="rId1030" Type="http://schemas.openxmlformats.org/officeDocument/2006/relationships/hyperlink" Target="https://www.google.com/search?q=DODEWAARD+nuclear+power+plant+in+NETHERLANDS" TargetMode="External"/><Relationship Id="rId1035" Type="http://schemas.openxmlformats.org/officeDocument/2006/relationships/hyperlink" Target="http://maps.google.com/?q=51.4308,3.71833&amp;t=k" TargetMode="External"/><Relationship Id="rId1036" Type="http://schemas.openxmlformats.org/officeDocument/2006/relationships/hyperlink" Target="https://www.google.com/search?q=KANUPP+nuclear+power+plant+in+PAKISTAN" TargetMode="External"/><Relationship Id="rId1033" Type="http://schemas.openxmlformats.org/officeDocument/2006/relationships/hyperlink" Target="https://www.google.com/search?q=BORSSELE+nuclear+power+plant+in+NETHERLANDS" TargetMode="External"/><Relationship Id="rId1034" Type="http://schemas.openxmlformats.org/officeDocument/2006/relationships/hyperlink" Target="http://www.iaea.org/PRIS/CountryStatistics/ReactorDetails.aspx?current=423" TargetMode="External"/><Relationship Id="rId1039" Type="http://schemas.openxmlformats.org/officeDocument/2006/relationships/hyperlink" Target="https://www.google.com/search?q=CHASNUPP-1+nuclear+power+plant+in+PAKISTAN" TargetMode="External"/><Relationship Id="rId1038" Type="http://schemas.openxmlformats.org/officeDocument/2006/relationships/hyperlink" Target="http://maps.google.com/?q=24.8472,66.7883&amp;t=k" TargetMode="External"/><Relationship Id="rId1037" Type="http://schemas.openxmlformats.org/officeDocument/2006/relationships/hyperlink" Target="http://www.iaea.org/PRIS/CountryStatistics/ReactorDetails.aspx?current=427" TargetMode="External"/><Relationship Id="rId1803" Type="http://schemas.openxmlformats.org/officeDocument/2006/relationships/hyperlink" Target="http://maps.google.com/?q=35.3199,129.29&amp;t=k" TargetMode="External"/><Relationship Id="rId1802" Type="http://schemas.openxmlformats.org/officeDocument/2006/relationships/hyperlink" Target="http://www.iaea.org/PRIS/CountryStatistics/ReactorDetails.aspx?current=886" TargetMode="External"/><Relationship Id="rId1801" Type="http://schemas.openxmlformats.org/officeDocument/2006/relationships/hyperlink" Target="https://www.google.com/search?q=SHIN-KORI-4+nuclear+power+plant+in+SOUTH+KOREA" TargetMode="External"/><Relationship Id="rId1800" Type="http://schemas.openxmlformats.org/officeDocument/2006/relationships/hyperlink" Target="http://maps.google.com/?q=35.3199,129.29&amp;t=k" TargetMode="External"/><Relationship Id="rId1807" Type="http://schemas.openxmlformats.org/officeDocument/2006/relationships/hyperlink" Target="https://www.google.com/search?q=SHIN-HANUL-2+nuclear+power+plant+in+SOUTH+KOREA" TargetMode="External"/><Relationship Id="rId1806" Type="http://schemas.openxmlformats.org/officeDocument/2006/relationships/hyperlink" Target="http://maps.google.com/?q=37.0928,129.384&amp;t=k" TargetMode="External"/><Relationship Id="rId1805" Type="http://schemas.openxmlformats.org/officeDocument/2006/relationships/hyperlink" Target="http://www.iaea.org/PRIS/CountryStatistics/ReactorDetails.aspx?current=887" TargetMode="External"/><Relationship Id="rId1804" Type="http://schemas.openxmlformats.org/officeDocument/2006/relationships/hyperlink" Target="https://www.google.com/search?q=SHIN-HANUL-1+nuclear+power+plant+in+SOUTH+KOREA" TargetMode="External"/><Relationship Id="rId1809" Type="http://schemas.openxmlformats.org/officeDocument/2006/relationships/hyperlink" Target="http://maps.google.com/?q=37.0928,129.384&amp;t=k" TargetMode="External"/><Relationship Id="rId1808" Type="http://schemas.openxmlformats.org/officeDocument/2006/relationships/hyperlink" Target="http://www.iaea.org/PRIS/CountryStatistics/ReactorDetails.aspx?current=888" TargetMode="External"/><Relationship Id="rId1020" Type="http://schemas.openxmlformats.org/officeDocument/2006/relationships/hyperlink" Target="http://maps.google.com/?q=55.6044,26.56&amp;t=k" TargetMode="External"/><Relationship Id="rId1021" Type="http://schemas.openxmlformats.org/officeDocument/2006/relationships/hyperlink" Target="https://www.google.com/search?q=IGNALINA-2+nuclear+power+plant+in+LITHUANIA" TargetMode="External"/><Relationship Id="rId1022" Type="http://schemas.openxmlformats.org/officeDocument/2006/relationships/hyperlink" Target="http://www.iaea.org/PRIS/CountryStatistics/ReactorDetails.aspx?current=416" TargetMode="External"/><Relationship Id="rId1023" Type="http://schemas.openxmlformats.org/officeDocument/2006/relationships/hyperlink" Target="http://maps.google.com/?q=55.6044,26.56&amp;t=k" TargetMode="External"/><Relationship Id="rId1024" Type="http://schemas.openxmlformats.org/officeDocument/2006/relationships/hyperlink" Target="https://www.google.com/search?q=LAGUNA+VERDE-1+nuclear+power+plant+in+MEXICO" TargetMode="External"/><Relationship Id="rId1025" Type="http://schemas.openxmlformats.org/officeDocument/2006/relationships/hyperlink" Target="http://www.iaea.org/PRIS/CountryStatistics/ReactorDetails.aspx?current=420" TargetMode="External"/><Relationship Id="rId1027" Type="http://schemas.openxmlformats.org/officeDocument/2006/relationships/hyperlink" Target="https://www.google.com/search?q=LAGUNA+VERDE-2+nuclear+power+plant+in+MEXICO" TargetMode="External"/><Relationship Id="rId1026" Type="http://schemas.openxmlformats.org/officeDocument/2006/relationships/hyperlink" Target="http://maps.google.com/?q=19.7208,-96.4064&amp;t=k" TargetMode="External"/><Relationship Id="rId1810" Type="http://schemas.openxmlformats.org/officeDocument/2006/relationships/hyperlink" Target="https://www.google.com/search?q=SHIPPINGPORT+nuclear+power+plant+in+UNITED+STATES" TargetMode="External"/><Relationship Id="rId1029" Type="http://schemas.openxmlformats.org/officeDocument/2006/relationships/hyperlink" Target="http://maps.google.com/?q=19.7208,-96.4064&amp;t=k" TargetMode="External"/><Relationship Id="rId1028" Type="http://schemas.openxmlformats.org/officeDocument/2006/relationships/hyperlink" Target="http://www.iaea.org/PRIS/CountryStatistics/ReactorDetails.aspx?current=421" TargetMode="External"/><Relationship Id="rId1812" Type="http://schemas.openxmlformats.org/officeDocument/2006/relationships/hyperlink" Target="http://maps.google.com/?q=40.6211,-80.4353&amp;t=k" TargetMode="External"/><Relationship Id="rId1811" Type="http://schemas.openxmlformats.org/officeDocument/2006/relationships/hyperlink" Target="http://www.iaea.org/PRIS/CountryStatistics/ReactorDetails.aspx?current=890" TargetMode="External"/><Relationship Id="rId1814" Type="http://schemas.openxmlformats.org/officeDocument/2006/relationships/hyperlink" Target="http://www.iaea.org/PRIS/CountryStatistics/ReactorDetails.aspx?current=891" TargetMode="External"/><Relationship Id="rId1813" Type="http://schemas.openxmlformats.org/officeDocument/2006/relationships/hyperlink" Target="https://www.google.com/search?q=HALLAM+nuclear+power+plant+in+UNITED+STATES" TargetMode="External"/><Relationship Id="rId1816" Type="http://schemas.openxmlformats.org/officeDocument/2006/relationships/hyperlink" Target="https://www.google.com/search?q=SAXTON+nuclear+power+plant+in+UNITED+STATES" TargetMode="External"/><Relationship Id="rId1815" Type="http://schemas.openxmlformats.org/officeDocument/2006/relationships/hyperlink" Target="http://maps.google.com/?q=40.5592,-96.7847&amp;t=k" TargetMode="External"/><Relationship Id="rId1818" Type="http://schemas.openxmlformats.org/officeDocument/2006/relationships/hyperlink" Target="http://maps.google.com/?q=40.2269,-78.2419&amp;t=k" TargetMode="External"/><Relationship Id="rId1817" Type="http://schemas.openxmlformats.org/officeDocument/2006/relationships/hyperlink" Target="http://www.iaea.org/PRIS/CountryStatistics/ReactorDetails.aspx?current=892" TargetMode="External"/><Relationship Id="rId1819" Type="http://schemas.openxmlformats.org/officeDocument/2006/relationships/hyperlink" Target="https://www.google.com/search?q=GE+VALLECITOS+nuclear+power+plant+in+UNITED+STATES" TargetMode="External"/><Relationship Id="rId1013" Type="http://schemas.openxmlformats.org/officeDocument/2006/relationships/hyperlink" Target="http://www.iaea.org/PRIS/CountryStatistics/ReactorDetails.aspx?current=413" TargetMode="External"/><Relationship Id="rId1014" Type="http://schemas.openxmlformats.org/officeDocument/2006/relationships/hyperlink" Target="http://maps.google.com/?q=37.0928,129.384&amp;t=k" TargetMode="External"/><Relationship Id="rId1011" Type="http://schemas.openxmlformats.org/officeDocument/2006/relationships/hyperlink" Target="http://maps.google.com/?q=35.415,126.424&amp;t=k" TargetMode="External"/><Relationship Id="rId1012" Type="http://schemas.openxmlformats.org/officeDocument/2006/relationships/hyperlink" Target="https://www.google.com/search?q=HANUL-1+nuclear+power+plant+in+SOUTH+KOREA" TargetMode="External"/><Relationship Id="rId1010" Type="http://schemas.openxmlformats.org/officeDocument/2006/relationships/hyperlink" Target="http://www.iaea.org/PRIS/CountryStatistics/ReactorDetails.aspx?current=412" TargetMode="External"/><Relationship Id="rId1825" Type="http://schemas.openxmlformats.org/officeDocument/2006/relationships/hyperlink" Target="https://www.google.com/search?q=AKADEMIK+LOMONOSOV-1+nuclear+power+plant+in+RUSSIA" TargetMode="External"/><Relationship Id="rId1824" Type="http://schemas.openxmlformats.org/officeDocument/2006/relationships/hyperlink" Target="http://maps.google.com/?q=40.1323,-84.2348&amp;t=k" TargetMode="External"/><Relationship Id="rId1823" Type="http://schemas.openxmlformats.org/officeDocument/2006/relationships/hyperlink" Target="http://www.iaea.org/PRIS/CountryStatistics/ReactorDetails.aspx?current=894" TargetMode="External"/><Relationship Id="rId1822" Type="http://schemas.openxmlformats.org/officeDocument/2006/relationships/hyperlink" Target="https://www.google.com/search?q=PIQUA+nuclear+power+plant+in+UNITED+STATES" TargetMode="External"/><Relationship Id="rId1019" Type="http://schemas.openxmlformats.org/officeDocument/2006/relationships/hyperlink" Target="http://www.iaea.org/PRIS/CountryStatistics/ReactorDetails.aspx?current=415" TargetMode="External"/><Relationship Id="rId1821" Type="http://schemas.openxmlformats.org/officeDocument/2006/relationships/hyperlink" Target="http://maps.google.com/?q=37.6133,-121.84&amp;t=k" TargetMode="External"/><Relationship Id="rId1018" Type="http://schemas.openxmlformats.org/officeDocument/2006/relationships/hyperlink" Target="https://www.google.com/search?q=IGNALINA-1+nuclear+power+plant+in+LITHUANIA" TargetMode="External"/><Relationship Id="rId1820" Type="http://schemas.openxmlformats.org/officeDocument/2006/relationships/hyperlink" Target="http://www.iaea.org/PRIS/CountryStatistics/ReactorDetails.aspx?current=893" TargetMode="External"/><Relationship Id="rId1017" Type="http://schemas.openxmlformats.org/officeDocument/2006/relationships/hyperlink" Target="http://maps.google.com/?q=43.607,51.283&amp;t=k" TargetMode="External"/><Relationship Id="rId1016" Type="http://schemas.openxmlformats.org/officeDocument/2006/relationships/hyperlink" Target="http://www.iaea.org/PRIS/CountryStatistics/ReactorDetails.aspx?current=414" TargetMode="External"/><Relationship Id="rId1015" Type="http://schemas.openxmlformats.org/officeDocument/2006/relationships/hyperlink" Target="https://www.google.com/search?q=AKTAU+nuclear+power+plant+in+KAZAKHSTAN" TargetMode="External"/><Relationship Id="rId1829" Type="http://schemas.openxmlformats.org/officeDocument/2006/relationships/hyperlink" Target="http://www.iaea.org/PRIS/CountryStatistics/ReactorDetails.aspx?current=896" TargetMode="External"/><Relationship Id="rId1828" Type="http://schemas.openxmlformats.org/officeDocument/2006/relationships/hyperlink" Target="https://www.google.com/search?q=AKADEMIK+LOMONOSOV-2+nuclear+power+plant+in+RUSSIA" TargetMode="External"/><Relationship Id="rId1827" Type="http://schemas.openxmlformats.org/officeDocument/2006/relationships/hyperlink" Target="http://maps.google.com/?q=52.9203,158.425&amp;t=k" TargetMode="External"/><Relationship Id="rId1826" Type="http://schemas.openxmlformats.org/officeDocument/2006/relationships/hyperlink" Target="http://www.iaea.org/PRIS/CountryStatistics/ReactorDetails.aspx?current=895" TargetMode="External"/><Relationship Id="rId1000" Type="http://schemas.openxmlformats.org/officeDocument/2006/relationships/hyperlink" Target="https://www.google.com/search?q=KORI-3+nuclear+power+plant+in+SOUTH+KOREA" TargetMode="External"/><Relationship Id="rId1001" Type="http://schemas.openxmlformats.org/officeDocument/2006/relationships/hyperlink" Target="http://www.iaea.org/PRIS/CountryStatistics/ReactorDetails.aspx?current=409" TargetMode="External"/><Relationship Id="rId1002" Type="http://schemas.openxmlformats.org/officeDocument/2006/relationships/hyperlink" Target="http://maps.google.com/?q=35.3199,129.29&amp;t=k" TargetMode="External"/><Relationship Id="rId1003" Type="http://schemas.openxmlformats.org/officeDocument/2006/relationships/hyperlink" Target="https://www.google.com/search?q=KORI-4+nuclear+power+plant+in+SOUTH+KOREA" TargetMode="External"/><Relationship Id="rId1834" Type="http://schemas.openxmlformats.org/officeDocument/2006/relationships/hyperlink" Target="https://www.google.com/search?q=NOVOVORONEZH+2-2+nuclear+power+plant+in+RUSSIA" TargetMode="External"/><Relationship Id="rId1009" Type="http://schemas.openxmlformats.org/officeDocument/2006/relationships/hyperlink" Target="https://www.google.com/search?q=HANBIT-2+nuclear+power+plant+in+SOUTH+KOREA" TargetMode="External"/><Relationship Id="rId1833" Type="http://schemas.openxmlformats.org/officeDocument/2006/relationships/hyperlink" Target="http://maps.google.com/?q=51.275,39.2&amp;t=k" TargetMode="External"/><Relationship Id="rId1008" Type="http://schemas.openxmlformats.org/officeDocument/2006/relationships/hyperlink" Target="http://maps.google.com/?q=35.415,126.424&amp;t=k" TargetMode="External"/><Relationship Id="rId1836" Type="http://schemas.openxmlformats.org/officeDocument/2006/relationships/hyperlink" Target="http://maps.google.com/?q=51.275,39.2&amp;t=k" TargetMode="External"/><Relationship Id="rId1835" Type="http://schemas.openxmlformats.org/officeDocument/2006/relationships/hyperlink" Target="http://www.iaea.org/PRIS/CountryStatistics/ReactorDetails.aspx?current=899" TargetMode="External"/><Relationship Id="rId1830" Type="http://schemas.openxmlformats.org/officeDocument/2006/relationships/hyperlink" Target="http://maps.google.com/?q=52.9203,158.425&amp;t=k" TargetMode="External"/><Relationship Id="rId1005" Type="http://schemas.openxmlformats.org/officeDocument/2006/relationships/hyperlink" Target="http://maps.google.com/?q=35.3199,129.29&amp;t=k" TargetMode="External"/><Relationship Id="rId1004" Type="http://schemas.openxmlformats.org/officeDocument/2006/relationships/hyperlink" Target="http://www.iaea.org/PRIS/CountryStatistics/ReactorDetails.aspx?current=410" TargetMode="External"/><Relationship Id="rId1832" Type="http://schemas.openxmlformats.org/officeDocument/2006/relationships/hyperlink" Target="http://www.iaea.org/PRIS/CountryStatistics/ReactorDetails.aspx?current=898" TargetMode="External"/><Relationship Id="rId1007" Type="http://schemas.openxmlformats.org/officeDocument/2006/relationships/hyperlink" Target="http://www.iaea.org/PRIS/CountryStatistics/ReactorDetails.aspx?current=411" TargetMode="External"/><Relationship Id="rId1831" Type="http://schemas.openxmlformats.org/officeDocument/2006/relationships/hyperlink" Target="https://www.google.com/search?q=NOVOVORONEZH+2-1+nuclear+power+plant+in+RUSSIA" TargetMode="External"/><Relationship Id="rId1006" Type="http://schemas.openxmlformats.org/officeDocument/2006/relationships/hyperlink" Target="https://www.google.com/search?q=HANBIT-1+nuclear+power+plant+in+SOUTH+KOREA" TargetMode="External"/><Relationship Id="rId1838" Type="http://schemas.openxmlformats.org/officeDocument/2006/relationships/hyperlink" Target="http://www.iaea.org/PRIS/CountryStatistics/ReactorDetails.aspx?current=900" TargetMode="External"/><Relationship Id="rId1837" Type="http://schemas.openxmlformats.org/officeDocument/2006/relationships/hyperlink" Target="https://www.google.com/search?q=LENINGRAD+2-1+nuclear+power+plant+in+RUSSIA" TargetMode="External"/><Relationship Id="rId1839" Type="http://schemas.openxmlformats.org/officeDocument/2006/relationships/hyperlink" Target="http://maps.google.com/?q=59.8472,29.0436&amp;t=k" TargetMode="External"/><Relationship Id="rId1076" Type="http://schemas.openxmlformats.org/officeDocument/2006/relationships/hyperlink" Target="http://www.iaea.org/PRIS/CountryStatistics/ReactorDetails.aspx?current=470" TargetMode="External"/><Relationship Id="rId1075" Type="http://schemas.openxmlformats.org/officeDocument/2006/relationships/hyperlink" Target="https://www.google.com/search?q=BILIBINO-4+nuclear+power+plant+in+RUSSIA" TargetMode="External"/><Relationship Id="rId1074" Type="http://schemas.openxmlformats.org/officeDocument/2006/relationships/hyperlink" Target="http://maps.google.com/?q=68.0503,166.539&amp;t=k" TargetMode="External"/><Relationship Id="rId1073" Type="http://schemas.openxmlformats.org/officeDocument/2006/relationships/hyperlink" Target="http://www.iaea.org/PRIS/CountryStatistics/ReactorDetails.aspx?current=469" TargetMode="External"/><Relationship Id="rId1079" Type="http://schemas.openxmlformats.org/officeDocument/2006/relationships/hyperlink" Target="http://www.iaea.org/PRIS/CountryStatistics/ReactorDetails.aspx?current=474" TargetMode="External"/><Relationship Id="rId1078" Type="http://schemas.openxmlformats.org/officeDocument/2006/relationships/hyperlink" Target="https://www.google.com/search?q=LENINGRAD-1+nuclear+power+plant+in+RUSSIA" TargetMode="External"/><Relationship Id="rId1077" Type="http://schemas.openxmlformats.org/officeDocument/2006/relationships/hyperlink" Target="http://maps.google.com/?q=68.0503,166.539&amp;t=k" TargetMode="External"/><Relationship Id="rId1072" Type="http://schemas.openxmlformats.org/officeDocument/2006/relationships/hyperlink" Target="https://www.google.com/search?q=BILIBINO-3+nuclear+power+plant+in+RUSSIA" TargetMode="External"/><Relationship Id="rId1071" Type="http://schemas.openxmlformats.org/officeDocument/2006/relationships/hyperlink" Target="http://maps.google.com/?q=68.0503,166.539&amp;t=k" TargetMode="External"/><Relationship Id="rId1070" Type="http://schemas.openxmlformats.org/officeDocument/2006/relationships/hyperlink" Target="http://www.iaea.org/PRIS/CountryStatistics/ReactorDetails.aspx?current=468" TargetMode="External"/><Relationship Id="rId1848" Type="http://schemas.openxmlformats.org/officeDocument/2006/relationships/hyperlink" Target="http://maps.google.com/?q=39.7958,121.481&amp;t=k" TargetMode="External"/><Relationship Id="rId1849" Type="http://schemas.openxmlformats.org/officeDocument/2006/relationships/hyperlink" Target="https://www.google.com/search?q=HONGYANHE-3+nuclear+power+plant+in+CHINA" TargetMode="External"/><Relationship Id="rId1842" Type="http://schemas.openxmlformats.org/officeDocument/2006/relationships/hyperlink" Target="http://maps.google.com/?q=59.8472,29.0436&amp;t=k" TargetMode="External"/><Relationship Id="rId1843" Type="http://schemas.openxmlformats.org/officeDocument/2006/relationships/hyperlink" Target="https://www.google.com/search?q=HONGYANHE-1+nuclear+power+plant+in+CHINA" TargetMode="External"/><Relationship Id="rId1840" Type="http://schemas.openxmlformats.org/officeDocument/2006/relationships/hyperlink" Target="https://www.google.com/search?q=LENINGRAD+2-2+nuclear+power+plant+in+RUSSIA" TargetMode="External"/><Relationship Id="rId1841" Type="http://schemas.openxmlformats.org/officeDocument/2006/relationships/hyperlink" Target="http://www.iaea.org/PRIS/CountryStatistics/ReactorDetails.aspx?current=901" TargetMode="External"/><Relationship Id="rId1846" Type="http://schemas.openxmlformats.org/officeDocument/2006/relationships/hyperlink" Target="https://www.google.com/search?q=HONGYANHE-2+nuclear+power+plant+in+CHINA" TargetMode="External"/><Relationship Id="rId1847" Type="http://schemas.openxmlformats.org/officeDocument/2006/relationships/hyperlink" Target="http://www.iaea.org/PRIS/CountryStatistics/ReactorDetails.aspx?current=905" TargetMode="External"/><Relationship Id="rId1844" Type="http://schemas.openxmlformats.org/officeDocument/2006/relationships/hyperlink" Target="http://www.iaea.org/PRIS/CountryStatistics/ReactorDetails.aspx?current=904" TargetMode="External"/><Relationship Id="rId1845" Type="http://schemas.openxmlformats.org/officeDocument/2006/relationships/hyperlink" Target="http://maps.google.com/?q=39.7958,121.481&amp;t=k" TargetMode="External"/><Relationship Id="rId1063" Type="http://schemas.openxmlformats.org/officeDocument/2006/relationships/hyperlink" Target="https://www.google.com/search?q=KOLA-2+nuclear+power+plant+in+RUSSIA" TargetMode="External"/><Relationship Id="rId1062" Type="http://schemas.openxmlformats.org/officeDocument/2006/relationships/hyperlink" Target="http://maps.google.com/?q=67.467,32.467&amp;t=k" TargetMode="External"/><Relationship Id="rId1065" Type="http://schemas.openxmlformats.org/officeDocument/2006/relationships/hyperlink" Target="http://maps.google.com/?q=67.467,32.467&amp;t=k" TargetMode="External"/><Relationship Id="rId1064" Type="http://schemas.openxmlformats.org/officeDocument/2006/relationships/hyperlink" Target="http://www.iaea.org/PRIS/CountryStatistics/ReactorDetails.aspx?current=460" TargetMode="External"/><Relationship Id="rId1067" Type="http://schemas.openxmlformats.org/officeDocument/2006/relationships/hyperlink" Target="http://www.iaea.org/PRIS/CountryStatistics/ReactorDetails.aspx?current=467" TargetMode="External"/><Relationship Id="rId1066" Type="http://schemas.openxmlformats.org/officeDocument/2006/relationships/hyperlink" Target="https://www.google.com/search?q=BILIBINO-1+nuclear+power+plant+in+RUSSIA" TargetMode="External"/><Relationship Id="rId1850" Type="http://schemas.openxmlformats.org/officeDocument/2006/relationships/hyperlink" Target="http://www.iaea.org/PRIS/CountryStatistics/ReactorDetails.aspx?current=906" TargetMode="External"/><Relationship Id="rId1069" Type="http://schemas.openxmlformats.org/officeDocument/2006/relationships/hyperlink" Target="https://www.google.com/search?q=BILIBINO-2+nuclear+power+plant+in+RUSSIA" TargetMode="External"/><Relationship Id="rId1068" Type="http://schemas.openxmlformats.org/officeDocument/2006/relationships/hyperlink" Target="http://maps.google.com/?q=68.0503,166.539&amp;t=k" TargetMode="External"/><Relationship Id="rId1061" Type="http://schemas.openxmlformats.org/officeDocument/2006/relationships/hyperlink" Target="http://www.iaea.org/PRIS/CountryStatistics/ReactorDetails.aspx?current=453" TargetMode="External"/><Relationship Id="rId1060" Type="http://schemas.openxmlformats.org/officeDocument/2006/relationships/hyperlink" Target="https://www.google.com/search?q=KOLA-1+nuclear+power+plant+in+RUSSIA" TargetMode="External"/><Relationship Id="rId1859" Type="http://schemas.openxmlformats.org/officeDocument/2006/relationships/hyperlink" Target="http://www.iaea.org/PRIS/CountryStatistics/ReactorDetails.aspx?current=909" TargetMode="External"/><Relationship Id="rId1851" Type="http://schemas.openxmlformats.org/officeDocument/2006/relationships/hyperlink" Target="http://maps.google.com/?q=39.7958,121.481&amp;t=k" TargetMode="External"/><Relationship Id="rId1852" Type="http://schemas.openxmlformats.org/officeDocument/2006/relationships/hyperlink" Target="https://www.google.com/search?q=HONGYANHE-4+nuclear+power+plant+in+CHINA" TargetMode="External"/><Relationship Id="rId1853" Type="http://schemas.openxmlformats.org/officeDocument/2006/relationships/hyperlink" Target="http://www.iaea.org/PRIS/CountryStatistics/ReactorDetails.aspx?current=907" TargetMode="External"/><Relationship Id="rId1854" Type="http://schemas.openxmlformats.org/officeDocument/2006/relationships/hyperlink" Target="http://maps.google.com/?q=39.7958,121.481&amp;t=k" TargetMode="External"/><Relationship Id="rId1855" Type="http://schemas.openxmlformats.org/officeDocument/2006/relationships/hyperlink" Target="https://www.google.com/search?q=HAIYANG-1+nuclear+power+plant+in+CHINA" TargetMode="External"/><Relationship Id="rId1856" Type="http://schemas.openxmlformats.org/officeDocument/2006/relationships/hyperlink" Target="http://www.iaea.org/PRIS/CountryStatistics/ReactorDetails.aspx?current=908" TargetMode="External"/><Relationship Id="rId1857" Type="http://schemas.openxmlformats.org/officeDocument/2006/relationships/hyperlink" Target="http://maps.google.com/?q=36.7083,121.383&amp;t=k" TargetMode="External"/><Relationship Id="rId1858" Type="http://schemas.openxmlformats.org/officeDocument/2006/relationships/hyperlink" Target="https://www.google.com/search?q=HAIYANG-2+nuclear+power+plant+in+CHINA" TargetMode="External"/><Relationship Id="rId1861" Type="http://schemas.openxmlformats.org/officeDocument/2006/relationships/hyperlink" Target="https://www.google.com/search?q=FANGJIASHAN-1+nuclear+power+plant+in+CHINA" TargetMode="External"/><Relationship Id="rId1058" Type="http://schemas.openxmlformats.org/officeDocument/2006/relationships/hyperlink" Target="http://www.iaea.org/PRIS/CountryStatistics/ReactorDetails.aspx?current=451" TargetMode="External"/><Relationship Id="rId1860" Type="http://schemas.openxmlformats.org/officeDocument/2006/relationships/hyperlink" Target="http://maps.google.com/?q=36.7083,121.383&amp;t=k" TargetMode="External"/><Relationship Id="rId1057" Type="http://schemas.openxmlformats.org/officeDocument/2006/relationships/hyperlink" Target="https://www.google.com/search?q=BELOYARSK-4+nuclear+power+plant+in+RUSSIA" TargetMode="External"/><Relationship Id="rId1056" Type="http://schemas.openxmlformats.org/officeDocument/2006/relationships/hyperlink" Target="http://maps.google.com/?q=51.275,39.2&amp;t=k" TargetMode="External"/><Relationship Id="rId1055" Type="http://schemas.openxmlformats.org/officeDocument/2006/relationships/hyperlink" Target="http://www.iaea.org/PRIS/CountryStatistics/ReactorDetails.aspx?current=448" TargetMode="External"/><Relationship Id="rId1054" Type="http://schemas.openxmlformats.org/officeDocument/2006/relationships/hyperlink" Target="https://www.google.com/search?q=NOVOVORONEZH-4+nuclear+power+plant+in+RUSSIA" TargetMode="External"/><Relationship Id="rId1053" Type="http://schemas.openxmlformats.org/officeDocument/2006/relationships/hyperlink" Target="http://maps.google.com/?q=55.0842,36.5697&amp;t=k" TargetMode="External"/><Relationship Id="rId1052" Type="http://schemas.openxmlformats.org/officeDocument/2006/relationships/hyperlink" Target="http://www.iaea.org/PRIS/CountryStatistics/ReactorDetails.aspx?current=447" TargetMode="External"/><Relationship Id="rId1051" Type="http://schemas.openxmlformats.org/officeDocument/2006/relationships/hyperlink" Target="https://www.google.com/search?q=APS-1+OBNINSK+nuclear+power+plant+in+RUSSIA" TargetMode="External"/><Relationship Id="rId1050" Type="http://schemas.openxmlformats.org/officeDocument/2006/relationships/hyperlink" Target="http://maps.google.com/?q=44.3222,28.0572&amp;t=k" TargetMode="External"/><Relationship Id="rId1868" Type="http://schemas.openxmlformats.org/officeDocument/2006/relationships/hyperlink" Target="http://www.iaea.org/PRIS/CountryStatistics/ReactorDetails.aspx?current=914" TargetMode="External"/><Relationship Id="rId1869" Type="http://schemas.openxmlformats.org/officeDocument/2006/relationships/hyperlink" Target="http://maps.google.com/?q=25.4458,119.447&amp;t=k" TargetMode="External"/><Relationship Id="rId1866" Type="http://schemas.openxmlformats.org/officeDocument/2006/relationships/hyperlink" Target="http://maps.google.com/?q=30.4413,120.942&amp;t=k" TargetMode="External"/><Relationship Id="rId1867" Type="http://schemas.openxmlformats.org/officeDocument/2006/relationships/hyperlink" Target="https://www.google.com/search?q=FUQING-1+nuclear+power+plant+in+CHINA" TargetMode="External"/><Relationship Id="rId1864" Type="http://schemas.openxmlformats.org/officeDocument/2006/relationships/hyperlink" Target="https://www.google.com/search?q=FANGJIASHAN-2+nuclear+power+plant+in+CHINA" TargetMode="External"/><Relationship Id="rId1865" Type="http://schemas.openxmlformats.org/officeDocument/2006/relationships/hyperlink" Target="http://www.iaea.org/PRIS/CountryStatistics/ReactorDetails.aspx?current=913" TargetMode="External"/><Relationship Id="rId1862" Type="http://schemas.openxmlformats.org/officeDocument/2006/relationships/hyperlink" Target="http://www.iaea.org/PRIS/CountryStatistics/ReactorDetails.aspx?current=912" TargetMode="External"/><Relationship Id="rId1059" Type="http://schemas.openxmlformats.org/officeDocument/2006/relationships/hyperlink" Target="http://maps.google.com/?q=56.8417,61.3225&amp;t=k" TargetMode="External"/><Relationship Id="rId1863" Type="http://schemas.openxmlformats.org/officeDocument/2006/relationships/hyperlink" Target="http://maps.google.com/?q=30.4413,120.942&amp;t=k" TargetMode="External"/><Relationship Id="rId1870" Type="http://schemas.openxmlformats.org/officeDocument/2006/relationships/hyperlink" Target="https://www.google.com/search?q=FUQING-2+nuclear+power+plant+in+CHINA" TargetMode="External"/><Relationship Id="rId1045" Type="http://schemas.openxmlformats.org/officeDocument/2006/relationships/hyperlink" Target="https://www.google.com/search?q=CERNAVODA-1+nuclear+power+plant+in+ROMANIA" TargetMode="External"/><Relationship Id="rId1044" Type="http://schemas.openxmlformats.org/officeDocument/2006/relationships/hyperlink" Target="http://maps.google.com/?q=32.3903,71.4625&amp;t=k" TargetMode="External"/><Relationship Id="rId1872" Type="http://schemas.openxmlformats.org/officeDocument/2006/relationships/hyperlink" Target="http://maps.google.com/?q=25.4458,119.447&amp;t=k" TargetMode="External"/><Relationship Id="rId1047" Type="http://schemas.openxmlformats.org/officeDocument/2006/relationships/hyperlink" Target="http://maps.google.com/?q=44.3222,28.0572&amp;t=k" TargetMode="External"/><Relationship Id="rId1871" Type="http://schemas.openxmlformats.org/officeDocument/2006/relationships/hyperlink" Target="http://www.iaea.org/PRIS/CountryStatistics/ReactorDetails.aspx?current=915" TargetMode="External"/><Relationship Id="rId1046" Type="http://schemas.openxmlformats.org/officeDocument/2006/relationships/hyperlink" Target="http://www.iaea.org/PRIS/CountryStatistics/ReactorDetails.aspx?current=442" TargetMode="External"/><Relationship Id="rId1041" Type="http://schemas.openxmlformats.org/officeDocument/2006/relationships/hyperlink" Target="http://maps.google.com/?q=32.3903,71.4625&amp;t=k" TargetMode="External"/><Relationship Id="rId1040" Type="http://schemas.openxmlformats.org/officeDocument/2006/relationships/hyperlink" Target="http://www.iaea.org/PRIS/CountryStatistics/ReactorDetails.aspx?current=428" TargetMode="External"/><Relationship Id="rId1043" Type="http://schemas.openxmlformats.org/officeDocument/2006/relationships/hyperlink" Target="http://www.iaea.org/PRIS/CountryStatistics/ReactorDetails.aspx?current=429" TargetMode="External"/><Relationship Id="rId1042" Type="http://schemas.openxmlformats.org/officeDocument/2006/relationships/hyperlink" Target="https://www.google.com/search?q=CHASNUPP-2+nuclear+power+plant+in+PAKISTAN" TargetMode="External"/><Relationship Id="rId1877" Type="http://schemas.openxmlformats.org/officeDocument/2006/relationships/hyperlink" Target="http://www.iaea.org/PRIS/CountryStatistics/ReactorDetails.aspx?current=919" TargetMode="External"/><Relationship Id="rId1878" Type="http://schemas.openxmlformats.org/officeDocument/2006/relationships/hyperlink" Target="http://maps.google.com/?q=21.9178,112.982&amp;t=k" TargetMode="External"/><Relationship Id="rId1879" Type="http://schemas.openxmlformats.org/officeDocument/2006/relationships/hyperlink" Target="https://www.google.com/search?q=NINGDE-1+nuclear+power+plant+in+CHINA" TargetMode="External"/><Relationship Id="rId1873" Type="http://schemas.openxmlformats.org/officeDocument/2006/relationships/hyperlink" Target="https://www.google.com/search?q=TAISHAN-1+nuclear+power+plant+in+CHINA" TargetMode="External"/><Relationship Id="rId1048" Type="http://schemas.openxmlformats.org/officeDocument/2006/relationships/hyperlink" Target="https://www.google.com/search?q=CERNAVODA-2+nuclear+power+plant+in+ROMANIA" TargetMode="External"/><Relationship Id="rId1874" Type="http://schemas.openxmlformats.org/officeDocument/2006/relationships/hyperlink" Target="http://www.iaea.org/PRIS/CountryStatistics/ReactorDetails.aspx?current=918" TargetMode="External"/><Relationship Id="rId1049" Type="http://schemas.openxmlformats.org/officeDocument/2006/relationships/hyperlink" Target="http://www.iaea.org/PRIS/CountryStatistics/ReactorDetails.aspx?current=443" TargetMode="External"/><Relationship Id="rId1875" Type="http://schemas.openxmlformats.org/officeDocument/2006/relationships/hyperlink" Target="http://maps.google.com/?q=21.9178,112.982&amp;t=k" TargetMode="External"/><Relationship Id="rId1876" Type="http://schemas.openxmlformats.org/officeDocument/2006/relationships/hyperlink" Target="https://www.google.com/search?q=TAISHAN-2+nuclear+power+plant+in+CHINA" TargetMode="External"/><Relationship Id="rId296" Type="http://schemas.openxmlformats.org/officeDocument/2006/relationships/hyperlink" Target="http://www.iaea.org/PRIS/CountryStatistics/ReactorDetails.aspx?current=133" TargetMode="External"/><Relationship Id="rId297" Type="http://schemas.openxmlformats.org/officeDocument/2006/relationships/hyperlink" Target="http://maps.google.com/?q=52.4828,7.30694&amp;t=k" TargetMode="External"/><Relationship Id="rId294" Type="http://schemas.openxmlformats.org/officeDocument/2006/relationships/hyperlink" Target="http://maps.google.com/?q=54.1406,13.6644&amp;t=k" TargetMode="External"/><Relationship Id="rId295" Type="http://schemas.openxmlformats.org/officeDocument/2006/relationships/hyperlink" Target="https://www.google.com/search?q=LINGEN+nuclear+power+plant+in+GERMANY" TargetMode="External"/><Relationship Id="rId298" Type="http://schemas.openxmlformats.org/officeDocument/2006/relationships/hyperlink" Target="https://www.google.com/search?q=HDR+GROSSWELZHEIM+nuclear+power+plant+in+GERMANY" TargetMode="External"/><Relationship Id="rId299" Type="http://schemas.openxmlformats.org/officeDocument/2006/relationships/hyperlink" Target="http://www.iaea.org/PRIS/CountryStatistics/ReactorDetails.aspx?current=134" TargetMode="External"/><Relationship Id="rId259" Type="http://schemas.openxmlformats.org/officeDocument/2006/relationships/hyperlink" Target="https://www.google.com/search?q=ISAR-2+nuclear+power+plant+in+GERMANY" TargetMode="External"/><Relationship Id="rId258" Type="http://schemas.openxmlformats.org/officeDocument/2006/relationships/hyperlink" Target="http://maps.google.com/?q=48.5147,10.4022&amp;t=k" TargetMode="External"/><Relationship Id="rId253" Type="http://schemas.openxmlformats.org/officeDocument/2006/relationships/hyperlink" Target="https://www.google.com/search?q=GUNDREMMINGEN-C+nuclear+power+plant+in+GERMANY" TargetMode="External"/><Relationship Id="rId252" Type="http://schemas.openxmlformats.org/officeDocument/2006/relationships/hyperlink" Target="http://maps.google.com/?q=52.0353,9.41333&amp;t=k" TargetMode="External"/><Relationship Id="rId251" Type="http://schemas.openxmlformats.org/officeDocument/2006/relationships/hyperlink" Target="http://www.iaea.org/PRIS/CountryStatistics/ReactorDetails.aspx?current=101" TargetMode="External"/><Relationship Id="rId250" Type="http://schemas.openxmlformats.org/officeDocument/2006/relationships/hyperlink" Target="https://www.google.com/search?q=GROHNDE+nuclear+power+plant+in+GERMANY" TargetMode="External"/><Relationship Id="rId257" Type="http://schemas.openxmlformats.org/officeDocument/2006/relationships/hyperlink" Target="http://www.iaea.org/PRIS/CountryStatistics/ReactorDetails.aspx?current=104" TargetMode="External"/><Relationship Id="rId256" Type="http://schemas.openxmlformats.org/officeDocument/2006/relationships/hyperlink" Target="https://www.google.com/search?q=GUNDREMMINGEN-A+nuclear+power+plant+in+GERMANY" TargetMode="External"/><Relationship Id="rId255" Type="http://schemas.openxmlformats.org/officeDocument/2006/relationships/hyperlink" Target="http://maps.google.com/?q=48.5147,10.4022&amp;t=k" TargetMode="External"/><Relationship Id="rId254" Type="http://schemas.openxmlformats.org/officeDocument/2006/relationships/hyperlink" Target="http://www.iaea.org/PRIS/CountryStatistics/ReactorDetails.aspx?current=102" TargetMode="External"/><Relationship Id="rId260" Type="http://schemas.openxmlformats.org/officeDocument/2006/relationships/hyperlink" Target="http://www.iaea.org/PRIS/CountryStatistics/ReactorDetails.aspx?current=106" TargetMode="External"/><Relationship Id="rId269" Type="http://schemas.openxmlformats.org/officeDocument/2006/relationships/hyperlink" Target="http://www.iaea.org/PRIS/CountryStatistics/ReactorDetails.aspx?current=114" TargetMode="External"/><Relationship Id="rId262" Type="http://schemas.openxmlformats.org/officeDocument/2006/relationships/hyperlink" Target="https://www.google.com/search?q=BROKDORF+nuclear+power+plant+in+GERMANY" TargetMode="External"/><Relationship Id="rId261" Type="http://schemas.openxmlformats.org/officeDocument/2006/relationships/hyperlink" Target="http://maps.google.com/?q=48.6056,12.2932&amp;t=k" TargetMode="External"/><Relationship Id="rId264" Type="http://schemas.openxmlformats.org/officeDocument/2006/relationships/hyperlink" Target="http://maps.google.com/?q=53.8508,9.34472&amp;t=k" TargetMode="External"/><Relationship Id="rId263" Type="http://schemas.openxmlformats.org/officeDocument/2006/relationships/hyperlink" Target="http://www.iaea.org/PRIS/CountryStatistics/ReactorDetails.aspx?current=107" TargetMode="External"/><Relationship Id="rId266" Type="http://schemas.openxmlformats.org/officeDocument/2006/relationships/hyperlink" Target="http://www.iaea.org/PRIS/CountryStatistics/ReactorDetails.aspx?current=108" TargetMode="External"/><Relationship Id="rId265" Type="http://schemas.openxmlformats.org/officeDocument/2006/relationships/hyperlink" Target="https://www.google.com/search?q=EMSLAND+nuclear+power+plant+in+GERMANY" TargetMode="External"/><Relationship Id="rId268" Type="http://schemas.openxmlformats.org/officeDocument/2006/relationships/hyperlink" Target="https://www.google.com/search?q=AVR+JUELICH+nuclear+power+plant+in+GERMANY" TargetMode="External"/><Relationship Id="rId267" Type="http://schemas.openxmlformats.org/officeDocument/2006/relationships/hyperlink" Target="http://maps.google.com/?q=52.4742,7.31786&amp;t=k" TargetMode="External"/><Relationship Id="rId270" Type="http://schemas.openxmlformats.org/officeDocument/2006/relationships/hyperlink" Target="http://maps.google.com/?q=50.9031,6.42111&amp;t=k" TargetMode="External"/><Relationship Id="rId271" Type="http://schemas.openxmlformats.org/officeDocument/2006/relationships/hyperlink" Target="https://www.google.com/search?q=NECKARWESTHEIM-2+nuclear+power+plant+in+GERMANY" TargetMode="External"/><Relationship Id="rId279" Type="http://schemas.openxmlformats.org/officeDocument/2006/relationships/hyperlink" Target="http://maps.google.com/?q=53.147,12.9901&amp;t=k" TargetMode="External"/><Relationship Id="rId278" Type="http://schemas.openxmlformats.org/officeDocument/2006/relationships/hyperlink" Target="http://www.iaea.org/PRIS/CountryStatistics/ReactorDetails.aspx?current=122" TargetMode="External"/><Relationship Id="rId277" Type="http://schemas.openxmlformats.org/officeDocument/2006/relationships/hyperlink" Target="https://www.google.com/search?q=RHEINSBERG+nuclear+power+plant+in+GERMANY" TargetMode="External"/><Relationship Id="rId276" Type="http://schemas.openxmlformats.org/officeDocument/2006/relationships/hyperlink" Target="http://maps.google.com/?q=49.3644,9.07639&amp;t=k" TargetMode="External"/><Relationship Id="rId275" Type="http://schemas.openxmlformats.org/officeDocument/2006/relationships/hyperlink" Target="http://www.iaea.org/PRIS/CountryStatistics/ReactorDetails.aspx?current=121" TargetMode="External"/><Relationship Id="rId274" Type="http://schemas.openxmlformats.org/officeDocument/2006/relationships/hyperlink" Target="https://www.google.com/search?q=OBRIGHEIM+nuclear+power+plant+in+GERMANY" TargetMode="External"/><Relationship Id="rId273" Type="http://schemas.openxmlformats.org/officeDocument/2006/relationships/hyperlink" Target="http://maps.google.com/?q=49.0417,9.175&amp;t=k" TargetMode="External"/><Relationship Id="rId272" Type="http://schemas.openxmlformats.org/officeDocument/2006/relationships/hyperlink" Target="http://www.iaea.org/PRIS/CountryStatistics/ReactorDetails.aspx?current=119" TargetMode="External"/><Relationship Id="rId281" Type="http://schemas.openxmlformats.org/officeDocument/2006/relationships/hyperlink" Target="http://www.iaea.org/PRIS/CountryStatistics/ReactorDetails.aspx?current=123" TargetMode="External"/><Relationship Id="rId282" Type="http://schemas.openxmlformats.org/officeDocument/2006/relationships/hyperlink" Target="http://maps.google.com/?q=54.1406,13.6644&amp;t=k" TargetMode="External"/><Relationship Id="rId280" Type="http://schemas.openxmlformats.org/officeDocument/2006/relationships/hyperlink" Target="https://www.google.com/search?q=GREIFSWALD-1+nuclear+power+plant+in+GERMANY" TargetMode="External"/><Relationship Id="rId288" Type="http://schemas.openxmlformats.org/officeDocument/2006/relationships/hyperlink" Target="http://maps.google.com/?q=54.1406,13.6644&amp;t=k" TargetMode="External"/><Relationship Id="rId287" Type="http://schemas.openxmlformats.org/officeDocument/2006/relationships/hyperlink" Target="http://www.iaea.org/PRIS/CountryStatistics/ReactorDetails.aspx?current=125" TargetMode="External"/><Relationship Id="rId289" Type="http://schemas.openxmlformats.org/officeDocument/2006/relationships/hyperlink" Target="https://www.google.com/search?q=GREIFSWALD-4+nuclear+power+plant+in+GERMANY" TargetMode="External"/><Relationship Id="rId284" Type="http://schemas.openxmlformats.org/officeDocument/2006/relationships/hyperlink" Target="http://www.iaea.org/PRIS/CountryStatistics/ReactorDetails.aspx?current=124" TargetMode="External"/><Relationship Id="rId283" Type="http://schemas.openxmlformats.org/officeDocument/2006/relationships/hyperlink" Target="https://www.google.com/search?q=GREIFSWALD-2+nuclear+power+plant+in+GERMANY" TargetMode="External"/><Relationship Id="rId286" Type="http://schemas.openxmlformats.org/officeDocument/2006/relationships/hyperlink" Target="https://www.google.com/search?q=GREIFSWALD-3+nuclear+power+plant+in+GERMANY" TargetMode="External"/><Relationship Id="rId285" Type="http://schemas.openxmlformats.org/officeDocument/2006/relationships/hyperlink" Target="http://maps.google.com/?q=54.1406,13.6644&amp;t=k" TargetMode="External"/><Relationship Id="rId290" Type="http://schemas.openxmlformats.org/officeDocument/2006/relationships/hyperlink" Target="http://www.iaea.org/PRIS/CountryStatistics/ReactorDetails.aspx?current=126" TargetMode="External"/><Relationship Id="rId291" Type="http://schemas.openxmlformats.org/officeDocument/2006/relationships/hyperlink" Target="http://maps.google.com/?q=54.1406,13.6644&amp;t=k" TargetMode="External"/><Relationship Id="rId292" Type="http://schemas.openxmlformats.org/officeDocument/2006/relationships/hyperlink" Target="https://www.google.com/search?q=GREIFSWALD-5+nuclear+power+plant+in+GERMANY" TargetMode="External"/><Relationship Id="rId293" Type="http://schemas.openxmlformats.org/officeDocument/2006/relationships/hyperlink" Target="http://www.iaea.org/PRIS/CountryStatistics/ReactorDetails.aspx?current=127" TargetMode="External"/><Relationship Id="rId756" Type="http://schemas.openxmlformats.org/officeDocument/2006/relationships/hyperlink" Target="http://maps.google.com/?q=24.8722,75.6139&amp;t=k" TargetMode="External"/><Relationship Id="rId1309" Type="http://schemas.openxmlformats.org/officeDocument/2006/relationships/hyperlink" Target="https://www.google.com/search?q=KHMELNITSKI-3+nuclear+power+plant+in+UKRAINE" TargetMode="External"/><Relationship Id="rId755" Type="http://schemas.openxmlformats.org/officeDocument/2006/relationships/hyperlink" Target="http://www.iaea.org/PRIS/CountryStatistics/ReactorDetails.aspx?current=303" TargetMode="External"/><Relationship Id="rId754" Type="http://schemas.openxmlformats.org/officeDocument/2006/relationships/hyperlink" Target="https://www.google.com/search?q=RAJASTHAN-2+nuclear+power+plant+in+INDIA" TargetMode="External"/><Relationship Id="rId753" Type="http://schemas.openxmlformats.org/officeDocument/2006/relationships/hyperlink" Target="http://maps.google.com/?q=24.8722,75.6139&amp;t=k" TargetMode="External"/><Relationship Id="rId370" Type="http://schemas.openxmlformats.org/officeDocument/2006/relationships/hyperlink" Target="https://www.google.com/search?q=BUGEY-5+nuclear+power+plant+in+FRANCE" TargetMode="External"/><Relationship Id="rId759" Type="http://schemas.openxmlformats.org/officeDocument/2006/relationships/hyperlink" Target="http://maps.google.com/?q=12.5575,80.175&amp;t=k" TargetMode="External"/><Relationship Id="rId758" Type="http://schemas.openxmlformats.org/officeDocument/2006/relationships/hyperlink" Target="http://www.iaea.org/PRIS/CountryStatistics/ReactorDetails.aspx?current=304" TargetMode="External"/><Relationship Id="rId757" Type="http://schemas.openxmlformats.org/officeDocument/2006/relationships/hyperlink" Target="https://www.google.com/search?q=MADRAS-1+nuclear+power+plant+in+INDIA" TargetMode="External"/><Relationship Id="rId1301" Type="http://schemas.openxmlformats.org/officeDocument/2006/relationships/hyperlink" Target="http://www.iaea.org/PRIS/CountryStatistics/ReactorDetails.aspx?current=577" TargetMode="External"/><Relationship Id="rId1302" Type="http://schemas.openxmlformats.org/officeDocument/2006/relationships/hyperlink" Target="http://maps.google.com/?q=47.8167,31.2167&amp;t=k" TargetMode="External"/><Relationship Id="rId1303" Type="http://schemas.openxmlformats.org/officeDocument/2006/relationships/hyperlink" Target="https://www.google.com/search?q=SOUTH+UKRAINE-2+nuclear+power+plant+in+UKRAINE" TargetMode="External"/><Relationship Id="rId1304" Type="http://schemas.openxmlformats.org/officeDocument/2006/relationships/hyperlink" Target="http://www.iaea.org/PRIS/CountryStatistics/ReactorDetails.aspx?current=578" TargetMode="External"/><Relationship Id="rId752" Type="http://schemas.openxmlformats.org/officeDocument/2006/relationships/hyperlink" Target="http://www.iaea.org/PRIS/CountryStatistics/ReactorDetails.aspx?current=302" TargetMode="External"/><Relationship Id="rId1305" Type="http://schemas.openxmlformats.org/officeDocument/2006/relationships/hyperlink" Target="http://maps.google.com/?q=47.8167,31.2167&amp;t=k" TargetMode="External"/><Relationship Id="rId751" Type="http://schemas.openxmlformats.org/officeDocument/2006/relationships/hyperlink" Target="https://www.google.com/search?q=RAJASTHAN-1+nuclear+power+plant+in+INDIA" TargetMode="External"/><Relationship Id="rId1306" Type="http://schemas.openxmlformats.org/officeDocument/2006/relationships/hyperlink" Target="https://www.google.com/search?q=SOUTH+UKRAINE-3+nuclear+power+plant+in+UKRAINE" TargetMode="External"/><Relationship Id="rId750" Type="http://schemas.openxmlformats.org/officeDocument/2006/relationships/hyperlink" Target="http://maps.google.com/?q=19.829,72.6612&amp;t=k" TargetMode="External"/><Relationship Id="rId1307" Type="http://schemas.openxmlformats.org/officeDocument/2006/relationships/hyperlink" Target="http://www.iaea.org/PRIS/CountryStatistics/ReactorDetails.aspx?current=579" TargetMode="External"/><Relationship Id="rId1308" Type="http://schemas.openxmlformats.org/officeDocument/2006/relationships/hyperlink" Target="http://maps.google.com/?q=47.8167,31.2167&amp;t=k" TargetMode="External"/><Relationship Id="rId368" Type="http://schemas.openxmlformats.org/officeDocument/2006/relationships/hyperlink" Target="http://www.iaea.org/PRIS/CountryStatistics/ReactorDetails.aspx?current=167" TargetMode="External"/><Relationship Id="rId369" Type="http://schemas.openxmlformats.org/officeDocument/2006/relationships/hyperlink" Target="http://maps.google.com/?q=45.7983,5.27083&amp;t=k" TargetMode="External"/><Relationship Id="rId1300" Type="http://schemas.openxmlformats.org/officeDocument/2006/relationships/hyperlink" Target="https://www.google.com/search?q=SOUTH+UKRAINE-1+nuclear+power+plant+in+UKRAINE" TargetMode="External"/><Relationship Id="rId362" Type="http://schemas.openxmlformats.org/officeDocument/2006/relationships/hyperlink" Target="http://www.iaea.org/PRIS/CountryStatistics/ReactorDetails.aspx?current=165" TargetMode="External"/><Relationship Id="rId363" Type="http://schemas.openxmlformats.org/officeDocument/2006/relationships/hyperlink" Target="http://maps.google.com/?q=45.7983,5.27083&amp;t=k" TargetMode="External"/><Relationship Id="rId360" Type="http://schemas.openxmlformats.org/officeDocument/2006/relationships/hyperlink" Target="http://maps.google.com/?q=47.9031,7.56304&amp;t=k" TargetMode="External"/><Relationship Id="rId361" Type="http://schemas.openxmlformats.org/officeDocument/2006/relationships/hyperlink" Target="https://www.google.com/search?q=BUGEY-2+nuclear+power+plant+in+FRANCE" TargetMode="External"/><Relationship Id="rId366" Type="http://schemas.openxmlformats.org/officeDocument/2006/relationships/hyperlink" Target="http://maps.google.com/?q=45.7983,5.27083&amp;t=k" TargetMode="External"/><Relationship Id="rId367" Type="http://schemas.openxmlformats.org/officeDocument/2006/relationships/hyperlink" Target="https://www.google.com/search?q=BUGEY-4+nuclear+power+plant+in+FRANCE" TargetMode="External"/><Relationship Id="rId364" Type="http://schemas.openxmlformats.org/officeDocument/2006/relationships/hyperlink" Target="https://www.google.com/search?q=BUGEY-3+nuclear+power+plant+in+FRANCE" TargetMode="External"/><Relationship Id="rId365" Type="http://schemas.openxmlformats.org/officeDocument/2006/relationships/hyperlink" Target="http://www.iaea.org/PRIS/CountryStatistics/ReactorDetails.aspx?current=166" TargetMode="External"/><Relationship Id="rId765" Type="http://schemas.openxmlformats.org/officeDocument/2006/relationships/hyperlink" Target="http://maps.google.com/?q=28.1581,78.4094&amp;t=k" TargetMode="External"/><Relationship Id="rId764" Type="http://schemas.openxmlformats.org/officeDocument/2006/relationships/hyperlink" Target="http://www.iaea.org/PRIS/CountryStatistics/ReactorDetails.aspx?current=306" TargetMode="External"/><Relationship Id="rId767" Type="http://schemas.openxmlformats.org/officeDocument/2006/relationships/hyperlink" Target="http://www.iaea.org/PRIS/CountryStatistics/ReactorDetails.aspx?current=307" TargetMode="External"/><Relationship Id="rId766" Type="http://schemas.openxmlformats.org/officeDocument/2006/relationships/hyperlink" Target="https://www.google.com/search?q=NARORA-2+nuclear+power+plant+in+INDIA" TargetMode="External"/><Relationship Id="rId769" Type="http://schemas.openxmlformats.org/officeDocument/2006/relationships/hyperlink" Target="https://www.google.com/search?q=KAKRAPAR-1+nuclear+power+plant+in+INDIA" TargetMode="External"/><Relationship Id="rId768" Type="http://schemas.openxmlformats.org/officeDocument/2006/relationships/hyperlink" Target="http://maps.google.com/?q=28.1581,78.4094&amp;t=k" TargetMode="External"/><Relationship Id="rId1314" Type="http://schemas.openxmlformats.org/officeDocument/2006/relationships/hyperlink" Target="http://maps.google.com/?q=50.3014,26.6498&amp;t=k" TargetMode="External"/><Relationship Id="rId1315" Type="http://schemas.openxmlformats.org/officeDocument/2006/relationships/hyperlink" Target="https://www.google.com/search?q=ZAPOROZHYE-1+nuclear+power+plant+in+UKRAINE" TargetMode="External"/><Relationship Id="rId1312" Type="http://schemas.openxmlformats.org/officeDocument/2006/relationships/hyperlink" Target="https://www.google.com/search?q=KHMELNITSKI-4+nuclear+power+plant+in+UKRAINE" TargetMode="External"/><Relationship Id="rId1313" Type="http://schemas.openxmlformats.org/officeDocument/2006/relationships/hyperlink" Target="http://www.iaea.org/PRIS/CountryStatistics/ReactorDetails.aspx?current=582" TargetMode="External"/><Relationship Id="rId761" Type="http://schemas.openxmlformats.org/officeDocument/2006/relationships/hyperlink" Target="http://www.iaea.org/PRIS/CountryStatistics/ReactorDetails.aspx?current=305" TargetMode="External"/><Relationship Id="rId1318" Type="http://schemas.openxmlformats.org/officeDocument/2006/relationships/hyperlink" Target="https://www.google.com/search?q=ZAPOROZHYE-2+nuclear+power+plant+in+UKRAINE" TargetMode="External"/><Relationship Id="rId760" Type="http://schemas.openxmlformats.org/officeDocument/2006/relationships/hyperlink" Target="https://www.google.com/search?q=MADRAS-2+nuclear+power+plant+in+INDIA" TargetMode="External"/><Relationship Id="rId1319" Type="http://schemas.openxmlformats.org/officeDocument/2006/relationships/hyperlink" Target="http://www.iaea.org/PRIS/CountryStatistics/ReactorDetails.aspx?current=586" TargetMode="External"/><Relationship Id="rId763" Type="http://schemas.openxmlformats.org/officeDocument/2006/relationships/hyperlink" Target="https://www.google.com/search?q=NARORA-1+nuclear+power+plant+in+INDIA" TargetMode="External"/><Relationship Id="rId1316" Type="http://schemas.openxmlformats.org/officeDocument/2006/relationships/hyperlink" Target="http://www.iaea.org/PRIS/CountryStatistics/ReactorDetails.aspx?current=584" TargetMode="External"/><Relationship Id="rId762" Type="http://schemas.openxmlformats.org/officeDocument/2006/relationships/hyperlink" Target="http://maps.google.com/?q=12.5575,80.175&amp;t=k" TargetMode="External"/><Relationship Id="rId1317" Type="http://schemas.openxmlformats.org/officeDocument/2006/relationships/hyperlink" Target="http://maps.google.com/?q=47.5122,34.5858&amp;t=k" TargetMode="External"/><Relationship Id="rId357" Type="http://schemas.openxmlformats.org/officeDocument/2006/relationships/hyperlink" Target="http://maps.google.com/?q=47.9031,7.56304&amp;t=k" TargetMode="External"/><Relationship Id="rId358" Type="http://schemas.openxmlformats.org/officeDocument/2006/relationships/hyperlink" Target="https://www.google.com/search?q=FESSENHEIM-2+nuclear+power+plant+in+FRANCE" TargetMode="External"/><Relationship Id="rId359" Type="http://schemas.openxmlformats.org/officeDocument/2006/relationships/hyperlink" Target="http://www.iaea.org/PRIS/CountryStatistics/ReactorDetails.aspx?current=164" TargetMode="External"/><Relationship Id="rId1311" Type="http://schemas.openxmlformats.org/officeDocument/2006/relationships/hyperlink" Target="http://maps.google.com/?q=50.3014,26.6498&amp;t=k" TargetMode="External"/><Relationship Id="rId1310" Type="http://schemas.openxmlformats.org/officeDocument/2006/relationships/hyperlink" Target="http://www.iaea.org/PRIS/CountryStatistics/ReactorDetails.aspx?current=581" TargetMode="External"/><Relationship Id="rId350" Type="http://schemas.openxmlformats.org/officeDocument/2006/relationships/hyperlink" Target="http://www.iaea.org/PRIS/CountryStatistics/ReactorDetails.aspx?current=161" TargetMode="External"/><Relationship Id="rId351" Type="http://schemas.openxmlformats.org/officeDocument/2006/relationships/hyperlink" Target="http://maps.google.com/?q=44.1433,4.70944&amp;t=k" TargetMode="External"/><Relationship Id="rId352" Type="http://schemas.openxmlformats.org/officeDocument/2006/relationships/hyperlink" Target="https://www.google.com/search?q=PHENIX+nuclear+power+plant+in+FRANCE" TargetMode="External"/><Relationship Id="rId353" Type="http://schemas.openxmlformats.org/officeDocument/2006/relationships/hyperlink" Target="http://www.iaea.org/PRIS/CountryStatistics/ReactorDetails.aspx?current=162" TargetMode="External"/><Relationship Id="rId354" Type="http://schemas.openxmlformats.org/officeDocument/2006/relationships/hyperlink" Target="http://maps.google.com/?q=0,0&amp;t=k" TargetMode="External"/><Relationship Id="rId355" Type="http://schemas.openxmlformats.org/officeDocument/2006/relationships/hyperlink" Target="https://www.google.com/search?q=FESSENHEIM-1+nuclear+power+plant+in+FRANCE" TargetMode="External"/><Relationship Id="rId356" Type="http://schemas.openxmlformats.org/officeDocument/2006/relationships/hyperlink" Target="http://www.iaea.org/PRIS/CountryStatistics/ReactorDetails.aspx?current=163" TargetMode="External"/><Relationship Id="rId738" Type="http://schemas.openxmlformats.org/officeDocument/2006/relationships/hyperlink" Target="http://maps.google.com/?q=24.8722,75.6139&amp;t=k" TargetMode="External"/><Relationship Id="rId737" Type="http://schemas.openxmlformats.org/officeDocument/2006/relationships/hyperlink" Target="http://www.iaea.org/PRIS/CountryStatistics/ReactorDetails.aspx?current=297" TargetMode="External"/><Relationship Id="rId736" Type="http://schemas.openxmlformats.org/officeDocument/2006/relationships/hyperlink" Target="https://www.google.com/search?q=RAJASTHAN-6+nuclear+power+plant+in+INDIA" TargetMode="External"/><Relationship Id="rId735" Type="http://schemas.openxmlformats.org/officeDocument/2006/relationships/hyperlink" Target="http://maps.google.com/?q=19.829,72.6612&amp;t=k" TargetMode="External"/><Relationship Id="rId734" Type="http://schemas.openxmlformats.org/officeDocument/2006/relationships/hyperlink" Target="http://www.iaea.org/PRIS/CountryStatistics/ReactorDetails.aspx?current=296" TargetMode="External"/><Relationship Id="rId733" Type="http://schemas.openxmlformats.org/officeDocument/2006/relationships/hyperlink" Target="https://www.google.com/search?q=TARAPUR-2+nuclear+power+plant+in+INDIA" TargetMode="External"/><Relationship Id="rId732" Type="http://schemas.openxmlformats.org/officeDocument/2006/relationships/hyperlink" Target="http://maps.google.com/?q=24.8722,75.6139&amp;t=k" TargetMode="External"/><Relationship Id="rId731" Type="http://schemas.openxmlformats.org/officeDocument/2006/relationships/hyperlink" Target="http://www.iaea.org/PRIS/CountryStatistics/ReactorDetails.aspx?current=295" TargetMode="External"/><Relationship Id="rId730" Type="http://schemas.openxmlformats.org/officeDocument/2006/relationships/hyperlink" Target="https://www.google.com/search?q=RAJASTHAN-5+nuclear+power+plant+in+INDIA" TargetMode="External"/><Relationship Id="rId348" Type="http://schemas.openxmlformats.org/officeDocument/2006/relationships/hyperlink" Target="http://maps.google.com/?q=61.2369,21.4408&amp;t=k" TargetMode="External"/><Relationship Id="rId349" Type="http://schemas.openxmlformats.org/officeDocument/2006/relationships/hyperlink" Target="https://www.google.com/search?q=G-3+(MARCOULE)+nuclear+power+plant+in+FRANCE" TargetMode="External"/><Relationship Id="rId346" Type="http://schemas.openxmlformats.org/officeDocument/2006/relationships/hyperlink" Target="https://www.google.com/search?q=OLKILUOTO-2+nuclear+power+plant+in+FINLAND" TargetMode="External"/><Relationship Id="rId347" Type="http://schemas.openxmlformats.org/officeDocument/2006/relationships/hyperlink" Target="http://www.iaea.org/PRIS/CountryStatistics/ReactorDetails.aspx?current=160" TargetMode="External"/><Relationship Id="rId344" Type="http://schemas.openxmlformats.org/officeDocument/2006/relationships/hyperlink" Target="http://www.iaea.org/PRIS/CountryStatistics/ReactorDetails.aspx?current=159" TargetMode="External"/><Relationship Id="rId345" Type="http://schemas.openxmlformats.org/officeDocument/2006/relationships/hyperlink" Target="http://maps.google.com/?q=61.2369,21.4408&amp;t=k" TargetMode="External"/><Relationship Id="rId342" Type="http://schemas.openxmlformats.org/officeDocument/2006/relationships/hyperlink" Target="http://maps.google.com/?q=60.3722,26.3472&amp;t=k" TargetMode="External"/><Relationship Id="rId343" Type="http://schemas.openxmlformats.org/officeDocument/2006/relationships/hyperlink" Target="https://www.google.com/search?q=OLKILUOTO-1+nuclear+power+plant+in+FINLAND" TargetMode="External"/><Relationship Id="rId340" Type="http://schemas.openxmlformats.org/officeDocument/2006/relationships/hyperlink" Target="https://www.google.com/search?q=LOVIISA-2+nuclear+power+plant+in+FINLAND" TargetMode="External"/><Relationship Id="rId341" Type="http://schemas.openxmlformats.org/officeDocument/2006/relationships/hyperlink" Target="http://www.iaea.org/PRIS/CountryStatistics/ReactorDetails.aspx?current=158" TargetMode="External"/><Relationship Id="rId739" Type="http://schemas.openxmlformats.org/officeDocument/2006/relationships/hyperlink" Target="https://www.google.com/search?q=RAJASTHAN-7+nuclear+power+plant+in+INDIA" TargetMode="External"/><Relationship Id="rId747" Type="http://schemas.openxmlformats.org/officeDocument/2006/relationships/hyperlink" Target="http://maps.google.com/?q=19.829,72.6612&amp;t=k" TargetMode="External"/><Relationship Id="rId746" Type="http://schemas.openxmlformats.org/officeDocument/2006/relationships/hyperlink" Target="http://www.iaea.org/PRIS/CountryStatistics/ReactorDetails.aspx?current=300" TargetMode="External"/><Relationship Id="rId749" Type="http://schemas.openxmlformats.org/officeDocument/2006/relationships/hyperlink" Target="http://www.iaea.org/PRIS/CountryStatistics/ReactorDetails.aspx?current=301" TargetMode="External"/><Relationship Id="rId748" Type="http://schemas.openxmlformats.org/officeDocument/2006/relationships/hyperlink" Target="https://www.google.com/search?q=TARAPUR-4+nuclear+power+plant+in+INDIA" TargetMode="External"/><Relationship Id="rId743" Type="http://schemas.openxmlformats.org/officeDocument/2006/relationships/hyperlink" Target="http://www.iaea.org/PRIS/CountryStatistics/ReactorDetails.aspx?current=299" TargetMode="External"/><Relationship Id="rId742" Type="http://schemas.openxmlformats.org/officeDocument/2006/relationships/hyperlink" Target="https://www.google.com/search?q=RAJASTHAN-8+nuclear+power+plant+in+INDIA" TargetMode="External"/><Relationship Id="rId745" Type="http://schemas.openxmlformats.org/officeDocument/2006/relationships/hyperlink" Target="https://www.google.com/search?q=TARAPUR-3+nuclear+power+plant+in+INDIA" TargetMode="External"/><Relationship Id="rId744" Type="http://schemas.openxmlformats.org/officeDocument/2006/relationships/hyperlink" Target="http://maps.google.com/?q=24.8722,75.6139&amp;t=k" TargetMode="External"/><Relationship Id="rId741" Type="http://schemas.openxmlformats.org/officeDocument/2006/relationships/hyperlink" Target="http://maps.google.com/?q=24.8722,75.6139&amp;t=k" TargetMode="External"/><Relationship Id="rId740" Type="http://schemas.openxmlformats.org/officeDocument/2006/relationships/hyperlink" Target="http://www.iaea.org/PRIS/CountryStatistics/ReactorDetails.aspx?current=298" TargetMode="External"/><Relationship Id="rId339" Type="http://schemas.openxmlformats.org/officeDocument/2006/relationships/hyperlink" Target="http://maps.google.com/?q=60.3722,26.3472&amp;t=k" TargetMode="External"/><Relationship Id="rId335" Type="http://schemas.openxmlformats.org/officeDocument/2006/relationships/hyperlink" Target="http://www.iaea.org/PRIS/CountryStatistics/ReactorDetails.aspx?current=156" TargetMode="External"/><Relationship Id="rId336" Type="http://schemas.openxmlformats.org/officeDocument/2006/relationships/hyperlink" Target="http://maps.google.com/?q=41.2,0.56944&amp;t=k" TargetMode="External"/><Relationship Id="rId337" Type="http://schemas.openxmlformats.org/officeDocument/2006/relationships/hyperlink" Target="https://www.google.com/search?q=LOVIISA-1+nuclear+power+plant+in+FINLAND" TargetMode="External"/><Relationship Id="rId338" Type="http://schemas.openxmlformats.org/officeDocument/2006/relationships/hyperlink" Target="http://www.iaea.org/PRIS/CountryStatistics/ReactorDetails.aspx?current=157" TargetMode="External"/><Relationship Id="rId331" Type="http://schemas.openxmlformats.org/officeDocument/2006/relationships/hyperlink" Target="https://www.google.com/search?q=ASCO-1+nuclear+power+plant+in+SPAIN" TargetMode="External"/><Relationship Id="rId332" Type="http://schemas.openxmlformats.org/officeDocument/2006/relationships/hyperlink" Target="http://www.iaea.org/PRIS/CountryStatistics/ReactorDetails.aspx?current=155" TargetMode="External"/><Relationship Id="rId333" Type="http://schemas.openxmlformats.org/officeDocument/2006/relationships/hyperlink" Target="http://maps.google.com/?q=41.2,0.56944&amp;t=k" TargetMode="External"/><Relationship Id="rId334" Type="http://schemas.openxmlformats.org/officeDocument/2006/relationships/hyperlink" Target="https://www.google.com/search?q=ASCO-2+nuclear+power+plant+in+SPAIN" TargetMode="External"/><Relationship Id="rId330" Type="http://schemas.openxmlformats.org/officeDocument/2006/relationships/hyperlink" Target="http://maps.google.com/?q=39.8081,-5.69694&amp;t=k" TargetMode="External"/><Relationship Id="rId1346" Type="http://schemas.openxmlformats.org/officeDocument/2006/relationships/hyperlink" Target="http://www.iaea.org/PRIS/CountryStatistics/ReactorDetails.aspx?current=601" TargetMode="External"/><Relationship Id="rId1345" Type="http://schemas.openxmlformats.org/officeDocument/2006/relationships/hyperlink" Target="https://www.google.com/search?q=BIG+ROCK+POINT+nuclear+power+plant+in+UNITED+STATES" TargetMode="External"/><Relationship Id="rId1348" Type="http://schemas.openxmlformats.org/officeDocument/2006/relationships/hyperlink" Target="https://www.google.com/search?q=FERMI-1+nuclear+power+plant+in+UNITED+STATES" TargetMode="External"/><Relationship Id="rId1347" Type="http://schemas.openxmlformats.org/officeDocument/2006/relationships/hyperlink" Target="http://maps.google.com/?q=45.3589,-85.1972&amp;t=k" TargetMode="External"/><Relationship Id="rId1349" Type="http://schemas.openxmlformats.org/officeDocument/2006/relationships/hyperlink" Target="http://www.iaea.org/PRIS/CountryStatistics/ReactorDetails.aspx?current=602" TargetMode="External"/><Relationship Id="rId711" Type="http://schemas.openxmlformats.org/officeDocument/2006/relationships/hyperlink" Target="http://maps.google.com/?q=21.2386,73.35&amp;t=k" TargetMode="External"/><Relationship Id="rId712" Type="http://schemas.openxmlformats.org/officeDocument/2006/relationships/hyperlink" Target="https://www.google.com/search?q=RAJASTHAN-3+nuclear+power+plant+in+INDIA" TargetMode="External"/><Relationship Id="rId710" Type="http://schemas.openxmlformats.org/officeDocument/2006/relationships/hyperlink" Target="http://www.iaea.org/PRIS/CountryStatistics/ReactorDetails.aspx?current=286" TargetMode="External"/><Relationship Id="rId715" Type="http://schemas.openxmlformats.org/officeDocument/2006/relationships/hyperlink" Target="https://www.google.com/search?q=RAJASTHAN-4+nuclear+power+plant+in+INDIA" TargetMode="External"/><Relationship Id="rId716" Type="http://schemas.openxmlformats.org/officeDocument/2006/relationships/hyperlink" Target="http://www.iaea.org/PRIS/CountryStatistics/ReactorDetails.aspx?current=288" TargetMode="External"/><Relationship Id="rId713" Type="http://schemas.openxmlformats.org/officeDocument/2006/relationships/hyperlink" Target="http://www.iaea.org/PRIS/CountryStatistics/ReactorDetails.aspx?current=287" TargetMode="External"/><Relationship Id="rId714" Type="http://schemas.openxmlformats.org/officeDocument/2006/relationships/hyperlink" Target="http://maps.google.com/?q=24.8722,75.6139&amp;t=k" TargetMode="External"/><Relationship Id="rId719" Type="http://schemas.openxmlformats.org/officeDocument/2006/relationships/hyperlink" Target="http://www.iaea.org/PRIS/CountryStatistics/ReactorDetails.aspx?current=289" TargetMode="External"/><Relationship Id="rId718" Type="http://schemas.openxmlformats.org/officeDocument/2006/relationships/hyperlink" Target="https://www.google.com/search?q=KAIGA-1+nuclear+power+plant+in+INDIA" TargetMode="External"/><Relationship Id="rId717" Type="http://schemas.openxmlformats.org/officeDocument/2006/relationships/hyperlink" Target="http://maps.google.com/?q=24.8722,75.6139&amp;t=k" TargetMode="External"/><Relationship Id="rId323" Type="http://schemas.openxmlformats.org/officeDocument/2006/relationships/hyperlink" Target="http://www.iaea.org/PRIS/CountryStatistics/ReactorDetails.aspx?current=150" TargetMode="External"/><Relationship Id="rId322" Type="http://schemas.openxmlformats.org/officeDocument/2006/relationships/hyperlink" Target="https://www.google.com/search?q=VANDELLOS-1+nuclear+power+plant+in+SPAIN" TargetMode="External"/><Relationship Id="rId321" Type="http://schemas.openxmlformats.org/officeDocument/2006/relationships/hyperlink" Target="http://maps.google.com/?q=42.7753,-3.20729&amp;t=k" TargetMode="External"/><Relationship Id="rId320" Type="http://schemas.openxmlformats.org/officeDocument/2006/relationships/hyperlink" Target="http://www.iaea.org/PRIS/CountryStatistics/ReactorDetails.aspx?current=149" TargetMode="External"/><Relationship Id="rId327" Type="http://schemas.openxmlformats.org/officeDocument/2006/relationships/hyperlink" Target="http://maps.google.com/?q=39.8081,-5.69694&amp;t=k" TargetMode="External"/><Relationship Id="rId326" Type="http://schemas.openxmlformats.org/officeDocument/2006/relationships/hyperlink" Target="http://www.iaea.org/PRIS/CountryStatistics/ReactorDetails.aspx?current=153" TargetMode="External"/><Relationship Id="rId325" Type="http://schemas.openxmlformats.org/officeDocument/2006/relationships/hyperlink" Target="https://www.google.com/search?q=ALMARAZ-1+nuclear+power+plant+in+SPAIN" TargetMode="External"/><Relationship Id="rId324" Type="http://schemas.openxmlformats.org/officeDocument/2006/relationships/hyperlink" Target="http://maps.google.com/?q=40.9514,0.86667&amp;t=k" TargetMode="External"/><Relationship Id="rId1340" Type="http://schemas.openxmlformats.org/officeDocument/2006/relationships/hyperlink" Target="http://www.iaea.org/PRIS/CountryStatistics/ReactorDetails.aspx?current=599" TargetMode="External"/><Relationship Id="rId1341" Type="http://schemas.openxmlformats.org/officeDocument/2006/relationships/hyperlink" Target="http://maps.google.com/?q=40.7413,-124.209&amp;t=k" TargetMode="External"/><Relationship Id="rId1342" Type="http://schemas.openxmlformats.org/officeDocument/2006/relationships/hyperlink" Target="https://www.google.com/search?q=CVTR+nuclear+power+plant+in+UNITED+STATES" TargetMode="External"/><Relationship Id="rId329" Type="http://schemas.openxmlformats.org/officeDocument/2006/relationships/hyperlink" Target="http://www.iaea.org/PRIS/CountryStatistics/ReactorDetails.aspx?current=154" TargetMode="External"/><Relationship Id="rId1343" Type="http://schemas.openxmlformats.org/officeDocument/2006/relationships/hyperlink" Target="http://www.iaea.org/PRIS/CountryStatistics/ReactorDetails.aspx?current=600" TargetMode="External"/><Relationship Id="rId328" Type="http://schemas.openxmlformats.org/officeDocument/2006/relationships/hyperlink" Target="https://www.google.com/search?q=ALMARAZ-2+nuclear+power+plant+in+SPAIN" TargetMode="External"/><Relationship Id="rId1344" Type="http://schemas.openxmlformats.org/officeDocument/2006/relationships/hyperlink" Target="http://maps.google.com/?q=34.2625,-81.3292&amp;t=k" TargetMode="External"/><Relationship Id="rId1359" Type="http://schemas.openxmlformats.org/officeDocument/2006/relationships/hyperlink" Target="http://maps.google.com/?q=41.4819,-72.4992&amp;t=k" TargetMode="External"/><Relationship Id="rId1358" Type="http://schemas.openxmlformats.org/officeDocument/2006/relationships/hyperlink" Target="http://www.iaea.org/PRIS/CountryStatistics/ReactorDetails.aspx?current=605" TargetMode="External"/><Relationship Id="rId1357" Type="http://schemas.openxmlformats.org/officeDocument/2006/relationships/hyperlink" Target="https://www.google.com/search?q=HADDAM+NECK+nuclear+power+plant+in+UNITED+STATES" TargetMode="External"/><Relationship Id="rId1356" Type="http://schemas.openxmlformats.org/officeDocument/2006/relationships/hyperlink" Target="http://maps.google.com/?q=33.3689,-117.555&amp;t=k" TargetMode="External"/><Relationship Id="rId720" Type="http://schemas.openxmlformats.org/officeDocument/2006/relationships/hyperlink" Target="http://maps.google.com/?q=14.8653,74.4396&amp;t=k" TargetMode="External"/><Relationship Id="rId721" Type="http://schemas.openxmlformats.org/officeDocument/2006/relationships/hyperlink" Target="https://www.google.com/search?q=KAIGA-2+nuclear+power+plant+in+INDIA" TargetMode="External"/><Relationship Id="rId722" Type="http://schemas.openxmlformats.org/officeDocument/2006/relationships/hyperlink" Target="http://www.iaea.org/PRIS/CountryStatistics/ReactorDetails.aspx?current=290" TargetMode="External"/><Relationship Id="rId723" Type="http://schemas.openxmlformats.org/officeDocument/2006/relationships/hyperlink" Target="http://maps.google.com/?q=14.8653,74.4396&amp;t=k" TargetMode="External"/><Relationship Id="rId724" Type="http://schemas.openxmlformats.org/officeDocument/2006/relationships/hyperlink" Target="https://www.google.com/search?q=KAIGA-3+nuclear+power+plant+in+INDIA" TargetMode="External"/><Relationship Id="rId725" Type="http://schemas.openxmlformats.org/officeDocument/2006/relationships/hyperlink" Target="http://www.iaea.org/PRIS/CountryStatistics/ReactorDetails.aspx?current=291" TargetMode="External"/><Relationship Id="rId726" Type="http://schemas.openxmlformats.org/officeDocument/2006/relationships/hyperlink" Target="http://maps.google.com/?q=14.8653,74.4396&amp;t=k" TargetMode="External"/><Relationship Id="rId727" Type="http://schemas.openxmlformats.org/officeDocument/2006/relationships/hyperlink" Target="https://www.google.com/search?q=KAIGA-4+nuclear+power+plant+in+INDIA" TargetMode="External"/><Relationship Id="rId729" Type="http://schemas.openxmlformats.org/officeDocument/2006/relationships/hyperlink" Target="http://maps.google.com/?q=14.8653,74.4396&amp;t=k" TargetMode="External"/><Relationship Id="rId728" Type="http://schemas.openxmlformats.org/officeDocument/2006/relationships/hyperlink" Target="http://www.iaea.org/PRIS/CountryStatistics/ReactorDetails.aspx?current=292" TargetMode="External"/><Relationship Id="rId310" Type="http://schemas.openxmlformats.org/officeDocument/2006/relationships/hyperlink" Target="https://www.google.com/search?q=COFRENTES+nuclear+power+plant+in+SPAIN" TargetMode="External"/><Relationship Id="rId312" Type="http://schemas.openxmlformats.org/officeDocument/2006/relationships/hyperlink" Target="http://maps.google.com/?q=39.2167,-1.05&amp;t=k" TargetMode="External"/><Relationship Id="rId311" Type="http://schemas.openxmlformats.org/officeDocument/2006/relationships/hyperlink" Target="http://www.iaea.org/PRIS/CountryStatistics/ReactorDetails.aspx?current=140" TargetMode="External"/><Relationship Id="rId314" Type="http://schemas.openxmlformats.org/officeDocument/2006/relationships/hyperlink" Target="http://www.iaea.org/PRIS/CountryStatistics/ReactorDetails.aspx?current=141" TargetMode="External"/><Relationship Id="rId1350" Type="http://schemas.openxmlformats.org/officeDocument/2006/relationships/hyperlink" Target="http://maps.google.com/?q=41.9628,-83.2575&amp;t=k" TargetMode="External"/><Relationship Id="rId313" Type="http://schemas.openxmlformats.org/officeDocument/2006/relationships/hyperlink" Target="https://www.google.com/search?q=TRILLO-1+nuclear+power+plant+in+SPAIN" TargetMode="External"/><Relationship Id="rId1351" Type="http://schemas.openxmlformats.org/officeDocument/2006/relationships/hyperlink" Target="https://www.google.com/search?q=PEACH+BOTTOM-1+nuclear+power+plant+in+UNITED+STATES" TargetMode="External"/><Relationship Id="rId316" Type="http://schemas.openxmlformats.org/officeDocument/2006/relationships/hyperlink" Target="https://www.google.com/search?q=VANDELLOS-2+nuclear+power+plant+in+SPAIN" TargetMode="External"/><Relationship Id="rId315" Type="http://schemas.openxmlformats.org/officeDocument/2006/relationships/hyperlink" Target="http://maps.google.com/?q=40.7011,-2.62194&amp;t=k" TargetMode="External"/><Relationship Id="rId318" Type="http://schemas.openxmlformats.org/officeDocument/2006/relationships/hyperlink" Target="http://maps.google.com/?q=40.9514,0.86667&amp;t=k" TargetMode="External"/><Relationship Id="rId1354" Type="http://schemas.openxmlformats.org/officeDocument/2006/relationships/hyperlink" Target="https://www.google.com/search?q=SAN+ONOFRE-1+nuclear+power+plant+in+UNITED+STATES" TargetMode="External"/><Relationship Id="rId317" Type="http://schemas.openxmlformats.org/officeDocument/2006/relationships/hyperlink" Target="http://www.iaea.org/PRIS/CountryStatistics/ReactorDetails.aspx?current=146" TargetMode="External"/><Relationship Id="rId1355" Type="http://schemas.openxmlformats.org/officeDocument/2006/relationships/hyperlink" Target="http://www.iaea.org/PRIS/CountryStatistics/ReactorDetails.aspx?current=604" TargetMode="External"/><Relationship Id="rId1352" Type="http://schemas.openxmlformats.org/officeDocument/2006/relationships/hyperlink" Target="http://www.iaea.org/PRIS/CountryStatistics/ReactorDetails.aspx?current=603" TargetMode="External"/><Relationship Id="rId319" Type="http://schemas.openxmlformats.org/officeDocument/2006/relationships/hyperlink" Target="https://www.google.com/search?q=SANTA+MARIA+DE+GARONA+nuclear+power+plant+in+SPAIN" TargetMode="External"/><Relationship Id="rId1353" Type="http://schemas.openxmlformats.org/officeDocument/2006/relationships/hyperlink" Target="http://maps.google.com/?q=39.7583,-76.2681&amp;t=k" TargetMode="External"/><Relationship Id="rId1328" Type="http://schemas.openxmlformats.org/officeDocument/2006/relationships/hyperlink" Target="http://www.iaea.org/PRIS/CountryStatistics/ReactorDetails.aspx?current=595" TargetMode="External"/><Relationship Id="rId1327" Type="http://schemas.openxmlformats.org/officeDocument/2006/relationships/hyperlink" Target="https://www.google.com/search?q=ZAPOROZHYE-4+nuclear+power+plant+in+UKRAINE" TargetMode="External"/><Relationship Id="rId1329" Type="http://schemas.openxmlformats.org/officeDocument/2006/relationships/hyperlink" Target="http://maps.google.com/?q=47.5122,34.5858&amp;t=k" TargetMode="External"/><Relationship Id="rId1324" Type="http://schemas.openxmlformats.org/officeDocument/2006/relationships/hyperlink" Target="https://www.google.com/search?q=ZAPOROZHYE-3+nuclear+power+plant+in+UKRAINE" TargetMode="External"/><Relationship Id="rId1323" Type="http://schemas.openxmlformats.org/officeDocument/2006/relationships/hyperlink" Target="http://maps.google.com/?q=51.3278,25.8917&amp;t=k" TargetMode="External"/><Relationship Id="rId1326" Type="http://schemas.openxmlformats.org/officeDocument/2006/relationships/hyperlink" Target="http://maps.google.com/?q=47.5122,34.5858&amp;t=k" TargetMode="External"/><Relationship Id="rId1325" Type="http://schemas.openxmlformats.org/officeDocument/2006/relationships/hyperlink" Target="http://www.iaea.org/PRIS/CountryStatistics/ReactorDetails.aspx?current=594" TargetMode="External"/><Relationship Id="rId301" Type="http://schemas.openxmlformats.org/officeDocument/2006/relationships/hyperlink" Target="https://www.google.com/search?q=KNK+II+nuclear+power+plant+in+GERMANY" TargetMode="External"/><Relationship Id="rId300" Type="http://schemas.openxmlformats.org/officeDocument/2006/relationships/hyperlink" Target="http://maps.google.com/?q=50.0551,8.98487&amp;t=k" TargetMode="External"/><Relationship Id="rId309" Type="http://schemas.openxmlformats.org/officeDocument/2006/relationships/hyperlink" Target="http://maps.google.com/?q=40.3492,-2.88444&amp;t=k" TargetMode="External"/><Relationship Id="rId308" Type="http://schemas.openxmlformats.org/officeDocument/2006/relationships/hyperlink" Target="http://www.iaea.org/PRIS/CountryStatistics/ReactorDetails.aspx?current=139" TargetMode="External"/><Relationship Id="rId1320" Type="http://schemas.openxmlformats.org/officeDocument/2006/relationships/hyperlink" Target="http://maps.google.com/?q=47.5122,34.5858&amp;t=k" TargetMode="External"/><Relationship Id="rId307" Type="http://schemas.openxmlformats.org/officeDocument/2006/relationships/hyperlink" Target="https://www.google.com/search?q=JOSE+CABRERA-1+nuclear+power+plant+in+SPAIN" TargetMode="External"/><Relationship Id="rId1321" Type="http://schemas.openxmlformats.org/officeDocument/2006/relationships/hyperlink" Target="https://www.google.com/search?q=ROVNO-4+nuclear+power+plant+in+UKRAINE" TargetMode="External"/><Relationship Id="rId306" Type="http://schemas.openxmlformats.org/officeDocument/2006/relationships/hyperlink" Target="http://maps.google.com/?q=53.41,10.4089&amp;t=k" TargetMode="External"/><Relationship Id="rId1322" Type="http://schemas.openxmlformats.org/officeDocument/2006/relationships/hyperlink" Target="http://www.iaea.org/PRIS/CountryStatistics/ReactorDetails.aspx?current=589" TargetMode="External"/><Relationship Id="rId305" Type="http://schemas.openxmlformats.org/officeDocument/2006/relationships/hyperlink" Target="http://www.iaea.org/PRIS/CountryStatistics/ReactorDetails.aspx?current=136" TargetMode="External"/><Relationship Id="rId304" Type="http://schemas.openxmlformats.org/officeDocument/2006/relationships/hyperlink" Target="https://www.google.com/search?q=WUERGASSEN+nuclear+power+plant+in+GERMANY" TargetMode="External"/><Relationship Id="rId303" Type="http://schemas.openxmlformats.org/officeDocument/2006/relationships/hyperlink" Target="http://maps.google.com/?q=0,0&amp;t=k" TargetMode="External"/><Relationship Id="rId302" Type="http://schemas.openxmlformats.org/officeDocument/2006/relationships/hyperlink" Target="http://www.iaea.org/PRIS/CountryStatistics/ReactorDetails.aspx?current=135" TargetMode="External"/><Relationship Id="rId1339" Type="http://schemas.openxmlformats.org/officeDocument/2006/relationships/hyperlink" Target="https://www.google.com/search?q=HUMBOLDT+BAY+nuclear+power+plant+in+UNITED+STATES" TargetMode="External"/><Relationship Id="rId1338" Type="http://schemas.openxmlformats.org/officeDocument/2006/relationships/hyperlink" Target="http://maps.google.com/?q=43.6036,-96.6375&amp;t=k" TargetMode="External"/><Relationship Id="rId1337" Type="http://schemas.openxmlformats.org/officeDocument/2006/relationships/hyperlink" Target="http://www.iaea.org/PRIS/CountryStatistics/ReactorDetails.aspx?current=598" TargetMode="External"/><Relationship Id="rId1336" Type="http://schemas.openxmlformats.org/officeDocument/2006/relationships/hyperlink" Target="https://www.google.com/search?q=PATHFINDER+nuclear+power+plant+in+UNITED+STATES" TargetMode="External"/><Relationship Id="rId1335" Type="http://schemas.openxmlformats.org/officeDocument/2006/relationships/hyperlink" Target="http://maps.google.com/?q=41.3897,-88.2681&amp;t=k" TargetMode="External"/><Relationship Id="rId1334" Type="http://schemas.openxmlformats.org/officeDocument/2006/relationships/hyperlink" Target="http://www.iaea.org/PRIS/CountryStatistics/ReactorDetails.aspx?current=597" TargetMode="External"/><Relationship Id="rId702" Type="http://schemas.openxmlformats.org/officeDocument/2006/relationships/hyperlink" Target="http://maps.google.com/?q=46.5725,18.8542&amp;t=k" TargetMode="External"/><Relationship Id="rId703" Type="http://schemas.openxmlformats.org/officeDocument/2006/relationships/hyperlink" Target="https://www.google.com/search?q=PAKS-4+nuclear+power+plant+in+HUNGARY" TargetMode="External"/><Relationship Id="rId704" Type="http://schemas.openxmlformats.org/officeDocument/2006/relationships/hyperlink" Target="http://www.iaea.org/PRIS/CountryStatistics/ReactorDetails.aspx?current=281" TargetMode="External"/><Relationship Id="rId705" Type="http://schemas.openxmlformats.org/officeDocument/2006/relationships/hyperlink" Target="http://maps.google.com/?q=46.5725,18.8542&amp;t=k" TargetMode="External"/><Relationship Id="rId700" Type="http://schemas.openxmlformats.org/officeDocument/2006/relationships/hyperlink" Target="https://www.google.com/search?q=PAKS-3+nuclear+power+plant+in+HUNGARY" TargetMode="External"/><Relationship Id="rId701" Type="http://schemas.openxmlformats.org/officeDocument/2006/relationships/hyperlink" Target="http://www.iaea.org/PRIS/CountryStatistics/ReactorDetails.aspx?current=280" TargetMode="External"/><Relationship Id="rId707" Type="http://schemas.openxmlformats.org/officeDocument/2006/relationships/hyperlink" Target="http://www.iaea.org/PRIS/CountryStatistics/ReactorDetails.aspx?current=285" TargetMode="External"/><Relationship Id="rId706" Type="http://schemas.openxmlformats.org/officeDocument/2006/relationships/hyperlink" Target="https://www.google.com/search?q=TARAPUR-1+nuclear+power+plant+in+INDIA" TargetMode="External"/><Relationship Id="rId709" Type="http://schemas.openxmlformats.org/officeDocument/2006/relationships/hyperlink" Target="https://www.google.com/search?q=KAKRAPAR-2+nuclear+power+plant+in+INDIA" TargetMode="External"/><Relationship Id="rId708" Type="http://schemas.openxmlformats.org/officeDocument/2006/relationships/hyperlink" Target="http://maps.google.com/?q=19.829,72.6612&amp;t=k" TargetMode="External"/><Relationship Id="rId1332" Type="http://schemas.openxmlformats.org/officeDocument/2006/relationships/hyperlink" Target="http://maps.google.com/?q=45.2952,-93.5567&amp;t=k" TargetMode="External"/><Relationship Id="rId1333" Type="http://schemas.openxmlformats.org/officeDocument/2006/relationships/hyperlink" Target="https://www.google.com/search?q=DRESDEN-1+nuclear+power+plant+in+UNITED+STATES" TargetMode="External"/><Relationship Id="rId1330" Type="http://schemas.openxmlformats.org/officeDocument/2006/relationships/hyperlink" Target="https://www.google.com/search?q=ELK+RIVER+nuclear+power+plant+in+UNITED+STATES" TargetMode="External"/><Relationship Id="rId1331" Type="http://schemas.openxmlformats.org/officeDocument/2006/relationships/hyperlink" Target="http://www.iaea.org/PRIS/CountryStatistics/ReactorDetails.aspx?current=596" TargetMode="External"/><Relationship Id="rId1384" Type="http://schemas.openxmlformats.org/officeDocument/2006/relationships/hyperlink" Target="https://www.google.com/search?q=TURKEY+POINT-4+nuclear+power+plant+in+UNITED+STATES" TargetMode="External"/><Relationship Id="rId1383" Type="http://schemas.openxmlformats.org/officeDocument/2006/relationships/hyperlink" Target="http://maps.google.com/?q=25.4342,-80.3306&amp;t=k" TargetMode="External"/><Relationship Id="rId1382" Type="http://schemas.openxmlformats.org/officeDocument/2006/relationships/hyperlink" Target="http://www.iaea.org/PRIS/CountryStatistics/ReactorDetails.aspx?current=613" TargetMode="External"/><Relationship Id="rId1381" Type="http://schemas.openxmlformats.org/officeDocument/2006/relationships/hyperlink" Target="https://www.google.com/search?q=TURKEY+POINT-3+nuclear+power+plant+in+UNITED+STATES" TargetMode="External"/><Relationship Id="rId1388" Type="http://schemas.openxmlformats.org/officeDocument/2006/relationships/hyperlink" Target="http://www.iaea.org/PRIS/CountryStatistics/ReactorDetails.aspx?current=615" TargetMode="External"/><Relationship Id="rId1387" Type="http://schemas.openxmlformats.org/officeDocument/2006/relationships/hyperlink" Target="https://www.google.com/search?q=QUAD+CITIES-1+nuclear+power+plant+in+UNITED+STATES" TargetMode="External"/><Relationship Id="rId1386" Type="http://schemas.openxmlformats.org/officeDocument/2006/relationships/hyperlink" Target="http://maps.google.com/?q=25.4342,-80.3306&amp;t=k" TargetMode="External"/><Relationship Id="rId1385" Type="http://schemas.openxmlformats.org/officeDocument/2006/relationships/hyperlink" Target="http://www.iaea.org/PRIS/CountryStatistics/ReactorDetails.aspx?current=614" TargetMode="External"/><Relationship Id="rId1799" Type="http://schemas.openxmlformats.org/officeDocument/2006/relationships/hyperlink" Target="http://www.iaea.org/PRIS/CountryStatistics/ReactorDetails.aspx?current=885" TargetMode="External"/><Relationship Id="rId1798" Type="http://schemas.openxmlformats.org/officeDocument/2006/relationships/hyperlink" Target="https://www.google.com/search?q=SHIN-KORI-3+nuclear+power+plant+in+SOUTH+KOREA" TargetMode="External"/><Relationship Id="rId1797" Type="http://schemas.openxmlformats.org/officeDocument/2006/relationships/hyperlink" Target="http://maps.google.com/?q=35.7167,129.478&amp;t=k" TargetMode="External"/><Relationship Id="rId1796" Type="http://schemas.openxmlformats.org/officeDocument/2006/relationships/hyperlink" Target="http://www.iaea.org/PRIS/CountryStatistics/ReactorDetails.aspx?current=884" TargetMode="External"/><Relationship Id="rId1380" Type="http://schemas.openxmlformats.org/officeDocument/2006/relationships/hyperlink" Target="http://maps.google.com/?q=41.3897,-88.2681&amp;t=k" TargetMode="External"/><Relationship Id="rId1790" Type="http://schemas.openxmlformats.org/officeDocument/2006/relationships/hyperlink" Target="http://www.iaea.org/PRIS/CountryStatistics/ReactorDetails.aspx?current=882" TargetMode="External"/><Relationship Id="rId1791" Type="http://schemas.openxmlformats.org/officeDocument/2006/relationships/hyperlink" Target="http://maps.google.com/?q=21.7083,112.261&amp;t=k" TargetMode="External"/><Relationship Id="rId1794" Type="http://schemas.openxmlformats.org/officeDocument/2006/relationships/hyperlink" Target="http://maps.google.com/?q=35.7167,129.478&amp;t=k" TargetMode="External"/><Relationship Id="rId1795" Type="http://schemas.openxmlformats.org/officeDocument/2006/relationships/hyperlink" Target="https://www.google.com/search?q=SHIN-WOLSONG-2+nuclear+power+plant+in+SOUTH+KOREA" TargetMode="External"/><Relationship Id="rId1792" Type="http://schemas.openxmlformats.org/officeDocument/2006/relationships/hyperlink" Target="https://www.google.com/search?q=SHIN-WOLSONG-1+nuclear+power+plant+in+SOUTH+KOREA" TargetMode="External"/><Relationship Id="rId1793" Type="http://schemas.openxmlformats.org/officeDocument/2006/relationships/hyperlink" Target="http://www.iaea.org/PRIS/CountryStatistics/ReactorDetails.aspx?current=883" TargetMode="External"/><Relationship Id="rId1389" Type="http://schemas.openxmlformats.org/officeDocument/2006/relationships/hyperlink" Target="http://maps.google.com/?q=41.7264,-90.31&amp;t=k" TargetMode="External"/><Relationship Id="rId1393" Type="http://schemas.openxmlformats.org/officeDocument/2006/relationships/hyperlink" Target="https://www.google.com/search?q=BROWNS+FERRY-1+nuclear+power+plant+in+UNITED+STATES" TargetMode="External"/><Relationship Id="rId1392" Type="http://schemas.openxmlformats.org/officeDocument/2006/relationships/hyperlink" Target="http://maps.google.com/?q=42.3228,-86.3144&amp;t=k" TargetMode="External"/><Relationship Id="rId1395" Type="http://schemas.openxmlformats.org/officeDocument/2006/relationships/hyperlink" Target="http://maps.google.com/?q=34.7039,-87.1186&amp;t=k" TargetMode="External"/><Relationship Id="rId1394" Type="http://schemas.openxmlformats.org/officeDocument/2006/relationships/hyperlink" Target="http://www.iaea.org/PRIS/CountryStatistics/ReactorDetails.aspx?current=617" TargetMode="External"/><Relationship Id="rId1397" Type="http://schemas.openxmlformats.org/officeDocument/2006/relationships/hyperlink" Target="http://www.iaea.org/PRIS/CountryStatistics/ReactorDetails.aspx?current=618" TargetMode="External"/><Relationship Id="rId1396" Type="http://schemas.openxmlformats.org/officeDocument/2006/relationships/hyperlink" Target="https://www.google.com/search?q=BROWNS+FERRY-2+nuclear+power+plant+in+UNITED+STATES" TargetMode="External"/><Relationship Id="rId1399" Type="http://schemas.openxmlformats.org/officeDocument/2006/relationships/hyperlink" Target="https://www.google.com/search?q=ROBINSON-2+nuclear+power+plant+in+UNITED+STATES" TargetMode="External"/><Relationship Id="rId1398" Type="http://schemas.openxmlformats.org/officeDocument/2006/relationships/hyperlink" Target="http://maps.google.com/?q=34.7039,-87.1186&amp;t=k" TargetMode="External"/><Relationship Id="rId1786" Type="http://schemas.openxmlformats.org/officeDocument/2006/relationships/hyperlink" Target="https://www.google.com/search?q=YANGJIANG-1+nuclear+power+plant+in+CHINA" TargetMode="External"/><Relationship Id="rId1785" Type="http://schemas.openxmlformats.org/officeDocument/2006/relationships/hyperlink" Target="http://maps.google.com/?q=29.1011,121.642&amp;t=k" TargetMode="External"/><Relationship Id="rId1788" Type="http://schemas.openxmlformats.org/officeDocument/2006/relationships/hyperlink" Target="http://maps.google.com/?q=21.7083,112.261&amp;t=k" TargetMode="External"/><Relationship Id="rId1787" Type="http://schemas.openxmlformats.org/officeDocument/2006/relationships/hyperlink" Target="http://www.iaea.org/PRIS/CountryStatistics/ReactorDetails.aspx?current=881" TargetMode="External"/><Relationship Id="rId1789" Type="http://schemas.openxmlformats.org/officeDocument/2006/relationships/hyperlink" Target="https://www.google.com/search?q=YANGJIANG-2+nuclear+power+plant+in+CHINA" TargetMode="External"/><Relationship Id="rId1391" Type="http://schemas.openxmlformats.org/officeDocument/2006/relationships/hyperlink" Target="http://www.iaea.org/PRIS/CountryStatistics/ReactorDetails.aspx?current=616" TargetMode="External"/><Relationship Id="rId1390" Type="http://schemas.openxmlformats.org/officeDocument/2006/relationships/hyperlink" Target="https://www.google.com/search?q=PALISADES+nuclear+power+plant+in+UNITED+STATES" TargetMode="External"/><Relationship Id="rId1780" Type="http://schemas.openxmlformats.org/officeDocument/2006/relationships/hyperlink" Target="https://www.google.com/search?q=SANMEN-1+nuclear+power+plant+in+CHINA" TargetMode="External"/><Relationship Id="rId1781" Type="http://schemas.openxmlformats.org/officeDocument/2006/relationships/hyperlink" Target="http://www.iaea.org/PRIS/CountryStatistics/ReactorDetails.aspx?current=879" TargetMode="External"/><Relationship Id="rId1782" Type="http://schemas.openxmlformats.org/officeDocument/2006/relationships/hyperlink" Target="http://maps.google.com/?q=29.1011,121.642&amp;t=k" TargetMode="External"/><Relationship Id="rId1783" Type="http://schemas.openxmlformats.org/officeDocument/2006/relationships/hyperlink" Target="https://www.google.com/search?q=SANMEN-2+nuclear+power+plant+in+CHINA" TargetMode="External"/><Relationship Id="rId1784" Type="http://schemas.openxmlformats.org/officeDocument/2006/relationships/hyperlink" Target="http://www.iaea.org/PRIS/CountryStatistics/ReactorDetails.aspx?current=880" TargetMode="External"/><Relationship Id="rId1366" Type="http://schemas.openxmlformats.org/officeDocument/2006/relationships/hyperlink" Target="https://www.google.com/search?q=DRESDEN-2+nuclear+power+plant+in+UNITED+STATES" TargetMode="External"/><Relationship Id="rId1365" Type="http://schemas.openxmlformats.org/officeDocument/2006/relationships/hyperlink" Target="http://maps.google.com/?q=43.5208,-76.4069&amp;t=k" TargetMode="External"/><Relationship Id="rId1364" Type="http://schemas.openxmlformats.org/officeDocument/2006/relationships/hyperlink" Target="http://www.iaea.org/PRIS/CountryStatistics/ReactorDetails.aspx?current=607" TargetMode="External"/><Relationship Id="rId1363" Type="http://schemas.openxmlformats.org/officeDocument/2006/relationships/hyperlink" Target="https://www.google.com/search?q=NINE+MILE+POINT-1+nuclear+power+plant+in+UNITED+STATES" TargetMode="External"/><Relationship Id="rId1362" Type="http://schemas.openxmlformats.org/officeDocument/2006/relationships/hyperlink" Target="http://maps.google.com/?q=39.8147,-74.205&amp;t=k" TargetMode="External"/><Relationship Id="rId1361" Type="http://schemas.openxmlformats.org/officeDocument/2006/relationships/hyperlink" Target="http://www.iaea.org/PRIS/CountryStatistics/ReactorDetails.aspx?current=606" TargetMode="External"/><Relationship Id="rId1360" Type="http://schemas.openxmlformats.org/officeDocument/2006/relationships/hyperlink" Target="https://www.google.com/search?q=OYSTER+CREEK+nuclear+power+plant+in+UNITED+STATES" TargetMode="External"/><Relationship Id="rId1779" Type="http://schemas.openxmlformats.org/officeDocument/2006/relationships/hyperlink" Target="http://maps.google.com/?q=22.6048,114.551&amp;t=k" TargetMode="External"/><Relationship Id="rId1778" Type="http://schemas.openxmlformats.org/officeDocument/2006/relationships/hyperlink" Target="http://www.iaea.org/PRIS/CountryStatistics/ReactorDetails.aspx?current=878" TargetMode="External"/><Relationship Id="rId1777" Type="http://schemas.openxmlformats.org/officeDocument/2006/relationships/hyperlink" Target="https://www.google.com/search?q=LING+AO-3+nuclear+power+plant+in+CHINA" TargetMode="External"/><Relationship Id="rId1776" Type="http://schemas.openxmlformats.org/officeDocument/2006/relationships/hyperlink" Target="http://maps.google.com/?q=30.4331,120.95&amp;t=k" TargetMode="External"/><Relationship Id="rId1775" Type="http://schemas.openxmlformats.org/officeDocument/2006/relationships/hyperlink" Target="http://www.iaea.org/PRIS/CountryStatistics/ReactorDetails.aspx?current=877" TargetMode="External"/><Relationship Id="rId1774" Type="http://schemas.openxmlformats.org/officeDocument/2006/relationships/hyperlink" Target="https://www.google.com/search?q=QINSHAN+2-4+nuclear+power+plant+in+CHINA" TargetMode="External"/><Relationship Id="rId1772" Type="http://schemas.openxmlformats.org/officeDocument/2006/relationships/hyperlink" Target="http://www.iaea.org/PRIS/CountryStatistics/ReactorDetails.aspx?current=876" TargetMode="External"/><Relationship Id="rId1773" Type="http://schemas.openxmlformats.org/officeDocument/2006/relationships/hyperlink" Target="http://maps.google.com/?q=30.4331,120.95&amp;t=k" TargetMode="External"/><Relationship Id="rId1770" Type="http://schemas.openxmlformats.org/officeDocument/2006/relationships/hyperlink" Target="http://maps.google.com/?q=22.6048,114.551&amp;t=k" TargetMode="External"/><Relationship Id="rId1771" Type="http://schemas.openxmlformats.org/officeDocument/2006/relationships/hyperlink" Target="https://www.google.com/search?q=QINSHAN+2-3+nuclear+power+plant+in+CHINA" TargetMode="External"/><Relationship Id="rId1369" Type="http://schemas.openxmlformats.org/officeDocument/2006/relationships/hyperlink" Target="https://www.google.com/search?q=GINNA+nuclear+power+plant+in+UNITED+STATES" TargetMode="External"/><Relationship Id="rId1367" Type="http://schemas.openxmlformats.org/officeDocument/2006/relationships/hyperlink" Target="http://www.iaea.org/PRIS/CountryStatistics/ReactorDetails.aspx?current=608" TargetMode="External"/><Relationship Id="rId1368" Type="http://schemas.openxmlformats.org/officeDocument/2006/relationships/hyperlink" Target="http://maps.google.com/?q=41.3897,-88.2681&amp;t=k" TargetMode="External"/><Relationship Id="rId1375" Type="http://schemas.openxmlformats.org/officeDocument/2006/relationships/hyperlink" Target="https://www.google.com/search?q=INDIAN+POINT-2+nuclear+power+plant+in+UNITED+STATES" TargetMode="External"/><Relationship Id="rId1374" Type="http://schemas.openxmlformats.org/officeDocument/2006/relationships/hyperlink" Target="http://maps.google.com/?q=41.3119,-72.1686&amp;t=k" TargetMode="External"/><Relationship Id="rId1377" Type="http://schemas.openxmlformats.org/officeDocument/2006/relationships/hyperlink" Target="http://maps.google.com/?q=41.2697,-73.9522&amp;t=k" TargetMode="External"/><Relationship Id="rId1376" Type="http://schemas.openxmlformats.org/officeDocument/2006/relationships/hyperlink" Target="http://www.iaea.org/PRIS/CountryStatistics/ReactorDetails.aspx?current=611" TargetMode="External"/><Relationship Id="rId1371" Type="http://schemas.openxmlformats.org/officeDocument/2006/relationships/hyperlink" Target="http://maps.google.com/?q=43.2778,-77.31&amp;t=k" TargetMode="External"/><Relationship Id="rId1370" Type="http://schemas.openxmlformats.org/officeDocument/2006/relationships/hyperlink" Target="http://www.iaea.org/PRIS/CountryStatistics/ReactorDetails.aspx?current=609" TargetMode="External"/><Relationship Id="rId1373" Type="http://schemas.openxmlformats.org/officeDocument/2006/relationships/hyperlink" Target="http://www.iaea.org/PRIS/CountryStatistics/ReactorDetails.aspx?current=610" TargetMode="External"/><Relationship Id="rId1372" Type="http://schemas.openxmlformats.org/officeDocument/2006/relationships/hyperlink" Target="https://www.google.com/search?q=MILLSTONE-1+nuclear+power+plant+in+UNITED+STATES" TargetMode="External"/><Relationship Id="rId1768" Type="http://schemas.openxmlformats.org/officeDocument/2006/relationships/hyperlink" Target="https://www.google.com/search?q=LING+AO-4+nuclear+power+plant+in+CHINA" TargetMode="External"/><Relationship Id="rId1767" Type="http://schemas.openxmlformats.org/officeDocument/2006/relationships/hyperlink" Target="http://maps.google.com/?q=49.5364,-1.88167&amp;t=k" TargetMode="External"/><Relationship Id="rId1769" Type="http://schemas.openxmlformats.org/officeDocument/2006/relationships/hyperlink" Target="http://www.iaea.org/PRIS/CountryStatistics/ReactorDetails.aspx?current=875" TargetMode="External"/><Relationship Id="rId1764" Type="http://schemas.openxmlformats.org/officeDocument/2006/relationships/hyperlink" Target="http://maps.google.com/?q=41.5097,140.91&amp;t=k" TargetMode="External"/><Relationship Id="rId1763" Type="http://schemas.openxmlformats.org/officeDocument/2006/relationships/hyperlink" Target="http://www.iaea.org/PRIS/CountryStatistics/ReactorDetails.aspx?current=867" TargetMode="External"/><Relationship Id="rId1766" Type="http://schemas.openxmlformats.org/officeDocument/2006/relationships/hyperlink" Target="http://www.iaea.org/PRIS/CountryStatistics/ReactorDetails.aspx?current=873" TargetMode="External"/><Relationship Id="rId1765" Type="http://schemas.openxmlformats.org/officeDocument/2006/relationships/hyperlink" Target="https://www.google.com/search?q=FLAMANVILLE-3+nuclear+power+plant+in+FRANCE" TargetMode="External"/><Relationship Id="rId1760" Type="http://schemas.openxmlformats.org/officeDocument/2006/relationships/hyperlink" Target="http://www.iaea.org/PRIS/CountryStatistics/ReactorDetails.aspx?current=865" TargetMode="External"/><Relationship Id="rId1761" Type="http://schemas.openxmlformats.org/officeDocument/2006/relationships/hyperlink" Target="http://maps.google.com/?q=35.3199,129.29&amp;t=k" TargetMode="External"/><Relationship Id="rId1762" Type="http://schemas.openxmlformats.org/officeDocument/2006/relationships/hyperlink" Target="https://www.google.com/search?q=OHMA+nuclear+power+plant+in+JAPAN" TargetMode="External"/><Relationship Id="rId1378" Type="http://schemas.openxmlformats.org/officeDocument/2006/relationships/hyperlink" Target="https://www.google.com/search?q=DRESDEN-3+nuclear+power+plant+in+UNITED+STATES" TargetMode="External"/><Relationship Id="rId1379" Type="http://schemas.openxmlformats.org/officeDocument/2006/relationships/hyperlink" Target="http://www.iaea.org/PRIS/CountryStatistics/ReactorDetails.aspx?current=612" TargetMode="External"/><Relationship Id="rId790" Type="http://schemas.openxmlformats.org/officeDocument/2006/relationships/hyperlink" Target="https://www.google.com/search?q=FUKUSHIMA-DAIICHI-3+nuclear+power+plant+in+JAPAN" TargetMode="External"/><Relationship Id="rId791" Type="http://schemas.openxmlformats.org/officeDocument/2006/relationships/hyperlink" Target="http://www.iaea.org/PRIS/CountryStatistics/ReactorDetails.aspx?current=334" TargetMode="External"/><Relationship Id="rId792" Type="http://schemas.openxmlformats.org/officeDocument/2006/relationships/hyperlink" Target="http://maps.google.com/?q=37.4231,141.033&amp;t=k" TargetMode="External"/><Relationship Id="rId793" Type="http://schemas.openxmlformats.org/officeDocument/2006/relationships/hyperlink" Target="https://www.google.com/search?q=HAMAOKA-1+nuclear+power+plant+in+JAPAN" TargetMode="External"/><Relationship Id="rId794" Type="http://schemas.openxmlformats.org/officeDocument/2006/relationships/hyperlink" Target="http://www.iaea.org/PRIS/CountryStatistics/ReactorDetails.aspx?current=335" TargetMode="External"/><Relationship Id="rId795" Type="http://schemas.openxmlformats.org/officeDocument/2006/relationships/hyperlink" Target="http://maps.google.com/?q=34.6236,138.143&amp;t=k" TargetMode="External"/><Relationship Id="rId796" Type="http://schemas.openxmlformats.org/officeDocument/2006/relationships/hyperlink" Target="https://www.google.com/search?q=GENKAI-1+nuclear+power+plant+in+JAPAN" TargetMode="External"/><Relationship Id="rId797" Type="http://schemas.openxmlformats.org/officeDocument/2006/relationships/hyperlink" Target="http://www.iaea.org/PRIS/CountryStatistics/ReactorDetails.aspx?current=336" TargetMode="External"/><Relationship Id="rId798" Type="http://schemas.openxmlformats.org/officeDocument/2006/relationships/hyperlink" Target="http://maps.google.com/?q=33.5156,129.837&amp;t=k" TargetMode="External"/><Relationship Id="rId799" Type="http://schemas.openxmlformats.org/officeDocument/2006/relationships/hyperlink" Target="https://www.google.com/search?q=TAKAHAMA-2+nuclear+power+plant+in+JAPAN" TargetMode="External"/><Relationship Id="rId771" Type="http://schemas.openxmlformats.org/officeDocument/2006/relationships/hyperlink" Target="http://maps.google.com/?q=21.2386,73.35&amp;t=k" TargetMode="External"/><Relationship Id="rId772" Type="http://schemas.openxmlformats.org/officeDocument/2006/relationships/hyperlink" Target="https://www.google.com/search?q=BUSHEHR-1+nuclear+power+plant+in+IRAN" TargetMode="External"/><Relationship Id="rId773" Type="http://schemas.openxmlformats.org/officeDocument/2006/relationships/hyperlink" Target="http://www.iaea.org/PRIS/CountryStatistics/ReactorDetails.aspx?current=310" TargetMode="External"/><Relationship Id="rId774" Type="http://schemas.openxmlformats.org/officeDocument/2006/relationships/hyperlink" Target="http://maps.google.com/?q=28.8296,50.886&amp;t=k" TargetMode="External"/><Relationship Id="rId770" Type="http://schemas.openxmlformats.org/officeDocument/2006/relationships/hyperlink" Target="http://www.iaea.org/PRIS/CountryStatistics/ReactorDetails.aspx?current=308" TargetMode="External"/><Relationship Id="rId779" Type="http://schemas.openxmlformats.org/officeDocument/2006/relationships/hyperlink" Target="http://www.iaea.org/PRIS/CountryStatistics/ReactorDetails.aspx?current=325" TargetMode="External"/><Relationship Id="rId775" Type="http://schemas.openxmlformats.org/officeDocument/2006/relationships/hyperlink" Target="https://www.google.com/search?q=LATINA+nuclear+power+plant+in+ITALY" TargetMode="External"/><Relationship Id="rId776" Type="http://schemas.openxmlformats.org/officeDocument/2006/relationships/hyperlink" Target="http://www.iaea.org/PRIS/CountryStatistics/ReactorDetails.aspx?current=318" TargetMode="External"/><Relationship Id="rId777" Type="http://schemas.openxmlformats.org/officeDocument/2006/relationships/hyperlink" Target="http://maps.google.com/?q=41.4253,12.8072&amp;t=k" TargetMode="External"/><Relationship Id="rId778" Type="http://schemas.openxmlformats.org/officeDocument/2006/relationships/hyperlink" Target="https://www.google.com/search?q=GARIGLIANO+nuclear+power+plant+in+ITALY" TargetMode="External"/><Relationship Id="rId784" Type="http://schemas.openxmlformats.org/officeDocument/2006/relationships/hyperlink" Target="https://www.google.com/search?q=CAORSO+nuclear+power+plant+in+ITALY" TargetMode="External"/><Relationship Id="rId785" Type="http://schemas.openxmlformats.org/officeDocument/2006/relationships/hyperlink" Target="http://www.iaea.org/PRIS/CountryStatistics/ReactorDetails.aspx?current=327" TargetMode="External"/><Relationship Id="rId782" Type="http://schemas.openxmlformats.org/officeDocument/2006/relationships/hyperlink" Target="http://www.iaea.org/PRIS/CountryStatistics/ReactorDetails.aspx?current=326" TargetMode="External"/><Relationship Id="rId783" Type="http://schemas.openxmlformats.org/officeDocument/2006/relationships/hyperlink" Target="http://maps.google.com/?q=45.1841,8.27756&amp;t=k" TargetMode="External"/><Relationship Id="rId780" Type="http://schemas.openxmlformats.org/officeDocument/2006/relationships/hyperlink" Target="http://maps.google.com/?q=41.2585,13.8349&amp;t=k" TargetMode="External"/><Relationship Id="rId781" Type="http://schemas.openxmlformats.org/officeDocument/2006/relationships/hyperlink" Target="https://www.google.com/search?q=ENRICO+FERMI+nuclear+power+plant+in+ITALY" TargetMode="External"/><Relationship Id="rId788" Type="http://schemas.openxmlformats.org/officeDocument/2006/relationships/hyperlink" Target="http://www.iaea.org/PRIS/CountryStatistics/ReactorDetails.aspx?current=333" TargetMode="External"/><Relationship Id="rId789" Type="http://schemas.openxmlformats.org/officeDocument/2006/relationships/hyperlink" Target="http://maps.google.com/?q=35.7544,136.016&amp;t=k" TargetMode="External"/><Relationship Id="rId786" Type="http://schemas.openxmlformats.org/officeDocument/2006/relationships/hyperlink" Target="http://maps.google.com/?q=45.0721,9.87214&amp;t=k" TargetMode="External"/><Relationship Id="rId787" Type="http://schemas.openxmlformats.org/officeDocument/2006/relationships/hyperlink" Target="https://www.google.com/search?q=JPDR+nuclear+power+plant+in+JAPAN" TargetMode="External"/><Relationship Id="rId1709" Type="http://schemas.openxmlformats.org/officeDocument/2006/relationships/hyperlink" Target="http://www.iaea.org/PRIS/CountryStatistics/ReactorDetails.aspx?current=790" TargetMode="External"/><Relationship Id="rId1708" Type="http://schemas.openxmlformats.org/officeDocument/2006/relationships/hyperlink" Target="https://www.google.com/search?q=PALO+VERDE-2+nuclear+power+plant+in+UNITED+STATES" TargetMode="External"/><Relationship Id="rId1707" Type="http://schemas.openxmlformats.org/officeDocument/2006/relationships/hyperlink" Target="http://maps.google.com/?q=33.3892,-112.865&amp;t=k" TargetMode="External"/><Relationship Id="rId1706" Type="http://schemas.openxmlformats.org/officeDocument/2006/relationships/hyperlink" Target="http://www.iaea.org/PRIS/CountryStatistics/ReactorDetails.aspx?current=789" TargetMode="External"/><Relationship Id="rId1705" Type="http://schemas.openxmlformats.org/officeDocument/2006/relationships/hyperlink" Target="https://www.google.com/search?q=PALO+VERDE-1+nuclear+power+plant+in+UNITED+STATES" TargetMode="External"/><Relationship Id="rId1704" Type="http://schemas.openxmlformats.org/officeDocument/2006/relationships/hyperlink" Target="http://maps.google.com/?q=28.7956,-96.0489&amp;t=k" TargetMode="External"/><Relationship Id="rId1703" Type="http://schemas.openxmlformats.org/officeDocument/2006/relationships/hyperlink" Target="http://www.iaea.org/PRIS/CountryStatistics/ReactorDetails.aspx?current=765" TargetMode="External"/><Relationship Id="rId1702" Type="http://schemas.openxmlformats.org/officeDocument/2006/relationships/hyperlink" Target="https://www.google.com/search?q=SOUTH+TEXAS-2+nuclear+power+plant+in+UNITED+STATES" TargetMode="External"/><Relationship Id="rId1701" Type="http://schemas.openxmlformats.org/officeDocument/2006/relationships/hyperlink" Target="http://maps.google.com/?q=28.7956,-96.0489&amp;t=k" TargetMode="External"/><Relationship Id="rId1700" Type="http://schemas.openxmlformats.org/officeDocument/2006/relationships/hyperlink" Target="http://www.iaea.org/PRIS/CountryStatistics/ReactorDetails.aspx?current=764" TargetMode="External"/><Relationship Id="rId1717" Type="http://schemas.openxmlformats.org/officeDocument/2006/relationships/hyperlink" Target="https://www.google.com/search?q=KOEBERG-2+nuclear+power+plant+in+SOUTH+AFRICA" TargetMode="External"/><Relationship Id="rId1716" Type="http://schemas.openxmlformats.org/officeDocument/2006/relationships/hyperlink" Target="http://maps.google.com/?q=-33.6764,18.432&amp;t=k" TargetMode="External"/><Relationship Id="rId1719" Type="http://schemas.openxmlformats.org/officeDocument/2006/relationships/hyperlink" Target="http://maps.google.com/?q=-33.6764,18.432&amp;t=k" TargetMode="External"/><Relationship Id="rId1718" Type="http://schemas.openxmlformats.org/officeDocument/2006/relationships/hyperlink" Target="http://www.iaea.org/PRIS/CountryStatistics/ReactorDetails.aspx?current=837" TargetMode="External"/><Relationship Id="rId1713" Type="http://schemas.openxmlformats.org/officeDocument/2006/relationships/hyperlink" Target="http://maps.google.com/?q=33.3892,-112.865&amp;t=k" TargetMode="External"/><Relationship Id="rId1712" Type="http://schemas.openxmlformats.org/officeDocument/2006/relationships/hyperlink" Target="http://www.iaea.org/PRIS/CountryStatistics/ReactorDetails.aspx?current=791" TargetMode="External"/><Relationship Id="rId1715" Type="http://schemas.openxmlformats.org/officeDocument/2006/relationships/hyperlink" Target="http://www.iaea.org/PRIS/CountryStatistics/ReactorDetails.aspx?current=836" TargetMode="External"/><Relationship Id="rId1714" Type="http://schemas.openxmlformats.org/officeDocument/2006/relationships/hyperlink" Target="https://www.google.com/search?q=KOEBERG-1+nuclear+power+plant+in+SOUTH+AFRICA" TargetMode="External"/><Relationship Id="rId1711" Type="http://schemas.openxmlformats.org/officeDocument/2006/relationships/hyperlink" Target="https://www.google.com/search?q=PALO+VERDE-3+nuclear+power+plant+in+UNITED+STATES" TargetMode="External"/><Relationship Id="rId1710" Type="http://schemas.openxmlformats.org/officeDocument/2006/relationships/hyperlink" Target="http://maps.google.com/?q=33.3892,-112.865&amp;t=k" TargetMode="External"/><Relationship Id="rId1740" Type="http://schemas.openxmlformats.org/officeDocument/2006/relationships/hyperlink" Target="http://maps.google.com/?q=8.16889,77.7125&amp;t=k" TargetMode="External"/><Relationship Id="rId1747" Type="http://schemas.openxmlformats.org/officeDocument/2006/relationships/hyperlink" Target="https://www.google.com/search?q=PFBR+nuclear+power+plant+in+INDIA" TargetMode="External"/><Relationship Id="rId1748" Type="http://schemas.openxmlformats.org/officeDocument/2006/relationships/hyperlink" Target="http://www.iaea.org/PRIS/CountryStatistics/ReactorDetails.aspx?current=859" TargetMode="External"/><Relationship Id="rId1745" Type="http://schemas.openxmlformats.org/officeDocument/2006/relationships/hyperlink" Target="http://www.iaea.org/PRIS/CountryStatistics/ReactorDetails.aspx?current=856" TargetMode="External"/><Relationship Id="rId1746" Type="http://schemas.openxmlformats.org/officeDocument/2006/relationships/hyperlink" Target="http://maps.google.com/?q=43.0361,140.512&amp;t=k" TargetMode="External"/><Relationship Id="rId1743" Type="http://schemas.openxmlformats.org/officeDocument/2006/relationships/hyperlink" Target="http://maps.google.com/?q=8.16889,77.7125&amp;t=k" TargetMode="External"/><Relationship Id="rId1744" Type="http://schemas.openxmlformats.org/officeDocument/2006/relationships/hyperlink" Target="https://www.google.com/search?q=TOMARI-3+nuclear+power+plant+in+JAPAN" TargetMode="External"/><Relationship Id="rId1741" Type="http://schemas.openxmlformats.org/officeDocument/2006/relationships/hyperlink" Target="https://www.google.com/search?q=KUDANKULAM-2+nuclear+power+plant+in+INDIA" TargetMode="External"/><Relationship Id="rId1742" Type="http://schemas.openxmlformats.org/officeDocument/2006/relationships/hyperlink" Target="http://www.iaea.org/PRIS/CountryStatistics/ReactorDetails.aspx?current=853" TargetMode="External"/><Relationship Id="rId1749" Type="http://schemas.openxmlformats.org/officeDocument/2006/relationships/hyperlink" Target="http://maps.google.com/?q=12.5531,80.1733&amp;t=k" TargetMode="External"/><Relationship Id="rId1751" Type="http://schemas.openxmlformats.org/officeDocument/2006/relationships/hyperlink" Target="http://www.iaea.org/PRIS/CountryStatistics/ReactorDetails.aspx?current=860" TargetMode="External"/><Relationship Id="rId1750" Type="http://schemas.openxmlformats.org/officeDocument/2006/relationships/hyperlink" Target="https://www.google.com/search?q=OLKILUOTO-3+nuclear+power+plant+in+FINLAND" TargetMode="External"/><Relationship Id="rId1756" Type="http://schemas.openxmlformats.org/officeDocument/2006/relationships/hyperlink" Target="https://www.google.com/search?q=SHIN-KORI-1+nuclear+power+plant+in+SOUTH+KOREA" TargetMode="External"/><Relationship Id="rId1757" Type="http://schemas.openxmlformats.org/officeDocument/2006/relationships/hyperlink" Target="http://www.iaea.org/PRIS/CountryStatistics/ReactorDetails.aspx?current=864" TargetMode="External"/><Relationship Id="rId1758" Type="http://schemas.openxmlformats.org/officeDocument/2006/relationships/hyperlink" Target="http://maps.google.com/?q=35.3199,129.29&amp;t=k" TargetMode="External"/><Relationship Id="rId1759" Type="http://schemas.openxmlformats.org/officeDocument/2006/relationships/hyperlink" Target="https://www.google.com/search?q=SHIN-KORI-2+nuclear+power+plant+in+SOUTH+KOREA" TargetMode="External"/><Relationship Id="rId1752" Type="http://schemas.openxmlformats.org/officeDocument/2006/relationships/hyperlink" Target="http://maps.google.com/?q=61.2369,21.4408&amp;t=k" TargetMode="External"/><Relationship Id="rId1753" Type="http://schemas.openxmlformats.org/officeDocument/2006/relationships/hyperlink" Target="https://www.google.com/search?q=SHIMANE-3+nuclear+power+plant+in+JAPAN" TargetMode="External"/><Relationship Id="rId1754" Type="http://schemas.openxmlformats.org/officeDocument/2006/relationships/hyperlink" Target="http://www.iaea.org/PRIS/CountryStatistics/ReactorDetails.aspx?current=862" TargetMode="External"/><Relationship Id="rId1755" Type="http://schemas.openxmlformats.org/officeDocument/2006/relationships/hyperlink" Target="http://maps.google.com/?q=35.5383,132.999&amp;t=k" TargetMode="External"/><Relationship Id="rId1721" Type="http://schemas.openxmlformats.org/officeDocument/2006/relationships/hyperlink" Target="http://www.iaea.org/PRIS/CountryStatistics/ReactorDetails.aspx?current=838" TargetMode="External"/><Relationship Id="rId1722" Type="http://schemas.openxmlformats.org/officeDocument/2006/relationships/hyperlink" Target="http://maps.google.com/?q=34.6869,119.46&amp;t=k" TargetMode="External"/><Relationship Id="rId1720" Type="http://schemas.openxmlformats.org/officeDocument/2006/relationships/hyperlink" Target="https://www.google.com/search?q=TIANWAN-1+nuclear+power+plant+in+CHINA" TargetMode="External"/><Relationship Id="rId1725" Type="http://schemas.openxmlformats.org/officeDocument/2006/relationships/hyperlink" Target="http://maps.google.com/?q=34.6869,119.46&amp;t=k" TargetMode="External"/><Relationship Id="rId1726" Type="http://schemas.openxmlformats.org/officeDocument/2006/relationships/hyperlink" Target="https://www.google.com/search?q=QINSHAN+3-2+nuclear+power+plant+in+CHINA" TargetMode="External"/><Relationship Id="rId1723" Type="http://schemas.openxmlformats.org/officeDocument/2006/relationships/hyperlink" Target="https://www.google.com/search?q=TIANWAN-2+nuclear+power+plant+in+CHINA" TargetMode="External"/><Relationship Id="rId1724" Type="http://schemas.openxmlformats.org/officeDocument/2006/relationships/hyperlink" Target="http://www.iaea.org/PRIS/CountryStatistics/ReactorDetails.aspx?current=839" TargetMode="External"/><Relationship Id="rId1729" Type="http://schemas.openxmlformats.org/officeDocument/2006/relationships/hyperlink" Target="https://www.google.com/search?q=HIGASHI+DORI-1+(TOHOKU)+nuclear+power+plant+in+JAPAN" TargetMode="External"/><Relationship Id="rId1727" Type="http://schemas.openxmlformats.org/officeDocument/2006/relationships/hyperlink" Target="http://www.iaea.org/PRIS/CountryStatistics/ReactorDetails.aspx?current=840" TargetMode="External"/><Relationship Id="rId1728" Type="http://schemas.openxmlformats.org/officeDocument/2006/relationships/hyperlink" Target="http://maps.google.com/?q=30.4331,120.95&amp;t=k" TargetMode="External"/><Relationship Id="rId1730" Type="http://schemas.openxmlformats.org/officeDocument/2006/relationships/hyperlink" Target="http://www.iaea.org/PRIS/CountryStatistics/ReactorDetails.aspx?current=841" TargetMode="External"/><Relationship Id="rId1731" Type="http://schemas.openxmlformats.org/officeDocument/2006/relationships/hyperlink" Target="http://maps.google.com/?q=41.1881,141.39&amp;t=k" TargetMode="External"/><Relationship Id="rId1732" Type="http://schemas.openxmlformats.org/officeDocument/2006/relationships/hyperlink" Target="https://www.google.com/search?q=SHIKA-2+nuclear+power+plant+in+JAPAN" TargetMode="External"/><Relationship Id="rId1733" Type="http://schemas.openxmlformats.org/officeDocument/2006/relationships/hyperlink" Target="http://www.iaea.org/PRIS/CountryStatistics/ReactorDetails.aspx?current=842" TargetMode="External"/><Relationship Id="rId1734" Type="http://schemas.openxmlformats.org/officeDocument/2006/relationships/hyperlink" Target="http://maps.google.com/?q=37.0611,136.726&amp;t=k" TargetMode="External"/><Relationship Id="rId1735" Type="http://schemas.openxmlformats.org/officeDocument/2006/relationships/hyperlink" Target="https://www.google.com/search?q=HAMAOKA-5+nuclear+power+plant+in+JAPAN" TargetMode="External"/><Relationship Id="rId1736" Type="http://schemas.openxmlformats.org/officeDocument/2006/relationships/hyperlink" Target="http://www.iaea.org/PRIS/CountryStatistics/ReactorDetails.aspx?current=843" TargetMode="External"/><Relationship Id="rId1737" Type="http://schemas.openxmlformats.org/officeDocument/2006/relationships/hyperlink" Target="http://maps.google.com/?q=34.6236,138.143&amp;t=k" TargetMode="External"/><Relationship Id="rId1738" Type="http://schemas.openxmlformats.org/officeDocument/2006/relationships/hyperlink" Target="https://www.google.com/search?q=KUDANKULAM-1+nuclear+power+plant+in+INDIA" TargetMode="External"/><Relationship Id="rId1739" Type="http://schemas.openxmlformats.org/officeDocument/2006/relationships/hyperlink" Target="http://www.iaea.org/PRIS/CountryStatistics/ReactorDetails.aspx?current=852" TargetMode="External"/><Relationship Id="rId809" Type="http://schemas.openxmlformats.org/officeDocument/2006/relationships/hyperlink" Target="http://www.iaea.org/PRIS/CountryStatistics/ReactorDetails.aspx?current=340" TargetMode="External"/><Relationship Id="rId807" Type="http://schemas.openxmlformats.org/officeDocument/2006/relationships/hyperlink" Target="http://maps.google.com/?q=35.5406,135.652&amp;t=k" TargetMode="External"/><Relationship Id="rId808" Type="http://schemas.openxmlformats.org/officeDocument/2006/relationships/hyperlink" Target="https://www.google.com/search?q=FUKUSHIMA-DAIICHI-4+nuclear+power+plant+in+JAPAN" TargetMode="External"/><Relationship Id="rId805" Type="http://schemas.openxmlformats.org/officeDocument/2006/relationships/hyperlink" Target="https://www.google.com/search?q=OHI-1+nuclear+power+plant+in+JAPAN" TargetMode="External"/><Relationship Id="rId806" Type="http://schemas.openxmlformats.org/officeDocument/2006/relationships/hyperlink" Target="http://www.iaea.org/PRIS/CountryStatistics/ReactorDetails.aspx?current=339" TargetMode="External"/><Relationship Id="rId804" Type="http://schemas.openxmlformats.org/officeDocument/2006/relationships/hyperlink" Target="http://maps.google.com/?q=35.7035,135.964&amp;t=k" TargetMode="External"/><Relationship Id="rId803" Type="http://schemas.openxmlformats.org/officeDocument/2006/relationships/hyperlink" Target="http://www.iaea.org/PRIS/CountryStatistics/ReactorDetails.aspx?current=338" TargetMode="External"/><Relationship Id="rId802" Type="http://schemas.openxmlformats.org/officeDocument/2006/relationships/hyperlink" Target="https://www.google.com/search?q=MIHAMA-3+nuclear+power+plant+in+JAPAN" TargetMode="External"/><Relationship Id="rId801" Type="http://schemas.openxmlformats.org/officeDocument/2006/relationships/hyperlink" Target="http://maps.google.com/?q=35.522,135.504&amp;t=k" TargetMode="External"/><Relationship Id="rId800" Type="http://schemas.openxmlformats.org/officeDocument/2006/relationships/hyperlink" Target="http://www.iaea.org/PRIS/CountryStatistics/ReactorDetails.aspx?current=337" TargetMode="External"/><Relationship Id="rId399" Type="http://schemas.openxmlformats.org/officeDocument/2006/relationships/hyperlink" Target="http://maps.google.com/?q=47.72,1.5775&amp;t=k" TargetMode="External"/><Relationship Id="rId398" Type="http://schemas.openxmlformats.org/officeDocument/2006/relationships/hyperlink" Target="http://www.iaea.org/PRIS/CountryStatistics/ReactorDetails.aspx?current=177" TargetMode="External"/><Relationship Id="rId397" Type="http://schemas.openxmlformats.org/officeDocument/2006/relationships/hyperlink" Target="https://www.google.com/search?q=ST.+LAURENT+B-2+nuclear+power+plant+in+FRANCE" TargetMode="External"/><Relationship Id="rId396" Type="http://schemas.openxmlformats.org/officeDocument/2006/relationships/hyperlink" Target="http://maps.google.com/?q=47.7331,2.51667&amp;t=k" TargetMode="External"/><Relationship Id="rId395" Type="http://schemas.openxmlformats.org/officeDocument/2006/relationships/hyperlink" Target="http://www.iaea.org/PRIS/CountryStatistics/ReactorDetails.aspx?current=176" TargetMode="External"/><Relationship Id="rId394" Type="http://schemas.openxmlformats.org/officeDocument/2006/relationships/hyperlink" Target="https://www.google.com/search?q=DAMPIERRE-1+nuclear+power+plant+in+FRANCE" TargetMode="External"/><Relationship Id="rId393" Type="http://schemas.openxmlformats.org/officeDocument/2006/relationships/hyperlink" Target="http://maps.google.com/?q=51.0153,2.13611&amp;t=k" TargetMode="External"/><Relationship Id="rId374" Type="http://schemas.openxmlformats.org/officeDocument/2006/relationships/hyperlink" Target="http://www.iaea.org/PRIS/CountryStatistics/ReactorDetails.aspx?current=169" TargetMode="External"/><Relationship Id="rId373" Type="http://schemas.openxmlformats.org/officeDocument/2006/relationships/hyperlink" Target="https://www.google.com/search?q=ST.+LAURENT+B-1+nuclear+power+plant+in+FRANCE" TargetMode="External"/><Relationship Id="rId372" Type="http://schemas.openxmlformats.org/officeDocument/2006/relationships/hyperlink" Target="http://maps.google.com/?q=45.7983,5.27083&amp;t=k" TargetMode="External"/><Relationship Id="rId371" Type="http://schemas.openxmlformats.org/officeDocument/2006/relationships/hyperlink" Target="http://www.iaea.org/PRIS/CountryStatistics/ReactorDetails.aspx?current=168" TargetMode="External"/><Relationship Id="rId378" Type="http://schemas.openxmlformats.org/officeDocument/2006/relationships/hyperlink" Target="http://maps.google.com/?q=44.3297,4.73222&amp;t=k" TargetMode="External"/><Relationship Id="rId377" Type="http://schemas.openxmlformats.org/officeDocument/2006/relationships/hyperlink" Target="http://www.iaea.org/PRIS/CountryStatistics/ReactorDetails.aspx?current=170" TargetMode="External"/><Relationship Id="rId376" Type="http://schemas.openxmlformats.org/officeDocument/2006/relationships/hyperlink" Target="https://www.google.com/search?q=TRICASTIN-1+nuclear+power+plant+in+FRANCE" TargetMode="External"/><Relationship Id="rId375" Type="http://schemas.openxmlformats.org/officeDocument/2006/relationships/hyperlink" Target="http://maps.google.com/?q=47.72,1.5775&amp;t=k" TargetMode="External"/><Relationship Id="rId379" Type="http://schemas.openxmlformats.org/officeDocument/2006/relationships/hyperlink" Target="https://www.google.com/search?q=TRICASTIN-2+nuclear+power+plant+in+FRANCE" TargetMode="External"/><Relationship Id="rId380" Type="http://schemas.openxmlformats.org/officeDocument/2006/relationships/hyperlink" Target="http://www.iaea.org/PRIS/CountryStatistics/ReactorDetails.aspx?current=171" TargetMode="External"/><Relationship Id="rId381" Type="http://schemas.openxmlformats.org/officeDocument/2006/relationships/hyperlink" Target="http://maps.google.com/?q=44.3297,4.73222&amp;t=k" TargetMode="External"/><Relationship Id="rId383" Type="http://schemas.openxmlformats.org/officeDocument/2006/relationships/hyperlink" Target="http://www.iaea.org/PRIS/CountryStatistics/ReactorDetails.aspx?current=172" TargetMode="External"/><Relationship Id="rId382" Type="http://schemas.openxmlformats.org/officeDocument/2006/relationships/hyperlink" Target="https://www.google.com/search?q=G-2+(MARCOULE)+nuclear+power+plant+in+FRANCE" TargetMode="External"/><Relationship Id="rId385" Type="http://schemas.openxmlformats.org/officeDocument/2006/relationships/hyperlink" Target="https://www.google.com/search?q=CHINON+A-1+nuclear+power+plant+in+FRANCE" TargetMode="External"/><Relationship Id="rId384" Type="http://schemas.openxmlformats.org/officeDocument/2006/relationships/hyperlink" Target="http://maps.google.com/?q=44.1433,4.70944&amp;t=k" TargetMode="External"/><Relationship Id="rId387" Type="http://schemas.openxmlformats.org/officeDocument/2006/relationships/hyperlink" Target="http://maps.google.com/?q=47.2325,0.1703&amp;t=k" TargetMode="External"/><Relationship Id="rId386" Type="http://schemas.openxmlformats.org/officeDocument/2006/relationships/hyperlink" Target="http://www.iaea.org/PRIS/CountryStatistics/ReactorDetails.aspx?current=173" TargetMode="External"/><Relationship Id="rId389" Type="http://schemas.openxmlformats.org/officeDocument/2006/relationships/hyperlink" Target="http://www.iaea.org/PRIS/CountryStatistics/ReactorDetails.aspx?current=174" TargetMode="External"/><Relationship Id="rId388" Type="http://schemas.openxmlformats.org/officeDocument/2006/relationships/hyperlink" Target="https://www.google.com/search?q=GRAVELINES-1+nuclear+power+plant+in+FRANCE" TargetMode="External"/><Relationship Id="rId390" Type="http://schemas.openxmlformats.org/officeDocument/2006/relationships/hyperlink" Target="http://maps.google.com/?q=51.0153,2.13611&amp;t=k" TargetMode="External"/><Relationship Id="rId391" Type="http://schemas.openxmlformats.org/officeDocument/2006/relationships/hyperlink" Target="https://www.google.com/search?q=GRAVELINES-2+nuclear+power+plant+in+FRANCE" TargetMode="External"/><Relationship Id="rId392" Type="http://schemas.openxmlformats.org/officeDocument/2006/relationships/hyperlink" Target="http://www.iaea.org/PRIS/CountryStatistics/ReactorDetails.aspx?current=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0"/>
    <col customWidth="1" min="2" max="2" width="17.71"/>
    <col customWidth="1" min="3" max="4" width="25.43"/>
    <col customWidth="1" min="5" max="5" width="19.29"/>
    <col customWidth="1" min="6" max="6" width="12.43"/>
    <col customWidth="1" min="7" max="7" width="13.86"/>
    <col customWidth="1" min="8" max="8" width="15.0"/>
    <col customWidth="1" min="9" max="9" width="14.14"/>
    <col customWidth="1" min="10" max="10" width="15.71"/>
    <col customWidth="1" min="11" max="11" width="6.57"/>
    <col customWidth="1" min="12" max="12" width="66.14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12</v>
      </c>
      <c r="K1" s="5" t="s">
        <v>13</v>
      </c>
      <c r="L1" s="1" t="s">
        <v>14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15</v>
      </c>
      <c r="B2" s="9" t="s">
        <v>18</v>
      </c>
      <c r="C2" s="9" t="s">
        <v>19</v>
      </c>
      <c r="D2" s="9" t="s">
        <v>20</v>
      </c>
      <c r="E2" s="9" t="s">
        <v>21</v>
      </c>
      <c r="F2" s="9">
        <v>357.0</v>
      </c>
      <c r="G2" s="9">
        <v>1179.0</v>
      </c>
      <c r="H2" s="9">
        <v>71.1</v>
      </c>
      <c r="I2" s="10">
        <v>-34.0447617</v>
      </c>
      <c r="J2" s="10">
        <v>-59.197567</v>
      </c>
      <c r="K2" s="11">
        <v>43.6237411499023</v>
      </c>
      <c r="L2" s="12" t="s">
        <v>22</v>
      </c>
    </row>
    <row r="3">
      <c r="A3" s="9" t="s">
        <v>15</v>
      </c>
      <c r="B3" s="9" t="s">
        <v>18</v>
      </c>
      <c r="C3" s="9" t="s">
        <v>25</v>
      </c>
      <c r="D3" s="9" t="s">
        <v>20</v>
      </c>
      <c r="E3" s="9" t="s">
        <v>26</v>
      </c>
      <c r="F3" s="9">
        <v>745.0</v>
      </c>
      <c r="G3" s="9">
        <v>2160.0</v>
      </c>
      <c r="H3" s="9">
        <v>0.0</v>
      </c>
      <c r="I3" s="10">
        <v>-34.0447617</v>
      </c>
      <c r="J3" s="10">
        <v>-59.197567</v>
      </c>
      <c r="K3" s="11">
        <v>43.6237411499023</v>
      </c>
      <c r="L3" s="12" t="s">
        <v>27</v>
      </c>
    </row>
    <row r="4">
      <c r="A4" s="9" t="s">
        <v>15</v>
      </c>
      <c r="B4" s="9" t="s">
        <v>18</v>
      </c>
      <c r="C4" s="9" t="s">
        <v>28</v>
      </c>
      <c r="D4" s="9" t="s">
        <v>20</v>
      </c>
      <c r="E4" s="9" t="s">
        <v>26</v>
      </c>
      <c r="F4" s="9">
        <v>29.0</v>
      </c>
      <c r="G4" s="9">
        <v>100.0</v>
      </c>
      <c r="H4" s="9">
        <v>0.0</v>
      </c>
      <c r="I4" s="10">
        <v>-34.0447617</v>
      </c>
      <c r="J4" s="10">
        <v>-59.197567</v>
      </c>
      <c r="K4" s="11">
        <v>38.6716766357422</v>
      </c>
      <c r="L4" s="12" t="s">
        <v>29</v>
      </c>
    </row>
    <row r="5">
      <c r="A5" s="9" t="s">
        <v>15</v>
      </c>
      <c r="B5" s="9" t="s">
        <v>18</v>
      </c>
      <c r="C5" s="9" t="s">
        <v>30</v>
      </c>
      <c r="D5" s="9" t="s">
        <v>30</v>
      </c>
      <c r="E5" s="9" t="s">
        <v>21</v>
      </c>
      <c r="F5" s="9">
        <v>648.0</v>
      </c>
      <c r="G5" s="9">
        <v>2015.0</v>
      </c>
      <c r="H5" s="9">
        <v>82.6</v>
      </c>
      <c r="I5" s="10">
        <v>-32.1833305</v>
      </c>
      <c r="J5" s="10">
        <v>-64.4166718</v>
      </c>
      <c r="K5" s="11">
        <v>562.549499511719</v>
      </c>
      <c r="L5" s="12" t="s">
        <v>31</v>
      </c>
    </row>
    <row r="6">
      <c r="A6" s="9" t="s">
        <v>16</v>
      </c>
      <c r="B6" s="9" t="s">
        <v>17</v>
      </c>
      <c r="C6" s="9" t="s">
        <v>32</v>
      </c>
      <c r="D6" s="9" t="s">
        <v>23</v>
      </c>
      <c r="E6" s="9" t="s">
        <v>24</v>
      </c>
      <c r="F6" s="9">
        <v>408.0</v>
      </c>
      <c r="G6" s="9">
        <v>1375.0</v>
      </c>
      <c r="H6" s="9">
        <v>0.0</v>
      </c>
      <c r="I6" s="10">
        <v>40.1427778</v>
      </c>
      <c r="J6" s="10">
        <v>44.1163889</v>
      </c>
      <c r="K6" s="11">
        <v>882.188171386719</v>
      </c>
      <c r="L6" s="12" t="s">
        <v>33</v>
      </c>
    </row>
    <row r="7">
      <c r="A7" s="9" t="s">
        <v>16</v>
      </c>
      <c r="B7" s="9" t="s">
        <v>17</v>
      </c>
      <c r="C7" s="9" t="s">
        <v>34</v>
      </c>
      <c r="D7" s="9" t="s">
        <v>23</v>
      </c>
      <c r="E7" s="9" t="s">
        <v>21</v>
      </c>
      <c r="F7" s="9">
        <v>408.0</v>
      </c>
      <c r="G7" s="9">
        <v>1375.0</v>
      </c>
      <c r="H7" s="9">
        <v>64.3</v>
      </c>
      <c r="I7" s="10">
        <v>40.1427778</v>
      </c>
      <c r="J7" s="10">
        <v>44.1163889</v>
      </c>
      <c r="K7" s="11">
        <v>882.188171386719</v>
      </c>
      <c r="L7" s="12" t="s">
        <v>35</v>
      </c>
    </row>
    <row r="8">
      <c r="A8" s="9" t="s">
        <v>36</v>
      </c>
      <c r="B8" s="9" t="s">
        <v>37</v>
      </c>
      <c r="C8" s="9" t="s">
        <v>38</v>
      </c>
      <c r="D8" s="9" t="s">
        <v>39</v>
      </c>
      <c r="E8" s="9" t="s">
        <v>26</v>
      </c>
      <c r="F8" s="9">
        <v>1194.0</v>
      </c>
      <c r="G8" s="9">
        <v>3200.0</v>
      </c>
      <c r="H8" s="9">
        <v>0.0</v>
      </c>
      <c r="I8" s="10">
        <v>54.6136111</v>
      </c>
      <c r="J8" s="10">
        <v>25.9552778</v>
      </c>
      <c r="K8" s="11">
        <v>201.16520690918</v>
      </c>
      <c r="L8" s="12" t="s">
        <v>40</v>
      </c>
    </row>
    <row r="9">
      <c r="A9" s="9" t="s">
        <v>41</v>
      </c>
      <c r="B9" s="9" t="s">
        <v>42</v>
      </c>
      <c r="C9" s="9" t="s">
        <v>43</v>
      </c>
      <c r="D9" s="9" t="s">
        <v>44</v>
      </c>
      <c r="E9" s="9" t="s">
        <v>24</v>
      </c>
      <c r="F9" s="9">
        <v>12.0</v>
      </c>
      <c r="G9" s="9">
        <v>41.0</v>
      </c>
      <c r="H9" s="9">
        <v>40.2</v>
      </c>
      <c r="I9" s="10">
        <v>51.191087</v>
      </c>
      <c r="J9" s="10">
        <v>5.1170647</v>
      </c>
      <c r="K9" s="11">
        <v>76.3232879638672</v>
      </c>
      <c r="L9" s="12" t="s">
        <v>45</v>
      </c>
    </row>
    <row r="10">
      <c r="A10" s="9" t="s">
        <v>41</v>
      </c>
      <c r="B10" s="9" t="s">
        <v>42</v>
      </c>
      <c r="C10" s="9" t="s">
        <v>46</v>
      </c>
      <c r="D10" s="9" t="s">
        <v>47</v>
      </c>
      <c r="E10" s="9" t="s">
        <v>21</v>
      </c>
      <c r="F10" s="9">
        <v>454.0</v>
      </c>
      <c r="G10" s="9">
        <v>1311.0</v>
      </c>
      <c r="H10" s="9">
        <v>86.1</v>
      </c>
      <c r="I10" s="10">
        <v>51.3105976</v>
      </c>
      <c r="J10" s="10">
        <v>4.2649749</v>
      </c>
      <c r="K10" s="11">
        <v>43.8396835327148</v>
      </c>
      <c r="L10" s="12" t="s">
        <v>48</v>
      </c>
    </row>
    <row r="11">
      <c r="A11" s="9" t="s">
        <v>41</v>
      </c>
      <c r="B11" s="9" t="s">
        <v>42</v>
      </c>
      <c r="C11" s="9" t="s">
        <v>49</v>
      </c>
      <c r="D11" s="9" t="s">
        <v>47</v>
      </c>
      <c r="E11" s="9" t="s">
        <v>21</v>
      </c>
      <c r="F11" s="9">
        <v>454.0</v>
      </c>
      <c r="G11" s="9">
        <v>1311.0</v>
      </c>
      <c r="H11" s="9">
        <v>83.1</v>
      </c>
      <c r="I11" s="10">
        <v>51.3105976</v>
      </c>
      <c r="J11" s="10">
        <v>4.2649749</v>
      </c>
      <c r="K11" s="11">
        <v>43.8396835327148</v>
      </c>
      <c r="L11" s="12" t="s">
        <v>50</v>
      </c>
    </row>
    <row r="12">
      <c r="A12" s="9" t="s">
        <v>41</v>
      </c>
      <c r="B12" s="9" t="s">
        <v>42</v>
      </c>
      <c r="C12" s="9" t="s">
        <v>51</v>
      </c>
      <c r="D12" s="9" t="s">
        <v>47</v>
      </c>
      <c r="E12" s="9" t="s">
        <v>21</v>
      </c>
      <c r="F12" s="9">
        <v>1056.0</v>
      </c>
      <c r="G12" s="9">
        <v>3054.0</v>
      </c>
      <c r="H12" s="9">
        <v>83.7</v>
      </c>
      <c r="I12" s="10">
        <v>51.3105976</v>
      </c>
      <c r="J12" s="10">
        <v>4.2649749</v>
      </c>
      <c r="K12" s="11">
        <v>43.8396835327148</v>
      </c>
      <c r="L12" s="12" t="s">
        <v>52</v>
      </c>
    </row>
    <row r="13">
      <c r="A13" s="9" t="s">
        <v>41</v>
      </c>
      <c r="B13" s="9" t="s">
        <v>42</v>
      </c>
      <c r="C13" s="9" t="s">
        <v>53</v>
      </c>
      <c r="D13" s="9" t="s">
        <v>47</v>
      </c>
      <c r="E13" s="9" t="s">
        <v>21</v>
      </c>
      <c r="F13" s="9">
        <v>1090.0</v>
      </c>
      <c r="G13" s="9">
        <v>2988.0</v>
      </c>
      <c r="H13" s="9">
        <v>84.0</v>
      </c>
      <c r="I13" s="10">
        <v>51.3105976</v>
      </c>
      <c r="J13" s="10">
        <v>4.2649749</v>
      </c>
      <c r="K13" s="11">
        <v>43.8396835327148</v>
      </c>
      <c r="L13" s="12" t="s">
        <v>54</v>
      </c>
    </row>
    <row r="14">
      <c r="A14" s="9" t="s">
        <v>41</v>
      </c>
      <c r="B14" s="9" t="s">
        <v>42</v>
      </c>
      <c r="C14" s="9" t="s">
        <v>56</v>
      </c>
      <c r="D14" s="9" t="s">
        <v>55</v>
      </c>
      <c r="E14" s="9" t="s">
        <v>21</v>
      </c>
      <c r="F14" s="9">
        <v>1009.0</v>
      </c>
      <c r="G14" s="9">
        <v>2873.0</v>
      </c>
      <c r="H14" s="9">
        <v>83.5</v>
      </c>
      <c r="I14" s="10">
        <v>50.5296991</v>
      </c>
      <c r="J14" s="10">
        <v>5.2614551</v>
      </c>
      <c r="K14" s="11">
        <v>186.994873046875</v>
      </c>
      <c r="L14" s="12" t="s">
        <v>57</v>
      </c>
    </row>
    <row r="15">
      <c r="A15" s="9" t="s">
        <v>41</v>
      </c>
      <c r="B15" s="9" t="s">
        <v>42</v>
      </c>
      <c r="C15" s="9" t="s">
        <v>58</v>
      </c>
      <c r="D15" s="9" t="s">
        <v>55</v>
      </c>
      <c r="E15" s="9" t="s">
        <v>21</v>
      </c>
      <c r="F15" s="9">
        <v>1055.0</v>
      </c>
      <c r="G15" s="9">
        <v>3064.0</v>
      </c>
      <c r="H15" s="9">
        <v>85.6</v>
      </c>
      <c r="I15" s="10">
        <v>50.5296991</v>
      </c>
      <c r="J15" s="10">
        <v>5.2614551</v>
      </c>
      <c r="K15" s="11">
        <v>186.994873046875</v>
      </c>
      <c r="L15" s="12" t="s">
        <v>59</v>
      </c>
    </row>
    <row r="16">
      <c r="A16" s="9" t="s">
        <v>41</v>
      </c>
      <c r="B16" s="9" t="s">
        <v>42</v>
      </c>
      <c r="C16" s="9" t="s">
        <v>60</v>
      </c>
      <c r="D16" s="9" t="s">
        <v>55</v>
      </c>
      <c r="E16" s="9" t="s">
        <v>21</v>
      </c>
      <c r="F16" s="9">
        <v>1094.0</v>
      </c>
      <c r="G16" s="9">
        <v>3000.0</v>
      </c>
      <c r="H16" s="9">
        <v>87.6</v>
      </c>
      <c r="I16" s="10">
        <v>50.5296991</v>
      </c>
      <c r="J16" s="10">
        <v>5.2614551</v>
      </c>
      <c r="K16" s="11">
        <v>186.994873046875</v>
      </c>
      <c r="L16" s="12" t="s">
        <v>61</v>
      </c>
    </row>
    <row r="17">
      <c r="A17" s="9" t="s">
        <v>62</v>
      </c>
      <c r="B17" s="9" t="s">
        <v>63</v>
      </c>
      <c r="C17" s="9" t="s">
        <v>64</v>
      </c>
      <c r="D17" s="9" t="s">
        <v>65</v>
      </c>
      <c r="E17" s="9" t="s">
        <v>21</v>
      </c>
      <c r="F17" s="9">
        <v>640.0</v>
      </c>
      <c r="G17" s="9">
        <v>1882.0</v>
      </c>
      <c r="H17" s="9">
        <v>48.9</v>
      </c>
      <c r="I17" s="10">
        <v>-23.0057347</v>
      </c>
      <c r="J17" s="10">
        <v>-44.3157591</v>
      </c>
      <c r="K17" s="11">
        <v>13.4465599060059</v>
      </c>
      <c r="L17" s="12" t="s">
        <v>66</v>
      </c>
    </row>
    <row r="18">
      <c r="A18" s="9" t="s">
        <v>62</v>
      </c>
      <c r="B18" s="9" t="s">
        <v>63</v>
      </c>
      <c r="C18" s="9" t="s">
        <v>67</v>
      </c>
      <c r="D18" s="9" t="s">
        <v>65</v>
      </c>
      <c r="E18" s="9" t="s">
        <v>21</v>
      </c>
      <c r="F18" s="9">
        <v>1350.0</v>
      </c>
      <c r="G18" s="9">
        <v>3764.0</v>
      </c>
      <c r="H18" s="9">
        <v>82.1</v>
      </c>
      <c r="I18" s="10">
        <v>-23.0057347</v>
      </c>
      <c r="J18" s="10">
        <v>-44.3157591</v>
      </c>
      <c r="K18" s="11">
        <v>13.4465599060059</v>
      </c>
      <c r="L18" s="12" t="s">
        <v>68</v>
      </c>
    </row>
    <row r="19">
      <c r="A19" s="9" t="s">
        <v>62</v>
      </c>
      <c r="B19" s="9" t="s">
        <v>63</v>
      </c>
      <c r="C19" s="9" t="s">
        <v>69</v>
      </c>
      <c r="D19" s="9" t="s">
        <v>65</v>
      </c>
      <c r="E19" s="9" t="s">
        <v>26</v>
      </c>
      <c r="F19" s="9">
        <v>1350.0</v>
      </c>
      <c r="G19" s="9">
        <v>3765.0</v>
      </c>
      <c r="H19" s="9">
        <v>0.0</v>
      </c>
      <c r="I19" s="10">
        <v>-23.0057347</v>
      </c>
      <c r="J19" s="10">
        <v>-44.3157591</v>
      </c>
      <c r="K19" s="11">
        <v>13.4465599060059</v>
      </c>
      <c r="L19" s="12" t="s">
        <v>70</v>
      </c>
    </row>
    <row r="20">
      <c r="A20" s="9" t="s">
        <v>71</v>
      </c>
      <c r="B20" s="9" t="s">
        <v>72</v>
      </c>
      <c r="C20" s="9" t="s">
        <v>73</v>
      </c>
      <c r="D20" s="9" t="s">
        <v>74</v>
      </c>
      <c r="E20" s="9" t="s">
        <v>24</v>
      </c>
      <c r="F20" s="9">
        <v>440.0</v>
      </c>
      <c r="G20" s="9">
        <v>1375.0</v>
      </c>
      <c r="H20" s="9">
        <v>60.1</v>
      </c>
      <c r="I20" s="10">
        <v>43.2102375</v>
      </c>
      <c r="J20" s="10">
        <v>23.5528803</v>
      </c>
      <c r="K20" s="11">
        <v>444.239318847656</v>
      </c>
      <c r="L20" s="12" t="s">
        <v>75</v>
      </c>
    </row>
    <row r="21">
      <c r="A21" s="9" t="s">
        <v>71</v>
      </c>
      <c r="B21" s="9" t="s">
        <v>72</v>
      </c>
      <c r="C21" s="9" t="s">
        <v>76</v>
      </c>
      <c r="D21" s="9" t="s">
        <v>74</v>
      </c>
      <c r="E21" s="9" t="s">
        <v>24</v>
      </c>
      <c r="F21" s="9">
        <v>440.0</v>
      </c>
      <c r="G21" s="9">
        <v>1375.0</v>
      </c>
      <c r="H21" s="9">
        <v>64.4</v>
      </c>
      <c r="I21" s="10">
        <v>43.2102375</v>
      </c>
      <c r="J21" s="10">
        <v>23.5528803</v>
      </c>
      <c r="K21" s="11">
        <v>444.239318847656</v>
      </c>
      <c r="L21" s="12" t="s">
        <v>77</v>
      </c>
    </row>
    <row r="22">
      <c r="A22" s="9" t="s">
        <v>71</v>
      </c>
      <c r="B22" s="9" t="s">
        <v>72</v>
      </c>
      <c r="C22" s="9" t="s">
        <v>78</v>
      </c>
      <c r="D22" s="9" t="s">
        <v>74</v>
      </c>
      <c r="E22" s="9" t="s">
        <v>24</v>
      </c>
      <c r="F22" s="9">
        <v>440.0</v>
      </c>
      <c r="G22" s="9">
        <v>1375.0</v>
      </c>
      <c r="H22" s="9">
        <v>67.4</v>
      </c>
      <c r="I22" s="10">
        <v>43.2102375</v>
      </c>
      <c r="J22" s="10">
        <v>23.5528803</v>
      </c>
      <c r="K22" s="11">
        <v>444.239318847656</v>
      </c>
      <c r="L22" s="12" t="s">
        <v>79</v>
      </c>
    </row>
    <row r="23">
      <c r="A23" s="9" t="s">
        <v>71</v>
      </c>
      <c r="B23" s="9" t="s">
        <v>72</v>
      </c>
      <c r="C23" s="9" t="s">
        <v>80</v>
      </c>
      <c r="D23" s="9" t="s">
        <v>74</v>
      </c>
      <c r="E23" s="9" t="s">
        <v>24</v>
      </c>
      <c r="F23" s="9">
        <v>440.0</v>
      </c>
      <c r="G23" s="9">
        <v>1375.0</v>
      </c>
      <c r="H23" s="9">
        <v>69.2</v>
      </c>
      <c r="I23" s="10">
        <v>43.2102375</v>
      </c>
      <c r="J23" s="10">
        <v>23.5528803</v>
      </c>
      <c r="K23" s="11">
        <v>444.239318847656</v>
      </c>
      <c r="L23" s="12" t="s">
        <v>81</v>
      </c>
    </row>
    <row r="24">
      <c r="A24" s="9" t="s">
        <v>71</v>
      </c>
      <c r="B24" s="9" t="s">
        <v>72</v>
      </c>
      <c r="C24" s="9" t="s">
        <v>82</v>
      </c>
      <c r="D24" s="9" t="s">
        <v>74</v>
      </c>
      <c r="E24" s="9" t="s">
        <v>21</v>
      </c>
      <c r="F24" s="9">
        <v>1000.0</v>
      </c>
      <c r="G24" s="9">
        <v>3000.0</v>
      </c>
      <c r="H24" s="9">
        <v>60.3</v>
      </c>
      <c r="I24" s="10">
        <v>43.2102375</v>
      </c>
      <c r="J24" s="10">
        <v>23.5528803</v>
      </c>
      <c r="K24" s="11">
        <v>444.239318847656</v>
      </c>
      <c r="L24" s="12" t="s">
        <v>83</v>
      </c>
    </row>
    <row r="25">
      <c r="A25" s="9" t="s">
        <v>71</v>
      </c>
      <c r="B25" s="9" t="s">
        <v>72</v>
      </c>
      <c r="C25" s="9" t="s">
        <v>84</v>
      </c>
      <c r="D25" s="9" t="s">
        <v>74</v>
      </c>
      <c r="E25" s="9" t="s">
        <v>21</v>
      </c>
      <c r="F25" s="9">
        <v>1000.0</v>
      </c>
      <c r="G25" s="9">
        <v>3000.0</v>
      </c>
      <c r="H25" s="9">
        <v>68.0</v>
      </c>
      <c r="I25" s="10">
        <v>43.2102375</v>
      </c>
      <c r="J25" s="10">
        <v>23.5528803</v>
      </c>
      <c r="K25" s="11">
        <v>444.239318847656</v>
      </c>
      <c r="L25" s="12" t="s">
        <v>85</v>
      </c>
    </row>
    <row r="26">
      <c r="A26" s="9" t="s">
        <v>86</v>
      </c>
      <c r="B26" s="9" t="s">
        <v>87</v>
      </c>
      <c r="C26" s="9" t="s">
        <v>88</v>
      </c>
      <c r="D26" s="9" t="s">
        <v>89</v>
      </c>
      <c r="E26" s="9" t="s">
        <v>21</v>
      </c>
      <c r="F26" s="9">
        <v>824.0</v>
      </c>
      <c r="G26" s="9">
        <v>2575.0</v>
      </c>
      <c r="H26" s="9">
        <v>65.1</v>
      </c>
      <c r="I26" s="10">
        <v>44.2676578</v>
      </c>
      <c r="J26" s="10">
        <v>-81.5433231</v>
      </c>
      <c r="K26" s="11">
        <v>198.140579223633</v>
      </c>
      <c r="L26" s="12" t="s">
        <v>90</v>
      </c>
    </row>
    <row r="27">
      <c r="A27" s="9" t="s">
        <v>86</v>
      </c>
      <c r="B27" s="9" t="s">
        <v>87</v>
      </c>
      <c r="C27" s="9" t="s">
        <v>91</v>
      </c>
      <c r="D27" s="9" t="s">
        <v>89</v>
      </c>
      <c r="E27" s="9" t="s">
        <v>21</v>
      </c>
      <c r="F27" s="9">
        <v>786.0</v>
      </c>
      <c r="G27" s="9">
        <v>2456.0</v>
      </c>
      <c r="H27" s="9">
        <v>61.2</v>
      </c>
      <c r="I27" s="10">
        <v>44.2676578</v>
      </c>
      <c r="J27" s="10">
        <v>-81.5433231</v>
      </c>
      <c r="K27" s="11">
        <v>198.140579223633</v>
      </c>
      <c r="L27" s="12" t="s">
        <v>92</v>
      </c>
    </row>
    <row r="28">
      <c r="A28" s="9" t="s">
        <v>86</v>
      </c>
      <c r="B28" s="9" t="s">
        <v>87</v>
      </c>
      <c r="C28" s="9" t="s">
        <v>93</v>
      </c>
      <c r="D28" s="9" t="s">
        <v>89</v>
      </c>
      <c r="E28" s="9" t="s">
        <v>21</v>
      </c>
      <c r="F28" s="9">
        <v>805.0</v>
      </c>
      <c r="G28" s="9">
        <v>2832.0</v>
      </c>
      <c r="H28" s="9">
        <v>72.9</v>
      </c>
      <c r="I28" s="10">
        <v>44.2676578</v>
      </c>
      <c r="J28" s="10">
        <v>-81.5433231</v>
      </c>
      <c r="K28" s="11">
        <v>198.140579223633</v>
      </c>
      <c r="L28" s="12" t="s">
        <v>94</v>
      </c>
    </row>
    <row r="29">
      <c r="A29" s="9" t="s">
        <v>86</v>
      </c>
      <c r="B29" s="9" t="s">
        <v>87</v>
      </c>
      <c r="C29" s="9" t="s">
        <v>95</v>
      </c>
      <c r="D29" s="9" t="s">
        <v>89</v>
      </c>
      <c r="E29" s="9" t="s">
        <v>21</v>
      </c>
      <c r="F29" s="9">
        <v>805.0</v>
      </c>
      <c r="G29" s="9">
        <v>2832.0</v>
      </c>
      <c r="H29" s="9">
        <v>71.7</v>
      </c>
      <c r="I29" s="10">
        <v>44.2676578</v>
      </c>
      <c r="J29" s="10">
        <v>-81.5433231</v>
      </c>
      <c r="K29" s="11">
        <v>198.140579223633</v>
      </c>
      <c r="L29" s="12" t="s">
        <v>96</v>
      </c>
    </row>
    <row r="30">
      <c r="A30" s="9" t="s">
        <v>86</v>
      </c>
      <c r="B30" s="9" t="s">
        <v>87</v>
      </c>
      <c r="C30" s="9" t="s">
        <v>97</v>
      </c>
      <c r="D30" s="9" t="s">
        <v>89</v>
      </c>
      <c r="E30" s="9" t="s">
        <v>21</v>
      </c>
      <c r="F30" s="9">
        <v>872.0</v>
      </c>
      <c r="G30" s="9">
        <v>2832.0</v>
      </c>
      <c r="H30" s="9">
        <v>84.8</v>
      </c>
      <c r="I30" s="10">
        <v>44.2676578</v>
      </c>
      <c r="J30" s="10">
        <v>-81.5433231</v>
      </c>
      <c r="K30" s="11">
        <v>198.140579223633</v>
      </c>
      <c r="L30" s="12" t="s">
        <v>98</v>
      </c>
    </row>
    <row r="31">
      <c r="A31" s="9" t="s">
        <v>86</v>
      </c>
      <c r="B31" s="9" t="s">
        <v>87</v>
      </c>
      <c r="C31" s="9" t="s">
        <v>99</v>
      </c>
      <c r="D31" s="9" t="s">
        <v>89</v>
      </c>
      <c r="E31" s="9" t="s">
        <v>21</v>
      </c>
      <c r="F31" s="9">
        <v>891.0</v>
      </c>
      <c r="G31" s="9">
        <v>2690.0</v>
      </c>
      <c r="H31" s="9">
        <v>81.3</v>
      </c>
      <c r="I31" s="10">
        <v>44.2676578</v>
      </c>
      <c r="J31" s="10">
        <v>-81.5433231</v>
      </c>
      <c r="K31" s="11">
        <v>198.140579223633</v>
      </c>
      <c r="L31" s="12" t="s">
        <v>100</v>
      </c>
    </row>
    <row r="32">
      <c r="A32" s="9" t="s">
        <v>86</v>
      </c>
      <c r="B32" s="9" t="s">
        <v>87</v>
      </c>
      <c r="C32" s="9" t="s">
        <v>101</v>
      </c>
      <c r="D32" s="9" t="s">
        <v>89</v>
      </c>
      <c r="E32" s="9" t="s">
        <v>21</v>
      </c>
      <c r="F32" s="9">
        <v>872.0</v>
      </c>
      <c r="G32" s="9">
        <v>2832.0</v>
      </c>
      <c r="H32" s="9">
        <v>84.9</v>
      </c>
      <c r="I32" s="10">
        <v>44.2676578</v>
      </c>
      <c r="J32" s="10">
        <v>-81.5433231</v>
      </c>
      <c r="K32" s="11">
        <v>198.140579223633</v>
      </c>
      <c r="L32" s="12" t="s">
        <v>102</v>
      </c>
    </row>
    <row r="33">
      <c r="A33" s="9" t="s">
        <v>86</v>
      </c>
      <c r="B33" s="9" t="s">
        <v>87</v>
      </c>
      <c r="C33" s="9" t="s">
        <v>103</v>
      </c>
      <c r="D33" s="9" t="s">
        <v>89</v>
      </c>
      <c r="E33" s="9" t="s">
        <v>21</v>
      </c>
      <c r="F33" s="9">
        <v>845.0</v>
      </c>
      <c r="G33" s="9">
        <v>2690.0</v>
      </c>
      <c r="H33" s="9">
        <v>82.5</v>
      </c>
      <c r="I33" s="10">
        <v>44.2676578</v>
      </c>
      <c r="J33" s="10">
        <v>-81.5433231</v>
      </c>
      <c r="K33" s="11">
        <v>198.140579223633</v>
      </c>
      <c r="L33" s="12" t="s">
        <v>104</v>
      </c>
    </row>
    <row r="34">
      <c r="A34" s="9" t="s">
        <v>86</v>
      </c>
      <c r="B34" s="9" t="s">
        <v>87</v>
      </c>
      <c r="C34" s="9" t="s">
        <v>105</v>
      </c>
      <c r="D34" s="9" t="s">
        <v>106</v>
      </c>
      <c r="E34" s="9" t="s">
        <v>21</v>
      </c>
      <c r="F34" s="9">
        <v>934.0</v>
      </c>
      <c r="G34" s="9">
        <v>2776.0</v>
      </c>
      <c r="H34" s="9">
        <v>84.9</v>
      </c>
      <c r="I34" s="10">
        <v>43.9177731</v>
      </c>
      <c r="J34" s="10">
        <v>-78.5874846</v>
      </c>
      <c r="K34" s="11">
        <v>59.7514038085938</v>
      </c>
      <c r="L34" s="12" t="s">
        <v>107</v>
      </c>
    </row>
    <row r="35">
      <c r="A35" s="9" t="s">
        <v>86</v>
      </c>
      <c r="B35" s="9" t="s">
        <v>87</v>
      </c>
      <c r="C35" s="9" t="s">
        <v>108</v>
      </c>
      <c r="D35" s="9" t="s">
        <v>106</v>
      </c>
      <c r="E35" s="9" t="s">
        <v>21</v>
      </c>
      <c r="F35" s="9">
        <v>934.0</v>
      </c>
      <c r="G35" s="9">
        <v>2776.0</v>
      </c>
      <c r="H35" s="9">
        <v>78.2</v>
      </c>
      <c r="I35" s="10">
        <v>43.9177731</v>
      </c>
      <c r="J35" s="10">
        <v>-78.5874846</v>
      </c>
      <c r="K35" s="11">
        <v>59.7514038085938</v>
      </c>
      <c r="L35" s="12" t="s">
        <v>109</v>
      </c>
    </row>
    <row r="36">
      <c r="A36" s="9" t="s">
        <v>86</v>
      </c>
      <c r="B36" s="9" t="s">
        <v>87</v>
      </c>
      <c r="C36" s="9" t="s">
        <v>110</v>
      </c>
      <c r="D36" s="9" t="s">
        <v>106</v>
      </c>
      <c r="E36" s="9" t="s">
        <v>21</v>
      </c>
      <c r="F36" s="9">
        <v>934.0</v>
      </c>
      <c r="G36" s="9">
        <v>2776.0</v>
      </c>
      <c r="H36" s="9">
        <v>86.3</v>
      </c>
      <c r="I36" s="10">
        <v>43.9177731</v>
      </c>
      <c r="J36" s="10">
        <v>-78.5874846</v>
      </c>
      <c r="K36" s="11">
        <v>59.7514038085938</v>
      </c>
      <c r="L36" s="12" t="s">
        <v>111</v>
      </c>
    </row>
    <row r="37">
      <c r="A37" s="9" t="s">
        <v>86</v>
      </c>
      <c r="B37" s="9" t="s">
        <v>87</v>
      </c>
      <c r="C37" s="9" t="s">
        <v>112</v>
      </c>
      <c r="D37" s="9" t="s">
        <v>106</v>
      </c>
      <c r="E37" s="9" t="s">
        <v>21</v>
      </c>
      <c r="F37" s="9">
        <v>934.0</v>
      </c>
      <c r="G37" s="9">
        <v>2776.0</v>
      </c>
      <c r="H37" s="9">
        <v>85.3</v>
      </c>
      <c r="I37" s="10">
        <v>43.9177731</v>
      </c>
      <c r="J37" s="10">
        <v>-78.5874846</v>
      </c>
      <c r="K37" s="11">
        <v>59.7514038085938</v>
      </c>
      <c r="L37" s="12" t="s">
        <v>113</v>
      </c>
    </row>
    <row r="38">
      <c r="A38" s="9" t="s">
        <v>86</v>
      </c>
      <c r="B38" s="9" t="s">
        <v>87</v>
      </c>
      <c r="C38" s="9" t="s">
        <v>114</v>
      </c>
      <c r="D38" s="9" t="s">
        <v>89</v>
      </c>
      <c r="E38" s="9" t="s">
        <v>24</v>
      </c>
      <c r="F38" s="9">
        <v>218.0</v>
      </c>
      <c r="G38" s="9">
        <v>704.0</v>
      </c>
      <c r="H38" s="9">
        <v>55.6</v>
      </c>
      <c r="I38" s="10">
        <v>44.2676578</v>
      </c>
      <c r="J38" s="10">
        <v>-81.5433231</v>
      </c>
      <c r="K38" s="11">
        <v>198.140579223633</v>
      </c>
      <c r="L38" s="12" t="s">
        <v>115</v>
      </c>
    </row>
    <row r="39">
      <c r="A39" s="9" t="s">
        <v>86</v>
      </c>
      <c r="B39" s="9" t="s">
        <v>87</v>
      </c>
      <c r="C39" s="9" t="s">
        <v>116</v>
      </c>
      <c r="D39" s="9" t="s">
        <v>117</v>
      </c>
      <c r="E39" s="9" t="s">
        <v>24</v>
      </c>
      <c r="F39" s="9">
        <v>266.0</v>
      </c>
      <c r="G39" s="9">
        <v>792.0</v>
      </c>
      <c r="H39" s="9">
        <v>5.7</v>
      </c>
      <c r="I39" s="10">
        <v>46.3506215</v>
      </c>
      <c r="J39" s="10">
        <v>-72.4350552</v>
      </c>
      <c r="K39" s="11">
        <v>-20.5457439422607</v>
      </c>
      <c r="L39" s="12" t="s">
        <v>118</v>
      </c>
    </row>
    <row r="40">
      <c r="A40" s="9" t="s">
        <v>86</v>
      </c>
      <c r="B40" s="9" t="s">
        <v>87</v>
      </c>
      <c r="C40" s="9" t="s">
        <v>119</v>
      </c>
      <c r="D40" s="9" t="s">
        <v>117</v>
      </c>
      <c r="E40" s="9" t="s">
        <v>24</v>
      </c>
      <c r="F40" s="9">
        <v>675.0</v>
      </c>
      <c r="G40" s="9">
        <v>2156.0</v>
      </c>
      <c r="H40" s="9">
        <v>76.2</v>
      </c>
      <c r="I40" s="10">
        <v>46.3506215</v>
      </c>
      <c r="J40" s="10">
        <v>-72.4350552</v>
      </c>
      <c r="K40" s="11">
        <v>-20.5457439422607</v>
      </c>
      <c r="L40" s="12" t="s">
        <v>120</v>
      </c>
    </row>
    <row r="41">
      <c r="A41" s="9" t="s">
        <v>86</v>
      </c>
      <c r="B41" s="9" t="s">
        <v>87</v>
      </c>
      <c r="C41" s="9" t="s">
        <v>121</v>
      </c>
      <c r="D41" s="9" t="s">
        <v>122</v>
      </c>
      <c r="E41" s="9" t="s">
        <v>21</v>
      </c>
      <c r="F41" s="9">
        <v>542.0</v>
      </c>
      <c r="G41" s="9">
        <v>1744.0</v>
      </c>
      <c r="H41" s="9">
        <v>63.2</v>
      </c>
      <c r="I41" s="10">
        <v>43.8384117</v>
      </c>
      <c r="J41" s="10">
        <v>-79.0867579</v>
      </c>
      <c r="K41" s="11">
        <v>59.6928482055664</v>
      </c>
      <c r="L41" s="12" t="s">
        <v>123</v>
      </c>
    </row>
    <row r="42">
      <c r="A42" s="9" t="s">
        <v>86</v>
      </c>
      <c r="B42" s="9" t="s">
        <v>87</v>
      </c>
      <c r="C42" s="9" t="s">
        <v>124</v>
      </c>
      <c r="D42" s="9" t="s">
        <v>122</v>
      </c>
      <c r="E42" s="9" t="s">
        <v>24</v>
      </c>
      <c r="F42" s="9">
        <v>542.0</v>
      </c>
      <c r="G42" s="9">
        <v>1744.0</v>
      </c>
      <c r="H42" s="9">
        <v>60.3</v>
      </c>
      <c r="I42" s="10">
        <v>43.8384117</v>
      </c>
      <c r="J42" s="10">
        <v>-79.0867579</v>
      </c>
      <c r="K42" s="11">
        <v>59.6928482055664</v>
      </c>
      <c r="L42" s="12" t="s">
        <v>125</v>
      </c>
    </row>
    <row r="43">
      <c r="A43" s="9" t="s">
        <v>86</v>
      </c>
      <c r="B43" s="9" t="s">
        <v>87</v>
      </c>
      <c r="C43" s="9" t="s">
        <v>126</v>
      </c>
      <c r="D43" s="9" t="s">
        <v>122</v>
      </c>
      <c r="E43" s="9" t="s">
        <v>24</v>
      </c>
      <c r="F43" s="9">
        <v>542.0</v>
      </c>
      <c r="G43" s="9">
        <v>1744.0</v>
      </c>
      <c r="H43" s="9">
        <v>69.0</v>
      </c>
      <c r="I43" s="10">
        <v>43.8384117</v>
      </c>
      <c r="J43" s="10">
        <v>-79.0867579</v>
      </c>
      <c r="K43" s="11">
        <v>59.6928482055664</v>
      </c>
      <c r="L43" s="12" t="s">
        <v>127</v>
      </c>
    </row>
    <row r="44">
      <c r="A44" s="9" t="s">
        <v>86</v>
      </c>
      <c r="B44" s="9" t="s">
        <v>87</v>
      </c>
      <c r="C44" s="9" t="s">
        <v>128</v>
      </c>
      <c r="D44" s="9" t="s">
        <v>122</v>
      </c>
      <c r="E44" s="9" t="s">
        <v>21</v>
      </c>
      <c r="F44" s="9">
        <v>542.0</v>
      </c>
      <c r="G44" s="9">
        <v>1744.0</v>
      </c>
      <c r="H44" s="9">
        <v>66.0</v>
      </c>
      <c r="I44" s="10">
        <v>43.8384117</v>
      </c>
      <c r="J44" s="10">
        <v>-79.0867579</v>
      </c>
      <c r="K44" s="11">
        <v>59.6928482055664</v>
      </c>
      <c r="L44" s="12" t="s">
        <v>129</v>
      </c>
    </row>
    <row r="45">
      <c r="A45" s="9" t="s">
        <v>86</v>
      </c>
      <c r="B45" s="9" t="s">
        <v>87</v>
      </c>
      <c r="C45" s="9" t="s">
        <v>130</v>
      </c>
      <c r="D45" s="9" t="s">
        <v>122</v>
      </c>
      <c r="E45" s="9" t="s">
        <v>21</v>
      </c>
      <c r="F45" s="9">
        <v>540.0</v>
      </c>
      <c r="G45" s="9">
        <v>1744.0</v>
      </c>
      <c r="H45" s="9">
        <v>72.8</v>
      </c>
      <c r="I45" s="10">
        <v>43.8384117</v>
      </c>
      <c r="J45" s="10">
        <v>-79.0867579</v>
      </c>
      <c r="K45" s="11">
        <v>59.6928482055664</v>
      </c>
      <c r="L45" s="12" t="s">
        <v>131</v>
      </c>
    </row>
    <row r="46">
      <c r="A46" s="9" t="s">
        <v>86</v>
      </c>
      <c r="B46" s="9" t="s">
        <v>87</v>
      </c>
      <c r="C46" s="9" t="s">
        <v>132</v>
      </c>
      <c r="D46" s="9" t="s">
        <v>122</v>
      </c>
      <c r="E46" s="9" t="s">
        <v>21</v>
      </c>
      <c r="F46" s="9">
        <v>540.0</v>
      </c>
      <c r="G46" s="9">
        <v>1744.0</v>
      </c>
      <c r="H46" s="9">
        <v>77.5</v>
      </c>
      <c r="I46" s="10">
        <v>43.8384117</v>
      </c>
      <c r="J46" s="10">
        <v>-79.0867579</v>
      </c>
      <c r="K46" s="11">
        <v>59.6928482055664</v>
      </c>
      <c r="L46" s="12" t="s">
        <v>133</v>
      </c>
    </row>
    <row r="47">
      <c r="A47" s="9" t="s">
        <v>86</v>
      </c>
      <c r="B47" s="9" t="s">
        <v>87</v>
      </c>
      <c r="C47" s="9" t="s">
        <v>134</v>
      </c>
      <c r="D47" s="9" t="s">
        <v>122</v>
      </c>
      <c r="E47" s="9" t="s">
        <v>21</v>
      </c>
      <c r="F47" s="9">
        <v>540.0</v>
      </c>
      <c r="G47" s="9">
        <v>1744.0</v>
      </c>
      <c r="H47" s="9">
        <v>77.7</v>
      </c>
      <c r="I47" s="10">
        <v>43.8384117</v>
      </c>
      <c r="J47" s="10">
        <v>-79.0867579</v>
      </c>
      <c r="K47" s="11">
        <v>59.6928482055664</v>
      </c>
      <c r="L47" s="12" t="s">
        <v>135</v>
      </c>
    </row>
    <row r="48">
      <c r="A48" s="9" t="s">
        <v>86</v>
      </c>
      <c r="B48" s="9" t="s">
        <v>87</v>
      </c>
      <c r="C48" s="9" t="s">
        <v>136</v>
      </c>
      <c r="D48" s="9" t="s">
        <v>122</v>
      </c>
      <c r="E48" s="9" t="s">
        <v>21</v>
      </c>
      <c r="F48" s="9">
        <v>540.0</v>
      </c>
      <c r="G48" s="9">
        <v>1744.0</v>
      </c>
      <c r="H48" s="9">
        <v>76.2</v>
      </c>
      <c r="I48" s="10">
        <v>43.8384117</v>
      </c>
      <c r="J48" s="10">
        <v>-79.0867579</v>
      </c>
      <c r="K48" s="11">
        <v>59.6928482055664</v>
      </c>
      <c r="L48" s="12" t="s">
        <v>137</v>
      </c>
    </row>
    <row r="49">
      <c r="A49" s="9" t="s">
        <v>86</v>
      </c>
      <c r="B49" s="9" t="s">
        <v>87</v>
      </c>
      <c r="C49" s="9" t="s">
        <v>138</v>
      </c>
      <c r="D49" s="9" t="s">
        <v>139</v>
      </c>
      <c r="E49" s="9" t="s">
        <v>21</v>
      </c>
      <c r="F49" s="9">
        <v>705.0</v>
      </c>
      <c r="G49" s="9">
        <v>2180.0</v>
      </c>
      <c r="H49" s="9">
        <v>69.1</v>
      </c>
      <c r="I49" s="10">
        <v>45.2733153</v>
      </c>
      <c r="J49" s="10">
        <v>-66.0633081</v>
      </c>
      <c r="K49" s="11">
        <v>-10.3269138336182</v>
      </c>
      <c r="L49" s="12" t="s">
        <v>140</v>
      </c>
    </row>
    <row r="50">
      <c r="A50" s="9" t="s">
        <v>86</v>
      </c>
      <c r="B50" s="9" t="s">
        <v>87</v>
      </c>
      <c r="C50" s="9" t="s">
        <v>142</v>
      </c>
      <c r="D50" s="9" t="s">
        <v>141</v>
      </c>
      <c r="E50" s="9" t="s">
        <v>24</v>
      </c>
      <c r="F50" s="9">
        <v>25.0</v>
      </c>
      <c r="G50" s="9">
        <v>92.0</v>
      </c>
      <c r="H50" s="9">
        <v>67.1</v>
      </c>
      <c r="I50" s="10">
        <v>45.98577</v>
      </c>
      <c r="J50" s="10">
        <v>-77.507622</v>
      </c>
      <c r="K50" s="11">
        <v>158.049072265625</v>
      </c>
      <c r="L50" s="12" t="s">
        <v>143</v>
      </c>
    </row>
    <row r="51">
      <c r="A51" s="9" t="s">
        <v>144</v>
      </c>
      <c r="B51" s="9" t="s">
        <v>145</v>
      </c>
      <c r="C51" s="9" t="s">
        <v>146</v>
      </c>
      <c r="D51" s="9" t="s">
        <v>147</v>
      </c>
      <c r="E51" s="9" t="s">
        <v>21</v>
      </c>
      <c r="F51" s="9">
        <v>25.0</v>
      </c>
      <c r="G51" s="9">
        <v>65.0</v>
      </c>
      <c r="H51" s="9">
        <v>0.0</v>
      </c>
      <c r="I51" s="10">
        <v>45.947638</v>
      </c>
      <c r="J51" s="10">
        <v>83.606951</v>
      </c>
      <c r="K51" s="11">
        <v>1037.44311523438</v>
      </c>
      <c r="L51" s="12" t="s">
        <v>148</v>
      </c>
    </row>
    <row r="52">
      <c r="A52" s="9" t="s">
        <v>144</v>
      </c>
      <c r="B52" s="9" t="s">
        <v>145</v>
      </c>
      <c r="C52" s="9" t="s">
        <v>149</v>
      </c>
      <c r="D52" s="9" t="s">
        <v>150</v>
      </c>
      <c r="E52" s="9" t="s">
        <v>26</v>
      </c>
      <c r="F52" s="9">
        <v>650.0</v>
      </c>
      <c r="G52" s="9">
        <v>1930.0</v>
      </c>
      <c r="H52" s="9">
        <v>0.0</v>
      </c>
      <c r="I52" s="10">
        <v>19.260288</v>
      </c>
      <c r="J52" s="10">
        <v>109.054126</v>
      </c>
      <c r="K52" s="11">
        <v>75.2815628051758</v>
      </c>
      <c r="L52" s="12" t="s">
        <v>151</v>
      </c>
    </row>
    <row r="53">
      <c r="A53" s="9" t="s">
        <v>144</v>
      </c>
      <c r="B53" s="9" t="s">
        <v>145</v>
      </c>
      <c r="C53" s="9" t="s">
        <v>152</v>
      </c>
      <c r="D53" s="9" t="s">
        <v>150</v>
      </c>
      <c r="E53" s="9" t="s">
        <v>26</v>
      </c>
      <c r="F53" s="9">
        <v>650.0</v>
      </c>
      <c r="G53" s="9">
        <v>1930.0</v>
      </c>
      <c r="H53" s="9">
        <v>0.0</v>
      </c>
      <c r="I53" s="10">
        <v>19.260288</v>
      </c>
      <c r="J53" s="10">
        <v>109.054126</v>
      </c>
      <c r="K53" s="11">
        <v>75.2815628051758</v>
      </c>
      <c r="L53" s="12" t="s">
        <v>153</v>
      </c>
    </row>
    <row r="54">
      <c r="A54" s="9" t="s">
        <v>144</v>
      </c>
      <c r="B54" s="9" t="s">
        <v>145</v>
      </c>
      <c r="C54" s="9" t="s">
        <v>154</v>
      </c>
      <c r="D54" s="9" t="s">
        <v>155</v>
      </c>
      <c r="E54" s="9" t="s">
        <v>21</v>
      </c>
      <c r="F54" s="9">
        <v>984.0</v>
      </c>
      <c r="G54" s="9">
        <v>2905.0</v>
      </c>
      <c r="H54" s="9">
        <v>84.4</v>
      </c>
      <c r="I54" s="10">
        <v>22.543099</v>
      </c>
      <c r="J54" s="10">
        <v>114.057868</v>
      </c>
      <c r="K54" s="11">
        <v>5.17921352386475</v>
      </c>
      <c r="L54" s="12" t="s">
        <v>156</v>
      </c>
    </row>
    <row r="55">
      <c r="A55" s="9" t="s">
        <v>144</v>
      </c>
      <c r="B55" s="9" t="s">
        <v>145</v>
      </c>
      <c r="C55" s="9" t="s">
        <v>157</v>
      </c>
      <c r="D55" s="9" t="s">
        <v>155</v>
      </c>
      <c r="E55" s="9" t="s">
        <v>21</v>
      </c>
      <c r="F55" s="9">
        <v>984.0</v>
      </c>
      <c r="G55" s="9">
        <v>2905.0</v>
      </c>
      <c r="H55" s="9">
        <v>84.6</v>
      </c>
      <c r="I55" s="10">
        <v>22.543099</v>
      </c>
      <c r="J55" s="10">
        <v>114.057868</v>
      </c>
      <c r="K55" s="11">
        <v>5.17921352386475</v>
      </c>
      <c r="L55" s="12" t="s">
        <v>158</v>
      </c>
    </row>
    <row r="56">
      <c r="A56" s="9" t="s">
        <v>144</v>
      </c>
      <c r="B56" s="9" t="s">
        <v>145</v>
      </c>
      <c r="C56" s="9" t="s">
        <v>159</v>
      </c>
      <c r="D56" s="9" t="s">
        <v>160</v>
      </c>
      <c r="E56" s="9" t="s">
        <v>26</v>
      </c>
      <c r="F56" s="9">
        <v>1080.0</v>
      </c>
      <c r="G56" s="9">
        <v>2905.0</v>
      </c>
      <c r="H56" s="9">
        <v>0.0</v>
      </c>
      <c r="I56" s="10">
        <v>21.68686</v>
      </c>
      <c r="J56" s="10">
        <v>108.353847</v>
      </c>
      <c r="K56" s="11">
        <v>-6.1077127456665</v>
      </c>
      <c r="L56" s="12" t="s">
        <v>161</v>
      </c>
    </row>
    <row r="57">
      <c r="A57" s="9" t="s">
        <v>144</v>
      </c>
      <c r="B57" s="9" t="s">
        <v>145</v>
      </c>
      <c r="C57" s="9" t="s">
        <v>162</v>
      </c>
      <c r="D57" s="9" t="s">
        <v>160</v>
      </c>
      <c r="E57" s="9" t="s">
        <v>26</v>
      </c>
      <c r="F57" s="9">
        <v>1080.0</v>
      </c>
      <c r="G57" s="9">
        <v>2905.0</v>
      </c>
      <c r="H57" s="9">
        <v>0.0</v>
      </c>
      <c r="I57" s="10">
        <v>21.68686</v>
      </c>
      <c r="J57" s="10">
        <v>108.353847</v>
      </c>
      <c r="K57" s="11">
        <v>-6.1077127456665</v>
      </c>
      <c r="L57" s="12" t="s">
        <v>163</v>
      </c>
    </row>
    <row r="58">
      <c r="A58" s="9" t="s">
        <v>144</v>
      </c>
      <c r="B58" s="9" t="s">
        <v>145</v>
      </c>
      <c r="C58" s="9" t="s">
        <v>164</v>
      </c>
      <c r="D58" s="9" t="s">
        <v>165</v>
      </c>
      <c r="E58" s="9" t="s">
        <v>26</v>
      </c>
      <c r="F58" s="9">
        <v>1080.0</v>
      </c>
      <c r="G58" s="9">
        <v>2905.0</v>
      </c>
      <c r="H58" s="9">
        <v>0.0</v>
      </c>
      <c r="I58" s="10">
        <v>30.753924</v>
      </c>
      <c r="J58" s="10">
        <v>120.758543</v>
      </c>
      <c r="K58" s="11">
        <v>17.3117561340332</v>
      </c>
      <c r="L58" s="12" t="s">
        <v>166</v>
      </c>
    </row>
    <row r="59">
      <c r="A59" s="9" t="s">
        <v>144</v>
      </c>
      <c r="B59" s="9" t="s">
        <v>145</v>
      </c>
      <c r="C59" s="9" t="s">
        <v>167</v>
      </c>
      <c r="D59" s="9" t="s">
        <v>165</v>
      </c>
      <c r="E59" s="9" t="s">
        <v>26</v>
      </c>
      <c r="F59" s="9">
        <v>1080.0</v>
      </c>
      <c r="G59" s="9">
        <v>2905.0</v>
      </c>
      <c r="H59" s="9">
        <v>0.0</v>
      </c>
      <c r="I59" s="10">
        <v>30.753924</v>
      </c>
      <c r="J59" s="10">
        <v>120.758543</v>
      </c>
      <c r="K59" s="11">
        <v>17.3117561340332</v>
      </c>
      <c r="L59" s="12" t="s">
        <v>168</v>
      </c>
    </row>
    <row r="60">
      <c r="A60" s="9" t="s">
        <v>144</v>
      </c>
      <c r="B60" s="9" t="s">
        <v>145</v>
      </c>
      <c r="C60" s="9" t="s">
        <v>169</v>
      </c>
      <c r="D60" s="9" t="s">
        <v>170</v>
      </c>
      <c r="E60" s="9" t="s">
        <v>26</v>
      </c>
      <c r="F60" s="9">
        <v>1080.0</v>
      </c>
      <c r="G60" s="9">
        <v>2905.0</v>
      </c>
      <c r="H60" s="9">
        <v>0.0</v>
      </c>
      <c r="I60" s="10">
        <v>25.720381</v>
      </c>
      <c r="J60" s="10">
        <v>119.383811</v>
      </c>
      <c r="K60" s="11">
        <v>121.389839172363</v>
      </c>
      <c r="L60" s="12" t="s">
        <v>171</v>
      </c>
    </row>
    <row r="61">
      <c r="A61" s="9" t="s">
        <v>144</v>
      </c>
      <c r="B61" s="9" t="s">
        <v>145</v>
      </c>
      <c r="C61" s="9" t="s">
        <v>172</v>
      </c>
      <c r="D61" s="9" t="s">
        <v>170</v>
      </c>
      <c r="E61" s="9" t="s">
        <v>26</v>
      </c>
      <c r="F61" s="9">
        <v>1080.0</v>
      </c>
      <c r="G61" s="9">
        <v>2905.0</v>
      </c>
      <c r="H61" s="9">
        <v>0.0</v>
      </c>
      <c r="I61" s="10">
        <v>25.720381</v>
      </c>
      <c r="J61" s="10">
        <v>119.383811</v>
      </c>
      <c r="K61" s="11">
        <v>121.389839172363</v>
      </c>
      <c r="L61" s="12" t="s">
        <v>173</v>
      </c>
    </row>
    <row r="62">
      <c r="A62" s="9" t="s">
        <v>144</v>
      </c>
      <c r="B62" s="9" t="s">
        <v>145</v>
      </c>
      <c r="C62" s="9" t="s">
        <v>174</v>
      </c>
      <c r="D62" s="9" t="s">
        <v>170</v>
      </c>
      <c r="E62" s="9" t="s">
        <v>26</v>
      </c>
      <c r="F62" s="9">
        <v>1080.0</v>
      </c>
      <c r="G62" s="9">
        <v>2905.0</v>
      </c>
      <c r="H62" s="9">
        <v>0.0</v>
      </c>
      <c r="I62" s="10">
        <v>25.720381</v>
      </c>
      <c r="J62" s="10">
        <v>119.383811</v>
      </c>
      <c r="K62" s="11">
        <v>121.389839172363</v>
      </c>
      <c r="L62" s="12" t="s">
        <v>175</v>
      </c>
    </row>
    <row r="63">
      <c r="A63" s="9" t="s">
        <v>144</v>
      </c>
      <c r="B63" s="9" t="s">
        <v>145</v>
      </c>
      <c r="C63" s="9" t="s">
        <v>176</v>
      </c>
      <c r="D63" s="9" t="s">
        <v>170</v>
      </c>
      <c r="E63" s="9" t="s">
        <v>26</v>
      </c>
      <c r="F63" s="9">
        <v>1080.0</v>
      </c>
      <c r="G63" s="9">
        <v>2905.0</v>
      </c>
      <c r="H63" s="9">
        <v>0.0</v>
      </c>
      <c r="I63" s="10">
        <v>25.720381</v>
      </c>
      <c r="J63" s="10">
        <v>119.383811</v>
      </c>
      <c r="K63" s="11">
        <v>121.389839172363</v>
      </c>
      <c r="L63" s="12" t="s">
        <v>177</v>
      </c>
    </row>
    <row r="64">
      <c r="A64" s="9" t="s">
        <v>144</v>
      </c>
      <c r="B64" s="9" t="s">
        <v>145</v>
      </c>
      <c r="C64" s="9" t="s">
        <v>178</v>
      </c>
      <c r="D64" s="9" t="s">
        <v>179</v>
      </c>
      <c r="E64" s="9" t="s">
        <v>26</v>
      </c>
      <c r="F64" s="9">
        <v>1250.0</v>
      </c>
      <c r="G64" s="9">
        <v>3451.0</v>
      </c>
      <c r="H64" s="9">
        <v>0.0</v>
      </c>
      <c r="I64" s="10">
        <v>36.776378</v>
      </c>
      <c r="J64" s="10">
        <v>121.158434</v>
      </c>
      <c r="K64" s="11">
        <v>84.0598831176758</v>
      </c>
      <c r="L64" s="12" t="s">
        <v>180</v>
      </c>
    </row>
    <row r="65">
      <c r="A65" s="9" t="s">
        <v>144</v>
      </c>
      <c r="B65" s="9" t="s">
        <v>145</v>
      </c>
      <c r="C65" s="9" t="s">
        <v>181</v>
      </c>
      <c r="D65" s="9" t="s">
        <v>179</v>
      </c>
      <c r="E65" s="9" t="s">
        <v>26</v>
      </c>
      <c r="F65" s="9">
        <v>1250.0</v>
      </c>
      <c r="G65" s="9">
        <v>3415.0</v>
      </c>
      <c r="H65" s="9">
        <v>0.0</v>
      </c>
      <c r="I65" s="10">
        <v>36.776378</v>
      </c>
      <c r="J65" s="10">
        <v>121.158434</v>
      </c>
      <c r="K65" s="11">
        <v>84.0598831176758</v>
      </c>
      <c r="L65" s="12" t="s">
        <v>182</v>
      </c>
    </row>
    <row r="66">
      <c r="A66" s="9" t="s">
        <v>144</v>
      </c>
      <c r="B66" s="9" t="s">
        <v>145</v>
      </c>
      <c r="C66" s="9" t="s">
        <v>183</v>
      </c>
      <c r="D66" s="9" t="s">
        <v>184</v>
      </c>
      <c r="E66" s="9" t="s">
        <v>21</v>
      </c>
      <c r="F66" s="9">
        <v>1119.0</v>
      </c>
      <c r="G66" s="9">
        <v>2905.0</v>
      </c>
      <c r="H66" s="9">
        <v>104.7</v>
      </c>
      <c r="I66" s="10">
        <v>38.914003</v>
      </c>
      <c r="J66" s="10">
        <v>121.614682</v>
      </c>
      <c r="K66" s="11">
        <v>22.8298816680908</v>
      </c>
      <c r="L66" s="12" t="s">
        <v>185</v>
      </c>
    </row>
    <row r="67">
      <c r="A67" s="9" t="s">
        <v>144</v>
      </c>
      <c r="B67" s="9" t="s">
        <v>145</v>
      </c>
      <c r="C67" s="9" t="s">
        <v>186</v>
      </c>
      <c r="D67" s="9" t="s">
        <v>184</v>
      </c>
      <c r="E67" s="9" t="s">
        <v>21</v>
      </c>
      <c r="F67" s="9">
        <v>1119.0</v>
      </c>
      <c r="G67" s="9">
        <v>2905.0</v>
      </c>
      <c r="H67" s="9">
        <v>0.0</v>
      </c>
      <c r="I67" s="10">
        <v>38.914003</v>
      </c>
      <c r="J67" s="10">
        <v>121.614682</v>
      </c>
      <c r="K67" s="11">
        <v>22.8298816680908</v>
      </c>
      <c r="L67" s="12" t="s">
        <v>187</v>
      </c>
    </row>
    <row r="68">
      <c r="A68" s="9" t="s">
        <v>144</v>
      </c>
      <c r="B68" s="9" t="s">
        <v>145</v>
      </c>
      <c r="C68" s="9" t="s">
        <v>188</v>
      </c>
      <c r="D68" s="9" t="s">
        <v>184</v>
      </c>
      <c r="E68" s="9" t="s">
        <v>26</v>
      </c>
      <c r="F68" s="9">
        <v>1080.0</v>
      </c>
      <c r="G68" s="9">
        <v>2905.0</v>
      </c>
      <c r="H68" s="9">
        <v>0.0</v>
      </c>
      <c r="I68" s="10">
        <v>38.914003</v>
      </c>
      <c r="J68" s="10">
        <v>121.614682</v>
      </c>
      <c r="K68" s="11">
        <v>22.8298816680908</v>
      </c>
      <c r="L68" s="12" t="s">
        <v>189</v>
      </c>
    </row>
    <row r="69">
      <c r="A69" s="9" t="s">
        <v>144</v>
      </c>
      <c r="B69" s="9" t="s">
        <v>145</v>
      </c>
      <c r="C69" s="9" t="s">
        <v>190</v>
      </c>
      <c r="D69" s="9" t="s">
        <v>184</v>
      </c>
      <c r="E69" s="9" t="s">
        <v>26</v>
      </c>
      <c r="F69" s="9">
        <v>1080.0</v>
      </c>
      <c r="G69" s="9">
        <v>2905.0</v>
      </c>
      <c r="H69" s="9">
        <v>0.0</v>
      </c>
      <c r="I69" s="10">
        <v>38.914003</v>
      </c>
      <c r="J69" s="10">
        <v>121.614682</v>
      </c>
      <c r="K69" s="11">
        <v>22.8298816680908</v>
      </c>
      <c r="L69" s="12" t="s">
        <v>191</v>
      </c>
    </row>
    <row r="70">
      <c r="A70" s="9" t="s">
        <v>144</v>
      </c>
      <c r="B70" s="9" t="s">
        <v>145</v>
      </c>
      <c r="C70" s="9" t="s">
        <v>192</v>
      </c>
      <c r="D70" s="9" t="s">
        <v>193</v>
      </c>
      <c r="E70" s="9" t="s">
        <v>21</v>
      </c>
      <c r="F70" s="9">
        <v>990.0</v>
      </c>
      <c r="G70" s="9">
        <v>2905.0</v>
      </c>
      <c r="H70" s="9">
        <v>87.8</v>
      </c>
      <c r="I70" s="10">
        <v>22.543099</v>
      </c>
      <c r="J70" s="10">
        <v>114.057868</v>
      </c>
      <c r="K70" s="11">
        <v>5.17921352386475</v>
      </c>
      <c r="L70" s="12" t="s">
        <v>194</v>
      </c>
    </row>
    <row r="71">
      <c r="A71" s="9" t="s">
        <v>144</v>
      </c>
      <c r="B71" s="9" t="s">
        <v>145</v>
      </c>
      <c r="C71" s="9" t="s">
        <v>195</v>
      </c>
      <c r="D71" s="9" t="s">
        <v>193</v>
      </c>
      <c r="E71" s="9" t="s">
        <v>21</v>
      </c>
      <c r="F71" s="9">
        <v>990.0</v>
      </c>
      <c r="G71" s="9">
        <v>2905.0</v>
      </c>
      <c r="H71" s="9">
        <v>88.9</v>
      </c>
      <c r="I71" s="10">
        <v>22.543099</v>
      </c>
      <c r="J71" s="10">
        <v>114.057868</v>
      </c>
      <c r="K71" s="11">
        <v>5.17921352386475</v>
      </c>
      <c r="L71" s="12" t="s">
        <v>196</v>
      </c>
    </row>
    <row r="72">
      <c r="A72" s="9" t="s">
        <v>144</v>
      </c>
      <c r="B72" s="9" t="s">
        <v>145</v>
      </c>
      <c r="C72" s="9" t="s">
        <v>197</v>
      </c>
      <c r="D72" s="9" t="s">
        <v>193</v>
      </c>
      <c r="E72" s="9" t="s">
        <v>21</v>
      </c>
      <c r="F72" s="9">
        <v>1080.0</v>
      </c>
      <c r="G72" s="9">
        <v>2905.0</v>
      </c>
      <c r="H72" s="9">
        <v>80.8</v>
      </c>
      <c r="I72" s="10">
        <v>22.543099</v>
      </c>
      <c r="J72" s="10">
        <v>114.057868</v>
      </c>
      <c r="K72" s="11">
        <v>97.8073348999023</v>
      </c>
      <c r="L72" s="12" t="s">
        <v>198</v>
      </c>
    </row>
    <row r="73">
      <c r="A73" s="9" t="s">
        <v>144</v>
      </c>
      <c r="B73" s="9" t="s">
        <v>145</v>
      </c>
      <c r="C73" s="9" t="s">
        <v>199</v>
      </c>
      <c r="D73" s="9" t="s">
        <v>193</v>
      </c>
      <c r="E73" s="9" t="s">
        <v>21</v>
      </c>
      <c r="F73" s="9">
        <v>1080.0</v>
      </c>
      <c r="G73" s="9">
        <v>2905.0</v>
      </c>
      <c r="H73" s="9">
        <v>85.8</v>
      </c>
      <c r="I73" s="10">
        <v>22.543099</v>
      </c>
      <c r="J73" s="10">
        <v>114.057868</v>
      </c>
      <c r="K73" s="11">
        <v>97.8073348999023</v>
      </c>
      <c r="L73" s="12" t="s">
        <v>200</v>
      </c>
    </row>
    <row r="74">
      <c r="A74" s="9" t="s">
        <v>144</v>
      </c>
      <c r="B74" s="9" t="s">
        <v>145</v>
      </c>
      <c r="C74" s="9" t="s">
        <v>201</v>
      </c>
      <c r="D74" s="9" t="s">
        <v>202</v>
      </c>
      <c r="E74" s="9" t="s">
        <v>21</v>
      </c>
      <c r="F74" s="9">
        <v>1080.0</v>
      </c>
      <c r="G74" s="9">
        <v>2905.0</v>
      </c>
      <c r="H74" s="9">
        <v>96.6</v>
      </c>
      <c r="I74" s="10">
        <v>26.665617</v>
      </c>
      <c r="J74" s="10">
        <v>119.547933</v>
      </c>
      <c r="K74" s="11">
        <v>139.882965087891</v>
      </c>
      <c r="L74" s="12" t="s">
        <v>203</v>
      </c>
    </row>
    <row r="75">
      <c r="A75" s="9" t="s">
        <v>144</v>
      </c>
      <c r="B75" s="9" t="s">
        <v>145</v>
      </c>
      <c r="C75" s="9" t="s">
        <v>204</v>
      </c>
      <c r="D75" s="9" t="s">
        <v>202</v>
      </c>
      <c r="E75" s="9" t="s">
        <v>21</v>
      </c>
      <c r="F75" s="9">
        <v>1080.0</v>
      </c>
      <c r="G75" s="9">
        <v>2905.0</v>
      </c>
      <c r="H75" s="9">
        <v>0.0</v>
      </c>
      <c r="I75" s="10">
        <v>26.665617</v>
      </c>
      <c r="J75" s="10">
        <v>119.547933</v>
      </c>
      <c r="K75" s="11">
        <v>139.882965087891</v>
      </c>
      <c r="L75" s="12" t="s">
        <v>205</v>
      </c>
    </row>
    <row r="76">
      <c r="A76" s="9" t="s">
        <v>144</v>
      </c>
      <c r="B76" s="9" t="s">
        <v>145</v>
      </c>
      <c r="C76" s="9" t="s">
        <v>206</v>
      </c>
      <c r="D76" s="9" t="s">
        <v>202</v>
      </c>
      <c r="E76" s="9" t="s">
        <v>26</v>
      </c>
      <c r="F76" s="9">
        <v>1080.0</v>
      </c>
      <c r="G76" s="9">
        <v>2905.0</v>
      </c>
      <c r="H76" s="9">
        <v>0.0</v>
      </c>
      <c r="I76" s="10">
        <v>26.665617</v>
      </c>
      <c r="J76" s="10">
        <v>119.547933</v>
      </c>
      <c r="K76" s="11">
        <v>139.882965087891</v>
      </c>
      <c r="L76" s="12" t="s">
        <v>207</v>
      </c>
    </row>
    <row r="77">
      <c r="A77" s="9" t="s">
        <v>144</v>
      </c>
      <c r="B77" s="9" t="s">
        <v>145</v>
      </c>
      <c r="C77" s="9" t="s">
        <v>208</v>
      </c>
      <c r="D77" s="9" t="s">
        <v>202</v>
      </c>
      <c r="E77" s="9" t="s">
        <v>26</v>
      </c>
      <c r="F77" s="9">
        <v>1080.0</v>
      </c>
      <c r="G77" s="9">
        <v>2905.0</v>
      </c>
      <c r="H77" s="9">
        <v>0.0</v>
      </c>
      <c r="I77" s="10">
        <v>26.665617</v>
      </c>
      <c r="J77" s="10">
        <v>119.547933</v>
      </c>
      <c r="K77" s="11">
        <v>139.882965087891</v>
      </c>
      <c r="L77" s="12" t="s">
        <v>209</v>
      </c>
    </row>
    <row r="78">
      <c r="A78" s="9" t="s">
        <v>144</v>
      </c>
      <c r="B78" s="9" t="s">
        <v>145</v>
      </c>
      <c r="C78" s="9" t="s">
        <v>210</v>
      </c>
      <c r="D78" s="9" t="s">
        <v>165</v>
      </c>
      <c r="E78" s="9" t="s">
        <v>21</v>
      </c>
      <c r="F78" s="9">
        <v>650.0</v>
      </c>
      <c r="G78" s="9">
        <v>1930.0</v>
      </c>
      <c r="H78" s="9">
        <v>80.3</v>
      </c>
      <c r="I78" s="10">
        <v>30.753924</v>
      </c>
      <c r="J78" s="10">
        <v>120.758543</v>
      </c>
      <c r="K78" s="11">
        <v>16.8170700073242</v>
      </c>
      <c r="L78" s="12" t="s">
        <v>211</v>
      </c>
    </row>
    <row r="79">
      <c r="A79" s="9" t="s">
        <v>144</v>
      </c>
      <c r="B79" s="9" t="s">
        <v>145</v>
      </c>
      <c r="C79" s="9" t="s">
        <v>212</v>
      </c>
      <c r="D79" s="9" t="s">
        <v>165</v>
      </c>
      <c r="E79" s="9" t="s">
        <v>21</v>
      </c>
      <c r="F79" s="9">
        <v>650.0</v>
      </c>
      <c r="G79" s="9">
        <v>1930.0</v>
      </c>
      <c r="H79" s="9">
        <v>88.8</v>
      </c>
      <c r="I79" s="10">
        <v>30.753924</v>
      </c>
      <c r="J79" s="10">
        <v>120.758543</v>
      </c>
      <c r="K79" s="11">
        <v>16.8170700073242</v>
      </c>
      <c r="L79" s="12" t="s">
        <v>213</v>
      </c>
    </row>
    <row r="80">
      <c r="A80" s="9" t="s">
        <v>144</v>
      </c>
      <c r="B80" s="9" t="s">
        <v>145</v>
      </c>
      <c r="C80" s="9" t="s">
        <v>214</v>
      </c>
      <c r="D80" s="9" t="s">
        <v>165</v>
      </c>
      <c r="E80" s="9" t="s">
        <v>21</v>
      </c>
      <c r="F80" s="9">
        <v>650.0</v>
      </c>
      <c r="G80" s="9">
        <v>1930.0</v>
      </c>
      <c r="H80" s="9">
        <v>90.0</v>
      </c>
      <c r="I80" s="10">
        <v>30.753924</v>
      </c>
      <c r="J80" s="10">
        <v>120.758543</v>
      </c>
      <c r="K80" s="11">
        <v>17.3117561340332</v>
      </c>
      <c r="L80" s="12" t="s">
        <v>215</v>
      </c>
    </row>
    <row r="81">
      <c r="A81" s="9" t="s">
        <v>144</v>
      </c>
      <c r="B81" s="9" t="s">
        <v>145</v>
      </c>
      <c r="C81" s="9" t="s">
        <v>216</v>
      </c>
      <c r="D81" s="9" t="s">
        <v>165</v>
      </c>
      <c r="E81" s="9" t="s">
        <v>21</v>
      </c>
      <c r="F81" s="9">
        <v>650.0</v>
      </c>
      <c r="G81" s="9">
        <v>1930.0</v>
      </c>
      <c r="H81" s="9">
        <v>91.4</v>
      </c>
      <c r="I81" s="10">
        <v>30.753924</v>
      </c>
      <c r="J81" s="10">
        <v>120.758543</v>
      </c>
      <c r="K81" s="11">
        <v>17.3117561340332</v>
      </c>
      <c r="L81" s="12" t="s">
        <v>217</v>
      </c>
    </row>
    <row r="82">
      <c r="A82" s="9" t="s">
        <v>144</v>
      </c>
      <c r="B82" s="9" t="s">
        <v>145</v>
      </c>
      <c r="C82" s="9" t="s">
        <v>218</v>
      </c>
      <c r="D82" s="9" t="s">
        <v>165</v>
      </c>
      <c r="E82" s="9" t="s">
        <v>21</v>
      </c>
      <c r="F82" s="9">
        <v>700.0</v>
      </c>
      <c r="G82" s="9">
        <v>2064.0</v>
      </c>
      <c r="H82" s="9">
        <v>90.9</v>
      </c>
      <c r="I82" s="10">
        <v>30.753924</v>
      </c>
      <c r="J82" s="10">
        <v>120.758543</v>
      </c>
      <c r="K82" s="11">
        <v>16.8170700073242</v>
      </c>
      <c r="L82" s="12" t="s">
        <v>219</v>
      </c>
    </row>
    <row r="83">
      <c r="A83" s="9" t="s">
        <v>144</v>
      </c>
      <c r="B83" s="9" t="s">
        <v>145</v>
      </c>
      <c r="C83" s="9" t="s">
        <v>220</v>
      </c>
      <c r="D83" s="9" t="s">
        <v>165</v>
      </c>
      <c r="E83" s="9" t="s">
        <v>21</v>
      </c>
      <c r="F83" s="9">
        <v>700.0</v>
      </c>
      <c r="G83" s="9">
        <v>2064.0</v>
      </c>
      <c r="H83" s="9">
        <v>92.4</v>
      </c>
      <c r="I83" s="10">
        <v>30.753924</v>
      </c>
      <c r="J83" s="10">
        <v>120.758543</v>
      </c>
      <c r="K83" s="11">
        <v>17.0519771575928</v>
      </c>
      <c r="L83" s="12" t="s">
        <v>221</v>
      </c>
    </row>
    <row r="84">
      <c r="A84" s="9" t="s">
        <v>144</v>
      </c>
      <c r="B84" s="9" t="s">
        <v>145</v>
      </c>
      <c r="C84" s="9" t="s">
        <v>222</v>
      </c>
      <c r="D84" s="9" t="s">
        <v>165</v>
      </c>
      <c r="E84" s="9" t="s">
        <v>21</v>
      </c>
      <c r="F84" s="9">
        <v>310.0</v>
      </c>
      <c r="G84" s="9">
        <v>966.0</v>
      </c>
      <c r="H84" s="9">
        <v>81.1</v>
      </c>
      <c r="I84" s="10">
        <v>30.753924</v>
      </c>
      <c r="J84" s="10">
        <v>120.758543</v>
      </c>
      <c r="K84" s="11">
        <v>16.8170700073242</v>
      </c>
      <c r="L84" s="12" t="s">
        <v>223</v>
      </c>
    </row>
    <row r="85">
      <c r="A85" s="9" t="s">
        <v>144</v>
      </c>
      <c r="B85" s="9" t="s">
        <v>145</v>
      </c>
      <c r="C85" s="9" t="s">
        <v>224</v>
      </c>
      <c r="D85" s="9" t="s">
        <v>225</v>
      </c>
      <c r="E85" s="9" t="s">
        <v>26</v>
      </c>
      <c r="F85" s="9">
        <v>1250.0</v>
      </c>
      <c r="G85" s="9">
        <v>3400.0</v>
      </c>
      <c r="H85" s="9">
        <v>0.0</v>
      </c>
      <c r="I85" s="10">
        <v>32.455778</v>
      </c>
      <c r="J85" s="10">
        <v>119.923116</v>
      </c>
      <c r="K85" s="11">
        <v>7.58141994476318</v>
      </c>
      <c r="L85" s="12" t="s">
        <v>226</v>
      </c>
    </row>
    <row r="86">
      <c r="A86" s="9" t="s">
        <v>144</v>
      </c>
      <c r="B86" s="9" t="s">
        <v>145</v>
      </c>
      <c r="C86" s="9" t="s">
        <v>227</v>
      </c>
      <c r="D86" s="9" t="s">
        <v>225</v>
      </c>
      <c r="E86" s="9" t="s">
        <v>26</v>
      </c>
      <c r="F86" s="9">
        <v>1250.0</v>
      </c>
      <c r="G86" s="9">
        <v>3400.0</v>
      </c>
      <c r="H86" s="9">
        <v>0.0</v>
      </c>
      <c r="I86" s="10">
        <v>32.455778</v>
      </c>
      <c r="J86" s="10">
        <v>119.923116</v>
      </c>
      <c r="K86" s="11">
        <v>7.58141994476318</v>
      </c>
      <c r="L86" s="12" t="s">
        <v>228</v>
      </c>
    </row>
    <row r="87">
      <c r="A87" s="9" t="s">
        <v>144</v>
      </c>
      <c r="B87" s="9" t="s">
        <v>145</v>
      </c>
      <c r="C87" s="9" t="s">
        <v>229</v>
      </c>
      <c r="D87" s="9" t="s">
        <v>230</v>
      </c>
      <c r="E87" s="9" t="s">
        <v>26</v>
      </c>
      <c r="F87" s="9">
        <v>211.0</v>
      </c>
      <c r="G87" s="9">
        <v>500.0</v>
      </c>
      <c r="H87" s="9">
        <v>0.0</v>
      </c>
      <c r="I87" s="10">
        <v>37.513068</v>
      </c>
      <c r="J87" s="10">
        <v>122.12042</v>
      </c>
      <c r="K87" s="11">
        <v>42.9687767028809</v>
      </c>
      <c r="L87" s="12" t="s">
        <v>231</v>
      </c>
    </row>
    <row r="88">
      <c r="A88" s="9" t="s">
        <v>144</v>
      </c>
      <c r="B88" s="9" t="s">
        <v>145</v>
      </c>
      <c r="C88" s="9" t="s">
        <v>232</v>
      </c>
      <c r="D88" s="9" t="s">
        <v>233</v>
      </c>
      <c r="E88" s="9" t="s">
        <v>26</v>
      </c>
      <c r="F88" s="9">
        <v>1750.0</v>
      </c>
      <c r="G88" s="9">
        <v>4590.0</v>
      </c>
      <c r="H88" s="9">
        <v>0.0</v>
      </c>
      <c r="I88" s="10">
        <v>22.251924</v>
      </c>
      <c r="J88" s="10">
        <v>112.794065</v>
      </c>
      <c r="K88" s="11">
        <v>24.1064147949219</v>
      </c>
      <c r="L88" s="12" t="s">
        <v>234</v>
      </c>
    </row>
    <row r="89">
      <c r="A89" s="9" t="s">
        <v>144</v>
      </c>
      <c r="B89" s="9" t="s">
        <v>145</v>
      </c>
      <c r="C89" s="9" t="s">
        <v>235</v>
      </c>
      <c r="D89" s="9" t="s">
        <v>233</v>
      </c>
      <c r="E89" s="9" t="s">
        <v>26</v>
      </c>
      <c r="F89" s="9">
        <v>1750.0</v>
      </c>
      <c r="G89" s="9">
        <v>4590.0</v>
      </c>
      <c r="H89" s="9">
        <v>0.0</v>
      </c>
      <c r="I89" s="10">
        <v>22.251924</v>
      </c>
      <c r="J89" s="10">
        <v>112.794065</v>
      </c>
      <c r="K89" s="11">
        <v>24.1064147949219</v>
      </c>
      <c r="L89" s="12" t="s">
        <v>236</v>
      </c>
    </row>
    <row r="90">
      <c r="A90" s="9" t="s">
        <v>144</v>
      </c>
      <c r="B90" s="9" t="s">
        <v>145</v>
      </c>
      <c r="C90" s="9" t="s">
        <v>237</v>
      </c>
      <c r="D90" s="9" t="s">
        <v>238</v>
      </c>
      <c r="E90" s="9" t="s">
        <v>21</v>
      </c>
      <c r="F90" s="9">
        <v>1060.0</v>
      </c>
      <c r="G90" s="9">
        <v>3000.0</v>
      </c>
      <c r="H90" s="9">
        <v>84.8</v>
      </c>
      <c r="I90" s="10">
        <v>34.596653</v>
      </c>
      <c r="J90" s="10">
        <v>119.221611</v>
      </c>
      <c r="K90" s="11">
        <v>5.2540979385376</v>
      </c>
      <c r="L90" s="12" t="s">
        <v>239</v>
      </c>
    </row>
    <row r="91">
      <c r="A91" s="9" t="s">
        <v>144</v>
      </c>
      <c r="B91" s="9" t="s">
        <v>145</v>
      </c>
      <c r="C91" s="9" t="s">
        <v>240</v>
      </c>
      <c r="D91" s="9" t="s">
        <v>238</v>
      </c>
      <c r="E91" s="9" t="s">
        <v>21</v>
      </c>
      <c r="F91" s="9">
        <v>1060.0</v>
      </c>
      <c r="G91" s="9">
        <v>3000.0</v>
      </c>
      <c r="H91" s="9">
        <v>87.9</v>
      </c>
      <c r="I91" s="10">
        <v>34.596653</v>
      </c>
      <c r="J91" s="10">
        <v>119.221611</v>
      </c>
      <c r="K91" s="11">
        <v>5.2540979385376</v>
      </c>
      <c r="L91" s="12" t="s">
        <v>241</v>
      </c>
    </row>
    <row r="92">
      <c r="A92" s="9" t="s">
        <v>144</v>
      </c>
      <c r="B92" s="9" t="s">
        <v>145</v>
      </c>
      <c r="C92" s="9" t="s">
        <v>242</v>
      </c>
      <c r="D92" s="9" t="s">
        <v>238</v>
      </c>
      <c r="E92" s="9" t="s">
        <v>26</v>
      </c>
      <c r="F92" s="9">
        <v>1060.0</v>
      </c>
      <c r="G92" s="9">
        <v>3000.0</v>
      </c>
      <c r="H92" s="9">
        <v>0.0</v>
      </c>
      <c r="I92" s="10">
        <v>34.596653</v>
      </c>
      <c r="J92" s="10">
        <v>119.221611</v>
      </c>
      <c r="K92" s="11">
        <v>88.770263671875</v>
      </c>
      <c r="L92" s="12" t="s">
        <v>243</v>
      </c>
    </row>
    <row r="93">
      <c r="A93" s="9" t="s">
        <v>144</v>
      </c>
      <c r="B93" s="9" t="s">
        <v>145</v>
      </c>
      <c r="C93" s="9" t="s">
        <v>244</v>
      </c>
      <c r="D93" s="9" t="s">
        <v>238</v>
      </c>
      <c r="E93" s="9" t="s">
        <v>26</v>
      </c>
      <c r="F93" s="9">
        <v>1060.0</v>
      </c>
      <c r="G93" s="9">
        <v>3000.0</v>
      </c>
      <c r="H93" s="9">
        <v>0.0</v>
      </c>
      <c r="I93" s="10">
        <v>34.596653</v>
      </c>
      <c r="J93" s="10">
        <v>119.221611</v>
      </c>
      <c r="K93" s="11">
        <v>88.770263671875</v>
      </c>
      <c r="L93" s="12" t="s">
        <v>245</v>
      </c>
    </row>
    <row r="94">
      <c r="A94" s="9" t="s">
        <v>144</v>
      </c>
      <c r="B94" s="9" t="s">
        <v>145</v>
      </c>
      <c r="C94" s="9" t="s">
        <v>246</v>
      </c>
      <c r="D94" s="9" t="s">
        <v>247</v>
      </c>
      <c r="E94" s="9" t="s">
        <v>21</v>
      </c>
      <c r="F94" s="9">
        <v>1086.0</v>
      </c>
      <c r="G94" s="9">
        <v>2905.0</v>
      </c>
      <c r="H94" s="9">
        <v>0.0</v>
      </c>
      <c r="I94" s="10">
        <v>21.857958</v>
      </c>
      <c r="J94" s="10">
        <v>111.982232</v>
      </c>
      <c r="K94" s="11">
        <v>-5.58227157592773</v>
      </c>
      <c r="L94" s="12" t="s">
        <v>248</v>
      </c>
    </row>
    <row r="95">
      <c r="A95" s="9" t="s">
        <v>144</v>
      </c>
      <c r="B95" s="9" t="s">
        <v>145</v>
      </c>
      <c r="C95" s="9" t="s">
        <v>249</v>
      </c>
      <c r="D95" s="9" t="s">
        <v>247</v>
      </c>
      <c r="E95" s="9" t="s">
        <v>26</v>
      </c>
      <c r="F95" s="9">
        <v>1080.0</v>
      </c>
      <c r="G95" s="9">
        <v>2905.0</v>
      </c>
      <c r="H95" s="9">
        <v>0.0</v>
      </c>
      <c r="I95" s="10">
        <v>21.857958</v>
      </c>
      <c r="J95" s="10">
        <v>111.982232</v>
      </c>
      <c r="K95" s="11">
        <v>-5.58227157592773</v>
      </c>
      <c r="L95" s="12" t="s">
        <v>250</v>
      </c>
    </row>
    <row r="96">
      <c r="A96" s="9" t="s">
        <v>144</v>
      </c>
      <c r="B96" s="9" t="s">
        <v>145</v>
      </c>
      <c r="C96" s="9" t="s">
        <v>251</v>
      </c>
      <c r="D96" s="9" t="s">
        <v>247</v>
      </c>
      <c r="E96" s="9" t="s">
        <v>26</v>
      </c>
      <c r="F96" s="9">
        <v>1080.0</v>
      </c>
      <c r="G96" s="9">
        <v>2905.0</v>
      </c>
      <c r="H96" s="9">
        <v>0.0</v>
      </c>
      <c r="I96" s="10">
        <v>21.857958</v>
      </c>
      <c r="J96" s="10">
        <v>111.982232</v>
      </c>
      <c r="K96" s="11">
        <v>-5.58227157592773</v>
      </c>
      <c r="L96" s="12" t="s">
        <v>252</v>
      </c>
    </row>
    <row r="97">
      <c r="A97" s="9" t="s">
        <v>144</v>
      </c>
      <c r="B97" s="9" t="s">
        <v>145</v>
      </c>
      <c r="C97" s="9" t="s">
        <v>253</v>
      </c>
      <c r="D97" s="9" t="s">
        <v>247</v>
      </c>
      <c r="E97" s="9" t="s">
        <v>26</v>
      </c>
      <c r="F97" s="9">
        <v>1080.0</v>
      </c>
      <c r="G97" s="9">
        <v>2905.0</v>
      </c>
      <c r="H97" s="9">
        <v>0.0</v>
      </c>
      <c r="I97" s="10">
        <v>21.857958</v>
      </c>
      <c r="J97" s="10">
        <v>111.982232</v>
      </c>
      <c r="K97" s="11">
        <v>-5.58227157592773</v>
      </c>
      <c r="L97" s="12" t="s">
        <v>254</v>
      </c>
    </row>
    <row r="98">
      <c r="A98" s="9" t="s">
        <v>144</v>
      </c>
      <c r="B98" s="9" t="s">
        <v>145</v>
      </c>
      <c r="C98" s="9" t="s">
        <v>255</v>
      </c>
      <c r="D98" s="9" t="s">
        <v>247</v>
      </c>
      <c r="E98" s="9" t="s">
        <v>26</v>
      </c>
      <c r="F98" s="9">
        <v>1087.0</v>
      </c>
      <c r="G98" s="9">
        <v>2905.0</v>
      </c>
      <c r="H98" s="9">
        <v>0.0</v>
      </c>
      <c r="I98" s="10">
        <v>21.857958</v>
      </c>
      <c r="J98" s="10">
        <v>111.982232</v>
      </c>
      <c r="K98" s="11">
        <v>-5.58227157592773</v>
      </c>
      <c r="L98" s="12" t="s">
        <v>256</v>
      </c>
    </row>
    <row r="99">
      <c r="A99" s="9" t="s">
        <v>144</v>
      </c>
      <c r="B99" s="9" t="s">
        <v>145</v>
      </c>
      <c r="C99" s="9" t="s">
        <v>257</v>
      </c>
      <c r="D99" s="9" t="s">
        <v>247</v>
      </c>
      <c r="E99" s="9" t="s">
        <v>26</v>
      </c>
      <c r="F99" s="9">
        <v>1087.0</v>
      </c>
      <c r="G99" s="9">
        <v>2905.0</v>
      </c>
      <c r="H99" s="9">
        <v>0.0</v>
      </c>
      <c r="I99" s="10">
        <v>21.857958</v>
      </c>
      <c r="J99" s="10">
        <v>111.982232</v>
      </c>
      <c r="K99" s="11">
        <v>-5.58227157592773</v>
      </c>
      <c r="L99" s="12" t="s">
        <v>258</v>
      </c>
    </row>
    <row r="100">
      <c r="A100" s="9" t="s">
        <v>259</v>
      </c>
      <c r="B100" s="9" t="s">
        <v>260</v>
      </c>
      <c r="C100" s="9" t="s">
        <v>261</v>
      </c>
      <c r="D100" s="9" t="s">
        <v>262</v>
      </c>
      <c r="E100" s="9" t="s">
        <v>21</v>
      </c>
      <c r="F100" s="9">
        <v>500.0</v>
      </c>
      <c r="G100" s="9">
        <v>1444.0</v>
      </c>
      <c r="H100" s="9">
        <v>84.9</v>
      </c>
      <c r="I100" s="10">
        <v>49.0812519</v>
      </c>
      <c r="J100" s="10">
        <v>16.1921789</v>
      </c>
      <c r="K100" s="11">
        <v>396.754669189453</v>
      </c>
      <c r="L100" s="12" t="s">
        <v>263</v>
      </c>
    </row>
    <row r="101">
      <c r="A101" s="9" t="s">
        <v>259</v>
      </c>
      <c r="B101" s="9" t="s">
        <v>260</v>
      </c>
      <c r="C101" s="9" t="s">
        <v>264</v>
      </c>
      <c r="D101" s="9" t="s">
        <v>262</v>
      </c>
      <c r="E101" s="9" t="s">
        <v>21</v>
      </c>
      <c r="F101" s="9">
        <v>500.0</v>
      </c>
      <c r="G101" s="9">
        <v>1444.0</v>
      </c>
      <c r="H101" s="9">
        <v>85.1</v>
      </c>
      <c r="I101" s="10">
        <v>49.0812519</v>
      </c>
      <c r="J101" s="10">
        <v>16.1921789</v>
      </c>
      <c r="K101" s="11">
        <v>396.754669189453</v>
      </c>
      <c r="L101" s="12" t="s">
        <v>265</v>
      </c>
    </row>
    <row r="102">
      <c r="A102" s="9" t="s">
        <v>259</v>
      </c>
      <c r="B102" s="9" t="s">
        <v>260</v>
      </c>
      <c r="C102" s="9" t="s">
        <v>266</v>
      </c>
      <c r="D102" s="9" t="s">
        <v>262</v>
      </c>
      <c r="E102" s="9" t="s">
        <v>21</v>
      </c>
      <c r="F102" s="9">
        <v>500.0</v>
      </c>
      <c r="G102" s="9">
        <v>1444.0</v>
      </c>
      <c r="H102" s="9">
        <v>84.3</v>
      </c>
      <c r="I102" s="10">
        <v>49.0812519</v>
      </c>
      <c r="J102" s="10">
        <v>16.1921789</v>
      </c>
      <c r="K102" s="11">
        <v>396.754669189453</v>
      </c>
      <c r="L102" s="12" t="s">
        <v>267</v>
      </c>
    </row>
    <row r="103">
      <c r="A103" s="9" t="s">
        <v>259</v>
      </c>
      <c r="B103" s="9" t="s">
        <v>260</v>
      </c>
      <c r="C103" s="9" t="s">
        <v>268</v>
      </c>
      <c r="D103" s="9" t="s">
        <v>262</v>
      </c>
      <c r="E103" s="9" t="s">
        <v>21</v>
      </c>
      <c r="F103" s="9">
        <v>500.0</v>
      </c>
      <c r="G103" s="9">
        <v>1444.0</v>
      </c>
      <c r="H103" s="9">
        <v>85.5</v>
      </c>
      <c r="I103" s="10">
        <v>49.0812519</v>
      </c>
      <c r="J103" s="10">
        <v>16.1921789</v>
      </c>
      <c r="K103" s="11">
        <v>396.754669189453</v>
      </c>
      <c r="L103" s="12" t="s">
        <v>269</v>
      </c>
    </row>
    <row r="104">
      <c r="A104" s="9" t="s">
        <v>259</v>
      </c>
      <c r="B104" s="9" t="s">
        <v>260</v>
      </c>
      <c r="C104" s="9" t="s">
        <v>270</v>
      </c>
      <c r="D104" s="9" t="s">
        <v>271</v>
      </c>
      <c r="E104" s="9" t="s">
        <v>21</v>
      </c>
      <c r="F104" s="9">
        <v>1056.0</v>
      </c>
      <c r="G104" s="9">
        <v>3120.0</v>
      </c>
      <c r="H104" s="9">
        <v>72.0</v>
      </c>
      <c r="I104" s="10">
        <v>49.1928402</v>
      </c>
      <c r="J104" s="10">
        <v>14.3487467</v>
      </c>
      <c r="K104" s="11">
        <v>532.485656738281</v>
      </c>
      <c r="L104" s="12" t="s">
        <v>272</v>
      </c>
    </row>
    <row r="105">
      <c r="A105" s="9" t="s">
        <v>259</v>
      </c>
      <c r="B105" s="9" t="s">
        <v>260</v>
      </c>
      <c r="C105" s="9" t="s">
        <v>273</v>
      </c>
      <c r="D105" s="9" t="s">
        <v>271</v>
      </c>
      <c r="E105" s="9" t="s">
        <v>21</v>
      </c>
      <c r="F105" s="9">
        <v>1056.0</v>
      </c>
      <c r="G105" s="9">
        <v>3120.0</v>
      </c>
      <c r="H105" s="9">
        <v>78.0</v>
      </c>
      <c r="I105" s="10">
        <v>49.1928402</v>
      </c>
      <c r="J105" s="10">
        <v>14.3487467</v>
      </c>
      <c r="K105" s="11">
        <v>532.485656738281</v>
      </c>
      <c r="L105" s="12" t="s">
        <v>274</v>
      </c>
    </row>
    <row r="106">
      <c r="A106" s="9" t="s">
        <v>275</v>
      </c>
      <c r="B106" s="9" t="s">
        <v>276</v>
      </c>
      <c r="C106" s="9" t="s">
        <v>277</v>
      </c>
      <c r="D106" s="9" t="s">
        <v>278</v>
      </c>
      <c r="E106" s="9" t="s">
        <v>21</v>
      </c>
      <c r="F106" s="9">
        <v>520.0</v>
      </c>
      <c r="G106" s="9">
        <v>1500.0</v>
      </c>
      <c r="H106" s="9">
        <v>87.1</v>
      </c>
      <c r="I106" s="10">
        <v>60.4570666</v>
      </c>
      <c r="J106" s="10">
        <v>26.2246714</v>
      </c>
      <c r="K106" s="11">
        <v>31.3960838317871</v>
      </c>
      <c r="L106" s="12" t="s">
        <v>279</v>
      </c>
    </row>
    <row r="107">
      <c r="A107" s="9" t="s">
        <v>275</v>
      </c>
      <c r="B107" s="9" t="s">
        <v>276</v>
      </c>
      <c r="C107" s="9" t="s">
        <v>280</v>
      </c>
      <c r="D107" s="9" t="s">
        <v>278</v>
      </c>
      <c r="E107" s="9" t="s">
        <v>21</v>
      </c>
      <c r="F107" s="9">
        <v>520.0</v>
      </c>
      <c r="G107" s="9">
        <v>1500.0</v>
      </c>
      <c r="H107" s="9">
        <v>89.0</v>
      </c>
      <c r="I107" s="10">
        <v>60.4570666</v>
      </c>
      <c r="J107" s="10">
        <v>26.2246714</v>
      </c>
      <c r="K107" s="11">
        <v>31.3960838317871</v>
      </c>
      <c r="L107" s="12" t="s">
        <v>281</v>
      </c>
    </row>
    <row r="108">
      <c r="A108" s="9" t="s">
        <v>275</v>
      </c>
      <c r="B108" s="9" t="s">
        <v>276</v>
      </c>
      <c r="C108" s="9" t="s">
        <v>282</v>
      </c>
      <c r="D108" s="9" t="s">
        <v>283</v>
      </c>
      <c r="E108" s="9" t="s">
        <v>21</v>
      </c>
      <c r="F108" s="9">
        <v>910.0</v>
      </c>
      <c r="G108" s="9">
        <v>2500.0</v>
      </c>
      <c r="H108" s="9">
        <v>92.4</v>
      </c>
      <c r="I108" s="10">
        <v>61.2363745</v>
      </c>
      <c r="J108" s="10">
        <v>21.4753105</v>
      </c>
      <c r="K108" s="11">
        <v>26.7381954193115</v>
      </c>
      <c r="L108" s="12" t="s">
        <v>284</v>
      </c>
    </row>
    <row r="109">
      <c r="A109" s="9" t="s">
        <v>275</v>
      </c>
      <c r="B109" s="9" t="s">
        <v>276</v>
      </c>
      <c r="C109" s="9" t="s">
        <v>285</v>
      </c>
      <c r="D109" s="9" t="s">
        <v>283</v>
      </c>
      <c r="E109" s="9" t="s">
        <v>21</v>
      </c>
      <c r="F109" s="9">
        <v>910.0</v>
      </c>
      <c r="G109" s="9">
        <v>2500.0</v>
      </c>
      <c r="H109" s="9">
        <v>93.3</v>
      </c>
      <c r="I109" s="10">
        <v>61.2363745</v>
      </c>
      <c r="J109" s="10">
        <v>21.4753105</v>
      </c>
      <c r="K109" s="11">
        <v>26.7381954193115</v>
      </c>
      <c r="L109" s="12" t="s">
        <v>286</v>
      </c>
    </row>
    <row r="110">
      <c r="A110" s="9" t="s">
        <v>275</v>
      </c>
      <c r="B110" s="9" t="s">
        <v>276</v>
      </c>
      <c r="C110" s="9" t="s">
        <v>287</v>
      </c>
      <c r="D110" s="9" t="s">
        <v>283</v>
      </c>
      <c r="E110" s="9" t="s">
        <v>26</v>
      </c>
      <c r="F110" s="9">
        <v>1720.0</v>
      </c>
      <c r="G110" s="9">
        <v>4300.0</v>
      </c>
      <c r="H110" s="9">
        <v>0.0</v>
      </c>
      <c r="I110" s="10">
        <v>61.2363745</v>
      </c>
      <c r="J110" s="10">
        <v>21.4753105</v>
      </c>
      <c r="K110" s="11">
        <v>22.4741020202637</v>
      </c>
      <c r="L110" s="12" t="s">
        <v>288</v>
      </c>
    </row>
    <row r="111">
      <c r="A111" s="9" t="s">
        <v>289</v>
      </c>
      <c r="B111" s="9" t="s">
        <v>290</v>
      </c>
      <c r="C111" s="9" t="s">
        <v>291</v>
      </c>
      <c r="D111" s="9" t="s">
        <v>292</v>
      </c>
      <c r="E111" s="9" t="s">
        <v>21</v>
      </c>
      <c r="F111" s="9">
        <v>1363.0</v>
      </c>
      <c r="G111" s="9">
        <v>3817.0</v>
      </c>
      <c r="H111" s="9">
        <v>70.6</v>
      </c>
      <c r="I111" s="10">
        <v>43.485451</v>
      </c>
      <c r="J111" s="10">
        <v>3.248909</v>
      </c>
      <c r="K111" s="11">
        <v>167.643753051758</v>
      </c>
      <c r="L111" s="12" t="s">
        <v>293</v>
      </c>
    </row>
    <row r="112">
      <c r="A112" s="9" t="s">
        <v>289</v>
      </c>
      <c r="B112" s="9" t="s">
        <v>290</v>
      </c>
      <c r="C112" s="9" t="s">
        <v>294</v>
      </c>
      <c r="D112" s="9" t="s">
        <v>292</v>
      </c>
      <c r="E112" s="9" t="s">
        <v>21</v>
      </c>
      <c r="F112" s="9">
        <v>1363.0</v>
      </c>
      <c r="G112" s="9">
        <v>3817.0</v>
      </c>
      <c r="H112" s="9">
        <v>72.0</v>
      </c>
      <c r="I112" s="10">
        <v>43.485451</v>
      </c>
      <c r="J112" s="10">
        <v>3.248909</v>
      </c>
      <c r="K112" s="11">
        <v>167.643753051758</v>
      </c>
      <c r="L112" s="12" t="s">
        <v>295</v>
      </c>
    </row>
    <row r="113">
      <c r="A113" s="9" t="s">
        <v>289</v>
      </c>
      <c r="B113" s="9" t="s">
        <v>290</v>
      </c>
      <c r="C113" s="9" t="s">
        <v>296</v>
      </c>
      <c r="D113" s="9" t="s">
        <v>297</v>
      </c>
      <c r="E113" s="9" t="s">
        <v>21</v>
      </c>
      <c r="F113" s="9">
        <v>951.0</v>
      </c>
      <c r="G113" s="9">
        <v>2785.0</v>
      </c>
      <c r="H113" s="9">
        <v>72.1</v>
      </c>
      <c r="I113" s="10">
        <v>47.2249981</v>
      </c>
      <c r="J113" s="10">
        <v>-1.2758025</v>
      </c>
      <c r="K113" s="11">
        <v>135.733764648438</v>
      </c>
      <c r="L113" s="12" t="s">
        <v>300</v>
      </c>
    </row>
    <row r="114">
      <c r="A114" s="9" t="s">
        <v>289</v>
      </c>
      <c r="B114" s="9" t="s">
        <v>290</v>
      </c>
      <c r="C114" s="9" t="s">
        <v>302</v>
      </c>
      <c r="D114" s="9" t="s">
        <v>297</v>
      </c>
      <c r="E114" s="9" t="s">
        <v>21</v>
      </c>
      <c r="F114" s="9">
        <v>951.0</v>
      </c>
      <c r="G114" s="9">
        <v>2785.0</v>
      </c>
      <c r="H114" s="9">
        <v>76.3</v>
      </c>
      <c r="I114" s="10">
        <v>47.2249981</v>
      </c>
      <c r="J114" s="10">
        <v>-1.2758025</v>
      </c>
      <c r="K114" s="11">
        <v>135.733764648438</v>
      </c>
      <c r="L114" s="12" t="s">
        <v>303</v>
      </c>
    </row>
    <row r="115">
      <c r="A115" s="9" t="s">
        <v>289</v>
      </c>
      <c r="B115" s="9" t="s">
        <v>290</v>
      </c>
      <c r="C115" s="9" t="s">
        <v>304</v>
      </c>
      <c r="D115" s="9" t="s">
        <v>297</v>
      </c>
      <c r="E115" s="9" t="s">
        <v>21</v>
      </c>
      <c r="F115" s="9">
        <v>951.0</v>
      </c>
      <c r="G115" s="9">
        <v>2785.0</v>
      </c>
      <c r="H115" s="9">
        <v>78.0</v>
      </c>
      <c r="I115" s="10">
        <v>47.2249981</v>
      </c>
      <c r="J115" s="10">
        <v>-1.2758025</v>
      </c>
      <c r="K115" s="11">
        <v>135.733764648438</v>
      </c>
      <c r="L115" s="12" t="s">
        <v>305</v>
      </c>
    </row>
    <row r="116">
      <c r="A116" s="9" t="s">
        <v>289</v>
      </c>
      <c r="B116" s="9" t="s">
        <v>290</v>
      </c>
      <c r="C116" s="9" t="s">
        <v>306</v>
      </c>
      <c r="D116" s="9" t="s">
        <v>297</v>
      </c>
      <c r="E116" s="9" t="s">
        <v>21</v>
      </c>
      <c r="F116" s="9">
        <v>951.0</v>
      </c>
      <c r="G116" s="9">
        <v>2785.0</v>
      </c>
      <c r="H116" s="9">
        <v>75.1</v>
      </c>
      <c r="I116" s="10">
        <v>47.2249981</v>
      </c>
      <c r="J116" s="10">
        <v>-1.2758025</v>
      </c>
      <c r="K116" s="11">
        <v>135.733764648438</v>
      </c>
      <c r="L116" s="12" t="s">
        <v>308</v>
      </c>
    </row>
    <row r="117">
      <c r="A117" s="9" t="s">
        <v>289</v>
      </c>
      <c r="B117" s="9" t="s">
        <v>290</v>
      </c>
      <c r="C117" s="9" t="s">
        <v>309</v>
      </c>
      <c r="D117" s="9" t="s">
        <v>310</v>
      </c>
      <c r="E117" s="9" t="s">
        <v>24</v>
      </c>
      <c r="F117" s="9">
        <v>555.0</v>
      </c>
      <c r="G117" s="9">
        <v>1954.0</v>
      </c>
      <c r="H117" s="9">
        <v>53.2</v>
      </c>
      <c r="I117" s="10">
        <v>45.832913</v>
      </c>
      <c r="J117" s="10">
        <v>5.290324</v>
      </c>
      <c r="K117" s="11">
        <v>249.360382080078</v>
      </c>
      <c r="L117" s="12" t="s">
        <v>311</v>
      </c>
    </row>
    <row r="118">
      <c r="A118" s="9" t="s">
        <v>289</v>
      </c>
      <c r="B118" s="9" t="s">
        <v>290</v>
      </c>
      <c r="C118" s="9" t="s">
        <v>312</v>
      </c>
      <c r="D118" s="9" t="s">
        <v>310</v>
      </c>
      <c r="E118" s="9" t="s">
        <v>21</v>
      </c>
      <c r="F118" s="9">
        <v>945.0</v>
      </c>
      <c r="G118" s="9">
        <v>2785.0</v>
      </c>
      <c r="H118" s="9">
        <v>67.8</v>
      </c>
      <c r="I118" s="10">
        <v>45.832913</v>
      </c>
      <c r="J118" s="10">
        <v>5.290324</v>
      </c>
      <c r="K118" s="11">
        <v>249.360382080078</v>
      </c>
      <c r="L118" s="12" t="s">
        <v>313</v>
      </c>
    </row>
    <row r="119">
      <c r="A119" s="9" t="s">
        <v>289</v>
      </c>
      <c r="B119" s="9" t="s">
        <v>290</v>
      </c>
      <c r="C119" s="9" t="s">
        <v>314</v>
      </c>
      <c r="D119" s="9" t="s">
        <v>310</v>
      </c>
      <c r="E119" s="9" t="s">
        <v>21</v>
      </c>
      <c r="F119" s="9">
        <v>945.0</v>
      </c>
      <c r="G119" s="9">
        <v>2785.0</v>
      </c>
      <c r="H119" s="9">
        <v>64.8</v>
      </c>
      <c r="I119" s="10">
        <v>45.832913</v>
      </c>
      <c r="J119" s="10">
        <v>5.290324</v>
      </c>
      <c r="K119" s="11">
        <v>249.360382080078</v>
      </c>
      <c r="L119" s="12" t="s">
        <v>315</v>
      </c>
    </row>
    <row r="120">
      <c r="A120" s="9" t="s">
        <v>289</v>
      </c>
      <c r="B120" s="9" t="s">
        <v>290</v>
      </c>
      <c r="C120" s="9" t="s">
        <v>316</v>
      </c>
      <c r="D120" s="9" t="s">
        <v>310</v>
      </c>
      <c r="E120" s="9" t="s">
        <v>21</v>
      </c>
      <c r="F120" s="9">
        <v>917.0</v>
      </c>
      <c r="G120" s="9">
        <v>2785.0</v>
      </c>
      <c r="H120" s="9">
        <v>69.1</v>
      </c>
      <c r="I120" s="10">
        <v>45.832913</v>
      </c>
      <c r="J120" s="10">
        <v>5.290324</v>
      </c>
      <c r="K120" s="11">
        <v>249.360382080078</v>
      </c>
      <c r="L120" s="12" t="s">
        <v>318</v>
      </c>
    </row>
    <row r="121">
      <c r="A121" s="9" t="s">
        <v>289</v>
      </c>
      <c r="B121" s="9" t="s">
        <v>290</v>
      </c>
      <c r="C121" s="9" t="s">
        <v>319</v>
      </c>
      <c r="D121" s="9" t="s">
        <v>310</v>
      </c>
      <c r="E121" s="9" t="s">
        <v>21</v>
      </c>
      <c r="F121" s="9">
        <v>917.0</v>
      </c>
      <c r="G121" s="9">
        <v>2785.0</v>
      </c>
      <c r="H121" s="9">
        <v>70.2</v>
      </c>
      <c r="I121" s="10">
        <v>45.832913</v>
      </c>
      <c r="J121" s="10">
        <v>5.290324</v>
      </c>
      <c r="K121" s="11">
        <v>249.360382080078</v>
      </c>
      <c r="L121" s="12" t="s">
        <v>320</v>
      </c>
    </row>
    <row r="122">
      <c r="A122" s="9" t="s">
        <v>289</v>
      </c>
      <c r="B122" s="9" t="s">
        <v>290</v>
      </c>
      <c r="C122" s="9" t="s">
        <v>321</v>
      </c>
      <c r="D122" s="9" t="s">
        <v>322</v>
      </c>
      <c r="E122" s="9" t="s">
        <v>21</v>
      </c>
      <c r="F122" s="9">
        <v>1362.0</v>
      </c>
      <c r="G122" s="9">
        <v>3817.0</v>
      </c>
      <c r="H122" s="9">
        <v>69.4</v>
      </c>
      <c r="I122" s="10">
        <v>49.406263</v>
      </c>
      <c r="J122" s="10">
        <v>6.243668</v>
      </c>
      <c r="K122" s="11">
        <v>207.441909790039</v>
      </c>
      <c r="L122" s="12" t="s">
        <v>323</v>
      </c>
    </row>
    <row r="123">
      <c r="A123" s="9" t="s">
        <v>289</v>
      </c>
      <c r="B123" s="9" t="s">
        <v>290</v>
      </c>
      <c r="C123" s="9" t="s">
        <v>324</v>
      </c>
      <c r="D123" s="9" t="s">
        <v>322</v>
      </c>
      <c r="E123" s="9" t="s">
        <v>21</v>
      </c>
      <c r="F123" s="9">
        <v>1362.0</v>
      </c>
      <c r="G123" s="9">
        <v>3817.0</v>
      </c>
      <c r="H123" s="9">
        <v>72.9</v>
      </c>
      <c r="I123" s="10">
        <v>49.406263</v>
      </c>
      <c r="J123" s="10">
        <v>6.243668</v>
      </c>
      <c r="K123" s="11">
        <v>207.441909790039</v>
      </c>
      <c r="L123" s="12" t="s">
        <v>326</v>
      </c>
    </row>
    <row r="124">
      <c r="A124" s="9" t="s">
        <v>289</v>
      </c>
      <c r="B124" s="9" t="s">
        <v>290</v>
      </c>
      <c r="C124" s="9" t="s">
        <v>327</v>
      </c>
      <c r="D124" s="9" t="s">
        <v>322</v>
      </c>
      <c r="E124" s="9" t="s">
        <v>21</v>
      </c>
      <c r="F124" s="9">
        <v>1362.0</v>
      </c>
      <c r="G124" s="9">
        <v>3817.0</v>
      </c>
      <c r="H124" s="9">
        <v>73.7</v>
      </c>
      <c r="I124" s="10">
        <v>49.406263</v>
      </c>
      <c r="J124" s="10">
        <v>6.243668</v>
      </c>
      <c r="K124" s="11">
        <v>207.441909790039</v>
      </c>
      <c r="L124" s="12" t="s">
        <v>328</v>
      </c>
    </row>
    <row r="125">
      <c r="A125" s="9" t="s">
        <v>289</v>
      </c>
      <c r="B125" s="9" t="s">
        <v>290</v>
      </c>
      <c r="C125" s="9" t="s">
        <v>329</v>
      </c>
      <c r="D125" s="9" t="s">
        <v>322</v>
      </c>
      <c r="E125" s="9" t="s">
        <v>21</v>
      </c>
      <c r="F125" s="9">
        <v>1362.0</v>
      </c>
      <c r="G125" s="9">
        <v>3817.0</v>
      </c>
      <c r="H125" s="9">
        <v>76.8</v>
      </c>
      <c r="I125" s="10">
        <v>49.406263</v>
      </c>
      <c r="J125" s="10">
        <v>6.243668</v>
      </c>
      <c r="K125" s="11">
        <v>207.441909790039</v>
      </c>
      <c r="L125" s="12" t="s">
        <v>330</v>
      </c>
    </row>
    <row r="126">
      <c r="A126" s="9" t="s">
        <v>289</v>
      </c>
      <c r="B126" s="9" t="s">
        <v>290</v>
      </c>
      <c r="C126" s="9" t="s">
        <v>331</v>
      </c>
      <c r="D126" s="9" t="s">
        <v>332</v>
      </c>
      <c r="E126" s="9" t="s">
        <v>24</v>
      </c>
      <c r="F126" s="9">
        <v>80.0</v>
      </c>
      <c r="G126" s="9">
        <v>300.0</v>
      </c>
      <c r="H126" s="9">
        <v>0.0</v>
      </c>
      <c r="I126" s="10">
        <v>47.205697</v>
      </c>
      <c r="J126" s="10">
        <v>0.181982</v>
      </c>
      <c r="K126" s="11">
        <v>84.2697830200195</v>
      </c>
      <c r="L126" s="12" t="s">
        <v>333</v>
      </c>
    </row>
    <row r="127">
      <c r="A127" s="9" t="s">
        <v>289</v>
      </c>
      <c r="B127" s="9" t="s">
        <v>290</v>
      </c>
      <c r="C127" s="9" t="s">
        <v>334</v>
      </c>
      <c r="D127" s="9" t="s">
        <v>332</v>
      </c>
      <c r="E127" s="9" t="s">
        <v>24</v>
      </c>
      <c r="F127" s="9">
        <v>230.0</v>
      </c>
      <c r="G127" s="9">
        <v>800.0</v>
      </c>
      <c r="H127" s="9">
        <v>71.1</v>
      </c>
      <c r="I127" s="10">
        <v>47.205697</v>
      </c>
      <c r="J127" s="10">
        <v>0.181982</v>
      </c>
      <c r="K127" s="11">
        <v>84.2697830200195</v>
      </c>
      <c r="L127" s="12" t="s">
        <v>335</v>
      </c>
    </row>
    <row r="128">
      <c r="A128" s="9" t="s">
        <v>289</v>
      </c>
      <c r="B128" s="9" t="s">
        <v>290</v>
      </c>
      <c r="C128" s="9" t="s">
        <v>336</v>
      </c>
      <c r="D128" s="9" t="s">
        <v>332</v>
      </c>
      <c r="E128" s="9" t="s">
        <v>24</v>
      </c>
      <c r="F128" s="9">
        <v>480.0</v>
      </c>
      <c r="G128" s="9">
        <v>1170.0</v>
      </c>
      <c r="H128" s="9">
        <v>40.5</v>
      </c>
      <c r="I128" s="10">
        <v>47.205697</v>
      </c>
      <c r="J128" s="10">
        <v>0.181982</v>
      </c>
      <c r="K128" s="11">
        <v>84.2697830200195</v>
      </c>
      <c r="L128" s="12" t="s">
        <v>337</v>
      </c>
    </row>
    <row r="129">
      <c r="A129" s="9" t="s">
        <v>289</v>
      </c>
      <c r="B129" s="9" t="s">
        <v>290</v>
      </c>
      <c r="C129" s="9" t="s">
        <v>338</v>
      </c>
      <c r="D129" s="9" t="s">
        <v>332</v>
      </c>
      <c r="E129" s="9" t="s">
        <v>21</v>
      </c>
      <c r="F129" s="9">
        <v>954.0</v>
      </c>
      <c r="G129" s="9">
        <v>2785.0</v>
      </c>
      <c r="H129" s="9">
        <v>72.4</v>
      </c>
      <c r="I129" s="10">
        <v>47.205697</v>
      </c>
      <c r="J129" s="10">
        <v>0.181982</v>
      </c>
      <c r="K129" s="11">
        <v>84.2697830200195</v>
      </c>
      <c r="L129" s="12" t="s">
        <v>339</v>
      </c>
    </row>
    <row r="130">
      <c r="A130" s="9" t="s">
        <v>289</v>
      </c>
      <c r="B130" s="9" t="s">
        <v>290</v>
      </c>
      <c r="C130" s="9" t="s">
        <v>340</v>
      </c>
      <c r="D130" s="9" t="s">
        <v>332</v>
      </c>
      <c r="E130" s="9" t="s">
        <v>21</v>
      </c>
      <c r="F130" s="9">
        <v>954.0</v>
      </c>
      <c r="G130" s="9">
        <v>2785.0</v>
      </c>
      <c r="H130" s="9">
        <v>73.6</v>
      </c>
      <c r="I130" s="10">
        <v>47.205697</v>
      </c>
      <c r="J130" s="10">
        <v>0.181982</v>
      </c>
      <c r="K130" s="11">
        <v>84.2697830200195</v>
      </c>
      <c r="L130" s="12" t="s">
        <v>341</v>
      </c>
    </row>
    <row r="131">
      <c r="A131" s="9" t="s">
        <v>289</v>
      </c>
      <c r="B131" s="9" t="s">
        <v>290</v>
      </c>
      <c r="C131" s="9" t="s">
        <v>342</v>
      </c>
      <c r="D131" s="9" t="s">
        <v>332</v>
      </c>
      <c r="E131" s="9" t="s">
        <v>21</v>
      </c>
      <c r="F131" s="9">
        <v>954.0</v>
      </c>
      <c r="G131" s="9">
        <v>2785.0</v>
      </c>
      <c r="H131" s="9">
        <v>73.4</v>
      </c>
      <c r="I131" s="10">
        <v>47.205697</v>
      </c>
      <c r="J131" s="10">
        <v>0.181982</v>
      </c>
      <c r="K131" s="11">
        <v>84.2697830200195</v>
      </c>
      <c r="L131" s="12" t="s">
        <v>343</v>
      </c>
    </row>
    <row r="132">
      <c r="A132" s="9" t="s">
        <v>289</v>
      </c>
      <c r="B132" s="9" t="s">
        <v>290</v>
      </c>
      <c r="C132" s="9" t="s">
        <v>344</v>
      </c>
      <c r="D132" s="9" t="s">
        <v>332</v>
      </c>
      <c r="E132" s="9" t="s">
        <v>21</v>
      </c>
      <c r="F132" s="9">
        <v>954.0</v>
      </c>
      <c r="G132" s="9">
        <v>2785.0</v>
      </c>
      <c r="H132" s="9">
        <v>74.5</v>
      </c>
      <c r="I132" s="10">
        <v>47.205697</v>
      </c>
      <c r="J132" s="10">
        <v>0.181982</v>
      </c>
      <c r="K132" s="11">
        <v>84.2697830200195</v>
      </c>
      <c r="L132" s="12" t="s">
        <v>345</v>
      </c>
    </row>
    <row r="133">
      <c r="A133" s="9" t="s">
        <v>289</v>
      </c>
      <c r="B133" s="9" t="s">
        <v>290</v>
      </c>
      <c r="C133" s="9" t="s">
        <v>346</v>
      </c>
      <c r="D133" s="9" t="s">
        <v>347</v>
      </c>
      <c r="E133" s="9" t="s">
        <v>21</v>
      </c>
      <c r="F133" s="9">
        <v>1560.0</v>
      </c>
      <c r="G133" s="9">
        <v>4270.0</v>
      </c>
      <c r="H133" s="9">
        <v>78.3</v>
      </c>
      <c r="I133" s="10">
        <v>48.813677</v>
      </c>
      <c r="J133" s="10">
        <v>3.667405</v>
      </c>
      <c r="K133" s="11">
        <v>244.624801635742</v>
      </c>
      <c r="L133" s="12" t="s">
        <v>348</v>
      </c>
    </row>
    <row r="134">
      <c r="A134" s="9" t="s">
        <v>289</v>
      </c>
      <c r="B134" s="9" t="s">
        <v>290</v>
      </c>
      <c r="C134" s="9" t="s">
        <v>349</v>
      </c>
      <c r="D134" s="9" t="s">
        <v>347</v>
      </c>
      <c r="E134" s="9" t="s">
        <v>21</v>
      </c>
      <c r="F134" s="9">
        <v>1560.0</v>
      </c>
      <c r="G134" s="9">
        <v>4270.0</v>
      </c>
      <c r="H134" s="9">
        <v>76.0</v>
      </c>
      <c r="I134" s="10">
        <v>48.813677</v>
      </c>
      <c r="J134" s="10">
        <v>3.667405</v>
      </c>
      <c r="K134" s="11">
        <v>244.624801635742</v>
      </c>
      <c r="L134" s="12" t="s">
        <v>350</v>
      </c>
    </row>
    <row r="135">
      <c r="A135" s="9" t="s">
        <v>289</v>
      </c>
      <c r="B135" s="9" t="s">
        <v>290</v>
      </c>
      <c r="C135" s="9" t="s">
        <v>351</v>
      </c>
      <c r="D135" s="9" t="s">
        <v>347</v>
      </c>
      <c r="E135" s="9" t="s">
        <v>24</v>
      </c>
      <c r="F135" s="9">
        <v>320.0</v>
      </c>
      <c r="G135" s="9">
        <v>1040.0</v>
      </c>
      <c r="H135" s="9">
        <v>66.2</v>
      </c>
      <c r="I135" s="10">
        <v>48.813677</v>
      </c>
      <c r="J135" s="10">
        <v>3.667405</v>
      </c>
      <c r="K135" s="11">
        <v>244.624801635742</v>
      </c>
      <c r="L135" s="12" t="s">
        <v>352</v>
      </c>
    </row>
    <row r="136">
      <c r="A136" s="9" t="s">
        <v>289</v>
      </c>
      <c r="B136" s="9" t="s">
        <v>290</v>
      </c>
      <c r="C136" s="9" t="s">
        <v>353</v>
      </c>
      <c r="D136" s="9" t="s">
        <v>354</v>
      </c>
      <c r="E136" s="9" t="s">
        <v>21</v>
      </c>
      <c r="F136" s="9">
        <v>1561.0</v>
      </c>
      <c r="G136" s="9">
        <v>4270.0</v>
      </c>
      <c r="H136" s="9">
        <v>75.6</v>
      </c>
      <c r="I136" s="10">
        <v>46.444209</v>
      </c>
      <c r="J136" s="10">
        <v>0.664866</v>
      </c>
      <c r="K136" s="11">
        <v>142.784698486328</v>
      </c>
      <c r="L136" s="12" t="s">
        <v>355</v>
      </c>
    </row>
    <row r="137">
      <c r="A137" s="9" t="s">
        <v>289</v>
      </c>
      <c r="B137" s="9" t="s">
        <v>290</v>
      </c>
      <c r="C137" s="9" t="s">
        <v>356</v>
      </c>
      <c r="D137" s="9" t="s">
        <v>354</v>
      </c>
      <c r="E137" s="9" t="s">
        <v>21</v>
      </c>
      <c r="F137" s="9">
        <v>1561.0</v>
      </c>
      <c r="G137" s="9">
        <v>4270.0</v>
      </c>
      <c r="H137" s="9">
        <v>76.0</v>
      </c>
      <c r="I137" s="10">
        <v>46.444209</v>
      </c>
      <c r="J137" s="10">
        <v>0.664866</v>
      </c>
      <c r="K137" s="11">
        <v>142.784698486328</v>
      </c>
      <c r="L137" s="12" t="s">
        <v>357</v>
      </c>
    </row>
    <row r="138">
      <c r="A138" s="9" t="s">
        <v>289</v>
      </c>
      <c r="B138" s="9" t="s">
        <v>290</v>
      </c>
      <c r="C138" s="9" t="s">
        <v>358</v>
      </c>
      <c r="D138" s="9" t="s">
        <v>359</v>
      </c>
      <c r="E138" s="9" t="s">
        <v>21</v>
      </c>
      <c r="F138" s="9">
        <v>956.0</v>
      </c>
      <c r="G138" s="9">
        <v>2785.0</v>
      </c>
      <c r="H138" s="9">
        <v>71.9</v>
      </c>
      <c r="I138" s="10">
        <v>44.656914</v>
      </c>
      <c r="J138" s="10">
        <v>4.765255</v>
      </c>
      <c r="K138" s="11">
        <v>175.860595703125</v>
      </c>
      <c r="L138" s="12" t="s">
        <v>360</v>
      </c>
    </row>
    <row r="139">
      <c r="A139" s="9" t="s">
        <v>289</v>
      </c>
      <c r="B139" s="9" t="s">
        <v>290</v>
      </c>
      <c r="C139" s="9" t="s">
        <v>361</v>
      </c>
      <c r="D139" s="9" t="s">
        <v>359</v>
      </c>
      <c r="E139" s="9" t="s">
        <v>21</v>
      </c>
      <c r="F139" s="9">
        <v>956.0</v>
      </c>
      <c r="G139" s="9">
        <v>2785.0</v>
      </c>
      <c r="H139" s="9">
        <v>73.0</v>
      </c>
      <c r="I139" s="10">
        <v>44.656914</v>
      </c>
      <c r="J139" s="10">
        <v>4.765255</v>
      </c>
      <c r="K139" s="11">
        <v>175.860595703125</v>
      </c>
      <c r="L139" s="12" t="s">
        <v>362</v>
      </c>
    </row>
    <row r="140">
      <c r="A140" s="9" t="s">
        <v>289</v>
      </c>
      <c r="B140" s="9" t="s">
        <v>290</v>
      </c>
      <c r="C140" s="9" t="s">
        <v>363</v>
      </c>
      <c r="D140" s="9" t="s">
        <v>359</v>
      </c>
      <c r="E140" s="9" t="s">
        <v>21</v>
      </c>
      <c r="F140" s="9">
        <v>956.0</v>
      </c>
      <c r="G140" s="9">
        <v>2785.0</v>
      </c>
      <c r="H140" s="9">
        <v>72.7</v>
      </c>
      <c r="I140" s="10">
        <v>44.656914</v>
      </c>
      <c r="J140" s="10">
        <v>4.765255</v>
      </c>
      <c r="K140" s="11">
        <v>175.860595703125</v>
      </c>
      <c r="L140" s="12" t="s">
        <v>364</v>
      </c>
    </row>
    <row r="141">
      <c r="A141" s="9" t="s">
        <v>289</v>
      </c>
      <c r="B141" s="9" t="s">
        <v>290</v>
      </c>
      <c r="C141" s="9" t="s">
        <v>365</v>
      </c>
      <c r="D141" s="9" t="s">
        <v>359</v>
      </c>
      <c r="E141" s="9" t="s">
        <v>21</v>
      </c>
      <c r="F141" s="9">
        <v>956.0</v>
      </c>
      <c r="G141" s="9">
        <v>2785.0</v>
      </c>
      <c r="H141" s="9">
        <v>72.1</v>
      </c>
      <c r="I141" s="10">
        <v>44.656914</v>
      </c>
      <c r="J141" s="10">
        <v>4.765255</v>
      </c>
      <c r="K141" s="11">
        <v>175.860595703125</v>
      </c>
      <c r="L141" s="12" t="s">
        <v>366</v>
      </c>
    </row>
    <row r="142">
      <c r="A142" s="9" t="s">
        <v>289</v>
      </c>
      <c r="B142" s="9" t="s">
        <v>290</v>
      </c>
      <c r="C142" s="9" t="s">
        <v>367</v>
      </c>
      <c r="D142" s="9" t="s">
        <v>368</v>
      </c>
      <c r="E142" s="9" t="s">
        <v>21</v>
      </c>
      <c r="F142" s="9">
        <v>937.0</v>
      </c>
      <c r="G142" s="9">
        <v>2785.0</v>
      </c>
      <c r="H142" s="9">
        <v>71.6</v>
      </c>
      <c r="I142" s="10">
        <v>47.761336</v>
      </c>
      <c r="J142" s="10">
        <v>2.519807</v>
      </c>
      <c r="K142" s="11">
        <v>193.165924072266</v>
      </c>
      <c r="L142" s="12" t="s">
        <v>369</v>
      </c>
    </row>
    <row r="143">
      <c r="A143" s="9" t="s">
        <v>289</v>
      </c>
      <c r="B143" s="9" t="s">
        <v>290</v>
      </c>
      <c r="C143" s="9" t="s">
        <v>370</v>
      </c>
      <c r="D143" s="9" t="s">
        <v>368</v>
      </c>
      <c r="E143" s="9" t="s">
        <v>21</v>
      </c>
      <c r="F143" s="9">
        <v>937.0</v>
      </c>
      <c r="G143" s="9">
        <v>2785.0</v>
      </c>
      <c r="H143" s="9">
        <v>70.4</v>
      </c>
      <c r="I143" s="10">
        <v>47.761336</v>
      </c>
      <c r="J143" s="10">
        <v>2.519807</v>
      </c>
      <c r="K143" s="11">
        <v>193.165924072266</v>
      </c>
      <c r="L143" s="12" t="s">
        <v>371</v>
      </c>
    </row>
    <row r="144">
      <c r="A144" s="9" t="s">
        <v>289</v>
      </c>
      <c r="B144" s="9" t="s">
        <v>290</v>
      </c>
      <c r="C144" s="9" t="s">
        <v>372</v>
      </c>
      <c r="D144" s="9" t="s">
        <v>368</v>
      </c>
      <c r="E144" s="9" t="s">
        <v>21</v>
      </c>
      <c r="F144" s="9">
        <v>937.0</v>
      </c>
      <c r="G144" s="9">
        <v>2785.0</v>
      </c>
      <c r="H144" s="9">
        <v>73.2</v>
      </c>
      <c r="I144" s="10">
        <v>47.761336</v>
      </c>
      <c r="J144" s="10">
        <v>2.519807</v>
      </c>
      <c r="K144" s="11">
        <v>193.165924072266</v>
      </c>
      <c r="L144" s="12" t="s">
        <v>373</v>
      </c>
    </row>
    <row r="145">
      <c r="A145" s="9" t="s">
        <v>289</v>
      </c>
      <c r="B145" s="9" t="s">
        <v>290</v>
      </c>
      <c r="C145" s="9" t="s">
        <v>374</v>
      </c>
      <c r="D145" s="9" t="s">
        <v>368</v>
      </c>
      <c r="E145" s="9" t="s">
        <v>21</v>
      </c>
      <c r="F145" s="9">
        <v>937.0</v>
      </c>
      <c r="G145" s="9">
        <v>2785.0</v>
      </c>
      <c r="H145" s="9">
        <v>72.1</v>
      </c>
      <c r="I145" s="10">
        <v>47.761336</v>
      </c>
      <c r="J145" s="10">
        <v>2.519807</v>
      </c>
      <c r="K145" s="11">
        <v>193.165924072266</v>
      </c>
      <c r="L145" s="12" t="s">
        <v>375</v>
      </c>
    </row>
    <row r="146">
      <c r="A146" s="9" t="s">
        <v>289</v>
      </c>
      <c r="B146" s="9" t="s">
        <v>290</v>
      </c>
      <c r="C146" s="9" t="s">
        <v>376</v>
      </c>
      <c r="D146" s="9" t="s">
        <v>377</v>
      </c>
      <c r="E146" s="9" t="s">
        <v>24</v>
      </c>
      <c r="F146" s="9">
        <v>75.0</v>
      </c>
      <c r="G146" s="9">
        <v>250.0</v>
      </c>
      <c r="H146" s="9">
        <v>68.7</v>
      </c>
      <c r="I146" s="10">
        <v>48.357285</v>
      </c>
      <c r="J146" s="10">
        <v>-3.85065</v>
      </c>
      <c r="K146" s="11">
        <v>284.514251708984</v>
      </c>
      <c r="L146" s="12" t="s">
        <v>378</v>
      </c>
    </row>
    <row r="147">
      <c r="A147" s="9" t="s">
        <v>289</v>
      </c>
      <c r="B147" s="9" t="s">
        <v>290</v>
      </c>
      <c r="C147" s="9" t="s">
        <v>379</v>
      </c>
      <c r="D147" s="9" t="s">
        <v>380</v>
      </c>
      <c r="E147" s="9" t="s">
        <v>21</v>
      </c>
      <c r="F147" s="9">
        <v>920.0</v>
      </c>
      <c r="G147" s="9">
        <v>2785.0</v>
      </c>
      <c r="H147" s="9">
        <v>67.8</v>
      </c>
      <c r="I147" s="10">
        <v>47.914709</v>
      </c>
      <c r="J147" s="10">
        <v>7.537626</v>
      </c>
      <c r="K147" s="11">
        <v>253.497543334961</v>
      </c>
      <c r="L147" s="12" t="s">
        <v>381</v>
      </c>
    </row>
    <row r="148">
      <c r="A148" s="9" t="s">
        <v>289</v>
      </c>
      <c r="B148" s="9" t="s">
        <v>290</v>
      </c>
      <c r="C148" s="9" t="s">
        <v>382</v>
      </c>
      <c r="D148" s="9" t="s">
        <v>380</v>
      </c>
      <c r="E148" s="9" t="s">
        <v>21</v>
      </c>
      <c r="F148" s="9">
        <v>920.0</v>
      </c>
      <c r="G148" s="9">
        <v>2785.0</v>
      </c>
      <c r="H148" s="9">
        <v>68.4</v>
      </c>
      <c r="I148" s="10">
        <v>47.914709</v>
      </c>
      <c r="J148" s="10">
        <v>7.537626</v>
      </c>
      <c r="K148" s="11">
        <v>253.497543334961</v>
      </c>
      <c r="L148" s="12" t="s">
        <v>383</v>
      </c>
    </row>
    <row r="149">
      <c r="A149" s="9" t="s">
        <v>289</v>
      </c>
      <c r="B149" s="9" t="s">
        <v>290</v>
      </c>
      <c r="C149" s="9" t="s">
        <v>384</v>
      </c>
      <c r="D149" s="9" t="s">
        <v>385</v>
      </c>
      <c r="E149" s="9" t="s">
        <v>21</v>
      </c>
      <c r="F149" s="9">
        <v>1382.0</v>
      </c>
      <c r="G149" s="9">
        <v>3817.0</v>
      </c>
      <c r="H149" s="9">
        <v>69.3</v>
      </c>
      <c r="I149" s="10">
        <v>49.53207</v>
      </c>
      <c r="J149" s="10">
        <v>-1.865804</v>
      </c>
      <c r="K149" s="11">
        <v>110.561363220215</v>
      </c>
      <c r="L149" s="12" t="s">
        <v>386</v>
      </c>
    </row>
    <row r="150">
      <c r="A150" s="9" t="s">
        <v>289</v>
      </c>
      <c r="B150" s="9" t="s">
        <v>290</v>
      </c>
      <c r="C150" s="9" t="s">
        <v>387</v>
      </c>
      <c r="D150" s="9" t="s">
        <v>385</v>
      </c>
      <c r="E150" s="9" t="s">
        <v>21</v>
      </c>
      <c r="F150" s="9">
        <v>1382.0</v>
      </c>
      <c r="G150" s="9">
        <v>3817.0</v>
      </c>
      <c r="H150" s="9">
        <v>70.8</v>
      </c>
      <c r="I150" s="10">
        <v>49.53207</v>
      </c>
      <c r="J150" s="10">
        <v>-1.865804</v>
      </c>
      <c r="K150" s="11">
        <v>110.561363220215</v>
      </c>
      <c r="L150" s="12" t="s">
        <v>388</v>
      </c>
    </row>
    <row r="151">
      <c r="A151" s="9" t="s">
        <v>289</v>
      </c>
      <c r="B151" s="9" t="s">
        <v>290</v>
      </c>
      <c r="C151" s="9" t="s">
        <v>389</v>
      </c>
      <c r="D151" s="9" t="s">
        <v>385</v>
      </c>
      <c r="E151" s="9" t="s">
        <v>26</v>
      </c>
      <c r="F151" s="9">
        <v>1650.0</v>
      </c>
      <c r="G151" s="9">
        <v>4300.0</v>
      </c>
      <c r="H151" s="9">
        <v>0.0</v>
      </c>
      <c r="I151" s="10">
        <v>49.53207</v>
      </c>
      <c r="J151" s="10">
        <v>-1.865804</v>
      </c>
      <c r="K151" s="11">
        <v>64.4518508911133</v>
      </c>
      <c r="L151" s="12" t="s">
        <v>390</v>
      </c>
    </row>
    <row r="152">
      <c r="A152" s="9" t="s">
        <v>289</v>
      </c>
      <c r="B152" s="9" t="s">
        <v>290</v>
      </c>
      <c r="C152" s="9" t="s">
        <v>391</v>
      </c>
      <c r="D152" s="9" t="s">
        <v>392</v>
      </c>
      <c r="E152" s="9" t="s">
        <v>24</v>
      </c>
      <c r="F152" s="9">
        <v>43.0</v>
      </c>
      <c r="G152" s="9">
        <v>260.0</v>
      </c>
      <c r="H152" s="9">
        <v>0.0</v>
      </c>
      <c r="I152" s="10">
        <v>44.141165</v>
      </c>
      <c r="J152" s="10">
        <v>4.694123</v>
      </c>
      <c r="K152" s="11">
        <v>98.3380813598633</v>
      </c>
      <c r="L152" s="12" t="s">
        <v>393</v>
      </c>
    </row>
    <row r="153">
      <c r="A153" s="9" t="s">
        <v>289</v>
      </c>
      <c r="B153" s="9" t="s">
        <v>290</v>
      </c>
      <c r="C153" s="9" t="s">
        <v>394</v>
      </c>
      <c r="D153" s="9" t="s">
        <v>392</v>
      </c>
      <c r="E153" s="9" t="s">
        <v>24</v>
      </c>
      <c r="F153" s="9">
        <v>43.0</v>
      </c>
      <c r="G153" s="9">
        <v>260.0</v>
      </c>
      <c r="H153" s="9">
        <v>75.1</v>
      </c>
      <c r="I153" s="10">
        <v>44.141165</v>
      </c>
      <c r="J153" s="10">
        <v>4.694123</v>
      </c>
      <c r="K153" s="11">
        <v>98.3380813598633</v>
      </c>
      <c r="L153" s="12" t="s">
        <v>395</v>
      </c>
    </row>
    <row r="154">
      <c r="A154" s="9" t="s">
        <v>289</v>
      </c>
      <c r="B154" s="9" t="s">
        <v>290</v>
      </c>
      <c r="C154" s="9" t="s">
        <v>396</v>
      </c>
      <c r="D154" s="9" t="s">
        <v>397</v>
      </c>
      <c r="E154" s="9" t="s">
        <v>21</v>
      </c>
      <c r="F154" s="9">
        <v>1363.0</v>
      </c>
      <c r="G154" s="9">
        <v>3817.0</v>
      </c>
      <c r="H154" s="9">
        <v>76.2</v>
      </c>
      <c r="I154" s="10">
        <v>44.203142</v>
      </c>
      <c r="J154" s="10">
        <v>0.616363</v>
      </c>
      <c r="K154" s="11">
        <v>108.694717407227</v>
      </c>
      <c r="L154" s="12" t="s">
        <v>398</v>
      </c>
    </row>
    <row r="155">
      <c r="A155" s="9" t="s">
        <v>289</v>
      </c>
      <c r="B155" s="9" t="s">
        <v>290</v>
      </c>
      <c r="C155" s="9" t="s">
        <v>399</v>
      </c>
      <c r="D155" s="9" t="s">
        <v>397</v>
      </c>
      <c r="E155" s="9" t="s">
        <v>21</v>
      </c>
      <c r="F155" s="9">
        <v>1363.0</v>
      </c>
      <c r="G155" s="9">
        <v>3817.0</v>
      </c>
      <c r="H155" s="9">
        <v>76.5</v>
      </c>
      <c r="I155" s="10">
        <v>44.203142</v>
      </c>
      <c r="J155" s="10">
        <v>0.616363</v>
      </c>
      <c r="K155" s="11">
        <v>108.694717407227</v>
      </c>
      <c r="L155" s="12" t="s">
        <v>400</v>
      </c>
    </row>
    <row r="156">
      <c r="A156" s="9" t="s">
        <v>289</v>
      </c>
      <c r="B156" s="9" t="s">
        <v>290</v>
      </c>
      <c r="C156" s="9" t="s">
        <v>401</v>
      </c>
      <c r="D156" s="9" t="s">
        <v>402</v>
      </c>
      <c r="E156" s="9" t="s">
        <v>21</v>
      </c>
      <c r="F156" s="9">
        <v>951.0</v>
      </c>
      <c r="G156" s="9">
        <v>2785.0</v>
      </c>
      <c r="H156" s="9">
        <v>69.9</v>
      </c>
      <c r="I156" s="10">
        <v>50.98707</v>
      </c>
      <c r="J156" s="10">
        <v>2.125537</v>
      </c>
      <c r="K156" s="11">
        <v>46.5632553100586</v>
      </c>
      <c r="L156" s="12" t="s">
        <v>403</v>
      </c>
    </row>
    <row r="157">
      <c r="A157" s="9" t="s">
        <v>289</v>
      </c>
      <c r="B157" s="9" t="s">
        <v>290</v>
      </c>
      <c r="C157" s="9" t="s">
        <v>404</v>
      </c>
      <c r="D157" s="9" t="s">
        <v>402</v>
      </c>
      <c r="E157" s="9" t="s">
        <v>21</v>
      </c>
      <c r="F157" s="9">
        <v>951.0</v>
      </c>
      <c r="G157" s="9">
        <v>2785.0</v>
      </c>
      <c r="H157" s="9">
        <v>73.2</v>
      </c>
      <c r="I157" s="10">
        <v>50.98707</v>
      </c>
      <c r="J157" s="10">
        <v>2.125537</v>
      </c>
      <c r="K157" s="11">
        <v>46.5632553100586</v>
      </c>
      <c r="L157" s="12" t="s">
        <v>405</v>
      </c>
    </row>
    <row r="158">
      <c r="A158" s="9" t="s">
        <v>289</v>
      </c>
      <c r="B158" s="9" t="s">
        <v>290</v>
      </c>
      <c r="C158" s="9" t="s">
        <v>406</v>
      </c>
      <c r="D158" s="9" t="s">
        <v>402</v>
      </c>
      <c r="E158" s="9" t="s">
        <v>21</v>
      </c>
      <c r="F158" s="9">
        <v>951.0</v>
      </c>
      <c r="G158" s="9">
        <v>2785.0</v>
      </c>
      <c r="H158" s="9">
        <v>73.4</v>
      </c>
      <c r="I158" s="10">
        <v>50.98707</v>
      </c>
      <c r="J158" s="10">
        <v>2.125537</v>
      </c>
      <c r="K158" s="11">
        <v>46.5632553100586</v>
      </c>
      <c r="L158" s="12" t="s">
        <v>407</v>
      </c>
    </row>
    <row r="159">
      <c r="A159" s="9" t="s">
        <v>289</v>
      </c>
      <c r="B159" s="9" t="s">
        <v>290</v>
      </c>
      <c r="C159" s="9" t="s">
        <v>408</v>
      </c>
      <c r="D159" s="9" t="s">
        <v>402</v>
      </c>
      <c r="E159" s="9" t="s">
        <v>21</v>
      </c>
      <c r="F159" s="9">
        <v>951.0</v>
      </c>
      <c r="G159" s="9">
        <v>2785.0</v>
      </c>
      <c r="H159" s="9">
        <v>75.6</v>
      </c>
      <c r="I159" s="10">
        <v>50.98707</v>
      </c>
      <c r="J159" s="10">
        <v>2.125537</v>
      </c>
      <c r="K159" s="11">
        <v>46.5632553100586</v>
      </c>
      <c r="L159" s="12" t="s">
        <v>409</v>
      </c>
    </row>
    <row r="160">
      <c r="A160" s="9" t="s">
        <v>289</v>
      </c>
      <c r="B160" s="9" t="s">
        <v>290</v>
      </c>
      <c r="C160" s="9" t="s">
        <v>410</v>
      </c>
      <c r="D160" s="9" t="s">
        <v>402</v>
      </c>
      <c r="E160" s="9" t="s">
        <v>21</v>
      </c>
      <c r="F160" s="9">
        <v>951.0</v>
      </c>
      <c r="G160" s="9">
        <v>2785.0</v>
      </c>
      <c r="H160" s="9">
        <v>75.7</v>
      </c>
      <c r="I160" s="10">
        <v>50.98707</v>
      </c>
      <c r="J160" s="10">
        <v>2.125537</v>
      </c>
      <c r="K160" s="11">
        <v>46.5632553100586</v>
      </c>
      <c r="L160" s="12" t="s">
        <v>411</v>
      </c>
    </row>
    <row r="161">
      <c r="A161" s="9" t="s">
        <v>289</v>
      </c>
      <c r="B161" s="9" t="s">
        <v>290</v>
      </c>
      <c r="C161" s="9" t="s">
        <v>412</v>
      </c>
      <c r="D161" s="9" t="s">
        <v>402</v>
      </c>
      <c r="E161" s="9" t="s">
        <v>21</v>
      </c>
      <c r="F161" s="9">
        <v>951.0</v>
      </c>
      <c r="G161" s="9">
        <v>2785.0</v>
      </c>
      <c r="H161" s="9">
        <v>77.6</v>
      </c>
      <c r="I161" s="10">
        <v>50.98707</v>
      </c>
      <c r="J161" s="10">
        <v>2.125537</v>
      </c>
      <c r="K161" s="11">
        <v>46.5632553100586</v>
      </c>
      <c r="L161" s="12" t="s">
        <v>413</v>
      </c>
    </row>
    <row r="162">
      <c r="A162" s="9" t="s">
        <v>289</v>
      </c>
      <c r="B162" s="9" t="s">
        <v>290</v>
      </c>
      <c r="C162" s="9" t="s">
        <v>414</v>
      </c>
      <c r="D162" s="9" t="s">
        <v>415</v>
      </c>
      <c r="E162" s="9" t="s">
        <v>21</v>
      </c>
      <c r="F162" s="9">
        <v>1363.0</v>
      </c>
      <c r="G162" s="9">
        <v>3817.0</v>
      </c>
      <c r="H162" s="9">
        <v>71.7</v>
      </c>
      <c r="I162" s="10">
        <v>48.492624</v>
      </c>
      <c r="J162" s="10">
        <v>3.498165</v>
      </c>
      <c r="K162" s="11">
        <v>113.404556274414</v>
      </c>
      <c r="L162" s="12" t="s">
        <v>416</v>
      </c>
    </row>
    <row r="163">
      <c r="A163" s="9" t="s">
        <v>289</v>
      </c>
      <c r="B163" s="9" t="s">
        <v>290</v>
      </c>
      <c r="C163" s="9" t="s">
        <v>417</v>
      </c>
      <c r="D163" s="9" t="s">
        <v>415</v>
      </c>
      <c r="E163" s="9" t="s">
        <v>21</v>
      </c>
      <c r="F163" s="9">
        <v>1363.0</v>
      </c>
      <c r="G163" s="9">
        <v>3817.0</v>
      </c>
      <c r="H163" s="9">
        <v>74.7</v>
      </c>
      <c r="I163" s="10">
        <v>48.492624</v>
      </c>
      <c r="J163" s="10">
        <v>3.498165</v>
      </c>
      <c r="K163" s="11">
        <v>113.404556274414</v>
      </c>
      <c r="L163" s="12" t="s">
        <v>418</v>
      </c>
    </row>
    <row r="164">
      <c r="A164" s="9" t="s">
        <v>289</v>
      </c>
      <c r="B164" s="9" t="s">
        <v>290</v>
      </c>
      <c r="C164" s="9" t="s">
        <v>419</v>
      </c>
      <c r="D164" s="9" t="s">
        <v>420</v>
      </c>
      <c r="E164" s="9" t="s">
        <v>21</v>
      </c>
      <c r="F164" s="9">
        <v>1382.0</v>
      </c>
      <c r="G164" s="9">
        <v>3817.0</v>
      </c>
      <c r="H164" s="9">
        <v>71.1</v>
      </c>
      <c r="I164" s="10">
        <v>49.832363</v>
      </c>
      <c r="J164" s="10">
        <v>0.629065</v>
      </c>
      <c r="K164" s="11">
        <v>104.684410095215</v>
      </c>
      <c r="L164" s="12" t="s">
        <v>421</v>
      </c>
    </row>
    <row r="165">
      <c r="A165" s="9" t="s">
        <v>289</v>
      </c>
      <c r="B165" s="9" t="s">
        <v>290</v>
      </c>
      <c r="C165" s="9" t="s">
        <v>422</v>
      </c>
      <c r="D165" s="9" t="s">
        <v>420</v>
      </c>
      <c r="E165" s="9" t="s">
        <v>21</v>
      </c>
      <c r="F165" s="9">
        <v>1382.0</v>
      </c>
      <c r="G165" s="9">
        <v>3817.0</v>
      </c>
      <c r="H165" s="9">
        <v>70.1</v>
      </c>
      <c r="I165" s="10">
        <v>49.832363</v>
      </c>
      <c r="J165" s="10">
        <v>0.629065</v>
      </c>
      <c r="K165" s="11">
        <v>104.684410095215</v>
      </c>
      <c r="L165" s="12" t="s">
        <v>424</v>
      </c>
    </row>
    <row r="166">
      <c r="A166" s="9" t="s">
        <v>289</v>
      </c>
      <c r="B166" s="9" t="s">
        <v>290</v>
      </c>
      <c r="C166" s="9" t="s">
        <v>426</v>
      </c>
      <c r="D166" s="9" t="s">
        <v>420</v>
      </c>
      <c r="E166" s="9" t="s">
        <v>21</v>
      </c>
      <c r="F166" s="9">
        <v>1382.0</v>
      </c>
      <c r="G166" s="9">
        <v>3817.0</v>
      </c>
      <c r="H166" s="9">
        <v>67.9</v>
      </c>
      <c r="I166" s="10">
        <v>49.832363</v>
      </c>
      <c r="J166" s="10">
        <v>0.629065</v>
      </c>
      <c r="K166" s="11">
        <v>104.684410095215</v>
      </c>
      <c r="L166" s="12" t="s">
        <v>428</v>
      </c>
    </row>
    <row r="167">
      <c r="A167" s="9" t="s">
        <v>289</v>
      </c>
      <c r="B167" s="9" t="s">
        <v>290</v>
      </c>
      <c r="C167" s="9" t="s">
        <v>429</v>
      </c>
      <c r="D167" s="9" t="s">
        <v>420</v>
      </c>
      <c r="E167" s="9" t="s">
        <v>21</v>
      </c>
      <c r="F167" s="9">
        <v>1382.0</v>
      </c>
      <c r="G167" s="9">
        <v>3817.0</v>
      </c>
      <c r="H167" s="9">
        <v>71.1</v>
      </c>
      <c r="I167" s="10">
        <v>49.832363</v>
      </c>
      <c r="J167" s="10">
        <v>0.629065</v>
      </c>
      <c r="K167" s="11">
        <v>104.684410095215</v>
      </c>
      <c r="L167" s="12" t="s">
        <v>430</v>
      </c>
    </row>
    <row r="168">
      <c r="A168" s="9" t="s">
        <v>289</v>
      </c>
      <c r="B168" s="9" t="s">
        <v>290</v>
      </c>
      <c r="C168" s="9" t="s">
        <v>431</v>
      </c>
      <c r="D168" s="9" t="s">
        <v>432</v>
      </c>
      <c r="E168" s="9" t="s">
        <v>21</v>
      </c>
      <c r="F168" s="9">
        <v>1382.0</v>
      </c>
      <c r="G168" s="9">
        <v>3817.0</v>
      </c>
      <c r="H168" s="9">
        <v>75.9</v>
      </c>
      <c r="I168" s="10">
        <v>49.980265</v>
      </c>
      <c r="J168" s="10">
        <v>1.232629</v>
      </c>
      <c r="K168" s="11">
        <v>92.9661254882812</v>
      </c>
      <c r="L168" s="12" t="s">
        <v>433</v>
      </c>
    </row>
    <row r="169">
      <c r="A169" s="9" t="s">
        <v>289</v>
      </c>
      <c r="B169" s="9" t="s">
        <v>290</v>
      </c>
      <c r="C169" s="9" t="s">
        <v>435</v>
      </c>
      <c r="D169" s="9" t="s">
        <v>432</v>
      </c>
      <c r="E169" s="9" t="s">
        <v>21</v>
      </c>
      <c r="F169" s="9">
        <v>1382.0</v>
      </c>
      <c r="G169" s="9">
        <v>3817.0</v>
      </c>
      <c r="H169" s="9">
        <v>77.2</v>
      </c>
      <c r="I169" s="10">
        <v>49.980265</v>
      </c>
      <c r="J169" s="10">
        <v>1.232629</v>
      </c>
      <c r="K169" s="11">
        <v>92.9661254882812</v>
      </c>
      <c r="L169" s="12" t="s">
        <v>436</v>
      </c>
    </row>
    <row r="170">
      <c r="A170" s="9" t="s">
        <v>289</v>
      </c>
      <c r="B170" s="9" t="s">
        <v>290</v>
      </c>
      <c r="C170" s="9" t="s">
        <v>438</v>
      </c>
      <c r="D170" s="9" t="s">
        <v>392</v>
      </c>
      <c r="E170" s="9" t="s">
        <v>24</v>
      </c>
      <c r="F170" s="9">
        <v>142.0</v>
      </c>
      <c r="G170" s="9">
        <v>345.0</v>
      </c>
      <c r="H170" s="9">
        <v>40.5</v>
      </c>
      <c r="I170" s="10">
        <v>44.141165</v>
      </c>
      <c r="J170" s="10">
        <v>4.694123</v>
      </c>
      <c r="K170" s="11">
        <v>98.3380813598633</v>
      </c>
      <c r="L170" s="12" t="s">
        <v>439</v>
      </c>
    </row>
    <row r="171">
      <c r="A171" s="9" t="s">
        <v>289</v>
      </c>
      <c r="B171" s="9" t="s">
        <v>290</v>
      </c>
      <c r="C171" s="9" t="s">
        <v>440</v>
      </c>
      <c r="D171" s="9" t="s">
        <v>441</v>
      </c>
      <c r="E171" s="9" t="s">
        <v>21</v>
      </c>
      <c r="F171" s="9">
        <v>1381.0</v>
      </c>
      <c r="G171" s="9">
        <v>3817.0</v>
      </c>
      <c r="H171" s="9">
        <v>67.5</v>
      </c>
      <c r="I171" s="10">
        <v>45.397062</v>
      </c>
      <c r="J171" s="10">
        <v>4.77432</v>
      </c>
      <c r="K171" s="11">
        <v>214.05549621582</v>
      </c>
      <c r="L171" s="12" t="s">
        <v>442</v>
      </c>
    </row>
    <row r="172">
      <c r="A172" s="9" t="s">
        <v>289</v>
      </c>
      <c r="B172" s="9" t="s">
        <v>290</v>
      </c>
      <c r="C172" s="9" t="s">
        <v>443</v>
      </c>
      <c r="D172" s="9" t="s">
        <v>441</v>
      </c>
      <c r="E172" s="9" t="s">
        <v>21</v>
      </c>
      <c r="F172" s="9">
        <v>1381.0</v>
      </c>
      <c r="G172" s="9">
        <v>3817.0</v>
      </c>
      <c r="H172" s="9">
        <v>67.2</v>
      </c>
      <c r="I172" s="10">
        <v>45.397062</v>
      </c>
      <c r="J172" s="10">
        <v>4.77432</v>
      </c>
      <c r="K172" s="11">
        <v>214.05549621582</v>
      </c>
      <c r="L172" s="12" t="s">
        <v>445</v>
      </c>
    </row>
    <row r="173">
      <c r="A173" s="9" t="s">
        <v>289</v>
      </c>
      <c r="B173" s="9" t="s">
        <v>290</v>
      </c>
      <c r="C173" s="9" t="s">
        <v>447</v>
      </c>
      <c r="D173" s="9" t="s">
        <v>448</v>
      </c>
      <c r="E173" s="9" t="s">
        <v>24</v>
      </c>
      <c r="F173" s="9">
        <v>500.0</v>
      </c>
      <c r="G173" s="9">
        <v>1650.0</v>
      </c>
      <c r="H173" s="9">
        <v>58.6</v>
      </c>
      <c r="I173" s="10">
        <v>47.71778</v>
      </c>
      <c r="J173" s="10">
        <v>1.612345</v>
      </c>
      <c r="K173" s="11">
        <v>132.310791015625</v>
      </c>
      <c r="L173" s="12" t="s">
        <v>449</v>
      </c>
    </row>
    <row r="174">
      <c r="A174" s="9" t="s">
        <v>289</v>
      </c>
      <c r="B174" s="9" t="s">
        <v>290</v>
      </c>
      <c r="C174" s="9" t="s">
        <v>451</v>
      </c>
      <c r="D174" s="9" t="s">
        <v>448</v>
      </c>
      <c r="E174" s="9" t="s">
        <v>24</v>
      </c>
      <c r="F174" s="9">
        <v>530.0</v>
      </c>
      <c r="G174" s="9">
        <v>1475.0</v>
      </c>
      <c r="H174" s="9">
        <v>54.1</v>
      </c>
      <c r="I174" s="10">
        <v>47.71778</v>
      </c>
      <c r="J174" s="10">
        <v>1.612345</v>
      </c>
      <c r="K174" s="11">
        <v>132.310791015625</v>
      </c>
      <c r="L174" s="12" t="s">
        <v>452</v>
      </c>
    </row>
    <row r="175">
      <c r="A175" s="9" t="s">
        <v>289</v>
      </c>
      <c r="B175" s="9" t="s">
        <v>290</v>
      </c>
      <c r="C175" s="9" t="s">
        <v>453</v>
      </c>
      <c r="D175" s="9" t="s">
        <v>448</v>
      </c>
      <c r="E175" s="9" t="s">
        <v>21</v>
      </c>
      <c r="F175" s="9">
        <v>956.0</v>
      </c>
      <c r="G175" s="9">
        <v>2785.0</v>
      </c>
      <c r="H175" s="9">
        <v>73.0</v>
      </c>
      <c r="I175" s="10">
        <v>47.71778</v>
      </c>
      <c r="J175" s="10">
        <v>1.612345</v>
      </c>
      <c r="K175" s="11">
        <v>132.310791015625</v>
      </c>
      <c r="L175" s="12" t="s">
        <v>455</v>
      </c>
    </row>
    <row r="176">
      <c r="A176" s="9" t="s">
        <v>289</v>
      </c>
      <c r="B176" s="9" t="s">
        <v>290</v>
      </c>
      <c r="C176" s="9" t="s">
        <v>456</v>
      </c>
      <c r="D176" s="9" t="s">
        <v>448</v>
      </c>
      <c r="E176" s="9" t="s">
        <v>21</v>
      </c>
      <c r="F176" s="9">
        <v>956.0</v>
      </c>
      <c r="G176" s="9">
        <v>2785.0</v>
      </c>
      <c r="H176" s="9">
        <v>70.6</v>
      </c>
      <c r="I176" s="10">
        <v>47.71778</v>
      </c>
      <c r="J176" s="10">
        <v>1.612345</v>
      </c>
      <c r="K176" s="11">
        <v>132.310791015625</v>
      </c>
      <c r="L176" s="12" t="s">
        <v>457</v>
      </c>
    </row>
    <row r="177">
      <c r="A177" s="9" t="s">
        <v>289</v>
      </c>
      <c r="B177" s="9" t="s">
        <v>290</v>
      </c>
      <c r="C177" s="9" t="s">
        <v>458</v>
      </c>
      <c r="D177" s="9" t="s">
        <v>459</v>
      </c>
      <c r="E177" s="9" t="s">
        <v>24</v>
      </c>
      <c r="F177" s="9">
        <v>1242.0</v>
      </c>
      <c r="G177" s="9">
        <v>3000.0</v>
      </c>
      <c r="H177" s="9">
        <v>7.9</v>
      </c>
      <c r="I177" s="10">
        <v>45.749744</v>
      </c>
      <c r="J177" s="10">
        <v>5.480837</v>
      </c>
      <c r="K177" s="11">
        <v>274.638000488281</v>
      </c>
      <c r="L177" s="12" t="s">
        <v>460</v>
      </c>
    </row>
    <row r="178">
      <c r="A178" s="9" t="s">
        <v>289</v>
      </c>
      <c r="B178" s="9" t="s">
        <v>290</v>
      </c>
      <c r="C178" s="9" t="s">
        <v>462</v>
      </c>
      <c r="D178" s="9" t="s">
        <v>463</v>
      </c>
      <c r="E178" s="9" t="s">
        <v>21</v>
      </c>
      <c r="F178" s="9">
        <v>955.0</v>
      </c>
      <c r="G178" s="9">
        <v>2785.0</v>
      </c>
      <c r="H178" s="9">
        <v>72.9</v>
      </c>
      <c r="I178" s="10">
        <v>44.37775</v>
      </c>
      <c r="J178" s="10">
        <v>4.696981</v>
      </c>
      <c r="K178" s="11">
        <v>105.195709228516</v>
      </c>
      <c r="L178" s="12" t="s">
        <v>464</v>
      </c>
    </row>
    <row r="179">
      <c r="A179" s="9" t="s">
        <v>289</v>
      </c>
      <c r="B179" s="9" t="s">
        <v>290</v>
      </c>
      <c r="C179" s="9" t="s">
        <v>465</v>
      </c>
      <c r="D179" s="9" t="s">
        <v>463</v>
      </c>
      <c r="E179" s="9" t="s">
        <v>21</v>
      </c>
      <c r="F179" s="9">
        <v>955.0</v>
      </c>
      <c r="G179" s="9">
        <v>2785.0</v>
      </c>
      <c r="H179" s="9">
        <v>72.3</v>
      </c>
      <c r="I179" s="10">
        <v>44.37775</v>
      </c>
      <c r="J179" s="10">
        <v>4.696981</v>
      </c>
      <c r="K179" s="11">
        <v>105.195709228516</v>
      </c>
      <c r="L179" s="12" t="s">
        <v>466</v>
      </c>
    </row>
    <row r="180">
      <c r="A180" s="9" t="s">
        <v>289</v>
      </c>
      <c r="B180" s="9" t="s">
        <v>290</v>
      </c>
      <c r="C180" s="9" t="s">
        <v>468</v>
      </c>
      <c r="D180" s="9" t="s">
        <v>463</v>
      </c>
      <c r="E180" s="9" t="s">
        <v>21</v>
      </c>
      <c r="F180" s="9">
        <v>955.0</v>
      </c>
      <c r="G180" s="9">
        <v>2785.0</v>
      </c>
      <c r="H180" s="9">
        <v>75.3</v>
      </c>
      <c r="I180" s="10">
        <v>44.37775</v>
      </c>
      <c r="J180" s="10">
        <v>4.696981</v>
      </c>
      <c r="K180" s="11">
        <v>105.195709228516</v>
      </c>
      <c r="L180" s="12" t="s">
        <v>469</v>
      </c>
    </row>
    <row r="181">
      <c r="A181" s="9" t="s">
        <v>289</v>
      </c>
      <c r="B181" s="9" t="s">
        <v>290</v>
      </c>
      <c r="C181" s="9" t="s">
        <v>470</v>
      </c>
      <c r="D181" s="9" t="s">
        <v>463</v>
      </c>
      <c r="E181" s="9" t="s">
        <v>21</v>
      </c>
      <c r="F181" s="9">
        <v>955.0</v>
      </c>
      <c r="G181" s="9">
        <v>2785.0</v>
      </c>
      <c r="H181" s="9">
        <v>74.6</v>
      </c>
      <c r="I181" s="10">
        <v>44.37775</v>
      </c>
      <c r="J181" s="10">
        <v>4.696981</v>
      </c>
      <c r="K181" s="11">
        <v>105.195709228516</v>
      </c>
      <c r="L181" s="12" t="s">
        <v>471</v>
      </c>
    </row>
    <row r="182">
      <c r="A182" s="9" t="s">
        <v>423</v>
      </c>
      <c r="B182" s="9" t="s">
        <v>425</v>
      </c>
      <c r="C182" s="9" t="s">
        <v>472</v>
      </c>
      <c r="D182" s="9" t="s">
        <v>473</v>
      </c>
      <c r="E182" s="9" t="s">
        <v>24</v>
      </c>
      <c r="F182" s="9">
        <v>15.0</v>
      </c>
      <c r="G182" s="9">
        <v>46.0</v>
      </c>
      <c r="H182" s="9">
        <v>62.0</v>
      </c>
      <c r="I182" s="10">
        <v>50.9224226</v>
      </c>
      <c r="J182" s="10">
        <v>6.3639119</v>
      </c>
      <c r="K182" s="11">
        <v>136.750610351562</v>
      </c>
      <c r="L182" s="12" t="s">
        <v>474</v>
      </c>
    </row>
    <row r="183">
      <c r="A183" s="9" t="s">
        <v>423</v>
      </c>
      <c r="B183" s="9" t="s">
        <v>425</v>
      </c>
      <c r="C183" s="9" t="s">
        <v>475</v>
      </c>
      <c r="D183" s="9" t="s">
        <v>444</v>
      </c>
      <c r="E183" s="9" t="s">
        <v>24</v>
      </c>
      <c r="F183" s="9">
        <v>1225.0</v>
      </c>
      <c r="G183" s="9">
        <v>3517.0</v>
      </c>
      <c r="H183" s="9">
        <v>63.1</v>
      </c>
      <c r="I183" s="10">
        <v>49.6882507</v>
      </c>
      <c r="J183" s="10">
        <v>8.4530559</v>
      </c>
      <c r="K183" s="11">
        <v>136.540344238281</v>
      </c>
      <c r="L183" s="12" t="s">
        <v>476</v>
      </c>
    </row>
    <row r="184">
      <c r="A184" s="9" t="s">
        <v>423</v>
      </c>
      <c r="B184" s="9" t="s">
        <v>425</v>
      </c>
      <c r="C184" s="9" t="s">
        <v>478</v>
      </c>
      <c r="D184" s="9" t="s">
        <v>444</v>
      </c>
      <c r="E184" s="9" t="s">
        <v>24</v>
      </c>
      <c r="F184" s="9">
        <v>1300.0</v>
      </c>
      <c r="G184" s="9">
        <v>3733.0</v>
      </c>
      <c r="H184" s="9">
        <v>66.0</v>
      </c>
      <c r="I184" s="10">
        <v>49.6882507</v>
      </c>
      <c r="J184" s="10">
        <v>8.4530559</v>
      </c>
      <c r="K184" s="11">
        <v>136.540344238281</v>
      </c>
      <c r="L184" s="12" t="s">
        <v>479</v>
      </c>
    </row>
    <row r="185">
      <c r="A185" s="9" t="s">
        <v>423</v>
      </c>
      <c r="B185" s="9" t="s">
        <v>425</v>
      </c>
      <c r="C185" s="9" t="s">
        <v>480</v>
      </c>
      <c r="D185" s="9" t="s">
        <v>481</v>
      </c>
      <c r="E185" s="9" t="s">
        <v>21</v>
      </c>
      <c r="F185" s="9">
        <v>1480.0</v>
      </c>
      <c r="G185" s="9">
        <v>3900.0</v>
      </c>
      <c r="H185" s="9">
        <v>88.2</v>
      </c>
      <c r="I185" s="10">
        <v>51.7293769</v>
      </c>
      <c r="J185" s="10">
        <v>10.2580311</v>
      </c>
      <c r="K185" s="11">
        <v>301.144409179688</v>
      </c>
      <c r="L185" s="12" t="s">
        <v>482</v>
      </c>
    </row>
    <row r="186">
      <c r="A186" s="9" t="s">
        <v>423</v>
      </c>
      <c r="B186" s="9" t="s">
        <v>425</v>
      </c>
      <c r="C186" s="9" t="s">
        <v>446</v>
      </c>
      <c r="D186" s="9" t="s">
        <v>446</v>
      </c>
      <c r="E186" s="9" t="s">
        <v>24</v>
      </c>
      <c r="F186" s="9">
        <v>806.0</v>
      </c>
      <c r="G186" s="9">
        <v>2292.0</v>
      </c>
      <c r="H186" s="9">
        <v>51.1</v>
      </c>
      <c r="I186" s="10">
        <v>53.8988902</v>
      </c>
      <c r="J186" s="10">
        <v>9.1338853</v>
      </c>
      <c r="K186" s="11">
        <v>39.4959449768066</v>
      </c>
      <c r="L186" s="12" t="s">
        <v>484</v>
      </c>
    </row>
    <row r="187">
      <c r="A187" s="9" t="s">
        <v>423</v>
      </c>
      <c r="B187" s="9" t="s">
        <v>425</v>
      </c>
      <c r="C187" s="9" t="s">
        <v>485</v>
      </c>
      <c r="D187" s="9" t="s">
        <v>486</v>
      </c>
      <c r="E187" s="9" t="s">
        <v>21</v>
      </c>
      <c r="F187" s="9">
        <v>1400.0</v>
      </c>
      <c r="G187" s="9">
        <v>3850.0</v>
      </c>
      <c r="H187" s="9">
        <v>93.5</v>
      </c>
      <c r="I187" s="10">
        <v>52.532139</v>
      </c>
      <c r="J187" s="10">
        <v>7.323011</v>
      </c>
      <c r="K187" s="11">
        <v>71.8146743774414</v>
      </c>
      <c r="L187" s="12" t="s">
        <v>487</v>
      </c>
    </row>
    <row r="188">
      <c r="A188" s="9" t="s">
        <v>423</v>
      </c>
      <c r="B188" s="9" t="s">
        <v>425</v>
      </c>
      <c r="C188" s="9" t="s">
        <v>488</v>
      </c>
      <c r="D188" s="9" t="s">
        <v>489</v>
      </c>
      <c r="E188" s="9" t="s">
        <v>21</v>
      </c>
      <c r="F188" s="9">
        <v>1345.0</v>
      </c>
      <c r="G188" s="9">
        <v>3765.0</v>
      </c>
      <c r="H188" s="9">
        <v>85.8</v>
      </c>
      <c r="I188" s="10">
        <v>50.0492047</v>
      </c>
      <c r="J188" s="10">
        <v>10.2194228</v>
      </c>
      <c r="K188" s="11">
        <v>283.176818847656</v>
      </c>
      <c r="L188" s="12" t="s">
        <v>491</v>
      </c>
    </row>
    <row r="189">
      <c r="A189" s="9" t="s">
        <v>423</v>
      </c>
      <c r="B189" s="9" t="s">
        <v>425</v>
      </c>
      <c r="C189" s="9" t="s">
        <v>492</v>
      </c>
      <c r="D189" s="9" t="s">
        <v>493</v>
      </c>
      <c r="E189" s="9" t="s">
        <v>24</v>
      </c>
      <c r="F189" s="9">
        <v>440.0</v>
      </c>
      <c r="G189" s="9">
        <v>1375.0</v>
      </c>
      <c r="H189" s="9">
        <v>0.0</v>
      </c>
      <c r="I189" s="10">
        <v>54.0865463</v>
      </c>
      <c r="J189" s="10">
        <v>13.3923414</v>
      </c>
      <c r="K189" s="11">
        <v>42.1623802185059</v>
      </c>
      <c r="L189" s="12" t="s">
        <v>494</v>
      </c>
    </row>
    <row r="190">
      <c r="A190" s="9" t="s">
        <v>423</v>
      </c>
      <c r="B190" s="9" t="s">
        <v>425</v>
      </c>
      <c r="C190" s="9" t="s">
        <v>495</v>
      </c>
      <c r="D190" s="9" t="s">
        <v>493</v>
      </c>
      <c r="E190" s="9" t="s">
        <v>24</v>
      </c>
      <c r="F190" s="9">
        <v>440.0</v>
      </c>
      <c r="G190" s="9">
        <v>1375.0</v>
      </c>
      <c r="H190" s="9">
        <v>0.0</v>
      </c>
      <c r="I190" s="10">
        <v>54.0865463</v>
      </c>
      <c r="J190" s="10">
        <v>13.3923414</v>
      </c>
      <c r="K190" s="11">
        <v>42.1623802185059</v>
      </c>
      <c r="L190" s="12" t="s">
        <v>496</v>
      </c>
    </row>
    <row r="191">
      <c r="A191" s="9" t="s">
        <v>423</v>
      </c>
      <c r="B191" s="9" t="s">
        <v>425</v>
      </c>
      <c r="C191" s="9" t="s">
        <v>497</v>
      </c>
      <c r="D191" s="9" t="s">
        <v>493</v>
      </c>
      <c r="E191" s="9" t="s">
        <v>24</v>
      </c>
      <c r="F191" s="9">
        <v>440.0</v>
      </c>
      <c r="G191" s="9">
        <v>1375.0</v>
      </c>
      <c r="H191" s="9">
        <v>0.0</v>
      </c>
      <c r="I191" s="10">
        <v>54.0865463</v>
      </c>
      <c r="J191" s="10">
        <v>13.3923414</v>
      </c>
      <c r="K191" s="11">
        <v>42.1623802185059</v>
      </c>
      <c r="L191" s="12" t="s">
        <v>499</v>
      </c>
    </row>
    <row r="192">
      <c r="A192" s="9" t="s">
        <v>423</v>
      </c>
      <c r="B192" s="9" t="s">
        <v>425</v>
      </c>
      <c r="C192" s="9" t="s">
        <v>500</v>
      </c>
      <c r="D192" s="9" t="s">
        <v>493</v>
      </c>
      <c r="E192" s="9" t="s">
        <v>24</v>
      </c>
      <c r="F192" s="9">
        <v>440.0</v>
      </c>
      <c r="G192" s="9">
        <v>1375.0</v>
      </c>
      <c r="H192" s="9">
        <v>0.0</v>
      </c>
      <c r="I192" s="10">
        <v>54.0865463</v>
      </c>
      <c r="J192" s="10">
        <v>13.3923414</v>
      </c>
      <c r="K192" s="11">
        <v>38.5505599975586</v>
      </c>
      <c r="L192" s="12" t="s">
        <v>501</v>
      </c>
    </row>
    <row r="193">
      <c r="A193" s="9" t="s">
        <v>423</v>
      </c>
      <c r="B193" s="9" t="s">
        <v>425</v>
      </c>
      <c r="C193" s="9" t="s">
        <v>502</v>
      </c>
      <c r="D193" s="9" t="s">
        <v>493</v>
      </c>
      <c r="E193" s="9" t="s">
        <v>24</v>
      </c>
      <c r="F193" s="9">
        <v>440.0</v>
      </c>
      <c r="G193" s="9">
        <v>1375.0</v>
      </c>
      <c r="H193" s="9">
        <v>0.0</v>
      </c>
      <c r="I193" s="10">
        <v>54.0865463</v>
      </c>
      <c r="J193" s="10">
        <v>13.3923414</v>
      </c>
      <c r="K193" s="11">
        <v>38.5505599975586</v>
      </c>
      <c r="L193" s="12" t="s">
        <v>503</v>
      </c>
    </row>
    <row r="194">
      <c r="A194" s="9" t="s">
        <v>423</v>
      </c>
      <c r="B194" s="9" t="s">
        <v>425</v>
      </c>
      <c r="C194" s="9" t="s">
        <v>504</v>
      </c>
      <c r="D194" s="9" t="s">
        <v>504</v>
      </c>
      <c r="E194" s="9" t="s">
        <v>21</v>
      </c>
      <c r="F194" s="9">
        <v>1430.0</v>
      </c>
      <c r="G194" s="9">
        <v>3900.0</v>
      </c>
      <c r="H194" s="9">
        <v>90.4</v>
      </c>
      <c r="I194" s="10">
        <v>52.018361</v>
      </c>
      <c r="J194" s="10">
        <v>9.419858</v>
      </c>
      <c r="K194" s="11">
        <v>117.969261169434</v>
      </c>
      <c r="L194" s="12" t="s">
        <v>505</v>
      </c>
    </row>
    <row r="195">
      <c r="A195" s="9" t="s">
        <v>423</v>
      </c>
      <c r="B195" s="9" t="s">
        <v>425</v>
      </c>
      <c r="C195" s="9" t="s">
        <v>506</v>
      </c>
      <c r="D195" s="9" t="s">
        <v>507</v>
      </c>
      <c r="E195" s="9" t="s">
        <v>24</v>
      </c>
      <c r="F195" s="9">
        <v>250.0</v>
      </c>
      <c r="G195" s="9">
        <v>801.0</v>
      </c>
      <c r="H195" s="9">
        <v>80.6</v>
      </c>
      <c r="I195" s="10">
        <v>48.4987125</v>
      </c>
      <c r="J195" s="10">
        <v>10.4037232</v>
      </c>
      <c r="K195" s="11">
        <v>501.689392089844</v>
      </c>
      <c r="L195" s="12" t="s">
        <v>508</v>
      </c>
    </row>
    <row r="196">
      <c r="A196" s="9" t="s">
        <v>423</v>
      </c>
      <c r="B196" s="9" t="s">
        <v>425</v>
      </c>
      <c r="C196" s="9" t="s">
        <v>509</v>
      </c>
      <c r="D196" s="9" t="s">
        <v>507</v>
      </c>
      <c r="E196" s="9" t="s">
        <v>21</v>
      </c>
      <c r="F196" s="9">
        <v>1344.0</v>
      </c>
      <c r="G196" s="9">
        <v>3840.0</v>
      </c>
      <c r="H196" s="9">
        <v>83.7</v>
      </c>
      <c r="I196" s="10">
        <v>48.4987125</v>
      </c>
      <c r="J196" s="10">
        <v>10.4037232</v>
      </c>
      <c r="K196" s="11">
        <v>501.689392089844</v>
      </c>
      <c r="L196" s="12" t="s">
        <v>510</v>
      </c>
    </row>
    <row r="197">
      <c r="A197" s="9" t="s">
        <v>423</v>
      </c>
      <c r="B197" s="9" t="s">
        <v>425</v>
      </c>
      <c r="C197" s="9" t="s">
        <v>511</v>
      </c>
      <c r="D197" s="9" t="s">
        <v>507</v>
      </c>
      <c r="E197" s="9" t="s">
        <v>21</v>
      </c>
      <c r="F197" s="9">
        <v>1344.0</v>
      </c>
      <c r="G197" s="9">
        <v>3840.0</v>
      </c>
      <c r="H197" s="9">
        <v>82.0</v>
      </c>
      <c r="I197" s="10">
        <v>48.4987125</v>
      </c>
      <c r="J197" s="10">
        <v>10.4037232</v>
      </c>
      <c r="K197" s="11">
        <v>501.689392089844</v>
      </c>
      <c r="L197" s="12" t="s">
        <v>512</v>
      </c>
    </row>
    <row r="198">
      <c r="A198" s="9" t="s">
        <v>423</v>
      </c>
      <c r="B198" s="9" t="s">
        <v>425</v>
      </c>
      <c r="C198" s="9" t="s">
        <v>513</v>
      </c>
      <c r="D198" s="9" t="s">
        <v>514</v>
      </c>
      <c r="E198" s="9" t="s">
        <v>24</v>
      </c>
      <c r="F198" s="9">
        <v>27.0</v>
      </c>
      <c r="G198" s="9">
        <v>100.0</v>
      </c>
      <c r="H198" s="9">
        <v>0.0</v>
      </c>
      <c r="I198" s="10">
        <v>50.04178</v>
      </c>
      <c r="J198" s="10">
        <v>9.030885</v>
      </c>
      <c r="K198" s="11">
        <v>158.662445068359</v>
      </c>
      <c r="L198" s="12" t="s">
        <v>515</v>
      </c>
    </row>
    <row r="199">
      <c r="A199" s="9" t="s">
        <v>423</v>
      </c>
      <c r="B199" s="9" t="s">
        <v>425</v>
      </c>
      <c r="C199" s="9" t="s">
        <v>516</v>
      </c>
      <c r="D199" s="9" t="s">
        <v>461</v>
      </c>
      <c r="E199" s="9" t="s">
        <v>24</v>
      </c>
      <c r="F199" s="9">
        <v>912.0</v>
      </c>
      <c r="G199" s="9">
        <v>2575.0</v>
      </c>
      <c r="H199" s="9">
        <v>78.7</v>
      </c>
      <c r="I199" s="10">
        <v>48.6127782</v>
      </c>
      <c r="J199" s="10">
        <v>12.2175374</v>
      </c>
      <c r="K199" s="11">
        <v>442.246368408203</v>
      </c>
      <c r="L199" s="12" t="s">
        <v>517</v>
      </c>
    </row>
    <row r="200">
      <c r="A200" s="9" t="s">
        <v>423</v>
      </c>
      <c r="B200" s="9" t="s">
        <v>425</v>
      </c>
      <c r="C200" s="9" t="s">
        <v>518</v>
      </c>
      <c r="D200" s="9" t="s">
        <v>461</v>
      </c>
      <c r="E200" s="9" t="s">
        <v>21</v>
      </c>
      <c r="F200" s="9">
        <v>1485.0</v>
      </c>
      <c r="G200" s="9">
        <v>3950.0</v>
      </c>
      <c r="H200" s="9">
        <v>89.6</v>
      </c>
      <c r="I200" s="10">
        <v>48.6127782</v>
      </c>
      <c r="J200" s="10">
        <v>12.2175374</v>
      </c>
      <c r="K200" s="11">
        <v>442.246368408203</v>
      </c>
      <c r="L200" s="12" t="s">
        <v>519</v>
      </c>
    </row>
    <row r="201">
      <c r="A201" s="9" t="s">
        <v>423</v>
      </c>
      <c r="B201" s="9" t="s">
        <v>425</v>
      </c>
      <c r="C201" s="9" t="s">
        <v>520</v>
      </c>
      <c r="D201" s="9" t="s">
        <v>521</v>
      </c>
      <c r="E201" s="9" t="s">
        <v>24</v>
      </c>
      <c r="F201" s="9">
        <v>21.0</v>
      </c>
      <c r="G201" s="9">
        <v>58.0</v>
      </c>
      <c r="H201" s="9">
        <v>17.1</v>
      </c>
      <c r="I201" s="10">
        <v>49.0788756</v>
      </c>
      <c r="J201" s="10">
        <v>8.3915827</v>
      </c>
      <c r="K201" s="11">
        <v>150.348693847656</v>
      </c>
      <c r="L201" s="12" t="s">
        <v>522</v>
      </c>
    </row>
    <row r="202">
      <c r="A202" s="9" t="s">
        <v>423</v>
      </c>
      <c r="B202" s="9" t="s">
        <v>425</v>
      </c>
      <c r="C202" s="9" t="s">
        <v>523</v>
      </c>
      <c r="D202" s="9" t="s">
        <v>490</v>
      </c>
      <c r="E202" s="9" t="s">
        <v>24</v>
      </c>
      <c r="F202" s="9">
        <v>1402.0</v>
      </c>
      <c r="G202" s="9">
        <v>3690.0</v>
      </c>
      <c r="H202" s="9">
        <v>65.2</v>
      </c>
      <c r="I202" s="10">
        <v>53.4379562</v>
      </c>
      <c r="J202" s="10">
        <v>10.3611665</v>
      </c>
      <c r="K202" s="11">
        <v>53.3037757873535</v>
      </c>
      <c r="L202" s="12" t="s">
        <v>524</v>
      </c>
    </row>
    <row r="203">
      <c r="A203" s="9" t="s">
        <v>423</v>
      </c>
      <c r="B203" s="9" t="s">
        <v>425</v>
      </c>
      <c r="C203" s="9" t="s">
        <v>525</v>
      </c>
      <c r="D203" s="9" t="s">
        <v>525</v>
      </c>
      <c r="E203" s="9" t="s">
        <v>24</v>
      </c>
      <c r="F203" s="9">
        <v>268.0</v>
      </c>
      <c r="G203" s="9">
        <v>520.0</v>
      </c>
      <c r="H203" s="9">
        <v>41.5</v>
      </c>
      <c r="I203" s="10">
        <v>52.532139</v>
      </c>
      <c r="J203" s="10">
        <v>7.323011</v>
      </c>
      <c r="K203" s="11">
        <v>71.8146743774414</v>
      </c>
      <c r="L203" s="12" t="s">
        <v>526</v>
      </c>
    </row>
    <row r="204">
      <c r="A204" s="9" t="s">
        <v>423</v>
      </c>
      <c r="B204" s="9" t="s">
        <v>425</v>
      </c>
      <c r="C204" s="9" t="s">
        <v>527</v>
      </c>
      <c r="D204" s="9" t="s">
        <v>498</v>
      </c>
      <c r="E204" s="9" t="s">
        <v>24</v>
      </c>
      <c r="F204" s="9">
        <v>1302.0</v>
      </c>
      <c r="G204" s="9">
        <v>3760.0</v>
      </c>
      <c r="H204" s="9">
        <v>76.4</v>
      </c>
      <c r="I204" s="10">
        <v>50.3873733</v>
      </c>
      <c r="J204" s="10">
        <v>7.4952241</v>
      </c>
      <c r="K204" s="11">
        <v>154.025054931641</v>
      </c>
      <c r="L204" s="12" t="s">
        <v>528</v>
      </c>
    </row>
    <row r="205">
      <c r="A205" s="9" t="s">
        <v>423</v>
      </c>
      <c r="B205" s="9" t="s">
        <v>425</v>
      </c>
      <c r="C205" s="9" t="s">
        <v>529</v>
      </c>
      <c r="D205" s="9" t="s">
        <v>483</v>
      </c>
      <c r="E205" s="9" t="s">
        <v>24</v>
      </c>
      <c r="F205" s="9">
        <v>57.0</v>
      </c>
      <c r="G205" s="9">
        <v>200.0</v>
      </c>
      <c r="H205" s="9">
        <v>70.6</v>
      </c>
      <c r="I205" s="10">
        <v>49.009148</v>
      </c>
      <c r="J205" s="10">
        <v>8.3799444</v>
      </c>
      <c r="K205" s="11">
        <v>163.460647583008</v>
      </c>
      <c r="L205" s="12" t="s">
        <v>530</v>
      </c>
    </row>
    <row r="206">
      <c r="A206" s="9" t="s">
        <v>423</v>
      </c>
      <c r="B206" s="9" t="s">
        <v>425</v>
      </c>
      <c r="C206" s="9" t="s">
        <v>531</v>
      </c>
      <c r="D206" s="9" t="s">
        <v>454</v>
      </c>
      <c r="E206" s="9" t="s">
        <v>24</v>
      </c>
      <c r="F206" s="9">
        <v>840.0</v>
      </c>
      <c r="G206" s="9">
        <v>2497.0</v>
      </c>
      <c r="H206" s="9">
        <v>76.8</v>
      </c>
      <c r="I206" s="10">
        <v>49.0460889</v>
      </c>
      <c r="J206" s="10">
        <v>9.1908559</v>
      </c>
      <c r="K206" s="11">
        <v>282.376037597656</v>
      </c>
      <c r="L206" s="12" t="s">
        <v>532</v>
      </c>
    </row>
    <row r="207">
      <c r="A207" s="9" t="s">
        <v>423</v>
      </c>
      <c r="B207" s="9" t="s">
        <v>425</v>
      </c>
      <c r="C207" s="9" t="s">
        <v>533</v>
      </c>
      <c r="D207" s="9" t="s">
        <v>454</v>
      </c>
      <c r="E207" s="9" t="s">
        <v>21</v>
      </c>
      <c r="F207" s="9">
        <v>1400.0</v>
      </c>
      <c r="G207" s="9">
        <v>3850.0</v>
      </c>
      <c r="H207" s="9">
        <v>92.1</v>
      </c>
      <c r="I207" s="10">
        <v>49.0460889</v>
      </c>
      <c r="J207" s="10">
        <v>9.1908559</v>
      </c>
      <c r="K207" s="11">
        <v>282.376037597656</v>
      </c>
      <c r="L207" s="12" t="s">
        <v>534</v>
      </c>
    </row>
    <row r="208">
      <c r="A208" s="9" t="s">
        <v>423</v>
      </c>
      <c r="B208" s="9" t="s">
        <v>425</v>
      </c>
      <c r="C208" s="9" t="s">
        <v>437</v>
      </c>
      <c r="D208" s="9" t="s">
        <v>437</v>
      </c>
      <c r="E208" s="9" t="s">
        <v>24</v>
      </c>
      <c r="F208" s="9">
        <v>106.0</v>
      </c>
      <c r="G208" s="9">
        <v>321.0</v>
      </c>
      <c r="H208" s="9">
        <v>1.1</v>
      </c>
      <c r="I208" s="10">
        <v>48.6103537</v>
      </c>
      <c r="J208" s="10">
        <v>12.3191118</v>
      </c>
      <c r="K208" s="11">
        <v>425.104827880859</v>
      </c>
      <c r="L208" s="12" t="s">
        <v>535</v>
      </c>
    </row>
    <row r="209">
      <c r="A209" s="9" t="s">
        <v>423</v>
      </c>
      <c r="B209" s="9" t="s">
        <v>425</v>
      </c>
      <c r="C209" s="9" t="s">
        <v>536</v>
      </c>
      <c r="D209" s="9" t="s">
        <v>536</v>
      </c>
      <c r="E209" s="9" t="s">
        <v>24</v>
      </c>
      <c r="F209" s="9">
        <v>357.0</v>
      </c>
      <c r="G209" s="9">
        <v>1050.0</v>
      </c>
      <c r="H209" s="9">
        <v>81.3</v>
      </c>
      <c r="I209" s="10">
        <v>49.3520813</v>
      </c>
      <c r="J209" s="10">
        <v>9.0924585</v>
      </c>
      <c r="K209" s="11">
        <v>216.263061523438</v>
      </c>
      <c r="L209" s="12" t="s">
        <v>537</v>
      </c>
    </row>
    <row r="210">
      <c r="A210" s="9" t="s">
        <v>423</v>
      </c>
      <c r="B210" s="9" t="s">
        <v>425</v>
      </c>
      <c r="C210" s="9" t="s">
        <v>538</v>
      </c>
      <c r="D210" s="9" t="s">
        <v>450</v>
      </c>
      <c r="E210" s="9" t="s">
        <v>24</v>
      </c>
      <c r="F210" s="9">
        <v>926.0</v>
      </c>
      <c r="G210" s="9">
        <v>2575.0</v>
      </c>
      <c r="H210" s="9">
        <v>76.8</v>
      </c>
      <c r="I210" s="10">
        <v>49.2352532</v>
      </c>
      <c r="J210" s="10">
        <v>8.458036</v>
      </c>
      <c r="K210" s="11">
        <v>146.335632324219</v>
      </c>
      <c r="L210" s="12" t="s">
        <v>539</v>
      </c>
    </row>
    <row r="211">
      <c r="A211" s="9" t="s">
        <v>423</v>
      </c>
      <c r="B211" s="9" t="s">
        <v>425</v>
      </c>
      <c r="C211" s="9" t="s">
        <v>540</v>
      </c>
      <c r="D211" s="9" t="s">
        <v>450</v>
      </c>
      <c r="E211" s="9" t="s">
        <v>21</v>
      </c>
      <c r="F211" s="9">
        <v>1468.0</v>
      </c>
      <c r="G211" s="9">
        <v>3950.0</v>
      </c>
      <c r="H211" s="9">
        <v>87.7</v>
      </c>
      <c r="I211" s="10">
        <v>49.2352532</v>
      </c>
      <c r="J211" s="10">
        <v>8.458036</v>
      </c>
      <c r="K211" s="11">
        <v>146.335632324219</v>
      </c>
      <c r="L211" s="12" t="s">
        <v>541</v>
      </c>
    </row>
    <row r="212">
      <c r="A212" s="9" t="s">
        <v>423</v>
      </c>
      <c r="B212" s="9" t="s">
        <v>425</v>
      </c>
      <c r="C212" s="9" t="s">
        <v>542</v>
      </c>
      <c r="D212" s="9" t="s">
        <v>543</v>
      </c>
      <c r="E212" s="9" t="s">
        <v>24</v>
      </c>
      <c r="F212" s="9">
        <v>70.0</v>
      </c>
      <c r="G212" s="9">
        <v>265.0</v>
      </c>
      <c r="H212" s="9">
        <v>0.0</v>
      </c>
      <c r="I212" s="10">
        <v>53.0047002</v>
      </c>
      <c r="J212" s="10">
        <v>13.1559502</v>
      </c>
      <c r="K212" s="11">
        <v>102.06697845459</v>
      </c>
      <c r="L212" s="12" t="s">
        <v>544</v>
      </c>
    </row>
    <row r="213">
      <c r="A213" s="9" t="s">
        <v>423</v>
      </c>
      <c r="B213" s="9" t="s">
        <v>425</v>
      </c>
      <c r="C213" s="9" t="s">
        <v>434</v>
      </c>
      <c r="D213" s="9" t="s">
        <v>434</v>
      </c>
      <c r="E213" s="9" t="s">
        <v>24</v>
      </c>
      <c r="F213" s="9">
        <v>672.0</v>
      </c>
      <c r="G213" s="9">
        <v>1900.0</v>
      </c>
      <c r="H213" s="9">
        <v>82.7</v>
      </c>
      <c r="I213" s="10">
        <v>53.5928618</v>
      </c>
      <c r="J213" s="10">
        <v>9.4709494</v>
      </c>
      <c r="K213" s="11">
        <v>51.3429374694824</v>
      </c>
      <c r="L213" s="12" t="s">
        <v>545</v>
      </c>
    </row>
    <row r="214">
      <c r="A214" s="9" t="s">
        <v>423</v>
      </c>
      <c r="B214" s="9" t="s">
        <v>425</v>
      </c>
      <c r="C214" s="9" t="s">
        <v>546</v>
      </c>
      <c r="D214" s="9" t="s">
        <v>477</v>
      </c>
      <c r="E214" s="9" t="s">
        <v>24</v>
      </c>
      <c r="F214" s="9">
        <v>308.0</v>
      </c>
      <c r="G214" s="9">
        <v>760.0</v>
      </c>
      <c r="H214" s="9">
        <v>41.3</v>
      </c>
      <c r="I214" s="10">
        <v>51.691315</v>
      </c>
      <c r="J214" s="10">
        <v>7.939922</v>
      </c>
      <c r="K214" s="11">
        <v>112.491592407227</v>
      </c>
      <c r="L214" s="12" t="s">
        <v>547</v>
      </c>
    </row>
    <row r="215">
      <c r="A215" s="9" t="s">
        <v>423</v>
      </c>
      <c r="B215" s="9" t="s">
        <v>425</v>
      </c>
      <c r="C215" s="9" t="s">
        <v>548</v>
      </c>
      <c r="D215" s="9" t="s">
        <v>467</v>
      </c>
      <c r="E215" s="9" t="s">
        <v>24</v>
      </c>
      <c r="F215" s="9">
        <v>1410.0</v>
      </c>
      <c r="G215" s="9">
        <v>3900.0</v>
      </c>
      <c r="H215" s="9">
        <v>79.4</v>
      </c>
      <c r="I215" s="10">
        <v>53.4282273</v>
      </c>
      <c r="J215" s="10">
        <v>8.47645</v>
      </c>
      <c r="K215" s="11">
        <v>39.6906585693359</v>
      </c>
      <c r="L215" s="12" t="s">
        <v>549</v>
      </c>
    </row>
    <row r="216">
      <c r="A216" s="9" t="s">
        <v>423</v>
      </c>
      <c r="B216" s="9" t="s">
        <v>425</v>
      </c>
      <c r="C216" s="9" t="s">
        <v>550</v>
      </c>
      <c r="D216" s="9" t="s">
        <v>427</v>
      </c>
      <c r="E216" s="9" t="s">
        <v>24</v>
      </c>
      <c r="F216" s="9">
        <v>16.0</v>
      </c>
      <c r="G216" s="9">
        <v>60.0</v>
      </c>
      <c r="H216" s="9">
        <v>58.3</v>
      </c>
      <c r="I216" s="10">
        <v>50.0743858</v>
      </c>
      <c r="J216" s="10">
        <v>9.0071429</v>
      </c>
      <c r="K216" s="11">
        <v>161.044021606445</v>
      </c>
      <c r="L216" s="12" t="s">
        <v>551</v>
      </c>
    </row>
    <row r="217">
      <c r="A217" s="9" t="s">
        <v>423</v>
      </c>
      <c r="B217" s="9" t="s">
        <v>425</v>
      </c>
      <c r="C217" s="9" t="s">
        <v>552</v>
      </c>
      <c r="D217" s="9" t="s">
        <v>552</v>
      </c>
      <c r="E217" s="9" t="s">
        <v>24</v>
      </c>
      <c r="F217" s="9">
        <v>670.0</v>
      </c>
      <c r="G217" s="9">
        <v>1912.0</v>
      </c>
      <c r="H217" s="9">
        <v>62.2</v>
      </c>
      <c r="I217" s="10">
        <v>49.2587495</v>
      </c>
      <c r="J217" s="10">
        <v>6.8126413</v>
      </c>
      <c r="K217" s="11">
        <v>263.141021728516</v>
      </c>
      <c r="L217" s="12" t="s">
        <v>553</v>
      </c>
    </row>
    <row r="218">
      <c r="A218" s="9" t="s">
        <v>554</v>
      </c>
      <c r="B218" s="9" t="s">
        <v>555</v>
      </c>
      <c r="C218" s="9" t="s">
        <v>556</v>
      </c>
      <c r="D218" s="9" t="s">
        <v>557</v>
      </c>
      <c r="E218" s="9" t="s">
        <v>21</v>
      </c>
      <c r="F218" s="9">
        <v>500.0</v>
      </c>
      <c r="G218" s="9">
        <v>1485.0</v>
      </c>
      <c r="H218" s="9">
        <v>87.0</v>
      </c>
      <c r="I218" s="10">
        <v>46.6060722</v>
      </c>
      <c r="J218" s="10">
        <v>18.8546832</v>
      </c>
      <c r="K218" s="11">
        <v>138.108871459961</v>
      </c>
      <c r="L218" s="12" t="s">
        <v>558</v>
      </c>
    </row>
    <row r="219">
      <c r="A219" s="9" t="s">
        <v>554</v>
      </c>
      <c r="B219" s="9" t="s">
        <v>555</v>
      </c>
      <c r="C219" s="9" t="s">
        <v>559</v>
      </c>
      <c r="D219" s="9" t="s">
        <v>557</v>
      </c>
      <c r="E219" s="9" t="s">
        <v>21</v>
      </c>
      <c r="F219" s="9">
        <v>500.0</v>
      </c>
      <c r="G219" s="9">
        <v>1485.0</v>
      </c>
      <c r="H219" s="9">
        <v>81.6</v>
      </c>
      <c r="I219" s="10">
        <v>46.6060722</v>
      </c>
      <c r="J219" s="10">
        <v>18.8546832</v>
      </c>
      <c r="K219" s="11">
        <v>138.108871459961</v>
      </c>
      <c r="L219" s="12" t="s">
        <v>560</v>
      </c>
    </row>
    <row r="220">
      <c r="A220" s="9" t="s">
        <v>554</v>
      </c>
      <c r="B220" s="9" t="s">
        <v>555</v>
      </c>
      <c r="C220" s="9" t="s">
        <v>561</v>
      </c>
      <c r="D220" s="9" t="s">
        <v>557</v>
      </c>
      <c r="E220" s="9" t="s">
        <v>21</v>
      </c>
      <c r="F220" s="9">
        <v>500.0</v>
      </c>
      <c r="G220" s="9">
        <v>1485.0</v>
      </c>
      <c r="H220" s="9">
        <v>87.0</v>
      </c>
      <c r="I220" s="10">
        <v>46.6060722</v>
      </c>
      <c r="J220" s="10">
        <v>18.8546832</v>
      </c>
      <c r="K220" s="11">
        <v>138.108871459961</v>
      </c>
      <c r="L220" s="12" t="s">
        <v>562</v>
      </c>
    </row>
    <row r="221">
      <c r="A221" s="9" t="s">
        <v>554</v>
      </c>
      <c r="B221" s="9" t="s">
        <v>555</v>
      </c>
      <c r="C221" s="9" t="s">
        <v>563</v>
      </c>
      <c r="D221" s="9" t="s">
        <v>557</v>
      </c>
      <c r="E221" s="9" t="s">
        <v>21</v>
      </c>
      <c r="F221" s="9">
        <v>500.0</v>
      </c>
      <c r="G221" s="9">
        <v>1485.0</v>
      </c>
      <c r="H221" s="9">
        <v>89.1</v>
      </c>
      <c r="I221" s="10">
        <v>46.6060722</v>
      </c>
      <c r="J221" s="10">
        <v>18.8546832</v>
      </c>
      <c r="K221" s="11">
        <v>138.108871459961</v>
      </c>
      <c r="L221" s="12" t="s">
        <v>564</v>
      </c>
    </row>
    <row r="222">
      <c r="A222" s="9" t="s">
        <v>565</v>
      </c>
      <c r="B222" s="9" t="s">
        <v>566</v>
      </c>
      <c r="C222" s="9" t="s">
        <v>567</v>
      </c>
      <c r="D222" s="9" t="s">
        <v>568</v>
      </c>
      <c r="E222" s="9" t="s">
        <v>21</v>
      </c>
      <c r="F222" s="9">
        <v>220.0</v>
      </c>
      <c r="G222" s="9">
        <v>801.0</v>
      </c>
      <c r="H222" s="9">
        <v>68.4</v>
      </c>
      <c r="I222" s="10">
        <v>14.8661377</v>
      </c>
      <c r="J222" s="10">
        <v>74.4393729</v>
      </c>
      <c r="K222" s="11">
        <v>-24.3730049133301</v>
      </c>
      <c r="L222" s="12" t="s">
        <v>569</v>
      </c>
    </row>
    <row r="223">
      <c r="A223" s="9" t="s">
        <v>565</v>
      </c>
      <c r="B223" s="9" t="s">
        <v>566</v>
      </c>
      <c r="C223" s="9" t="s">
        <v>570</v>
      </c>
      <c r="D223" s="9" t="s">
        <v>568</v>
      </c>
      <c r="E223" s="9" t="s">
        <v>21</v>
      </c>
      <c r="F223" s="9">
        <v>220.0</v>
      </c>
      <c r="G223" s="9">
        <v>801.0</v>
      </c>
      <c r="H223" s="9">
        <v>68.6</v>
      </c>
      <c r="I223" s="10">
        <v>14.8661377</v>
      </c>
      <c r="J223" s="10">
        <v>74.4393729</v>
      </c>
      <c r="K223" s="11">
        <v>-24.3730049133301</v>
      </c>
      <c r="L223" s="12" t="s">
        <v>571</v>
      </c>
    </row>
    <row r="224">
      <c r="A224" s="9" t="s">
        <v>565</v>
      </c>
      <c r="B224" s="9" t="s">
        <v>566</v>
      </c>
      <c r="C224" s="9" t="s">
        <v>572</v>
      </c>
      <c r="D224" s="9" t="s">
        <v>568</v>
      </c>
      <c r="E224" s="9" t="s">
        <v>21</v>
      </c>
      <c r="F224" s="9">
        <v>220.0</v>
      </c>
      <c r="G224" s="9">
        <v>800.0</v>
      </c>
      <c r="H224" s="9">
        <v>54.8</v>
      </c>
      <c r="I224" s="10">
        <v>14.8661377</v>
      </c>
      <c r="J224" s="10">
        <v>74.4393729</v>
      </c>
      <c r="K224" s="11">
        <v>-24.3730049133301</v>
      </c>
      <c r="L224" s="12" t="s">
        <v>573</v>
      </c>
    </row>
    <row r="225">
      <c r="A225" s="9" t="s">
        <v>565</v>
      </c>
      <c r="B225" s="9" t="s">
        <v>566</v>
      </c>
      <c r="C225" s="9" t="s">
        <v>574</v>
      </c>
      <c r="D225" s="9" t="s">
        <v>568</v>
      </c>
      <c r="E225" s="9" t="s">
        <v>21</v>
      </c>
      <c r="F225" s="9">
        <v>220.0</v>
      </c>
      <c r="G225" s="9">
        <v>800.0</v>
      </c>
      <c r="H225" s="9">
        <v>68.0</v>
      </c>
      <c r="I225" s="10">
        <v>14.8661377</v>
      </c>
      <c r="J225" s="10">
        <v>74.4393729</v>
      </c>
      <c r="K225" s="11">
        <v>-24.3730049133301</v>
      </c>
      <c r="L225" s="12" t="s">
        <v>575</v>
      </c>
    </row>
    <row r="226">
      <c r="A226" s="9" t="s">
        <v>565</v>
      </c>
      <c r="B226" s="9" t="s">
        <v>566</v>
      </c>
      <c r="C226" s="9" t="s">
        <v>576</v>
      </c>
      <c r="D226" s="9" t="s">
        <v>577</v>
      </c>
      <c r="E226" s="9" t="s">
        <v>21</v>
      </c>
      <c r="F226" s="9">
        <v>220.0</v>
      </c>
      <c r="G226" s="9">
        <v>801.0</v>
      </c>
      <c r="H226" s="9">
        <v>61.8</v>
      </c>
      <c r="I226" s="10">
        <v>21.195</v>
      </c>
      <c r="J226" s="10">
        <v>72.819444</v>
      </c>
      <c r="K226" s="11">
        <v>-48.7708969116211</v>
      </c>
      <c r="L226" s="12" t="s">
        <v>578</v>
      </c>
    </row>
    <row r="227">
      <c r="A227" s="9" t="s">
        <v>565</v>
      </c>
      <c r="B227" s="9" t="s">
        <v>566</v>
      </c>
      <c r="C227" s="9" t="s">
        <v>579</v>
      </c>
      <c r="D227" s="9" t="s">
        <v>577</v>
      </c>
      <c r="E227" s="9" t="s">
        <v>21</v>
      </c>
      <c r="F227" s="9">
        <v>220.0</v>
      </c>
      <c r="G227" s="9">
        <v>801.0</v>
      </c>
      <c r="H227" s="9">
        <v>73.7</v>
      </c>
      <c r="I227" s="10">
        <v>21.195</v>
      </c>
      <c r="J227" s="10">
        <v>72.819444</v>
      </c>
      <c r="K227" s="11">
        <v>-48.7708969116211</v>
      </c>
      <c r="L227" s="12" t="s">
        <v>580</v>
      </c>
    </row>
    <row r="228">
      <c r="A228" s="9" t="s">
        <v>565</v>
      </c>
      <c r="B228" s="9" t="s">
        <v>566</v>
      </c>
      <c r="C228" s="9" t="s">
        <v>581</v>
      </c>
      <c r="D228" s="9" t="s">
        <v>577</v>
      </c>
      <c r="E228" s="9" t="s">
        <v>26</v>
      </c>
      <c r="F228" s="9">
        <v>700.0</v>
      </c>
      <c r="G228" s="9">
        <v>2166.0</v>
      </c>
      <c r="H228" s="9">
        <v>0.0</v>
      </c>
      <c r="I228" s="10">
        <v>21.195</v>
      </c>
      <c r="J228" s="10">
        <v>72.819444</v>
      </c>
      <c r="K228" s="11">
        <v>-50.2731628417969</v>
      </c>
      <c r="L228" s="12" t="s">
        <v>582</v>
      </c>
    </row>
    <row r="229">
      <c r="A229" s="9" t="s">
        <v>565</v>
      </c>
      <c r="B229" s="9" t="s">
        <v>566</v>
      </c>
      <c r="C229" s="9" t="s">
        <v>583</v>
      </c>
      <c r="D229" s="9" t="s">
        <v>577</v>
      </c>
      <c r="E229" s="9" t="s">
        <v>26</v>
      </c>
      <c r="F229" s="9">
        <v>700.0</v>
      </c>
      <c r="G229" s="9">
        <v>2166.0</v>
      </c>
      <c r="H229" s="9">
        <v>0.0</v>
      </c>
      <c r="I229" s="10">
        <v>21.195</v>
      </c>
      <c r="J229" s="10">
        <v>72.819444</v>
      </c>
      <c r="K229" s="11">
        <v>-50.2731628417969</v>
      </c>
      <c r="L229" s="12" t="s">
        <v>584</v>
      </c>
    </row>
    <row r="230">
      <c r="A230" s="9" t="s">
        <v>565</v>
      </c>
      <c r="B230" s="9" t="s">
        <v>566</v>
      </c>
      <c r="C230" s="9" t="s">
        <v>585</v>
      </c>
      <c r="D230" s="9" t="s">
        <v>586</v>
      </c>
      <c r="E230" s="9" t="s">
        <v>21</v>
      </c>
      <c r="F230" s="9">
        <v>1000.0</v>
      </c>
      <c r="G230" s="9">
        <v>3000.0</v>
      </c>
      <c r="H230" s="9">
        <v>0.0</v>
      </c>
      <c r="I230" s="10">
        <v>8.733</v>
      </c>
      <c r="J230" s="10">
        <v>77.7</v>
      </c>
      <c r="K230" s="11">
        <v>-34.5969657897949</v>
      </c>
      <c r="L230" s="12" t="s">
        <v>587</v>
      </c>
    </row>
    <row r="231">
      <c r="A231" s="9" t="s">
        <v>565</v>
      </c>
      <c r="B231" s="9" t="s">
        <v>566</v>
      </c>
      <c r="C231" s="9" t="s">
        <v>588</v>
      </c>
      <c r="D231" s="9" t="s">
        <v>586</v>
      </c>
      <c r="E231" s="9" t="s">
        <v>26</v>
      </c>
      <c r="F231" s="9">
        <v>1000.0</v>
      </c>
      <c r="G231" s="9">
        <v>3000.0</v>
      </c>
      <c r="H231" s="9">
        <v>0.0</v>
      </c>
      <c r="I231" s="10">
        <v>8.733</v>
      </c>
      <c r="J231" s="10">
        <v>77.7</v>
      </c>
      <c r="K231" s="11">
        <v>-34.5969657897949</v>
      </c>
      <c r="L231" s="12" t="s">
        <v>589</v>
      </c>
    </row>
    <row r="232">
      <c r="A232" s="9" t="s">
        <v>565</v>
      </c>
      <c r="B232" s="9" t="s">
        <v>566</v>
      </c>
      <c r="C232" s="9" t="s">
        <v>590</v>
      </c>
      <c r="D232" s="9" t="s">
        <v>591</v>
      </c>
      <c r="E232" s="9" t="s">
        <v>21</v>
      </c>
      <c r="F232" s="9">
        <v>220.0</v>
      </c>
      <c r="G232" s="9">
        <v>801.0</v>
      </c>
      <c r="H232" s="9">
        <v>51.0</v>
      </c>
      <c r="I232" s="10">
        <v>13.0524139</v>
      </c>
      <c r="J232" s="10">
        <v>80.2508246</v>
      </c>
      <c r="K232" s="11">
        <v>-82.9049682617188</v>
      </c>
      <c r="L232" s="12" t="s">
        <v>592</v>
      </c>
    </row>
    <row r="233">
      <c r="A233" s="9" t="s">
        <v>565</v>
      </c>
      <c r="B233" s="9" t="s">
        <v>566</v>
      </c>
      <c r="C233" s="9" t="s">
        <v>593</v>
      </c>
      <c r="D233" s="9" t="s">
        <v>591</v>
      </c>
      <c r="E233" s="9" t="s">
        <v>21</v>
      </c>
      <c r="F233" s="9">
        <v>220.0</v>
      </c>
      <c r="G233" s="9">
        <v>801.0</v>
      </c>
      <c r="H233" s="9">
        <v>54.6</v>
      </c>
      <c r="I233" s="10">
        <v>13.0524139</v>
      </c>
      <c r="J233" s="10">
        <v>80.2508246</v>
      </c>
      <c r="K233" s="11">
        <v>-82.9049682617188</v>
      </c>
      <c r="L233" s="12" t="s">
        <v>594</v>
      </c>
    </row>
    <row r="234">
      <c r="A234" s="9" t="s">
        <v>565</v>
      </c>
      <c r="B234" s="9" t="s">
        <v>566</v>
      </c>
      <c r="C234" s="9" t="s">
        <v>595</v>
      </c>
      <c r="D234" s="9" t="s">
        <v>596</v>
      </c>
      <c r="E234" s="9" t="s">
        <v>21</v>
      </c>
      <c r="F234" s="9">
        <v>220.0</v>
      </c>
      <c r="G234" s="9">
        <v>801.0</v>
      </c>
      <c r="H234" s="9">
        <v>52.7</v>
      </c>
      <c r="I234" s="10">
        <v>27.529259</v>
      </c>
      <c r="J234" s="10">
        <v>78.4467745</v>
      </c>
      <c r="K234" s="11">
        <v>117.461898803711</v>
      </c>
      <c r="L234" s="12" t="s">
        <v>597</v>
      </c>
    </row>
    <row r="235">
      <c r="A235" s="9" t="s">
        <v>565</v>
      </c>
      <c r="B235" s="9" t="s">
        <v>566</v>
      </c>
      <c r="C235" s="9" t="s">
        <v>598</v>
      </c>
      <c r="D235" s="9" t="s">
        <v>596</v>
      </c>
      <c r="E235" s="9" t="s">
        <v>21</v>
      </c>
      <c r="F235" s="9">
        <v>220.0</v>
      </c>
      <c r="G235" s="9">
        <v>801.0</v>
      </c>
      <c r="H235" s="9">
        <v>56.0</v>
      </c>
      <c r="I235" s="10">
        <v>27.529259</v>
      </c>
      <c r="J235" s="10">
        <v>78.4467745</v>
      </c>
      <c r="K235" s="11">
        <v>117.461898803711</v>
      </c>
      <c r="L235" s="12" t="s">
        <v>599</v>
      </c>
    </row>
    <row r="236">
      <c r="A236" s="9" t="s">
        <v>565</v>
      </c>
      <c r="B236" s="9" t="s">
        <v>566</v>
      </c>
      <c r="C236" s="9" t="s">
        <v>600</v>
      </c>
      <c r="D236" s="9" t="s">
        <v>591</v>
      </c>
      <c r="E236" s="9" t="s">
        <v>26</v>
      </c>
      <c r="F236" s="9">
        <v>500.0</v>
      </c>
      <c r="G236" s="9">
        <v>1253.0</v>
      </c>
      <c r="H236" s="9">
        <v>0.0</v>
      </c>
      <c r="I236" s="10">
        <v>13.0524139</v>
      </c>
      <c r="J236" s="10">
        <v>80.2508246</v>
      </c>
      <c r="K236" s="11">
        <v>-95.2447814941406</v>
      </c>
      <c r="L236" s="12" t="s">
        <v>601</v>
      </c>
    </row>
    <row r="237">
      <c r="A237" s="9" t="s">
        <v>565</v>
      </c>
      <c r="B237" s="9" t="s">
        <v>566</v>
      </c>
      <c r="C237" s="9" t="s">
        <v>602</v>
      </c>
      <c r="D237" s="9" t="s">
        <v>603</v>
      </c>
      <c r="E237" s="9" t="s">
        <v>21</v>
      </c>
      <c r="F237" s="9">
        <v>100.0</v>
      </c>
      <c r="G237" s="9">
        <v>346.0</v>
      </c>
      <c r="H237" s="9">
        <v>19.3</v>
      </c>
      <c r="I237" s="10">
        <v>25.2138156</v>
      </c>
      <c r="J237" s="10">
        <v>75.8647527</v>
      </c>
      <c r="K237" s="11">
        <v>199.638305664062</v>
      </c>
      <c r="L237" s="12" t="s">
        <v>604</v>
      </c>
    </row>
    <row r="238">
      <c r="A238" s="9" t="s">
        <v>565</v>
      </c>
      <c r="B238" s="9" t="s">
        <v>566</v>
      </c>
      <c r="C238" s="9" t="s">
        <v>605</v>
      </c>
      <c r="D238" s="9" t="s">
        <v>603</v>
      </c>
      <c r="E238" s="9" t="s">
        <v>21</v>
      </c>
      <c r="F238" s="9">
        <v>200.0</v>
      </c>
      <c r="G238" s="9">
        <v>693.0</v>
      </c>
      <c r="H238" s="9">
        <v>54.7</v>
      </c>
      <c r="I238" s="10">
        <v>25.2138156</v>
      </c>
      <c r="J238" s="10">
        <v>75.8647527</v>
      </c>
      <c r="K238" s="11">
        <v>199.638305664062</v>
      </c>
      <c r="L238" s="12" t="s">
        <v>606</v>
      </c>
    </row>
    <row r="239">
      <c r="A239" s="9" t="s">
        <v>565</v>
      </c>
      <c r="B239" s="9" t="s">
        <v>566</v>
      </c>
      <c r="C239" s="9" t="s">
        <v>607</v>
      </c>
      <c r="D239" s="9" t="s">
        <v>603</v>
      </c>
      <c r="E239" s="9" t="s">
        <v>21</v>
      </c>
      <c r="F239" s="9">
        <v>220.0</v>
      </c>
      <c r="G239" s="9">
        <v>801.0</v>
      </c>
      <c r="H239" s="9">
        <v>74.6</v>
      </c>
      <c r="I239" s="10">
        <v>25.2138156</v>
      </c>
      <c r="J239" s="10">
        <v>75.8647527</v>
      </c>
      <c r="K239" s="11">
        <v>199.638305664062</v>
      </c>
      <c r="L239" s="12" t="s">
        <v>608</v>
      </c>
    </row>
    <row r="240">
      <c r="A240" s="9" t="s">
        <v>565</v>
      </c>
      <c r="B240" s="9" t="s">
        <v>566</v>
      </c>
      <c r="C240" s="9" t="s">
        <v>609</v>
      </c>
      <c r="D240" s="9" t="s">
        <v>603</v>
      </c>
      <c r="E240" s="9" t="s">
        <v>21</v>
      </c>
      <c r="F240" s="9">
        <v>220.0</v>
      </c>
      <c r="G240" s="9">
        <v>801.0</v>
      </c>
      <c r="H240" s="9">
        <v>75.6</v>
      </c>
      <c r="I240" s="10">
        <v>25.2138156</v>
      </c>
      <c r="J240" s="10">
        <v>75.8647527</v>
      </c>
      <c r="K240" s="11">
        <v>199.638305664062</v>
      </c>
      <c r="L240" s="12" t="s">
        <v>610</v>
      </c>
    </row>
    <row r="241">
      <c r="A241" s="9" t="s">
        <v>565</v>
      </c>
      <c r="B241" s="9" t="s">
        <v>566</v>
      </c>
      <c r="C241" s="9" t="s">
        <v>611</v>
      </c>
      <c r="D241" s="9" t="s">
        <v>603</v>
      </c>
      <c r="E241" s="9" t="s">
        <v>21</v>
      </c>
      <c r="F241" s="9">
        <v>220.0</v>
      </c>
      <c r="G241" s="9">
        <v>801.0</v>
      </c>
      <c r="H241" s="9">
        <v>94.9</v>
      </c>
      <c r="I241" s="10">
        <v>25.2138156</v>
      </c>
      <c r="J241" s="10">
        <v>75.8647527</v>
      </c>
      <c r="K241" s="11">
        <v>199.638305664062</v>
      </c>
      <c r="L241" s="12" t="s">
        <v>612</v>
      </c>
    </row>
    <row r="242">
      <c r="A242" s="9" t="s">
        <v>565</v>
      </c>
      <c r="B242" s="9" t="s">
        <v>566</v>
      </c>
      <c r="C242" s="9" t="s">
        <v>613</v>
      </c>
      <c r="D242" s="9" t="s">
        <v>603</v>
      </c>
      <c r="E242" s="9" t="s">
        <v>21</v>
      </c>
      <c r="F242" s="9">
        <v>220.0</v>
      </c>
      <c r="G242" s="9">
        <v>801.0</v>
      </c>
      <c r="H242" s="9">
        <v>79.9</v>
      </c>
      <c r="I242" s="10">
        <v>25.2138156</v>
      </c>
      <c r="J242" s="10">
        <v>75.8647527</v>
      </c>
      <c r="K242" s="11">
        <v>199.638305664062</v>
      </c>
      <c r="L242" s="12" t="s">
        <v>614</v>
      </c>
    </row>
    <row r="243">
      <c r="A243" s="9" t="s">
        <v>565</v>
      </c>
      <c r="B243" s="9" t="s">
        <v>566</v>
      </c>
      <c r="C243" s="9" t="s">
        <v>615</v>
      </c>
      <c r="D243" s="9" t="s">
        <v>603</v>
      </c>
      <c r="E243" s="9" t="s">
        <v>26</v>
      </c>
      <c r="F243" s="9">
        <v>700.0</v>
      </c>
      <c r="G243" s="9">
        <v>2177.0</v>
      </c>
      <c r="H243" s="9">
        <v>0.0</v>
      </c>
      <c r="I243" s="10">
        <v>25.2138156</v>
      </c>
      <c r="J243" s="10">
        <v>75.8647527</v>
      </c>
      <c r="K243" s="11">
        <v>199.638305664062</v>
      </c>
      <c r="L243" s="12" t="s">
        <v>616</v>
      </c>
    </row>
    <row r="244">
      <c r="A244" s="9" t="s">
        <v>565</v>
      </c>
      <c r="B244" s="9" t="s">
        <v>566</v>
      </c>
      <c r="C244" s="9" t="s">
        <v>617</v>
      </c>
      <c r="D244" s="9" t="s">
        <v>603</v>
      </c>
      <c r="E244" s="9" t="s">
        <v>26</v>
      </c>
      <c r="F244" s="9">
        <v>700.0</v>
      </c>
      <c r="G244" s="9">
        <v>2177.0</v>
      </c>
      <c r="H244" s="9">
        <v>0.0</v>
      </c>
      <c r="I244" s="10">
        <v>25.2138156</v>
      </c>
      <c r="J244" s="10">
        <v>75.8647527</v>
      </c>
      <c r="K244" s="11">
        <v>199.638305664062</v>
      </c>
      <c r="L244" s="12" t="s">
        <v>618</v>
      </c>
    </row>
    <row r="245">
      <c r="A245" s="9" t="s">
        <v>565</v>
      </c>
      <c r="B245" s="9" t="s">
        <v>566</v>
      </c>
      <c r="C245" s="9" t="s">
        <v>621</v>
      </c>
      <c r="D245" s="9" t="s">
        <v>622</v>
      </c>
      <c r="E245" s="9" t="s">
        <v>21</v>
      </c>
      <c r="F245" s="9">
        <v>160.0</v>
      </c>
      <c r="G245" s="9">
        <v>530.0</v>
      </c>
      <c r="H245" s="9">
        <v>62.9</v>
      </c>
      <c r="I245" s="10">
        <v>19.8</v>
      </c>
      <c r="J245" s="10">
        <v>72.75</v>
      </c>
      <c r="K245" s="11">
        <v>-56.3431358337402</v>
      </c>
      <c r="L245" s="12" t="s">
        <v>624</v>
      </c>
    </row>
    <row r="246">
      <c r="A246" s="9" t="s">
        <v>565</v>
      </c>
      <c r="B246" s="9" t="s">
        <v>566</v>
      </c>
      <c r="C246" s="9" t="s">
        <v>625</v>
      </c>
      <c r="D246" s="9" t="s">
        <v>622</v>
      </c>
      <c r="E246" s="9" t="s">
        <v>21</v>
      </c>
      <c r="F246" s="9">
        <v>160.0</v>
      </c>
      <c r="G246" s="9">
        <v>530.0</v>
      </c>
      <c r="H246" s="9">
        <v>63.2</v>
      </c>
      <c r="I246" s="10">
        <v>19.8</v>
      </c>
      <c r="J246" s="10">
        <v>72.75</v>
      </c>
      <c r="K246" s="11">
        <v>-56.3431358337402</v>
      </c>
      <c r="L246" s="12" t="s">
        <v>626</v>
      </c>
    </row>
    <row r="247">
      <c r="A247" s="9" t="s">
        <v>565</v>
      </c>
      <c r="B247" s="9" t="s">
        <v>566</v>
      </c>
      <c r="C247" s="9" t="s">
        <v>627</v>
      </c>
      <c r="D247" s="9" t="s">
        <v>622</v>
      </c>
      <c r="E247" s="9" t="s">
        <v>21</v>
      </c>
      <c r="F247" s="9">
        <v>540.0</v>
      </c>
      <c r="G247" s="9">
        <v>1730.0</v>
      </c>
      <c r="H247" s="9">
        <v>67.7</v>
      </c>
      <c r="I247" s="10">
        <v>19.8</v>
      </c>
      <c r="J247" s="10">
        <v>72.75</v>
      </c>
      <c r="K247" s="11">
        <v>-56.3431358337402</v>
      </c>
      <c r="L247" s="12" t="s">
        <v>628</v>
      </c>
    </row>
    <row r="248">
      <c r="A248" s="9" t="s">
        <v>565</v>
      </c>
      <c r="B248" s="9" t="s">
        <v>566</v>
      </c>
      <c r="C248" s="9" t="s">
        <v>630</v>
      </c>
      <c r="D248" s="9" t="s">
        <v>622</v>
      </c>
      <c r="E248" s="9" t="s">
        <v>21</v>
      </c>
      <c r="F248" s="9">
        <v>540.0</v>
      </c>
      <c r="G248" s="9">
        <v>1730.0</v>
      </c>
      <c r="H248" s="9">
        <v>57.8</v>
      </c>
      <c r="I248" s="10">
        <v>19.8</v>
      </c>
      <c r="J248" s="10">
        <v>72.75</v>
      </c>
      <c r="K248" s="11">
        <v>-56.3431358337402</v>
      </c>
      <c r="L248" s="12" t="s">
        <v>631</v>
      </c>
    </row>
    <row r="249">
      <c r="A249" s="9" t="s">
        <v>632</v>
      </c>
      <c r="B249" s="9" t="s">
        <v>633</v>
      </c>
      <c r="C249" s="9" t="s">
        <v>634</v>
      </c>
      <c r="D249" s="9" t="s">
        <v>635</v>
      </c>
      <c r="E249" s="9" t="s">
        <v>21</v>
      </c>
      <c r="F249" s="9">
        <v>1000.0</v>
      </c>
      <c r="G249" s="9">
        <v>3000.0</v>
      </c>
      <c r="H249" s="9">
        <v>95.4</v>
      </c>
      <c r="I249" s="10">
        <v>28.829928</v>
      </c>
      <c r="J249" s="10">
        <v>50.885555</v>
      </c>
      <c r="K249" s="11">
        <v>0.0</v>
      </c>
      <c r="L249" s="12" t="s">
        <v>636</v>
      </c>
    </row>
    <row r="250">
      <c r="A250" s="9" t="s">
        <v>637</v>
      </c>
      <c r="B250" s="9" t="s">
        <v>638</v>
      </c>
      <c r="C250" s="9" t="s">
        <v>640</v>
      </c>
      <c r="D250" s="9" t="s">
        <v>640</v>
      </c>
      <c r="E250" s="9" t="s">
        <v>24</v>
      </c>
      <c r="F250" s="9">
        <v>882.0</v>
      </c>
      <c r="G250" s="9">
        <v>2651.0</v>
      </c>
      <c r="H250" s="9">
        <v>36.7</v>
      </c>
      <c r="I250" s="10">
        <v>45.0479794</v>
      </c>
      <c r="J250" s="10">
        <v>9.8747635</v>
      </c>
      <c r="K250" s="11">
        <v>81.4970626831055</v>
      </c>
      <c r="L250" s="12" t="s">
        <v>641</v>
      </c>
    </row>
    <row r="251">
      <c r="A251" s="9" t="s">
        <v>637</v>
      </c>
      <c r="B251" s="9" t="s">
        <v>638</v>
      </c>
      <c r="C251" s="9" t="s">
        <v>642</v>
      </c>
      <c r="D251" s="9" t="s">
        <v>643</v>
      </c>
      <c r="E251" s="9" t="s">
        <v>24</v>
      </c>
      <c r="F251" s="9">
        <v>270.0</v>
      </c>
      <c r="G251" s="9">
        <v>870.0</v>
      </c>
      <c r="H251" s="9">
        <v>45.3</v>
      </c>
      <c r="I251" s="10">
        <v>45.1943075</v>
      </c>
      <c r="J251" s="10">
        <v>8.29661</v>
      </c>
      <c r="K251" s="11">
        <v>175.662643432617</v>
      </c>
      <c r="L251" s="12" t="s">
        <v>644</v>
      </c>
    </row>
    <row r="252">
      <c r="A252" s="9" t="s">
        <v>637</v>
      </c>
      <c r="B252" s="9" t="s">
        <v>638</v>
      </c>
      <c r="C252" s="9" t="s">
        <v>645</v>
      </c>
      <c r="D252" s="9" t="s">
        <v>646</v>
      </c>
      <c r="E252" s="9" t="s">
        <v>24</v>
      </c>
      <c r="F252" s="9">
        <v>160.0</v>
      </c>
      <c r="G252" s="9">
        <v>506.0</v>
      </c>
      <c r="H252" s="9">
        <v>39.0</v>
      </c>
      <c r="I252" s="10">
        <v>41.2383257</v>
      </c>
      <c r="J252" s="10">
        <v>13.9325868</v>
      </c>
      <c r="K252" s="11">
        <v>234.993179321289</v>
      </c>
      <c r="L252" s="12" t="s">
        <v>648</v>
      </c>
    </row>
    <row r="253">
      <c r="A253" s="9" t="s">
        <v>637</v>
      </c>
      <c r="B253" s="9" t="s">
        <v>638</v>
      </c>
      <c r="C253" s="9" t="s">
        <v>649</v>
      </c>
      <c r="D253" s="9" t="s">
        <v>650</v>
      </c>
      <c r="E253" s="9" t="s">
        <v>24</v>
      </c>
      <c r="F253" s="9">
        <v>160.0</v>
      </c>
      <c r="G253" s="9">
        <v>660.0</v>
      </c>
      <c r="H253" s="9">
        <v>70.3</v>
      </c>
      <c r="I253" s="10">
        <v>41.4296627</v>
      </c>
      <c r="J253" s="10">
        <v>12.8215896</v>
      </c>
      <c r="K253" s="11">
        <v>55.1343078613281</v>
      </c>
      <c r="L253" s="12" t="s">
        <v>651</v>
      </c>
    </row>
    <row r="254">
      <c r="A254" s="9" t="s">
        <v>652</v>
      </c>
      <c r="B254" s="9" t="s">
        <v>653</v>
      </c>
      <c r="C254" s="9" t="s">
        <v>654</v>
      </c>
      <c r="D254" s="9" t="s">
        <v>655</v>
      </c>
      <c r="E254" s="9" t="s">
        <v>24</v>
      </c>
      <c r="F254" s="9">
        <v>165.0</v>
      </c>
      <c r="G254" s="9">
        <v>557.0</v>
      </c>
      <c r="H254" s="9">
        <v>61.9</v>
      </c>
      <c r="I254" s="10">
        <v>35.6452443</v>
      </c>
      <c r="J254" s="10">
        <v>136.0554408</v>
      </c>
      <c r="K254" s="11">
        <v>42.0336036682129</v>
      </c>
      <c r="L254" s="12" t="s">
        <v>656</v>
      </c>
    </row>
    <row r="255">
      <c r="A255" s="9" t="s">
        <v>652</v>
      </c>
      <c r="B255" s="9" t="s">
        <v>653</v>
      </c>
      <c r="C255" s="9" t="s">
        <v>657</v>
      </c>
      <c r="D255" s="9" t="s">
        <v>658</v>
      </c>
      <c r="E255" s="9" t="s">
        <v>24</v>
      </c>
      <c r="F255" s="9">
        <v>460.0</v>
      </c>
      <c r="G255" s="9">
        <v>1380.0</v>
      </c>
      <c r="H255" s="9">
        <v>53.3</v>
      </c>
      <c r="I255" s="10">
        <v>37.421689</v>
      </c>
      <c r="J255" s="10">
        <v>141.032598</v>
      </c>
      <c r="K255" s="11">
        <v>0.0</v>
      </c>
      <c r="L255" s="12" t="s">
        <v>661</v>
      </c>
    </row>
    <row r="256">
      <c r="A256" s="9" t="s">
        <v>652</v>
      </c>
      <c r="B256" s="9" t="s">
        <v>653</v>
      </c>
      <c r="C256" s="9" t="s">
        <v>662</v>
      </c>
      <c r="D256" s="9" t="s">
        <v>658</v>
      </c>
      <c r="E256" s="9" t="s">
        <v>24</v>
      </c>
      <c r="F256" s="9">
        <v>784.0</v>
      </c>
      <c r="G256" s="9">
        <v>2381.0</v>
      </c>
      <c r="H256" s="9">
        <v>60.8</v>
      </c>
      <c r="I256" s="10">
        <v>37.421689</v>
      </c>
      <c r="J256" s="10">
        <v>141.032598</v>
      </c>
      <c r="K256" s="11">
        <v>0.0</v>
      </c>
      <c r="L256" s="12" t="s">
        <v>663</v>
      </c>
    </row>
    <row r="257">
      <c r="A257" s="9" t="s">
        <v>652</v>
      </c>
      <c r="B257" s="9" t="s">
        <v>653</v>
      </c>
      <c r="C257" s="9" t="s">
        <v>664</v>
      </c>
      <c r="D257" s="9" t="s">
        <v>658</v>
      </c>
      <c r="E257" s="9" t="s">
        <v>24</v>
      </c>
      <c r="F257" s="9">
        <v>784.0</v>
      </c>
      <c r="G257" s="9">
        <v>2381.0</v>
      </c>
      <c r="H257" s="9">
        <v>65.3</v>
      </c>
      <c r="I257" s="10">
        <v>37.421689</v>
      </c>
      <c r="J257" s="10">
        <v>141.032598</v>
      </c>
      <c r="K257" s="11">
        <v>0.0</v>
      </c>
      <c r="L257" s="12" t="s">
        <v>665</v>
      </c>
    </row>
    <row r="258">
      <c r="A258" s="9" t="s">
        <v>652</v>
      </c>
      <c r="B258" s="9" t="s">
        <v>653</v>
      </c>
      <c r="C258" s="9" t="s">
        <v>666</v>
      </c>
      <c r="D258" s="9" t="s">
        <v>658</v>
      </c>
      <c r="E258" s="9" t="s">
        <v>24</v>
      </c>
      <c r="F258" s="9">
        <v>784.0</v>
      </c>
      <c r="G258" s="9">
        <v>2381.0</v>
      </c>
      <c r="H258" s="9">
        <v>70.0</v>
      </c>
      <c r="I258" s="10">
        <v>37.421689</v>
      </c>
      <c r="J258" s="10">
        <v>141.032598</v>
      </c>
      <c r="K258" s="11">
        <v>0.0</v>
      </c>
      <c r="L258" s="12" t="s">
        <v>667</v>
      </c>
    </row>
    <row r="259">
      <c r="A259" s="9" t="s">
        <v>652</v>
      </c>
      <c r="B259" s="9" t="s">
        <v>653</v>
      </c>
      <c r="C259" s="9" t="s">
        <v>668</v>
      </c>
      <c r="D259" s="9" t="s">
        <v>658</v>
      </c>
      <c r="E259" s="9" t="s">
        <v>24</v>
      </c>
      <c r="F259" s="9">
        <v>784.0</v>
      </c>
      <c r="G259" s="9">
        <v>2381.0</v>
      </c>
      <c r="H259" s="9">
        <v>65.5</v>
      </c>
      <c r="I259" s="10">
        <v>37.421689</v>
      </c>
      <c r="J259" s="10">
        <v>141.032598</v>
      </c>
      <c r="K259" s="11">
        <v>0.0</v>
      </c>
      <c r="L259" s="12" t="s">
        <v>669</v>
      </c>
    </row>
    <row r="260">
      <c r="A260" s="9" t="s">
        <v>652</v>
      </c>
      <c r="B260" s="9" t="s">
        <v>653</v>
      </c>
      <c r="C260" s="9" t="s">
        <v>670</v>
      </c>
      <c r="D260" s="9" t="s">
        <v>658</v>
      </c>
      <c r="E260" s="9" t="s">
        <v>24</v>
      </c>
      <c r="F260" s="9">
        <v>1100.0</v>
      </c>
      <c r="G260" s="9">
        <v>3293.0</v>
      </c>
      <c r="H260" s="9">
        <v>64.2</v>
      </c>
      <c r="I260" s="10">
        <v>37.421689</v>
      </c>
      <c r="J260" s="10">
        <v>141.032598</v>
      </c>
      <c r="K260" s="11">
        <v>0.0</v>
      </c>
      <c r="L260" s="12" t="s">
        <v>672</v>
      </c>
    </row>
    <row r="261">
      <c r="A261" s="9" t="s">
        <v>652</v>
      </c>
      <c r="B261" s="9" t="s">
        <v>653</v>
      </c>
      <c r="C261" s="9" t="s">
        <v>673</v>
      </c>
      <c r="D261" s="9" t="s">
        <v>674</v>
      </c>
      <c r="E261" s="9" t="s">
        <v>21</v>
      </c>
      <c r="F261" s="9">
        <v>1100.0</v>
      </c>
      <c r="G261" s="9">
        <v>3293.0</v>
      </c>
      <c r="H261" s="9">
        <v>68.8</v>
      </c>
      <c r="I261" s="10">
        <v>37.2825</v>
      </c>
      <c r="J261" s="10">
        <v>140.9936111</v>
      </c>
      <c r="K261" s="11">
        <v>68.8648910522461</v>
      </c>
      <c r="L261" s="12" t="s">
        <v>675</v>
      </c>
    </row>
    <row r="262">
      <c r="A262" s="9" t="s">
        <v>652</v>
      </c>
      <c r="B262" s="9" t="s">
        <v>653</v>
      </c>
      <c r="C262" s="9" t="s">
        <v>676</v>
      </c>
      <c r="D262" s="9" t="s">
        <v>674</v>
      </c>
      <c r="E262" s="9" t="s">
        <v>21</v>
      </c>
      <c r="F262" s="9">
        <v>1100.0</v>
      </c>
      <c r="G262" s="9">
        <v>3293.0</v>
      </c>
      <c r="H262" s="9">
        <v>67.5</v>
      </c>
      <c r="I262" s="10">
        <v>37.2825</v>
      </c>
      <c r="J262" s="10">
        <v>140.9936111</v>
      </c>
      <c r="K262" s="11">
        <v>68.8648910522461</v>
      </c>
      <c r="L262" s="12" t="s">
        <v>677</v>
      </c>
    </row>
    <row r="263">
      <c r="A263" s="9" t="s">
        <v>652</v>
      </c>
      <c r="B263" s="9" t="s">
        <v>653</v>
      </c>
      <c r="C263" s="9" t="s">
        <v>678</v>
      </c>
      <c r="D263" s="9" t="s">
        <v>674</v>
      </c>
      <c r="E263" s="9" t="s">
        <v>21</v>
      </c>
      <c r="F263" s="9">
        <v>1100.0</v>
      </c>
      <c r="G263" s="9">
        <v>3293.0</v>
      </c>
      <c r="H263" s="9">
        <v>60.4</v>
      </c>
      <c r="I263" s="10">
        <v>37.2825</v>
      </c>
      <c r="J263" s="10">
        <v>140.9936111</v>
      </c>
      <c r="K263" s="11">
        <v>68.8648910522461</v>
      </c>
      <c r="L263" s="12" t="s">
        <v>679</v>
      </c>
    </row>
    <row r="264">
      <c r="A264" s="9" t="s">
        <v>652</v>
      </c>
      <c r="B264" s="9" t="s">
        <v>653</v>
      </c>
      <c r="C264" s="9" t="s">
        <v>680</v>
      </c>
      <c r="D264" s="9" t="s">
        <v>674</v>
      </c>
      <c r="E264" s="9" t="s">
        <v>21</v>
      </c>
      <c r="F264" s="9">
        <v>1100.0</v>
      </c>
      <c r="G264" s="9">
        <v>3293.0</v>
      </c>
      <c r="H264" s="9">
        <v>64.5</v>
      </c>
      <c r="I264" s="10">
        <v>37.2825</v>
      </c>
      <c r="J264" s="10">
        <v>140.9936111</v>
      </c>
      <c r="K264" s="11">
        <v>68.8648910522461</v>
      </c>
      <c r="L264" s="12" t="s">
        <v>681</v>
      </c>
    </row>
    <row r="265">
      <c r="A265" s="9" t="s">
        <v>652</v>
      </c>
      <c r="B265" s="9" t="s">
        <v>653</v>
      </c>
      <c r="C265" s="9" t="s">
        <v>683</v>
      </c>
      <c r="D265" s="9" t="s">
        <v>684</v>
      </c>
      <c r="E265" s="9" t="s">
        <v>21</v>
      </c>
      <c r="F265" s="9">
        <v>559.0</v>
      </c>
      <c r="G265" s="9">
        <v>1650.0</v>
      </c>
      <c r="H265" s="9">
        <v>70.8</v>
      </c>
      <c r="I265" s="10">
        <v>33.4721834</v>
      </c>
      <c r="J265" s="10">
        <v>129.8746978</v>
      </c>
      <c r="K265" s="11">
        <v>134.047393798828</v>
      </c>
      <c r="L265" s="12" t="s">
        <v>685</v>
      </c>
    </row>
    <row r="266">
      <c r="A266" s="9" t="s">
        <v>652</v>
      </c>
      <c r="B266" s="9" t="s">
        <v>653</v>
      </c>
      <c r="C266" s="9" t="s">
        <v>686</v>
      </c>
      <c r="D266" s="9" t="s">
        <v>684</v>
      </c>
      <c r="E266" s="9" t="s">
        <v>21</v>
      </c>
      <c r="F266" s="9">
        <v>559.0</v>
      </c>
      <c r="G266" s="9">
        <v>1650.0</v>
      </c>
      <c r="H266" s="9">
        <v>74.8</v>
      </c>
      <c r="I266" s="10">
        <v>33.4721834</v>
      </c>
      <c r="J266" s="10">
        <v>129.8746978</v>
      </c>
      <c r="K266" s="11">
        <v>134.047393798828</v>
      </c>
      <c r="L266" s="12" t="s">
        <v>687</v>
      </c>
    </row>
    <row r="267">
      <c r="A267" s="9" t="s">
        <v>652</v>
      </c>
      <c r="B267" s="9" t="s">
        <v>653</v>
      </c>
      <c r="C267" s="9" t="s">
        <v>688</v>
      </c>
      <c r="D267" s="9" t="s">
        <v>684</v>
      </c>
      <c r="E267" s="9" t="s">
        <v>21</v>
      </c>
      <c r="F267" s="9">
        <v>1180.0</v>
      </c>
      <c r="G267" s="9">
        <v>3423.0</v>
      </c>
      <c r="H267" s="9">
        <v>73.2</v>
      </c>
      <c r="I267" s="10">
        <v>33.4721834</v>
      </c>
      <c r="J267" s="10">
        <v>129.8746978</v>
      </c>
      <c r="K267" s="11">
        <v>180.045547485352</v>
      </c>
      <c r="L267" s="12" t="s">
        <v>689</v>
      </c>
    </row>
    <row r="268">
      <c r="A268" s="9" t="s">
        <v>652</v>
      </c>
      <c r="B268" s="9" t="s">
        <v>653</v>
      </c>
      <c r="C268" s="9" t="s">
        <v>690</v>
      </c>
      <c r="D268" s="9" t="s">
        <v>684</v>
      </c>
      <c r="E268" s="9" t="s">
        <v>21</v>
      </c>
      <c r="F268" s="9">
        <v>1180.0</v>
      </c>
      <c r="G268" s="9">
        <v>3423.0</v>
      </c>
      <c r="H268" s="9">
        <v>76.3</v>
      </c>
      <c r="I268" s="10">
        <v>33.4721834</v>
      </c>
      <c r="J268" s="10">
        <v>129.8746978</v>
      </c>
      <c r="K268" s="11">
        <v>180.045547485352</v>
      </c>
      <c r="L268" s="12" t="s">
        <v>691</v>
      </c>
    </row>
    <row r="269">
      <c r="A269" s="9" t="s">
        <v>652</v>
      </c>
      <c r="B269" s="9" t="s">
        <v>653</v>
      </c>
      <c r="C269" s="9" t="s">
        <v>692</v>
      </c>
      <c r="D269" s="9" t="s">
        <v>693</v>
      </c>
      <c r="E269" s="9" t="s">
        <v>24</v>
      </c>
      <c r="F269" s="9">
        <v>540.0</v>
      </c>
      <c r="G269" s="9">
        <v>1593.0</v>
      </c>
      <c r="H269" s="9">
        <v>47.9</v>
      </c>
      <c r="I269" s="10">
        <v>34.6379866</v>
      </c>
      <c r="J269" s="10">
        <v>138.1281269</v>
      </c>
      <c r="K269" s="11">
        <v>60.6048164367676</v>
      </c>
      <c r="L269" s="12" t="s">
        <v>694</v>
      </c>
    </row>
    <row r="270">
      <c r="A270" s="9" t="s">
        <v>652</v>
      </c>
      <c r="B270" s="9" t="s">
        <v>653</v>
      </c>
      <c r="C270" s="9" t="s">
        <v>695</v>
      </c>
      <c r="D270" s="9" t="s">
        <v>693</v>
      </c>
      <c r="E270" s="9" t="s">
        <v>24</v>
      </c>
      <c r="F270" s="9">
        <v>840.0</v>
      </c>
      <c r="G270" s="9">
        <v>2436.0</v>
      </c>
      <c r="H270" s="9">
        <v>59.6</v>
      </c>
      <c r="I270" s="10">
        <v>34.6379866</v>
      </c>
      <c r="J270" s="10">
        <v>138.1281269</v>
      </c>
      <c r="K270" s="11">
        <v>60.6048164367676</v>
      </c>
      <c r="L270" s="12" t="s">
        <v>696</v>
      </c>
    </row>
    <row r="271">
      <c r="A271" s="9" t="s">
        <v>652</v>
      </c>
      <c r="B271" s="9" t="s">
        <v>653</v>
      </c>
      <c r="C271" s="9" t="s">
        <v>697</v>
      </c>
      <c r="D271" s="9" t="s">
        <v>693</v>
      </c>
      <c r="E271" s="9" t="s">
        <v>21</v>
      </c>
      <c r="F271" s="9">
        <v>1100.0</v>
      </c>
      <c r="G271" s="9">
        <v>3293.0</v>
      </c>
      <c r="H271" s="9">
        <v>68.8</v>
      </c>
      <c r="I271" s="10">
        <v>34.6379866</v>
      </c>
      <c r="J271" s="10">
        <v>138.1281269</v>
      </c>
      <c r="K271" s="11">
        <v>60.6048164367676</v>
      </c>
      <c r="L271" s="12" t="s">
        <v>698</v>
      </c>
    </row>
    <row r="272">
      <c r="A272" s="9" t="s">
        <v>652</v>
      </c>
      <c r="B272" s="9" t="s">
        <v>653</v>
      </c>
      <c r="C272" s="9" t="s">
        <v>699</v>
      </c>
      <c r="D272" s="9" t="s">
        <v>693</v>
      </c>
      <c r="E272" s="9" t="s">
        <v>21</v>
      </c>
      <c r="F272" s="9">
        <v>1137.0</v>
      </c>
      <c r="G272" s="9">
        <v>3293.0</v>
      </c>
      <c r="H272" s="9">
        <v>69.4</v>
      </c>
      <c r="I272" s="10">
        <v>34.6379866</v>
      </c>
      <c r="J272" s="10">
        <v>138.1281269</v>
      </c>
      <c r="K272" s="11">
        <v>51.3761405944824</v>
      </c>
      <c r="L272" s="12" t="s">
        <v>700</v>
      </c>
    </row>
    <row r="273">
      <c r="A273" s="9" t="s">
        <v>652</v>
      </c>
      <c r="B273" s="9" t="s">
        <v>653</v>
      </c>
      <c r="C273" s="9" t="s">
        <v>701</v>
      </c>
      <c r="D273" s="9" t="s">
        <v>693</v>
      </c>
      <c r="E273" s="9" t="s">
        <v>21</v>
      </c>
      <c r="F273" s="9">
        <v>1380.0</v>
      </c>
      <c r="G273" s="9">
        <v>3926.0</v>
      </c>
      <c r="H273" s="9">
        <v>34.2</v>
      </c>
      <c r="I273" s="10">
        <v>34.6379866</v>
      </c>
      <c r="J273" s="10">
        <v>138.1281269</v>
      </c>
      <c r="K273" s="11">
        <v>50.6358909606934</v>
      </c>
      <c r="L273" s="12" t="s">
        <v>702</v>
      </c>
    </row>
    <row r="274">
      <c r="A274" s="9" t="s">
        <v>652</v>
      </c>
      <c r="B274" s="9" t="s">
        <v>653</v>
      </c>
      <c r="C274" s="9" t="s">
        <v>703</v>
      </c>
      <c r="D274" s="9" t="s">
        <v>704</v>
      </c>
      <c r="E274" s="9" t="s">
        <v>21</v>
      </c>
      <c r="F274" s="9">
        <v>1100.0</v>
      </c>
      <c r="G274" s="9">
        <v>3293.0</v>
      </c>
      <c r="H274" s="9">
        <v>52.3</v>
      </c>
      <c r="I274" s="10">
        <v>41.2777872</v>
      </c>
      <c r="J274" s="10">
        <v>141.3289361</v>
      </c>
      <c r="K274" s="11">
        <v>132.745697021484</v>
      </c>
      <c r="L274" s="12" t="s">
        <v>705</v>
      </c>
    </row>
    <row r="275">
      <c r="A275" s="9" t="s">
        <v>652</v>
      </c>
      <c r="B275" s="9" t="s">
        <v>653</v>
      </c>
      <c r="C275" s="9" t="s">
        <v>706</v>
      </c>
      <c r="D275" s="9" t="s">
        <v>707</v>
      </c>
      <c r="E275" s="9" t="s">
        <v>21</v>
      </c>
      <c r="F275" s="9">
        <v>566.0</v>
      </c>
      <c r="G275" s="9">
        <v>1650.0</v>
      </c>
      <c r="H275" s="9">
        <v>73.5</v>
      </c>
      <c r="I275" s="10">
        <v>33.4885738</v>
      </c>
      <c r="J275" s="10">
        <v>132.354012</v>
      </c>
      <c r="K275" s="11">
        <v>150.406356811523</v>
      </c>
      <c r="L275" s="12" t="s">
        <v>708</v>
      </c>
    </row>
    <row r="276">
      <c r="A276" s="9" t="s">
        <v>652</v>
      </c>
      <c r="B276" s="9" t="s">
        <v>653</v>
      </c>
      <c r="C276" s="9" t="s">
        <v>709</v>
      </c>
      <c r="D276" s="9" t="s">
        <v>707</v>
      </c>
      <c r="E276" s="9" t="s">
        <v>21</v>
      </c>
      <c r="F276" s="9">
        <v>566.0</v>
      </c>
      <c r="G276" s="9">
        <v>1650.0</v>
      </c>
      <c r="H276" s="9">
        <v>77.2</v>
      </c>
      <c r="I276" s="10">
        <v>33.4885738</v>
      </c>
      <c r="J276" s="10">
        <v>132.354012</v>
      </c>
      <c r="K276" s="11">
        <v>150.406356811523</v>
      </c>
      <c r="L276" s="12" t="s">
        <v>710</v>
      </c>
    </row>
    <row r="277">
      <c r="A277" s="9" t="s">
        <v>652</v>
      </c>
      <c r="B277" s="9" t="s">
        <v>653</v>
      </c>
      <c r="C277" s="9" t="s">
        <v>711</v>
      </c>
      <c r="D277" s="9" t="s">
        <v>707</v>
      </c>
      <c r="E277" s="9" t="s">
        <v>21</v>
      </c>
      <c r="F277" s="9">
        <v>890.0</v>
      </c>
      <c r="G277" s="9">
        <v>2660.0</v>
      </c>
      <c r="H277" s="9">
        <v>76.6</v>
      </c>
      <c r="I277" s="10">
        <v>33.4885738</v>
      </c>
      <c r="J277" s="10">
        <v>132.354012</v>
      </c>
      <c r="K277" s="11">
        <v>208.540252685547</v>
      </c>
      <c r="L277" s="12" t="s">
        <v>712</v>
      </c>
    </row>
    <row r="278">
      <c r="A278" s="9" t="s">
        <v>652</v>
      </c>
      <c r="B278" s="9" t="s">
        <v>653</v>
      </c>
      <c r="C278" s="9" t="s">
        <v>713</v>
      </c>
      <c r="D278" s="9" t="s">
        <v>714</v>
      </c>
      <c r="E278" s="9" t="s">
        <v>24</v>
      </c>
      <c r="F278" s="9">
        <v>13.0</v>
      </c>
      <c r="G278" s="9">
        <v>90.0</v>
      </c>
      <c r="H278" s="9">
        <v>0.0</v>
      </c>
      <c r="I278" s="10">
        <v>36.4728795</v>
      </c>
      <c r="J278" s="10">
        <v>140.5662985</v>
      </c>
      <c r="K278" s="11">
        <v>64.2828369140625</v>
      </c>
      <c r="L278" s="12" t="s">
        <v>715</v>
      </c>
    </row>
    <row r="279">
      <c r="A279" s="9" t="s">
        <v>652</v>
      </c>
      <c r="B279" s="9" t="s">
        <v>653</v>
      </c>
      <c r="C279" s="9" t="s">
        <v>716</v>
      </c>
      <c r="D279" s="9" t="s">
        <v>717</v>
      </c>
      <c r="E279" s="9" t="s">
        <v>21</v>
      </c>
      <c r="F279" s="9">
        <v>1100.0</v>
      </c>
      <c r="G279" s="9">
        <v>3293.0</v>
      </c>
      <c r="H279" s="9">
        <v>59.6</v>
      </c>
      <c r="I279" s="10">
        <v>37.3718999</v>
      </c>
      <c r="J279" s="10">
        <v>138.5589836</v>
      </c>
      <c r="K279" s="11">
        <v>48.8188209533691</v>
      </c>
      <c r="L279" s="12" t="s">
        <v>718</v>
      </c>
    </row>
    <row r="280">
      <c r="A280" s="9" t="s">
        <v>652</v>
      </c>
      <c r="B280" s="9" t="s">
        <v>653</v>
      </c>
      <c r="C280" s="9" t="s">
        <v>719</v>
      </c>
      <c r="D280" s="9" t="s">
        <v>717</v>
      </c>
      <c r="E280" s="9" t="s">
        <v>21</v>
      </c>
      <c r="F280" s="9">
        <v>1100.0</v>
      </c>
      <c r="G280" s="9">
        <v>3293.0</v>
      </c>
      <c r="H280" s="9">
        <v>53.6</v>
      </c>
      <c r="I280" s="10">
        <v>37.3718999</v>
      </c>
      <c r="J280" s="10">
        <v>138.5589836</v>
      </c>
      <c r="K280" s="11">
        <v>38.9167404174805</v>
      </c>
      <c r="L280" s="12" t="s">
        <v>720</v>
      </c>
    </row>
    <row r="281">
      <c r="A281" s="9" t="s">
        <v>652</v>
      </c>
      <c r="B281" s="9" t="s">
        <v>653</v>
      </c>
      <c r="C281" s="9" t="s">
        <v>721</v>
      </c>
      <c r="D281" s="9" t="s">
        <v>717</v>
      </c>
      <c r="E281" s="9" t="s">
        <v>21</v>
      </c>
      <c r="F281" s="9">
        <v>1100.0</v>
      </c>
      <c r="G281" s="9">
        <v>3293.0</v>
      </c>
      <c r="H281" s="9">
        <v>51.1</v>
      </c>
      <c r="I281" s="10">
        <v>37.3718999</v>
      </c>
      <c r="J281" s="10">
        <v>138.5589836</v>
      </c>
      <c r="K281" s="11">
        <v>38.9167404174805</v>
      </c>
      <c r="L281" s="12" t="s">
        <v>722</v>
      </c>
    </row>
    <row r="282">
      <c r="A282" s="9" t="s">
        <v>652</v>
      </c>
      <c r="B282" s="9" t="s">
        <v>653</v>
      </c>
      <c r="C282" s="9" t="s">
        <v>723</v>
      </c>
      <c r="D282" s="9" t="s">
        <v>717</v>
      </c>
      <c r="E282" s="9" t="s">
        <v>21</v>
      </c>
      <c r="F282" s="9">
        <v>1100.0</v>
      </c>
      <c r="G282" s="9">
        <v>3293.0</v>
      </c>
      <c r="H282" s="9">
        <v>49.4</v>
      </c>
      <c r="I282" s="10">
        <v>37.3718999</v>
      </c>
      <c r="J282" s="10">
        <v>138.5589836</v>
      </c>
      <c r="K282" s="11">
        <v>38.9167404174805</v>
      </c>
      <c r="L282" s="12" t="s">
        <v>724</v>
      </c>
    </row>
    <row r="283">
      <c r="A283" s="9" t="s">
        <v>652</v>
      </c>
      <c r="B283" s="9" t="s">
        <v>653</v>
      </c>
      <c r="C283" s="9" t="s">
        <v>725</v>
      </c>
      <c r="D283" s="9" t="s">
        <v>717</v>
      </c>
      <c r="E283" s="9" t="s">
        <v>21</v>
      </c>
      <c r="F283" s="9">
        <v>1100.0</v>
      </c>
      <c r="G283" s="9">
        <v>3293.0</v>
      </c>
      <c r="H283" s="9">
        <v>60.8</v>
      </c>
      <c r="I283" s="10">
        <v>37.3718999</v>
      </c>
      <c r="J283" s="10">
        <v>138.5589836</v>
      </c>
      <c r="K283" s="11">
        <v>38.9167404174805</v>
      </c>
      <c r="L283" s="12" t="s">
        <v>726</v>
      </c>
    </row>
    <row r="284">
      <c r="A284" s="9" t="s">
        <v>652</v>
      </c>
      <c r="B284" s="9" t="s">
        <v>653</v>
      </c>
      <c r="C284" s="9" t="s">
        <v>727</v>
      </c>
      <c r="D284" s="9" t="s">
        <v>717</v>
      </c>
      <c r="E284" s="9" t="s">
        <v>21</v>
      </c>
      <c r="F284" s="9">
        <v>1356.0</v>
      </c>
      <c r="G284" s="9">
        <v>3926.0</v>
      </c>
      <c r="H284" s="9">
        <v>65.7</v>
      </c>
      <c r="I284" s="10">
        <v>37.3718999</v>
      </c>
      <c r="J284" s="10">
        <v>138.5589836</v>
      </c>
      <c r="K284" s="11">
        <v>38.9167404174805</v>
      </c>
      <c r="L284" s="12" t="s">
        <v>728</v>
      </c>
    </row>
    <row r="285">
      <c r="A285" s="9" t="s">
        <v>652</v>
      </c>
      <c r="B285" s="9" t="s">
        <v>653</v>
      </c>
      <c r="C285" s="9" t="s">
        <v>729</v>
      </c>
      <c r="D285" s="9" t="s">
        <v>717</v>
      </c>
      <c r="E285" s="9" t="s">
        <v>21</v>
      </c>
      <c r="F285" s="9">
        <v>1356.0</v>
      </c>
      <c r="G285" s="9">
        <v>3926.0</v>
      </c>
      <c r="H285" s="9">
        <v>60.0</v>
      </c>
      <c r="I285" s="10">
        <v>37.3718999</v>
      </c>
      <c r="J285" s="10">
        <v>138.5589836</v>
      </c>
      <c r="K285" s="11">
        <v>38.9167404174805</v>
      </c>
      <c r="L285" s="12" t="s">
        <v>730</v>
      </c>
    </row>
    <row r="286">
      <c r="A286" s="9" t="s">
        <v>652</v>
      </c>
      <c r="B286" s="9" t="s">
        <v>653</v>
      </c>
      <c r="C286" s="9" t="s">
        <v>731</v>
      </c>
      <c r="D286" s="9" t="s">
        <v>732</v>
      </c>
      <c r="E286" s="9" t="s">
        <v>21</v>
      </c>
      <c r="F286" s="9">
        <v>340.0</v>
      </c>
      <c r="G286" s="9">
        <v>1031.0</v>
      </c>
      <c r="H286" s="9">
        <v>49.8</v>
      </c>
      <c r="I286" s="10">
        <v>35.703475</v>
      </c>
      <c r="J286" s="10">
        <v>135.963578</v>
      </c>
      <c r="K286" s="11">
        <v>0.0</v>
      </c>
      <c r="L286" s="12" t="s">
        <v>733</v>
      </c>
    </row>
    <row r="287">
      <c r="A287" s="9" t="s">
        <v>652</v>
      </c>
      <c r="B287" s="9" t="s">
        <v>653</v>
      </c>
      <c r="C287" s="9" t="s">
        <v>734</v>
      </c>
      <c r="D287" s="9" t="s">
        <v>732</v>
      </c>
      <c r="E287" s="9" t="s">
        <v>21</v>
      </c>
      <c r="F287" s="9">
        <v>500.0</v>
      </c>
      <c r="G287" s="9">
        <v>1456.0</v>
      </c>
      <c r="H287" s="9">
        <v>59.5</v>
      </c>
      <c r="I287" s="10">
        <v>35.703475</v>
      </c>
      <c r="J287" s="10">
        <v>135.963578</v>
      </c>
      <c r="K287" s="11">
        <v>0.0</v>
      </c>
      <c r="L287" s="12" t="s">
        <v>735</v>
      </c>
    </row>
    <row r="288">
      <c r="A288" s="9" t="s">
        <v>652</v>
      </c>
      <c r="B288" s="9" t="s">
        <v>653</v>
      </c>
      <c r="C288" s="9" t="s">
        <v>736</v>
      </c>
      <c r="D288" s="9" t="s">
        <v>732</v>
      </c>
      <c r="E288" s="9" t="s">
        <v>21</v>
      </c>
      <c r="F288" s="9">
        <v>826.0</v>
      </c>
      <c r="G288" s="9">
        <v>2440.0</v>
      </c>
      <c r="H288" s="9">
        <v>66.6</v>
      </c>
      <c r="I288" s="10">
        <v>35.703475</v>
      </c>
      <c r="J288" s="10">
        <v>135.963578</v>
      </c>
      <c r="K288" s="11">
        <v>0.0</v>
      </c>
      <c r="L288" s="12" t="s">
        <v>737</v>
      </c>
    </row>
    <row r="289">
      <c r="A289" s="9" t="s">
        <v>652</v>
      </c>
      <c r="B289" s="9" t="s">
        <v>653</v>
      </c>
      <c r="C289" s="9" t="s">
        <v>738</v>
      </c>
      <c r="D289" s="9" t="s">
        <v>655</v>
      </c>
      <c r="E289" s="9" t="s">
        <v>660</v>
      </c>
      <c r="F289" s="9">
        <v>280.0</v>
      </c>
      <c r="G289" s="9">
        <v>714.0</v>
      </c>
      <c r="H289" s="9">
        <v>0.0</v>
      </c>
      <c r="I289" s="10">
        <v>35.6452443</v>
      </c>
      <c r="J289" s="10">
        <v>136.0554408</v>
      </c>
      <c r="K289" s="11">
        <v>42.0336036682129</v>
      </c>
      <c r="L289" s="12" t="s">
        <v>739</v>
      </c>
    </row>
    <row r="290">
      <c r="A290" s="9" t="s">
        <v>652</v>
      </c>
      <c r="B290" s="9" t="s">
        <v>653</v>
      </c>
      <c r="C290" s="9" t="s">
        <v>740</v>
      </c>
      <c r="D290" s="9" t="s">
        <v>741</v>
      </c>
      <c r="E290" s="9" t="s">
        <v>21</v>
      </c>
      <c r="F290" s="9">
        <v>1175.0</v>
      </c>
      <c r="G290" s="9">
        <v>3423.0</v>
      </c>
      <c r="H290" s="9">
        <v>62.4</v>
      </c>
      <c r="I290" s="10">
        <v>33.3698119</v>
      </c>
      <c r="J290" s="10">
        <v>130.8876704</v>
      </c>
      <c r="K290" s="11">
        <v>225.923645019531</v>
      </c>
      <c r="L290" s="12" t="s">
        <v>742</v>
      </c>
    </row>
    <row r="291">
      <c r="A291" s="9" t="s">
        <v>652</v>
      </c>
      <c r="B291" s="9" t="s">
        <v>653</v>
      </c>
      <c r="C291" s="9" t="s">
        <v>743</v>
      </c>
      <c r="D291" s="9" t="s">
        <v>741</v>
      </c>
      <c r="E291" s="9" t="s">
        <v>21</v>
      </c>
      <c r="F291" s="9">
        <v>1175.0</v>
      </c>
      <c r="G291" s="9">
        <v>3423.0</v>
      </c>
      <c r="H291" s="9">
        <v>69.2</v>
      </c>
      <c r="I291" s="10">
        <v>33.3698119</v>
      </c>
      <c r="J291" s="10">
        <v>130.8876704</v>
      </c>
      <c r="K291" s="11">
        <v>225.923645019531</v>
      </c>
      <c r="L291" s="12" t="s">
        <v>744</v>
      </c>
    </row>
    <row r="292">
      <c r="A292" s="9" t="s">
        <v>652</v>
      </c>
      <c r="B292" s="9" t="s">
        <v>653</v>
      </c>
      <c r="C292" s="9" t="s">
        <v>745</v>
      </c>
      <c r="D292" s="9" t="s">
        <v>741</v>
      </c>
      <c r="E292" s="9" t="s">
        <v>21</v>
      </c>
      <c r="F292" s="9">
        <v>1180.0</v>
      </c>
      <c r="G292" s="9">
        <v>3423.0</v>
      </c>
      <c r="H292" s="9">
        <v>77.0</v>
      </c>
      <c r="I292" s="10">
        <v>33.3698119</v>
      </c>
      <c r="J292" s="10">
        <v>130.8876704</v>
      </c>
      <c r="K292" s="11">
        <v>314.018371582031</v>
      </c>
      <c r="L292" s="12" t="s">
        <v>746</v>
      </c>
    </row>
    <row r="293">
      <c r="A293" s="9" t="s">
        <v>652</v>
      </c>
      <c r="B293" s="9" t="s">
        <v>653</v>
      </c>
      <c r="C293" s="9" t="s">
        <v>747</v>
      </c>
      <c r="D293" s="9" t="s">
        <v>741</v>
      </c>
      <c r="E293" s="9" t="s">
        <v>21</v>
      </c>
      <c r="F293" s="9">
        <v>1180.0</v>
      </c>
      <c r="G293" s="9">
        <v>3423.0</v>
      </c>
      <c r="H293" s="9">
        <v>81.9</v>
      </c>
      <c r="I293" s="10">
        <v>33.3698119</v>
      </c>
      <c r="J293" s="10">
        <v>130.8876704</v>
      </c>
      <c r="K293" s="11">
        <v>314.018371582031</v>
      </c>
      <c r="L293" s="12" t="s">
        <v>748</v>
      </c>
    </row>
    <row r="294">
      <c r="A294" s="9" t="s">
        <v>652</v>
      </c>
      <c r="B294" s="9" t="s">
        <v>653</v>
      </c>
      <c r="C294" s="9" t="s">
        <v>749</v>
      </c>
      <c r="D294" s="9" t="s">
        <v>749</v>
      </c>
      <c r="E294" s="9" t="s">
        <v>26</v>
      </c>
      <c r="F294" s="9">
        <v>1383.0</v>
      </c>
      <c r="G294" s="9">
        <v>3926.0</v>
      </c>
      <c r="H294" s="9">
        <v>0.0</v>
      </c>
      <c r="I294" s="10">
        <v>41.5283148</v>
      </c>
      <c r="J294" s="10">
        <v>140.9073353</v>
      </c>
      <c r="K294" s="11">
        <v>3.78031730651855</v>
      </c>
      <c r="L294" s="12" t="s">
        <v>750</v>
      </c>
    </row>
    <row r="295">
      <c r="A295" s="9" t="s">
        <v>652</v>
      </c>
      <c r="B295" s="9" t="s">
        <v>653</v>
      </c>
      <c r="C295" s="9" t="s">
        <v>751</v>
      </c>
      <c r="D295" s="9" t="s">
        <v>752</v>
      </c>
      <c r="E295" s="9" t="s">
        <v>21</v>
      </c>
      <c r="F295" s="9">
        <v>524.0</v>
      </c>
      <c r="G295" s="9">
        <v>1593.0</v>
      </c>
      <c r="H295" s="9">
        <v>61.0</v>
      </c>
      <c r="I295" s="10">
        <v>38.449733</v>
      </c>
      <c r="J295" s="10">
        <v>141.4430881</v>
      </c>
      <c r="K295" s="11">
        <v>124.393630981445</v>
      </c>
      <c r="L295" s="12" t="s">
        <v>753</v>
      </c>
    </row>
    <row r="296">
      <c r="A296" s="9" t="s">
        <v>652</v>
      </c>
      <c r="B296" s="9" t="s">
        <v>653</v>
      </c>
      <c r="C296" s="9" t="s">
        <v>754</v>
      </c>
      <c r="D296" s="9" t="s">
        <v>752</v>
      </c>
      <c r="E296" s="9" t="s">
        <v>21</v>
      </c>
      <c r="F296" s="9">
        <v>825.0</v>
      </c>
      <c r="G296" s="9">
        <v>2436.0</v>
      </c>
      <c r="H296" s="9">
        <v>62.0</v>
      </c>
      <c r="I296" s="10">
        <v>38.449733</v>
      </c>
      <c r="J296" s="10">
        <v>141.4430881</v>
      </c>
      <c r="K296" s="11">
        <v>208.073959350586</v>
      </c>
      <c r="L296" s="12" t="s">
        <v>755</v>
      </c>
    </row>
    <row r="297">
      <c r="A297" s="9" t="s">
        <v>652</v>
      </c>
      <c r="B297" s="9" t="s">
        <v>653</v>
      </c>
      <c r="C297" s="9" t="s">
        <v>756</v>
      </c>
      <c r="D297" s="9" t="s">
        <v>752</v>
      </c>
      <c r="E297" s="9" t="s">
        <v>21</v>
      </c>
      <c r="F297" s="9">
        <v>825.0</v>
      </c>
      <c r="G297" s="9">
        <v>2436.0</v>
      </c>
      <c r="H297" s="9">
        <v>52.9</v>
      </c>
      <c r="I297" s="10">
        <v>38.449733</v>
      </c>
      <c r="J297" s="10">
        <v>141.4430881</v>
      </c>
      <c r="K297" s="11">
        <v>208.073959350586</v>
      </c>
      <c r="L297" s="12" t="s">
        <v>757</v>
      </c>
    </row>
    <row r="298">
      <c r="A298" s="9" t="s">
        <v>652</v>
      </c>
      <c r="B298" s="9" t="s">
        <v>653</v>
      </c>
      <c r="C298" s="9" t="s">
        <v>758</v>
      </c>
      <c r="D298" s="9" t="s">
        <v>759</v>
      </c>
      <c r="E298" s="9" t="s">
        <v>21</v>
      </c>
      <c r="F298" s="9">
        <v>890.0</v>
      </c>
      <c r="G298" s="9">
        <v>2660.0</v>
      </c>
      <c r="H298" s="9">
        <v>76.2</v>
      </c>
      <c r="I298" s="10">
        <v>31.8135171</v>
      </c>
      <c r="J298" s="10">
        <v>130.3042445</v>
      </c>
      <c r="K298" s="11">
        <v>45.5800399780273</v>
      </c>
      <c r="L298" s="12" t="s">
        <v>760</v>
      </c>
    </row>
    <row r="299">
      <c r="A299" s="9" t="s">
        <v>652</v>
      </c>
      <c r="B299" s="9" t="s">
        <v>653</v>
      </c>
      <c r="C299" s="9" t="s">
        <v>761</v>
      </c>
      <c r="D299" s="9" t="s">
        <v>759</v>
      </c>
      <c r="E299" s="9" t="s">
        <v>21</v>
      </c>
      <c r="F299" s="9">
        <v>890.0</v>
      </c>
      <c r="G299" s="9">
        <v>2660.0</v>
      </c>
      <c r="H299" s="9">
        <v>78.0</v>
      </c>
      <c r="I299" s="10">
        <v>31.8135171</v>
      </c>
      <c r="J299" s="10">
        <v>130.3042445</v>
      </c>
      <c r="K299" s="11">
        <v>45.5800399780273</v>
      </c>
      <c r="L299" s="12" t="s">
        <v>762</v>
      </c>
    </row>
    <row r="300">
      <c r="A300" s="9" t="s">
        <v>652</v>
      </c>
      <c r="B300" s="9" t="s">
        <v>653</v>
      </c>
      <c r="C300" s="9" t="s">
        <v>763</v>
      </c>
      <c r="D300" s="9" t="s">
        <v>764</v>
      </c>
      <c r="E300" s="9" t="s">
        <v>21</v>
      </c>
      <c r="F300" s="9">
        <v>530.0</v>
      </c>
      <c r="G300" s="9">
        <v>1593.0</v>
      </c>
      <c r="H300" s="9">
        <v>61.3</v>
      </c>
      <c r="I300" s="10">
        <v>37.006312</v>
      </c>
      <c r="J300" s="10">
        <v>136.7780101</v>
      </c>
      <c r="K300" s="11">
        <v>54.4199523925781</v>
      </c>
      <c r="L300" s="12" t="s">
        <v>765</v>
      </c>
    </row>
    <row r="301">
      <c r="A301" s="9" t="s">
        <v>652</v>
      </c>
      <c r="B301" s="9" t="s">
        <v>653</v>
      </c>
      <c r="C301" s="9" t="s">
        <v>766</v>
      </c>
      <c r="D301" s="9" t="s">
        <v>764</v>
      </c>
      <c r="E301" s="9" t="s">
        <v>21</v>
      </c>
      <c r="F301" s="9">
        <v>1150.0</v>
      </c>
      <c r="G301" s="9">
        <v>3926.0</v>
      </c>
      <c r="H301" s="9">
        <v>33.3</v>
      </c>
      <c r="I301" s="10">
        <v>37.006312</v>
      </c>
      <c r="J301" s="10">
        <v>136.7780101</v>
      </c>
      <c r="K301" s="11">
        <v>90.5291061401367</v>
      </c>
      <c r="L301" s="12" t="s">
        <v>767</v>
      </c>
    </row>
    <row r="302">
      <c r="A302" s="9" t="s">
        <v>652</v>
      </c>
      <c r="B302" s="9" t="s">
        <v>653</v>
      </c>
      <c r="C302" s="9" t="s">
        <v>768</v>
      </c>
      <c r="D302" s="9" t="s">
        <v>769</v>
      </c>
      <c r="E302" s="9" t="s">
        <v>21</v>
      </c>
      <c r="F302" s="9">
        <v>460.0</v>
      </c>
      <c r="G302" s="9">
        <v>1380.0</v>
      </c>
      <c r="H302" s="9">
        <v>66.3</v>
      </c>
      <c r="I302" s="10">
        <v>35.4680595</v>
      </c>
      <c r="J302" s="10">
        <v>133.048375</v>
      </c>
      <c r="K302" s="11">
        <v>44.5238151550293</v>
      </c>
      <c r="L302" s="12" t="s">
        <v>770</v>
      </c>
    </row>
    <row r="303">
      <c r="A303" s="9" t="s">
        <v>652</v>
      </c>
      <c r="B303" s="9" t="s">
        <v>653</v>
      </c>
      <c r="C303" s="9" t="s">
        <v>771</v>
      </c>
      <c r="D303" s="9" t="s">
        <v>769</v>
      </c>
      <c r="E303" s="9" t="s">
        <v>21</v>
      </c>
      <c r="F303" s="9">
        <v>820.0</v>
      </c>
      <c r="G303" s="9">
        <v>2436.0</v>
      </c>
      <c r="H303" s="9">
        <v>74.0</v>
      </c>
      <c r="I303" s="10">
        <v>35.4680595</v>
      </c>
      <c r="J303" s="10">
        <v>133.048375</v>
      </c>
      <c r="K303" s="11">
        <v>44.5238151550293</v>
      </c>
      <c r="L303" s="12" t="s">
        <v>772</v>
      </c>
    </row>
    <row r="304">
      <c r="A304" s="9" t="s">
        <v>652</v>
      </c>
      <c r="B304" s="9" t="s">
        <v>653</v>
      </c>
      <c r="C304" s="9" t="s">
        <v>773</v>
      </c>
      <c r="D304" s="9" t="s">
        <v>769</v>
      </c>
      <c r="E304" s="9" t="s">
        <v>26</v>
      </c>
      <c r="F304" s="9">
        <v>1373.0</v>
      </c>
      <c r="G304" s="9">
        <v>3926.0</v>
      </c>
      <c r="H304" s="9">
        <v>0.0</v>
      </c>
      <c r="I304" s="10">
        <v>35.4680595</v>
      </c>
      <c r="J304" s="10">
        <v>133.048375</v>
      </c>
      <c r="K304" s="11">
        <v>141.480560302734</v>
      </c>
      <c r="L304" s="12" t="s">
        <v>774</v>
      </c>
    </row>
    <row r="305">
      <c r="A305" s="9" t="s">
        <v>652</v>
      </c>
      <c r="B305" s="9" t="s">
        <v>653</v>
      </c>
      <c r="C305" s="9" t="s">
        <v>775</v>
      </c>
      <c r="D305" s="9" t="s">
        <v>776</v>
      </c>
      <c r="E305" s="9" t="s">
        <v>21</v>
      </c>
      <c r="F305" s="9">
        <v>826.0</v>
      </c>
      <c r="G305" s="9">
        <v>2440.0</v>
      </c>
      <c r="H305" s="9">
        <v>65.1</v>
      </c>
      <c r="I305" s="10">
        <v>34.9276434</v>
      </c>
      <c r="J305" s="10">
        <v>136.9876769</v>
      </c>
      <c r="K305" s="11">
        <v>39.483097076416</v>
      </c>
      <c r="L305" s="12" t="s">
        <v>777</v>
      </c>
    </row>
    <row r="306">
      <c r="A306" s="9" t="s">
        <v>652</v>
      </c>
      <c r="B306" s="9" t="s">
        <v>653</v>
      </c>
      <c r="C306" s="9" t="s">
        <v>778</v>
      </c>
      <c r="D306" s="9" t="s">
        <v>776</v>
      </c>
      <c r="E306" s="9" t="s">
        <v>21</v>
      </c>
      <c r="F306" s="9">
        <v>826.0</v>
      </c>
      <c r="G306" s="9">
        <v>2440.0</v>
      </c>
      <c r="H306" s="9">
        <v>66.2</v>
      </c>
      <c r="I306" s="10">
        <v>34.9276434</v>
      </c>
      <c r="J306" s="10">
        <v>136.9876769</v>
      </c>
      <c r="K306" s="11">
        <v>39.6548042297363</v>
      </c>
      <c r="L306" s="12" t="s">
        <v>779</v>
      </c>
    </row>
    <row r="307">
      <c r="A307" s="9" t="s">
        <v>652</v>
      </c>
      <c r="B307" s="9" t="s">
        <v>653</v>
      </c>
      <c r="C307" s="9" t="s">
        <v>780</v>
      </c>
      <c r="D307" s="9" t="s">
        <v>776</v>
      </c>
      <c r="E307" s="9" t="s">
        <v>21</v>
      </c>
      <c r="F307" s="9">
        <v>870.0</v>
      </c>
      <c r="G307" s="9">
        <v>2660.0</v>
      </c>
      <c r="H307" s="9">
        <v>79.1</v>
      </c>
      <c r="I307" s="10">
        <v>34.9276434</v>
      </c>
      <c r="J307" s="10">
        <v>136.9876769</v>
      </c>
      <c r="K307" s="11">
        <v>39.6548042297363</v>
      </c>
      <c r="L307" s="12" t="s">
        <v>781</v>
      </c>
    </row>
    <row r="308">
      <c r="A308" s="9" t="s">
        <v>652</v>
      </c>
      <c r="B308" s="9" t="s">
        <v>653</v>
      </c>
      <c r="C308" s="9" t="s">
        <v>782</v>
      </c>
      <c r="D308" s="9" t="s">
        <v>776</v>
      </c>
      <c r="E308" s="9" t="s">
        <v>21</v>
      </c>
      <c r="F308" s="9">
        <v>870.0</v>
      </c>
      <c r="G308" s="9">
        <v>2660.0</v>
      </c>
      <c r="H308" s="9">
        <v>78.6</v>
      </c>
      <c r="I308" s="10">
        <v>34.9276434</v>
      </c>
      <c r="J308" s="10">
        <v>136.9876769</v>
      </c>
      <c r="K308" s="11">
        <v>39.6548042297363</v>
      </c>
      <c r="L308" s="12" t="s">
        <v>783</v>
      </c>
    </row>
    <row r="309">
      <c r="A309" s="9" t="s">
        <v>652</v>
      </c>
      <c r="B309" s="9" t="s">
        <v>653</v>
      </c>
      <c r="C309" s="9" t="s">
        <v>784</v>
      </c>
      <c r="D309" s="9" t="s">
        <v>785</v>
      </c>
      <c r="E309" s="9" t="s">
        <v>24</v>
      </c>
      <c r="F309" s="9">
        <v>166.0</v>
      </c>
      <c r="G309" s="9">
        <v>587.0</v>
      </c>
      <c r="H309" s="9">
        <v>70.8</v>
      </c>
      <c r="I309" s="10">
        <v>36.4728795</v>
      </c>
      <c r="J309" s="10">
        <v>140.5662985</v>
      </c>
      <c r="K309" s="11">
        <v>64.2828369140625</v>
      </c>
      <c r="L309" s="12" t="s">
        <v>786</v>
      </c>
    </row>
    <row r="310">
      <c r="A310" s="9" t="s">
        <v>652</v>
      </c>
      <c r="B310" s="9" t="s">
        <v>653</v>
      </c>
      <c r="C310" s="9" t="s">
        <v>787</v>
      </c>
      <c r="D310" s="9" t="s">
        <v>785</v>
      </c>
      <c r="E310" s="9" t="s">
        <v>21</v>
      </c>
      <c r="F310" s="9">
        <v>1100.0</v>
      </c>
      <c r="G310" s="9">
        <v>3293.0</v>
      </c>
      <c r="H310" s="9">
        <v>67.2</v>
      </c>
      <c r="I310" s="10">
        <v>36.4728795</v>
      </c>
      <c r="J310" s="10">
        <v>140.5662985</v>
      </c>
      <c r="K310" s="11">
        <v>64.2828369140625</v>
      </c>
      <c r="L310" s="12" t="s">
        <v>788</v>
      </c>
    </row>
    <row r="311">
      <c r="A311" s="9" t="s">
        <v>652</v>
      </c>
      <c r="B311" s="9" t="s">
        <v>653</v>
      </c>
      <c r="C311" s="9" t="s">
        <v>789</v>
      </c>
      <c r="D311" s="9" t="s">
        <v>790</v>
      </c>
      <c r="E311" s="9" t="s">
        <v>21</v>
      </c>
      <c r="F311" s="9">
        <v>579.0</v>
      </c>
      <c r="G311" s="9">
        <v>1650.0</v>
      </c>
      <c r="H311" s="9">
        <v>76.4</v>
      </c>
      <c r="I311" s="10">
        <v>43.0633549</v>
      </c>
      <c r="J311" s="10">
        <v>140.4988595</v>
      </c>
      <c r="K311" s="11">
        <v>60.2589530944824</v>
      </c>
      <c r="L311" s="12" t="s">
        <v>791</v>
      </c>
    </row>
    <row r="312">
      <c r="A312" s="9" t="s">
        <v>652</v>
      </c>
      <c r="B312" s="9" t="s">
        <v>653</v>
      </c>
      <c r="C312" s="9" t="s">
        <v>792</v>
      </c>
      <c r="D312" s="9" t="s">
        <v>790</v>
      </c>
      <c r="E312" s="9" t="s">
        <v>21</v>
      </c>
      <c r="F312" s="9">
        <v>579.0</v>
      </c>
      <c r="G312" s="9">
        <v>1650.0</v>
      </c>
      <c r="H312" s="9">
        <v>75.6</v>
      </c>
      <c r="I312" s="10">
        <v>43.0633549</v>
      </c>
      <c r="J312" s="10">
        <v>140.4988595</v>
      </c>
      <c r="K312" s="11">
        <v>60.2589530944824</v>
      </c>
      <c r="L312" s="12" t="s">
        <v>793</v>
      </c>
    </row>
    <row r="313">
      <c r="A313" s="9" t="s">
        <v>652</v>
      </c>
      <c r="B313" s="9" t="s">
        <v>653</v>
      </c>
      <c r="C313" s="9" t="s">
        <v>794</v>
      </c>
      <c r="D313" s="9" t="s">
        <v>790</v>
      </c>
      <c r="E313" s="9" t="s">
        <v>21</v>
      </c>
      <c r="F313" s="9">
        <v>912.0</v>
      </c>
      <c r="G313" s="9">
        <v>2660.0</v>
      </c>
      <c r="H313" s="9">
        <v>56.6</v>
      </c>
      <c r="I313" s="10">
        <v>43.0633549</v>
      </c>
      <c r="J313" s="10">
        <v>140.4988595</v>
      </c>
      <c r="K313" s="11">
        <v>185.667190551758</v>
      </c>
      <c r="L313" s="12" t="s">
        <v>795</v>
      </c>
    </row>
    <row r="314">
      <c r="A314" s="9" t="s">
        <v>652</v>
      </c>
      <c r="B314" s="9" t="s">
        <v>653</v>
      </c>
      <c r="C314" s="9" t="s">
        <v>796</v>
      </c>
      <c r="D314" s="9" t="s">
        <v>797</v>
      </c>
      <c r="E314" s="9" t="s">
        <v>21</v>
      </c>
      <c r="F314" s="9">
        <v>357.0</v>
      </c>
      <c r="G314" s="9">
        <v>1070.0</v>
      </c>
      <c r="H314" s="9">
        <v>62.2</v>
      </c>
      <c r="I314" s="10">
        <v>35.6452443</v>
      </c>
      <c r="J314" s="10">
        <v>136.0554408</v>
      </c>
      <c r="K314" s="11">
        <v>42.0336036682129</v>
      </c>
      <c r="L314" s="12" t="s">
        <v>798</v>
      </c>
    </row>
    <row r="315">
      <c r="A315" s="9" t="s">
        <v>652</v>
      </c>
      <c r="B315" s="9" t="s">
        <v>653</v>
      </c>
      <c r="C315" s="9" t="s">
        <v>799</v>
      </c>
      <c r="D315" s="9" t="s">
        <v>797</v>
      </c>
      <c r="E315" s="9" t="s">
        <v>21</v>
      </c>
      <c r="F315" s="9">
        <v>1160.0</v>
      </c>
      <c r="G315" s="9">
        <v>3411.0</v>
      </c>
      <c r="H315" s="9">
        <v>70.3</v>
      </c>
      <c r="I315" s="10">
        <v>35.6452443</v>
      </c>
      <c r="J315" s="10">
        <v>136.0554408</v>
      </c>
      <c r="K315" s="11">
        <v>42.0336036682129</v>
      </c>
      <c r="L315" s="12" t="s">
        <v>800</v>
      </c>
    </row>
    <row r="316">
      <c r="A316" s="9" t="s">
        <v>801</v>
      </c>
      <c r="B316" s="9" t="s">
        <v>802</v>
      </c>
      <c r="C316" s="9" t="s">
        <v>803</v>
      </c>
      <c r="D316" s="9" t="s">
        <v>804</v>
      </c>
      <c r="E316" s="9" t="s">
        <v>24</v>
      </c>
      <c r="F316" s="9">
        <v>90.0</v>
      </c>
      <c r="G316" s="9">
        <v>1000.0</v>
      </c>
      <c r="H316" s="9">
        <v>0.0</v>
      </c>
      <c r="I316" s="10">
        <v>43.6955556</v>
      </c>
      <c r="J316" s="10">
        <v>51.3261111</v>
      </c>
      <c r="K316" s="11">
        <v>-12.4821348190308</v>
      </c>
      <c r="L316" s="12" t="s">
        <v>805</v>
      </c>
    </row>
    <row r="317">
      <c r="A317" s="9" t="s">
        <v>806</v>
      </c>
      <c r="B317" s="9" t="s">
        <v>807</v>
      </c>
      <c r="C317" s="9" t="s">
        <v>808</v>
      </c>
      <c r="D317" s="9" t="s">
        <v>809</v>
      </c>
      <c r="E317" s="9" t="s">
        <v>21</v>
      </c>
      <c r="F317" s="9">
        <v>996.0</v>
      </c>
      <c r="G317" s="9">
        <v>2787.0</v>
      </c>
      <c r="H317" s="9">
        <v>90.2</v>
      </c>
      <c r="I317" s="10">
        <v>35.415</v>
      </c>
      <c r="J317" s="10">
        <v>126.423889</v>
      </c>
      <c r="K317" s="11">
        <v>55.9963722229004</v>
      </c>
      <c r="L317" s="12" t="s">
        <v>810</v>
      </c>
    </row>
    <row r="318">
      <c r="A318" s="9" t="s">
        <v>806</v>
      </c>
      <c r="B318" s="9" t="s">
        <v>807</v>
      </c>
      <c r="C318" s="9" t="s">
        <v>811</v>
      </c>
      <c r="D318" s="9" t="s">
        <v>809</v>
      </c>
      <c r="E318" s="9" t="s">
        <v>21</v>
      </c>
      <c r="F318" s="9">
        <v>993.0</v>
      </c>
      <c r="G318" s="9">
        <v>2787.0</v>
      </c>
      <c r="H318" s="9">
        <v>88.2</v>
      </c>
      <c r="I318" s="10">
        <v>35.415</v>
      </c>
      <c r="J318" s="10">
        <v>126.423889</v>
      </c>
      <c r="K318" s="11">
        <v>55.9963722229004</v>
      </c>
      <c r="L318" s="12" t="s">
        <v>812</v>
      </c>
    </row>
    <row r="319">
      <c r="A319" s="9" t="s">
        <v>806</v>
      </c>
      <c r="B319" s="9" t="s">
        <v>807</v>
      </c>
      <c r="C319" s="9" t="s">
        <v>813</v>
      </c>
      <c r="D319" s="9" t="s">
        <v>809</v>
      </c>
      <c r="E319" s="9" t="s">
        <v>21</v>
      </c>
      <c r="F319" s="9">
        <v>1050.0</v>
      </c>
      <c r="G319" s="9">
        <v>2825.0</v>
      </c>
      <c r="H319" s="9">
        <v>89.2</v>
      </c>
      <c r="I319" s="10">
        <v>35.415</v>
      </c>
      <c r="J319" s="10">
        <v>126.423889</v>
      </c>
      <c r="K319" s="11">
        <v>55.9963722229004</v>
      </c>
      <c r="L319" s="12" t="s">
        <v>814</v>
      </c>
    </row>
    <row r="320">
      <c r="A320" s="9" t="s">
        <v>806</v>
      </c>
      <c r="B320" s="9" t="s">
        <v>807</v>
      </c>
      <c r="C320" s="9" t="s">
        <v>815</v>
      </c>
      <c r="D320" s="9" t="s">
        <v>809</v>
      </c>
      <c r="E320" s="9" t="s">
        <v>21</v>
      </c>
      <c r="F320" s="9">
        <v>1049.0</v>
      </c>
      <c r="G320" s="9">
        <v>2825.0</v>
      </c>
      <c r="H320" s="9">
        <v>91.6</v>
      </c>
      <c r="I320" s="10">
        <v>35.415</v>
      </c>
      <c r="J320" s="10">
        <v>126.423889</v>
      </c>
      <c r="K320" s="11">
        <v>55.9963722229004</v>
      </c>
      <c r="L320" s="12" t="s">
        <v>816</v>
      </c>
    </row>
    <row r="321">
      <c r="A321" s="9" t="s">
        <v>806</v>
      </c>
      <c r="B321" s="9" t="s">
        <v>807</v>
      </c>
      <c r="C321" s="9" t="s">
        <v>817</v>
      </c>
      <c r="D321" s="9" t="s">
        <v>809</v>
      </c>
      <c r="E321" s="9" t="s">
        <v>21</v>
      </c>
      <c r="F321" s="9">
        <v>1053.0</v>
      </c>
      <c r="G321" s="9">
        <v>2825.0</v>
      </c>
      <c r="H321" s="9">
        <v>88.6</v>
      </c>
      <c r="I321" s="10">
        <v>35.415</v>
      </c>
      <c r="J321" s="10">
        <v>126.423889</v>
      </c>
      <c r="K321" s="11">
        <v>55.9963722229004</v>
      </c>
      <c r="L321" s="12" t="s">
        <v>818</v>
      </c>
    </row>
    <row r="322">
      <c r="A322" s="9" t="s">
        <v>806</v>
      </c>
      <c r="B322" s="9" t="s">
        <v>807</v>
      </c>
      <c r="C322" s="9" t="s">
        <v>819</v>
      </c>
      <c r="D322" s="9" t="s">
        <v>809</v>
      </c>
      <c r="E322" s="9" t="s">
        <v>21</v>
      </c>
      <c r="F322" s="9">
        <v>1052.0</v>
      </c>
      <c r="G322" s="9">
        <v>2825.0</v>
      </c>
      <c r="H322" s="9">
        <v>90.0</v>
      </c>
      <c r="I322" s="10">
        <v>35.415</v>
      </c>
      <c r="J322" s="10">
        <v>126.423889</v>
      </c>
      <c r="K322" s="11">
        <v>55.9963722229004</v>
      </c>
      <c r="L322" s="12" t="s">
        <v>820</v>
      </c>
    </row>
    <row r="323">
      <c r="A323" s="9" t="s">
        <v>806</v>
      </c>
      <c r="B323" s="9" t="s">
        <v>807</v>
      </c>
      <c r="C323" s="9" t="s">
        <v>821</v>
      </c>
      <c r="D323" s="9" t="s">
        <v>822</v>
      </c>
      <c r="E323" s="9" t="s">
        <v>21</v>
      </c>
      <c r="F323" s="9">
        <v>1003.0</v>
      </c>
      <c r="G323" s="9">
        <v>2785.0</v>
      </c>
      <c r="H323" s="9">
        <v>87.0</v>
      </c>
      <c r="I323" s="10">
        <v>37.092778</v>
      </c>
      <c r="J323" s="10">
        <v>129.383611</v>
      </c>
      <c r="K323" s="11">
        <v>0.0</v>
      </c>
      <c r="L323" s="12" t="s">
        <v>823</v>
      </c>
    </row>
    <row r="324">
      <c r="A324" s="9" t="s">
        <v>806</v>
      </c>
      <c r="B324" s="9" t="s">
        <v>807</v>
      </c>
      <c r="C324" s="9" t="s">
        <v>824</v>
      </c>
      <c r="D324" s="9" t="s">
        <v>822</v>
      </c>
      <c r="E324" s="9" t="s">
        <v>21</v>
      </c>
      <c r="F324" s="9">
        <v>1008.0</v>
      </c>
      <c r="G324" s="9">
        <v>2775.0</v>
      </c>
      <c r="H324" s="9">
        <v>88.9</v>
      </c>
      <c r="I324" s="10">
        <v>37.092778</v>
      </c>
      <c r="J324" s="10">
        <v>129.383611</v>
      </c>
      <c r="K324" s="11">
        <v>0.0</v>
      </c>
      <c r="L324" s="12" t="s">
        <v>825</v>
      </c>
    </row>
    <row r="325">
      <c r="A325" s="9" t="s">
        <v>806</v>
      </c>
      <c r="B325" s="9" t="s">
        <v>807</v>
      </c>
      <c r="C325" s="9" t="s">
        <v>826</v>
      </c>
      <c r="D325" s="9" t="s">
        <v>822</v>
      </c>
      <c r="E325" s="9" t="s">
        <v>21</v>
      </c>
      <c r="F325" s="9">
        <v>1050.0</v>
      </c>
      <c r="G325" s="9">
        <v>2825.0</v>
      </c>
      <c r="H325" s="9">
        <v>90.5</v>
      </c>
      <c r="I325" s="10">
        <v>37.092778</v>
      </c>
      <c r="J325" s="10">
        <v>129.383611</v>
      </c>
      <c r="K325" s="11">
        <v>0.0</v>
      </c>
      <c r="L325" s="12" t="s">
        <v>827</v>
      </c>
    </row>
    <row r="326">
      <c r="A326" s="9" t="s">
        <v>806</v>
      </c>
      <c r="B326" s="9" t="s">
        <v>807</v>
      </c>
      <c r="C326" s="9" t="s">
        <v>828</v>
      </c>
      <c r="D326" s="9" t="s">
        <v>822</v>
      </c>
      <c r="E326" s="9" t="s">
        <v>21</v>
      </c>
      <c r="F326" s="9">
        <v>1053.0</v>
      </c>
      <c r="G326" s="9">
        <v>2825.0</v>
      </c>
      <c r="H326" s="9">
        <v>80.2</v>
      </c>
      <c r="I326" s="10">
        <v>37.092778</v>
      </c>
      <c r="J326" s="10">
        <v>129.383611</v>
      </c>
      <c r="K326" s="11">
        <v>0.0</v>
      </c>
      <c r="L326" s="12" t="s">
        <v>829</v>
      </c>
    </row>
    <row r="327">
      <c r="A327" s="9" t="s">
        <v>806</v>
      </c>
      <c r="B327" s="9" t="s">
        <v>807</v>
      </c>
      <c r="C327" s="9" t="s">
        <v>830</v>
      </c>
      <c r="D327" s="9" t="s">
        <v>822</v>
      </c>
      <c r="E327" s="9" t="s">
        <v>21</v>
      </c>
      <c r="F327" s="9">
        <v>1051.0</v>
      </c>
      <c r="G327" s="9">
        <v>2815.0</v>
      </c>
      <c r="H327" s="9">
        <v>92.8</v>
      </c>
      <c r="I327" s="10">
        <v>37.092778</v>
      </c>
      <c r="J327" s="10">
        <v>129.383611</v>
      </c>
      <c r="K327" s="11">
        <v>0.0</v>
      </c>
      <c r="L327" s="12" t="s">
        <v>831</v>
      </c>
    </row>
    <row r="328">
      <c r="A328" s="9" t="s">
        <v>806</v>
      </c>
      <c r="B328" s="9" t="s">
        <v>807</v>
      </c>
      <c r="C328" s="9" t="s">
        <v>832</v>
      </c>
      <c r="D328" s="9" t="s">
        <v>822</v>
      </c>
      <c r="E328" s="9" t="s">
        <v>21</v>
      </c>
      <c r="F328" s="9">
        <v>1051.0</v>
      </c>
      <c r="G328" s="9">
        <v>2825.0</v>
      </c>
      <c r="H328" s="9">
        <v>93.2</v>
      </c>
      <c r="I328" s="10">
        <v>37.092778</v>
      </c>
      <c r="J328" s="10">
        <v>129.383611</v>
      </c>
      <c r="K328" s="11">
        <v>0.0</v>
      </c>
      <c r="L328" s="12" t="s">
        <v>833</v>
      </c>
    </row>
    <row r="329">
      <c r="A329" s="9" t="s">
        <v>806</v>
      </c>
      <c r="B329" s="9" t="s">
        <v>807</v>
      </c>
      <c r="C329" s="9" t="s">
        <v>834</v>
      </c>
      <c r="D329" s="9" t="s">
        <v>835</v>
      </c>
      <c r="E329" s="9" t="s">
        <v>21</v>
      </c>
      <c r="F329" s="9">
        <v>608.0</v>
      </c>
      <c r="G329" s="9">
        <v>1729.0</v>
      </c>
      <c r="H329" s="9">
        <v>74.9</v>
      </c>
      <c r="I329" s="10">
        <v>35.317</v>
      </c>
      <c r="J329" s="10">
        <v>129.3</v>
      </c>
      <c r="K329" s="11">
        <v>141.844802856445</v>
      </c>
      <c r="L329" s="12" t="s">
        <v>836</v>
      </c>
    </row>
    <row r="330">
      <c r="A330" s="9" t="s">
        <v>806</v>
      </c>
      <c r="B330" s="9" t="s">
        <v>807</v>
      </c>
      <c r="C330" s="9" t="s">
        <v>837</v>
      </c>
      <c r="D330" s="9" t="s">
        <v>835</v>
      </c>
      <c r="E330" s="9" t="s">
        <v>21</v>
      </c>
      <c r="F330" s="9">
        <v>676.0</v>
      </c>
      <c r="G330" s="9">
        <v>1882.0</v>
      </c>
      <c r="H330" s="9">
        <v>87.9</v>
      </c>
      <c r="I330" s="10">
        <v>35.317</v>
      </c>
      <c r="J330" s="10">
        <v>129.3</v>
      </c>
      <c r="K330" s="11">
        <v>141.844802856445</v>
      </c>
      <c r="L330" s="12" t="s">
        <v>838</v>
      </c>
    </row>
    <row r="331">
      <c r="A331" s="9" t="s">
        <v>806</v>
      </c>
      <c r="B331" s="9" t="s">
        <v>807</v>
      </c>
      <c r="C331" s="9" t="s">
        <v>839</v>
      </c>
      <c r="D331" s="9" t="s">
        <v>835</v>
      </c>
      <c r="E331" s="9" t="s">
        <v>21</v>
      </c>
      <c r="F331" s="9">
        <v>1042.0</v>
      </c>
      <c r="G331" s="9">
        <v>2912.0</v>
      </c>
      <c r="H331" s="9">
        <v>89.0</v>
      </c>
      <c r="I331" s="10">
        <v>35.317</v>
      </c>
      <c r="J331" s="10">
        <v>129.3</v>
      </c>
      <c r="K331" s="11">
        <v>141.844802856445</v>
      </c>
      <c r="L331" s="12" t="s">
        <v>840</v>
      </c>
    </row>
    <row r="332">
      <c r="A332" s="9" t="s">
        <v>806</v>
      </c>
      <c r="B332" s="9" t="s">
        <v>807</v>
      </c>
      <c r="C332" s="9" t="s">
        <v>841</v>
      </c>
      <c r="D332" s="9" t="s">
        <v>835</v>
      </c>
      <c r="E332" s="9" t="s">
        <v>21</v>
      </c>
      <c r="F332" s="9">
        <v>1041.0</v>
      </c>
      <c r="G332" s="9">
        <v>2912.0</v>
      </c>
      <c r="H332" s="9">
        <v>90.4</v>
      </c>
      <c r="I332" s="10">
        <v>35.317</v>
      </c>
      <c r="J332" s="10">
        <v>129.3</v>
      </c>
      <c r="K332" s="11">
        <v>141.844802856445</v>
      </c>
      <c r="L332" s="12" t="s">
        <v>842</v>
      </c>
    </row>
    <row r="333">
      <c r="A333" s="9" t="s">
        <v>806</v>
      </c>
      <c r="B333" s="9" t="s">
        <v>807</v>
      </c>
      <c r="C333" s="9" t="s">
        <v>843</v>
      </c>
      <c r="D333" s="9" t="s">
        <v>822</v>
      </c>
      <c r="E333" s="9" t="s">
        <v>26</v>
      </c>
      <c r="F333" s="9">
        <v>1400.0</v>
      </c>
      <c r="G333" s="9">
        <v>3938.0</v>
      </c>
      <c r="H333" s="9">
        <v>0.0</v>
      </c>
      <c r="I333" s="10">
        <v>37.092778</v>
      </c>
      <c r="J333" s="10">
        <v>129.383611</v>
      </c>
      <c r="K333" s="11">
        <v>0.0</v>
      </c>
      <c r="L333" s="12" t="s">
        <v>844</v>
      </c>
    </row>
    <row r="334">
      <c r="A334" s="9" t="s">
        <v>806</v>
      </c>
      <c r="B334" s="9" t="s">
        <v>807</v>
      </c>
      <c r="C334" s="9" t="s">
        <v>845</v>
      </c>
      <c r="D334" s="9" t="s">
        <v>822</v>
      </c>
      <c r="E334" s="9" t="s">
        <v>26</v>
      </c>
      <c r="F334" s="9">
        <v>1400.0</v>
      </c>
      <c r="G334" s="9">
        <v>3983.0</v>
      </c>
      <c r="H334" s="9">
        <v>0.0</v>
      </c>
      <c r="I334" s="10">
        <v>37.092778</v>
      </c>
      <c r="J334" s="10">
        <v>129.383611</v>
      </c>
      <c r="K334" s="11">
        <v>0.0</v>
      </c>
      <c r="L334" s="12" t="s">
        <v>846</v>
      </c>
    </row>
    <row r="335">
      <c r="A335" s="9" t="s">
        <v>806</v>
      </c>
      <c r="B335" s="9" t="s">
        <v>807</v>
      </c>
      <c r="C335" s="9" t="s">
        <v>847</v>
      </c>
      <c r="D335" s="9" t="s">
        <v>848</v>
      </c>
      <c r="E335" s="9" t="s">
        <v>21</v>
      </c>
      <c r="F335" s="9">
        <v>1048.0</v>
      </c>
      <c r="G335" s="9">
        <v>2825.0</v>
      </c>
      <c r="H335" s="9">
        <v>67.3</v>
      </c>
      <c r="I335" s="10">
        <v>35.1795543</v>
      </c>
      <c r="J335" s="10">
        <v>129.0756416</v>
      </c>
      <c r="K335" s="11">
        <v>68.7429046630859</v>
      </c>
      <c r="L335" s="12" t="s">
        <v>849</v>
      </c>
    </row>
    <row r="336">
      <c r="A336" s="9" t="s">
        <v>806</v>
      </c>
      <c r="B336" s="9" t="s">
        <v>807</v>
      </c>
      <c r="C336" s="9" t="s">
        <v>850</v>
      </c>
      <c r="D336" s="9" t="s">
        <v>848</v>
      </c>
      <c r="E336" s="9" t="s">
        <v>21</v>
      </c>
      <c r="F336" s="9">
        <v>1045.0</v>
      </c>
      <c r="G336" s="9">
        <v>2825.0</v>
      </c>
      <c r="H336" s="9">
        <v>57.6</v>
      </c>
      <c r="I336" s="10">
        <v>35.1795543</v>
      </c>
      <c r="J336" s="10">
        <v>129.0756416</v>
      </c>
      <c r="K336" s="11">
        <v>68.7429046630859</v>
      </c>
      <c r="L336" s="12" t="s">
        <v>851</v>
      </c>
    </row>
    <row r="337">
      <c r="A337" s="9" t="s">
        <v>806</v>
      </c>
      <c r="B337" s="9" t="s">
        <v>807</v>
      </c>
      <c r="C337" s="9" t="s">
        <v>852</v>
      </c>
      <c r="D337" s="9" t="s">
        <v>853</v>
      </c>
      <c r="E337" s="9" t="s">
        <v>26</v>
      </c>
      <c r="F337" s="9">
        <v>1400.0</v>
      </c>
      <c r="G337" s="9">
        <v>3983.0</v>
      </c>
      <c r="H337" s="9">
        <v>0.0</v>
      </c>
      <c r="I337" s="10">
        <v>35.5383773</v>
      </c>
      <c r="J337" s="10">
        <v>129.3113596</v>
      </c>
      <c r="K337" s="11">
        <v>110.897727966309</v>
      </c>
      <c r="L337" s="12" t="s">
        <v>854</v>
      </c>
    </row>
    <row r="338">
      <c r="A338" s="9" t="s">
        <v>806</v>
      </c>
      <c r="B338" s="9" t="s">
        <v>807</v>
      </c>
      <c r="C338" s="9" t="s">
        <v>855</v>
      </c>
      <c r="D338" s="9" t="s">
        <v>853</v>
      </c>
      <c r="E338" s="9" t="s">
        <v>26</v>
      </c>
      <c r="F338" s="9">
        <v>1400.0</v>
      </c>
      <c r="G338" s="9">
        <v>3938.0</v>
      </c>
      <c r="H338" s="9">
        <v>0.0</v>
      </c>
      <c r="I338" s="10">
        <v>35.5383773</v>
      </c>
      <c r="J338" s="10">
        <v>129.3113596</v>
      </c>
      <c r="K338" s="11">
        <v>110.897727966309</v>
      </c>
      <c r="L338" s="12" t="s">
        <v>856</v>
      </c>
    </row>
    <row r="339">
      <c r="A339" s="9" t="s">
        <v>806</v>
      </c>
      <c r="B339" s="9" t="s">
        <v>807</v>
      </c>
      <c r="C339" s="9" t="s">
        <v>857</v>
      </c>
      <c r="D339" s="9" t="s">
        <v>858</v>
      </c>
      <c r="E339" s="9" t="s">
        <v>21</v>
      </c>
      <c r="F339" s="9">
        <v>1043.0</v>
      </c>
      <c r="G339" s="9">
        <v>2825.0</v>
      </c>
      <c r="H339" s="9">
        <v>54.8</v>
      </c>
      <c r="I339" s="10">
        <v>35.8561719</v>
      </c>
      <c r="J339" s="10">
        <v>129.2247477</v>
      </c>
      <c r="K339" s="11">
        <v>74.3150482177734</v>
      </c>
      <c r="L339" s="12" t="s">
        <v>859</v>
      </c>
    </row>
    <row r="340">
      <c r="A340" s="9" t="s">
        <v>806</v>
      </c>
      <c r="B340" s="9" t="s">
        <v>807</v>
      </c>
      <c r="C340" s="9" t="s">
        <v>860</v>
      </c>
      <c r="D340" s="9" t="s">
        <v>858</v>
      </c>
      <c r="E340" s="9" t="s">
        <v>26</v>
      </c>
      <c r="F340" s="9">
        <v>1000.0</v>
      </c>
      <c r="G340" s="9">
        <v>2825.0</v>
      </c>
      <c r="H340" s="9">
        <v>0.0</v>
      </c>
      <c r="I340" s="10">
        <v>35.8561719</v>
      </c>
      <c r="J340" s="10">
        <v>129.2247477</v>
      </c>
      <c r="K340" s="11">
        <v>74.3150482177734</v>
      </c>
      <c r="L340" s="12" t="s">
        <v>861</v>
      </c>
    </row>
    <row r="341">
      <c r="A341" s="9" t="s">
        <v>806</v>
      </c>
      <c r="B341" s="9" t="s">
        <v>807</v>
      </c>
      <c r="C341" s="9" t="s">
        <v>862</v>
      </c>
      <c r="D341" s="9" t="s">
        <v>858</v>
      </c>
      <c r="E341" s="9" t="s">
        <v>21</v>
      </c>
      <c r="F341" s="9">
        <v>687.0</v>
      </c>
      <c r="G341" s="9">
        <v>2061.0</v>
      </c>
      <c r="H341" s="9">
        <v>77.5</v>
      </c>
      <c r="I341" s="10">
        <v>35.716667</v>
      </c>
      <c r="J341" s="10">
        <v>129.477778</v>
      </c>
      <c r="K341" s="11">
        <v>190.734634399414</v>
      </c>
      <c r="L341" s="12" t="s">
        <v>863</v>
      </c>
    </row>
    <row r="342">
      <c r="A342" s="9" t="s">
        <v>806</v>
      </c>
      <c r="B342" s="9" t="s">
        <v>807</v>
      </c>
      <c r="C342" s="9" t="s">
        <v>864</v>
      </c>
      <c r="D342" s="9" t="s">
        <v>858</v>
      </c>
      <c r="E342" s="9" t="s">
        <v>21</v>
      </c>
      <c r="F342" s="9">
        <v>678.0</v>
      </c>
      <c r="G342" s="9">
        <v>2061.0</v>
      </c>
      <c r="H342" s="9">
        <v>93.8</v>
      </c>
      <c r="I342" s="10">
        <v>35.716667</v>
      </c>
      <c r="J342" s="10">
        <v>129.477778</v>
      </c>
      <c r="K342" s="11">
        <v>190.734634399414</v>
      </c>
      <c r="L342" s="12" t="s">
        <v>865</v>
      </c>
    </row>
    <row r="343">
      <c r="A343" s="9" t="s">
        <v>806</v>
      </c>
      <c r="B343" s="9" t="s">
        <v>807</v>
      </c>
      <c r="C343" s="9" t="s">
        <v>866</v>
      </c>
      <c r="D343" s="9" t="s">
        <v>858</v>
      </c>
      <c r="E343" s="9" t="s">
        <v>21</v>
      </c>
      <c r="F343" s="9">
        <v>698.0</v>
      </c>
      <c r="G343" s="9">
        <v>2061.0</v>
      </c>
      <c r="H343" s="9">
        <v>94.6</v>
      </c>
      <c r="I343" s="10">
        <v>35.716667</v>
      </c>
      <c r="J343" s="10">
        <v>129.477778</v>
      </c>
      <c r="K343" s="11">
        <v>190.734634399414</v>
      </c>
      <c r="L343" s="12" t="s">
        <v>867</v>
      </c>
    </row>
    <row r="344">
      <c r="A344" s="9" t="s">
        <v>806</v>
      </c>
      <c r="B344" s="9" t="s">
        <v>807</v>
      </c>
      <c r="C344" s="9" t="s">
        <v>868</v>
      </c>
      <c r="D344" s="9" t="s">
        <v>858</v>
      </c>
      <c r="E344" s="9" t="s">
        <v>21</v>
      </c>
      <c r="F344" s="9">
        <v>703.0</v>
      </c>
      <c r="G344" s="9">
        <v>2061.0</v>
      </c>
      <c r="H344" s="9">
        <v>96.0</v>
      </c>
      <c r="I344" s="10">
        <v>35.716667</v>
      </c>
      <c r="J344" s="10">
        <v>129.477778</v>
      </c>
      <c r="K344" s="11">
        <v>190.734634399414</v>
      </c>
      <c r="L344" s="12" t="s">
        <v>869</v>
      </c>
    </row>
    <row r="345">
      <c r="A345" s="9" t="s">
        <v>870</v>
      </c>
      <c r="B345" s="9" t="s">
        <v>871</v>
      </c>
      <c r="C345" s="9" t="s">
        <v>872</v>
      </c>
      <c r="D345" s="9" t="s">
        <v>873</v>
      </c>
      <c r="E345" s="9" t="s">
        <v>24</v>
      </c>
      <c r="F345" s="9">
        <v>1300.0</v>
      </c>
      <c r="G345" s="9">
        <v>4800.0</v>
      </c>
      <c r="H345" s="9">
        <v>53.9</v>
      </c>
      <c r="I345" s="10">
        <v>55.597276</v>
      </c>
      <c r="J345" s="10">
        <v>26.4313169</v>
      </c>
      <c r="K345" s="11">
        <v>180.9013671875</v>
      </c>
      <c r="L345" s="12" t="s">
        <v>874</v>
      </c>
    </row>
    <row r="346">
      <c r="A346" s="9" t="s">
        <v>870</v>
      </c>
      <c r="B346" s="9" t="s">
        <v>871</v>
      </c>
      <c r="C346" s="9" t="s">
        <v>875</v>
      </c>
      <c r="D346" s="9" t="s">
        <v>873</v>
      </c>
      <c r="E346" s="9" t="s">
        <v>24</v>
      </c>
      <c r="F346" s="9">
        <v>1300.0</v>
      </c>
      <c r="G346" s="9">
        <v>4800.0</v>
      </c>
      <c r="H346" s="9">
        <v>64.4</v>
      </c>
      <c r="I346" s="10">
        <v>55.597276</v>
      </c>
      <c r="J346" s="10">
        <v>26.4313169</v>
      </c>
      <c r="K346" s="11">
        <v>180.9013671875</v>
      </c>
      <c r="L346" s="12" t="s">
        <v>876</v>
      </c>
    </row>
    <row r="347">
      <c r="A347" s="9" t="s">
        <v>877</v>
      </c>
      <c r="B347" s="9" t="s">
        <v>878</v>
      </c>
      <c r="C347" s="9" t="s">
        <v>879</v>
      </c>
      <c r="D347" s="9" t="s">
        <v>880</v>
      </c>
      <c r="E347" s="9" t="s">
        <v>21</v>
      </c>
      <c r="F347" s="9">
        <v>700.0</v>
      </c>
      <c r="G347" s="9">
        <v>2027.0</v>
      </c>
      <c r="H347" s="9">
        <v>76.4</v>
      </c>
      <c r="I347" s="10">
        <v>19.6242712</v>
      </c>
      <c r="J347" s="10">
        <v>-96.7343456</v>
      </c>
      <c r="K347" s="11">
        <v>844.957275390625</v>
      </c>
      <c r="L347" s="12" t="s">
        <v>881</v>
      </c>
    </row>
    <row r="348">
      <c r="A348" s="9" t="s">
        <v>877</v>
      </c>
      <c r="B348" s="9" t="s">
        <v>878</v>
      </c>
      <c r="C348" s="9" t="s">
        <v>882</v>
      </c>
      <c r="D348" s="9" t="s">
        <v>880</v>
      </c>
      <c r="E348" s="9" t="s">
        <v>21</v>
      </c>
      <c r="F348" s="9">
        <v>700.0</v>
      </c>
      <c r="G348" s="9">
        <v>2027.0</v>
      </c>
      <c r="H348" s="9">
        <v>80.2</v>
      </c>
      <c r="I348" s="10">
        <v>19.6242712</v>
      </c>
      <c r="J348" s="10">
        <v>-96.7343456</v>
      </c>
      <c r="K348" s="11">
        <v>844.957275390625</v>
      </c>
      <c r="L348" s="12" t="s">
        <v>883</v>
      </c>
    </row>
    <row r="349">
      <c r="A349" s="9" t="s">
        <v>884</v>
      </c>
      <c r="B349" s="9" t="s">
        <v>885</v>
      </c>
      <c r="C349" s="9" t="s">
        <v>886</v>
      </c>
      <c r="D349" s="9" t="s">
        <v>886</v>
      </c>
      <c r="E349" s="9" t="s">
        <v>21</v>
      </c>
      <c r="F349" s="9">
        <v>515.0</v>
      </c>
      <c r="G349" s="9">
        <v>1366.0</v>
      </c>
      <c r="H349" s="9">
        <v>83.7</v>
      </c>
      <c r="I349" s="10">
        <v>51.4256645</v>
      </c>
      <c r="J349" s="10">
        <v>3.7336697</v>
      </c>
      <c r="K349" s="11">
        <v>41.8928604125977</v>
      </c>
      <c r="L349" s="12" t="s">
        <v>887</v>
      </c>
    </row>
    <row r="350">
      <c r="A350" s="9" t="s">
        <v>884</v>
      </c>
      <c r="B350" s="9" t="s">
        <v>885</v>
      </c>
      <c r="C350" s="9" t="s">
        <v>888</v>
      </c>
      <c r="D350" s="9" t="s">
        <v>888</v>
      </c>
      <c r="E350" s="9" t="s">
        <v>24</v>
      </c>
      <c r="F350" s="9">
        <v>60.0</v>
      </c>
      <c r="G350" s="9">
        <v>183.0</v>
      </c>
      <c r="H350" s="9">
        <v>82.0</v>
      </c>
      <c r="I350" s="10">
        <v>51.9105136</v>
      </c>
      <c r="J350" s="10">
        <v>5.6568202</v>
      </c>
      <c r="K350" s="11">
        <v>51.942813873291</v>
      </c>
      <c r="L350" s="12" t="s">
        <v>889</v>
      </c>
    </row>
    <row r="351">
      <c r="A351" s="9" t="s">
        <v>890</v>
      </c>
      <c r="B351" s="9" t="s">
        <v>891</v>
      </c>
      <c r="C351" s="9" t="s">
        <v>892</v>
      </c>
      <c r="D351" s="9" t="s">
        <v>893</v>
      </c>
      <c r="E351" s="9" t="s">
        <v>21</v>
      </c>
      <c r="F351" s="9">
        <v>325.0</v>
      </c>
      <c r="G351" s="9">
        <v>999.0</v>
      </c>
      <c r="H351" s="9">
        <v>74.4</v>
      </c>
      <c r="I351" s="10">
        <v>32.454819</v>
      </c>
      <c r="J351" s="10">
        <v>71.471703</v>
      </c>
      <c r="K351" s="11">
        <v>151.84130859375</v>
      </c>
      <c r="L351" s="12" t="s">
        <v>894</v>
      </c>
    </row>
    <row r="352">
      <c r="A352" s="9" t="s">
        <v>890</v>
      </c>
      <c r="B352" s="9" t="s">
        <v>891</v>
      </c>
      <c r="C352" s="9" t="s">
        <v>895</v>
      </c>
      <c r="D352" s="9" t="s">
        <v>893</v>
      </c>
      <c r="E352" s="9" t="s">
        <v>21</v>
      </c>
      <c r="F352" s="9">
        <v>325.0</v>
      </c>
      <c r="G352" s="9">
        <v>999.0</v>
      </c>
      <c r="H352" s="9">
        <v>76.9</v>
      </c>
      <c r="I352" s="10">
        <v>32.454819</v>
      </c>
      <c r="J352" s="10">
        <v>71.471703</v>
      </c>
      <c r="K352" s="11">
        <v>151.84130859375</v>
      </c>
      <c r="L352" s="12" t="s">
        <v>896</v>
      </c>
    </row>
    <row r="353">
      <c r="A353" s="9" t="s">
        <v>890</v>
      </c>
      <c r="B353" s="9" t="s">
        <v>891</v>
      </c>
      <c r="C353" s="9" t="s">
        <v>897</v>
      </c>
      <c r="D353" s="9" t="s">
        <v>893</v>
      </c>
      <c r="E353" s="9" t="s">
        <v>26</v>
      </c>
      <c r="F353" s="9">
        <v>340.0</v>
      </c>
      <c r="G353" s="9">
        <v>999.0</v>
      </c>
      <c r="H353" s="9">
        <v>0.0</v>
      </c>
      <c r="I353" s="10">
        <v>32.454819</v>
      </c>
      <c r="J353" s="10">
        <v>71.471703</v>
      </c>
      <c r="K353" s="11">
        <v>152.820922851562</v>
      </c>
      <c r="L353" s="12" t="s">
        <v>898</v>
      </c>
    </row>
    <row r="354">
      <c r="A354" s="9" t="s">
        <v>890</v>
      </c>
      <c r="B354" s="9" t="s">
        <v>891</v>
      </c>
      <c r="C354" s="9" t="s">
        <v>899</v>
      </c>
      <c r="D354" s="9" t="s">
        <v>893</v>
      </c>
      <c r="E354" s="9" t="s">
        <v>26</v>
      </c>
      <c r="F354" s="9">
        <v>340.0</v>
      </c>
      <c r="G354" s="9">
        <v>999.0</v>
      </c>
      <c r="H354" s="9">
        <v>0.0</v>
      </c>
      <c r="I354" s="10">
        <v>32.454819</v>
      </c>
      <c r="J354" s="10">
        <v>71.471703</v>
      </c>
      <c r="K354" s="11">
        <v>152.820922851562</v>
      </c>
      <c r="L354" s="12" t="s">
        <v>900</v>
      </c>
    </row>
    <row r="355">
      <c r="A355" s="9" t="s">
        <v>890</v>
      </c>
      <c r="B355" s="9" t="s">
        <v>891</v>
      </c>
      <c r="C355" s="9" t="s">
        <v>901</v>
      </c>
      <c r="D355" s="9" t="s">
        <v>902</v>
      </c>
      <c r="E355" s="9" t="s">
        <v>21</v>
      </c>
      <c r="F355" s="9">
        <v>100.0</v>
      </c>
      <c r="G355" s="9">
        <v>337.0</v>
      </c>
      <c r="H355" s="9">
        <v>28.8</v>
      </c>
      <c r="I355" s="10">
        <v>24.8614622</v>
      </c>
      <c r="J355" s="10">
        <v>67.0099388</v>
      </c>
      <c r="K355" s="11">
        <v>-28.5845642089844</v>
      </c>
      <c r="L355" s="12" t="s">
        <v>903</v>
      </c>
    </row>
    <row r="356">
      <c r="A356" s="9" t="s">
        <v>904</v>
      </c>
      <c r="B356" s="9" t="s">
        <v>905</v>
      </c>
      <c r="C356" s="9" t="s">
        <v>906</v>
      </c>
      <c r="D356" s="9" t="s">
        <v>907</v>
      </c>
      <c r="E356" s="9" t="s">
        <v>21</v>
      </c>
      <c r="F356" s="9">
        <v>706.0</v>
      </c>
      <c r="G356" s="9">
        <v>2180.0</v>
      </c>
      <c r="H356" s="9">
        <v>89.7</v>
      </c>
      <c r="I356" s="10">
        <v>44.3380556</v>
      </c>
      <c r="J356" s="10">
        <v>28.0336111</v>
      </c>
      <c r="K356" s="11">
        <v>75.8343200683594</v>
      </c>
      <c r="L356" s="12" t="s">
        <v>908</v>
      </c>
    </row>
    <row r="357">
      <c r="A357" s="9" t="s">
        <v>904</v>
      </c>
      <c r="B357" s="9" t="s">
        <v>905</v>
      </c>
      <c r="C357" s="9" t="s">
        <v>909</v>
      </c>
      <c r="D357" s="9" t="s">
        <v>907</v>
      </c>
      <c r="E357" s="9" t="s">
        <v>21</v>
      </c>
      <c r="F357" s="9">
        <v>705.0</v>
      </c>
      <c r="G357" s="9">
        <v>2180.0</v>
      </c>
      <c r="H357" s="9">
        <v>93.8</v>
      </c>
      <c r="I357" s="10">
        <v>44.3380556</v>
      </c>
      <c r="J357" s="10">
        <v>28.0336111</v>
      </c>
      <c r="K357" s="11">
        <v>75.8343200683594</v>
      </c>
      <c r="L357" s="12" t="s">
        <v>910</v>
      </c>
    </row>
    <row r="358">
      <c r="A358" s="9" t="s">
        <v>911</v>
      </c>
      <c r="B358" s="9" t="s">
        <v>912</v>
      </c>
      <c r="C358" s="9" t="s">
        <v>913</v>
      </c>
      <c r="D358" s="9" t="s">
        <v>914</v>
      </c>
      <c r="E358" s="9" t="s">
        <v>26</v>
      </c>
      <c r="F358" s="9">
        <v>35.0</v>
      </c>
      <c r="G358" s="9">
        <v>150.0</v>
      </c>
      <c r="H358" s="9">
        <v>0.0</v>
      </c>
      <c r="I358" s="10">
        <v>69.7</v>
      </c>
      <c r="J358" s="10">
        <v>170.3166667</v>
      </c>
      <c r="K358" s="11">
        <v>58.384693145752</v>
      </c>
      <c r="L358" s="12" t="s">
        <v>915</v>
      </c>
    </row>
    <row r="359">
      <c r="A359" s="9" t="s">
        <v>911</v>
      </c>
      <c r="B359" s="9" t="s">
        <v>912</v>
      </c>
      <c r="C359" s="9" t="s">
        <v>916</v>
      </c>
      <c r="D359" s="9" t="s">
        <v>914</v>
      </c>
      <c r="E359" s="9" t="s">
        <v>26</v>
      </c>
      <c r="F359" s="9">
        <v>35.0</v>
      </c>
      <c r="G359" s="9">
        <v>150.0</v>
      </c>
      <c r="H359" s="9">
        <v>0.0</v>
      </c>
      <c r="I359" s="10">
        <v>69.7</v>
      </c>
      <c r="J359" s="10">
        <v>170.3166667</v>
      </c>
      <c r="K359" s="11">
        <v>58.384693145752</v>
      </c>
      <c r="L359" s="12" t="s">
        <v>917</v>
      </c>
    </row>
    <row r="360">
      <c r="A360" s="9" t="s">
        <v>911</v>
      </c>
      <c r="B360" s="9" t="s">
        <v>912</v>
      </c>
      <c r="C360" s="9" t="s">
        <v>918</v>
      </c>
      <c r="D360" s="9" t="s">
        <v>919</v>
      </c>
      <c r="E360" s="9" t="s">
        <v>24</v>
      </c>
      <c r="F360" s="9">
        <v>6.0</v>
      </c>
      <c r="G360" s="9">
        <v>30.0</v>
      </c>
      <c r="H360" s="9">
        <v>0.0</v>
      </c>
      <c r="I360" s="10">
        <v>55.1121588</v>
      </c>
      <c r="J360" s="10">
        <v>36.6069864</v>
      </c>
      <c r="K360" s="11">
        <v>168.266815185547</v>
      </c>
      <c r="L360" s="12" t="s">
        <v>920</v>
      </c>
    </row>
    <row r="361">
      <c r="A361" s="9" t="s">
        <v>911</v>
      </c>
      <c r="B361" s="9" t="s">
        <v>912</v>
      </c>
      <c r="C361" s="9" t="s">
        <v>921</v>
      </c>
      <c r="D361" s="9" t="s">
        <v>922</v>
      </c>
      <c r="E361" s="9" t="s">
        <v>21</v>
      </c>
      <c r="F361" s="9">
        <v>1000.0</v>
      </c>
      <c r="G361" s="9">
        <v>3000.0</v>
      </c>
      <c r="H361" s="9">
        <v>68.8</v>
      </c>
      <c r="I361" s="10">
        <v>52.0333333</v>
      </c>
      <c r="J361" s="10">
        <v>47.7833333</v>
      </c>
      <c r="K361" s="11">
        <v>19.1542224884033</v>
      </c>
      <c r="L361" s="12" t="s">
        <v>923</v>
      </c>
    </row>
    <row r="362">
      <c r="A362" s="9" t="s">
        <v>911</v>
      </c>
      <c r="B362" s="9" t="s">
        <v>912</v>
      </c>
      <c r="C362" s="9" t="s">
        <v>924</v>
      </c>
      <c r="D362" s="9" t="s">
        <v>922</v>
      </c>
      <c r="E362" s="9" t="s">
        <v>21</v>
      </c>
      <c r="F362" s="9">
        <v>1000.0</v>
      </c>
      <c r="G362" s="9">
        <v>3000.0</v>
      </c>
      <c r="H362" s="9">
        <v>70.1</v>
      </c>
      <c r="I362" s="10">
        <v>52.0333333</v>
      </c>
      <c r="J362" s="10">
        <v>47.7833333</v>
      </c>
      <c r="K362" s="11">
        <v>19.1542224884033</v>
      </c>
      <c r="L362" s="12" t="s">
        <v>925</v>
      </c>
    </row>
    <row r="363">
      <c r="A363" s="9" t="s">
        <v>911</v>
      </c>
      <c r="B363" s="9" t="s">
        <v>912</v>
      </c>
      <c r="C363" s="9" t="s">
        <v>926</v>
      </c>
      <c r="D363" s="9" t="s">
        <v>922</v>
      </c>
      <c r="E363" s="9" t="s">
        <v>21</v>
      </c>
      <c r="F363" s="9">
        <v>1000.0</v>
      </c>
      <c r="G363" s="9">
        <v>3000.0</v>
      </c>
      <c r="H363" s="9">
        <v>73.5</v>
      </c>
      <c r="I363" s="10">
        <v>52.0333333</v>
      </c>
      <c r="J363" s="10">
        <v>47.7833333</v>
      </c>
      <c r="K363" s="11">
        <v>19.1542224884033</v>
      </c>
      <c r="L363" s="12" t="s">
        <v>927</v>
      </c>
    </row>
    <row r="364">
      <c r="A364" s="9" t="s">
        <v>911</v>
      </c>
      <c r="B364" s="9" t="s">
        <v>912</v>
      </c>
      <c r="C364" s="9" t="s">
        <v>928</v>
      </c>
      <c r="D364" s="9" t="s">
        <v>922</v>
      </c>
      <c r="E364" s="9" t="s">
        <v>21</v>
      </c>
      <c r="F364" s="9">
        <v>1000.0</v>
      </c>
      <c r="G364" s="9">
        <v>3200.0</v>
      </c>
      <c r="H364" s="9">
        <v>78.7</v>
      </c>
      <c r="I364" s="10">
        <v>52.0333333</v>
      </c>
      <c r="J364" s="10">
        <v>47.7833333</v>
      </c>
      <c r="K364" s="11">
        <v>21.9860420227051</v>
      </c>
      <c r="L364" s="12" t="s">
        <v>929</v>
      </c>
    </row>
    <row r="365">
      <c r="A365" s="9" t="s">
        <v>911</v>
      </c>
      <c r="B365" s="9" t="s">
        <v>912</v>
      </c>
      <c r="C365" s="9" t="s">
        <v>930</v>
      </c>
      <c r="D365" s="9" t="s">
        <v>931</v>
      </c>
      <c r="E365" s="9" t="s">
        <v>26</v>
      </c>
      <c r="F365" s="9">
        <v>1194.0</v>
      </c>
      <c r="G365" s="9">
        <v>3200.0</v>
      </c>
      <c r="H365" s="9">
        <v>0.0</v>
      </c>
      <c r="I365" s="10">
        <v>55.0833333</v>
      </c>
      <c r="J365" s="10">
        <v>21.8833333</v>
      </c>
      <c r="K365" s="11">
        <v>33.1636428833008</v>
      </c>
      <c r="L365" s="12" t="s">
        <v>932</v>
      </c>
    </row>
    <row r="366">
      <c r="A366" s="9" t="s">
        <v>911</v>
      </c>
      <c r="B366" s="9" t="s">
        <v>912</v>
      </c>
      <c r="C366" s="9" t="s">
        <v>933</v>
      </c>
      <c r="D366" s="9" t="s">
        <v>934</v>
      </c>
      <c r="E366" s="9" t="s">
        <v>24</v>
      </c>
      <c r="F366" s="9">
        <v>108.0</v>
      </c>
      <c r="G366" s="9">
        <v>286.0</v>
      </c>
      <c r="H366" s="9">
        <v>0.0</v>
      </c>
      <c r="I366" s="10">
        <v>53.2</v>
      </c>
      <c r="J366" s="10">
        <v>45.2</v>
      </c>
      <c r="K366" s="11">
        <v>223.412521362305</v>
      </c>
      <c r="L366" s="12" t="s">
        <v>935</v>
      </c>
    </row>
    <row r="367">
      <c r="A367" s="9" t="s">
        <v>911</v>
      </c>
      <c r="B367" s="9" t="s">
        <v>912</v>
      </c>
      <c r="C367" s="9" t="s">
        <v>936</v>
      </c>
      <c r="D367" s="9" t="s">
        <v>934</v>
      </c>
      <c r="E367" s="9" t="s">
        <v>24</v>
      </c>
      <c r="F367" s="9">
        <v>160.0</v>
      </c>
      <c r="G367" s="9">
        <v>530.0</v>
      </c>
      <c r="H367" s="9">
        <v>0.0</v>
      </c>
      <c r="I367" s="10">
        <v>53.2</v>
      </c>
      <c r="J367" s="10">
        <v>45.2</v>
      </c>
      <c r="K367" s="11">
        <v>223.412521362305</v>
      </c>
      <c r="L367" s="12" t="s">
        <v>937</v>
      </c>
    </row>
    <row r="368">
      <c r="A368" s="9" t="s">
        <v>911</v>
      </c>
      <c r="B368" s="9" t="s">
        <v>912</v>
      </c>
      <c r="C368" s="9" t="s">
        <v>938</v>
      </c>
      <c r="D368" s="9" t="s">
        <v>934</v>
      </c>
      <c r="E368" s="9" t="s">
        <v>21</v>
      </c>
      <c r="F368" s="9">
        <v>600.0</v>
      </c>
      <c r="G368" s="9">
        <v>1470.0</v>
      </c>
      <c r="H368" s="9">
        <v>74.2</v>
      </c>
      <c r="I368" s="10">
        <v>53.2</v>
      </c>
      <c r="J368" s="10">
        <v>45.2</v>
      </c>
      <c r="K368" s="11">
        <v>223.412521362305</v>
      </c>
      <c r="L368" s="12" t="s">
        <v>939</v>
      </c>
    </row>
    <row r="369">
      <c r="A369" s="9" t="s">
        <v>911</v>
      </c>
      <c r="B369" s="9" t="s">
        <v>912</v>
      </c>
      <c r="C369" s="9" t="s">
        <v>940</v>
      </c>
      <c r="D369" s="9" t="s">
        <v>934</v>
      </c>
      <c r="E369" s="9" t="s">
        <v>26</v>
      </c>
      <c r="F369" s="9">
        <v>864.0</v>
      </c>
      <c r="G369" s="9">
        <v>2100.0</v>
      </c>
      <c r="H369" s="9">
        <v>0.0</v>
      </c>
      <c r="I369" s="10">
        <v>53.2</v>
      </c>
      <c r="J369" s="10">
        <v>45.2</v>
      </c>
      <c r="K369" s="11">
        <v>223.412521362305</v>
      </c>
      <c r="L369" s="12" t="s">
        <v>941</v>
      </c>
    </row>
    <row r="370">
      <c r="A370" s="9" t="s">
        <v>911</v>
      </c>
      <c r="B370" s="9" t="s">
        <v>912</v>
      </c>
      <c r="C370" s="9" t="s">
        <v>942</v>
      </c>
      <c r="D370" s="9" t="s">
        <v>943</v>
      </c>
      <c r="E370" s="9" t="s">
        <v>21</v>
      </c>
      <c r="F370" s="9">
        <v>12.0</v>
      </c>
      <c r="G370" s="9">
        <v>62.0</v>
      </c>
      <c r="H370" s="9">
        <v>52.9</v>
      </c>
      <c r="I370" s="10">
        <v>68.0566667</v>
      </c>
      <c r="J370" s="10">
        <v>166.4580556</v>
      </c>
      <c r="K370" s="11">
        <v>389.025970458984</v>
      </c>
      <c r="L370" s="12" t="s">
        <v>944</v>
      </c>
    </row>
    <row r="371">
      <c r="A371" s="9" t="s">
        <v>911</v>
      </c>
      <c r="B371" s="9" t="s">
        <v>912</v>
      </c>
      <c r="C371" s="9" t="s">
        <v>945</v>
      </c>
      <c r="D371" s="9" t="s">
        <v>943</v>
      </c>
      <c r="E371" s="9" t="s">
        <v>21</v>
      </c>
      <c r="F371" s="9">
        <v>12.0</v>
      </c>
      <c r="G371" s="9">
        <v>62.0</v>
      </c>
      <c r="H371" s="9">
        <v>53.6</v>
      </c>
      <c r="I371" s="10">
        <v>68.0566667</v>
      </c>
      <c r="J371" s="10">
        <v>166.4580556</v>
      </c>
      <c r="K371" s="11">
        <v>389.025970458984</v>
      </c>
      <c r="L371" s="12" t="s">
        <v>946</v>
      </c>
    </row>
    <row r="372">
      <c r="A372" s="9" t="s">
        <v>911</v>
      </c>
      <c r="B372" s="9" t="s">
        <v>912</v>
      </c>
      <c r="C372" s="9" t="s">
        <v>947</v>
      </c>
      <c r="D372" s="9" t="s">
        <v>943</v>
      </c>
      <c r="E372" s="9" t="s">
        <v>21</v>
      </c>
      <c r="F372" s="9">
        <v>12.0</v>
      </c>
      <c r="G372" s="9">
        <v>62.0</v>
      </c>
      <c r="H372" s="9">
        <v>55.1</v>
      </c>
      <c r="I372" s="10">
        <v>68.0566667</v>
      </c>
      <c r="J372" s="10">
        <v>166.4580556</v>
      </c>
      <c r="K372" s="11">
        <v>389.025970458984</v>
      </c>
      <c r="L372" s="12" t="s">
        <v>948</v>
      </c>
    </row>
    <row r="373">
      <c r="A373" s="9" t="s">
        <v>911</v>
      </c>
      <c r="B373" s="9" t="s">
        <v>912</v>
      </c>
      <c r="C373" s="9" t="s">
        <v>949</v>
      </c>
      <c r="D373" s="9" t="s">
        <v>943</v>
      </c>
      <c r="E373" s="9" t="s">
        <v>21</v>
      </c>
      <c r="F373" s="9">
        <v>12.0</v>
      </c>
      <c r="G373" s="9">
        <v>62.0</v>
      </c>
      <c r="H373" s="9">
        <v>53.8</v>
      </c>
      <c r="I373" s="10">
        <v>68.0566667</v>
      </c>
      <c r="J373" s="10">
        <v>166.4580556</v>
      </c>
      <c r="K373" s="11">
        <v>389.025970458984</v>
      </c>
      <c r="L373" s="12" t="s">
        <v>950</v>
      </c>
    </row>
    <row r="374">
      <c r="A374" s="9" t="s">
        <v>911</v>
      </c>
      <c r="B374" s="9" t="s">
        <v>912</v>
      </c>
      <c r="C374" s="9" t="s">
        <v>951</v>
      </c>
      <c r="D374" s="9" t="s">
        <v>952</v>
      </c>
      <c r="E374" s="9" t="s">
        <v>21</v>
      </c>
      <c r="F374" s="9">
        <v>1000.0</v>
      </c>
      <c r="G374" s="9">
        <v>3000.0</v>
      </c>
      <c r="H374" s="9">
        <v>74.8</v>
      </c>
      <c r="I374" s="10">
        <v>57.8666667</v>
      </c>
      <c r="J374" s="10">
        <v>35.0166667</v>
      </c>
      <c r="K374" s="11">
        <v>177.446853637695</v>
      </c>
      <c r="L374" s="12" t="s">
        <v>953</v>
      </c>
    </row>
    <row r="375">
      <c r="A375" s="9" t="s">
        <v>911</v>
      </c>
      <c r="B375" s="9" t="s">
        <v>912</v>
      </c>
      <c r="C375" s="9" t="s">
        <v>954</v>
      </c>
      <c r="D375" s="9" t="s">
        <v>952</v>
      </c>
      <c r="E375" s="9" t="s">
        <v>21</v>
      </c>
      <c r="F375" s="9">
        <v>1000.0</v>
      </c>
      <c r="G375" s="9">
        <v>3000.0</v>
      </c>
      <c r="H375" s="9">
        <v>76.7</v>
      </c>
      <c r="I375" s="10">
        <v>57.8666667</v>
      </c>
      <c r="J375" s="10">
        <v>35.0166667</v>
      </c>
      <c r="K375" s="11">
        <v>177.446853637695</v>
      </c>
      <c r="L375" s="12" t="s">
        <v>955</v>
      </c>
    </row>
    <row r="376">
      <c r="A376" s="9" t="s">
        <v>911</v>
      </c>
      <c r="B376" s="9" t="s">
        <v>912</v>
      </c>
      <c r="C376" s="9" t="s">
        <v>956</v>
      </c>
      <c r="D376" s="9" t="s">
        <v>952</v>
      </c>
      <c r="E376" s="9" t="s">
        <v>21</v>
      </c>
      <c r="F376" s="9">
        <v>1000.0</v>
      </c>
      <c r="G376" s="9">
        <v>3200.0</v>
      </c>
      <c r="H376" s="9">
        <v>84.6</v>
      </c>
      <c r="I376" s="10">
        <v>57.8666667</v>
      </c>
      <c r="J376" s="10">
        <v>35.0166667</v>
      </c>
      <c r="K376" s="11">
        <v>177.446853637695</v>
      </c>
      <c r="L376" s="12" t="s">
        <v>957</v>
      </c>
    </row>
    <row r="377">
      <c r="A377" s="9" t="s">
        <v>911</v>
      </c>
      <c r="B377" s="9" t="s">
        <v>912</v>
      </c>
      <c r="C377" s="9" t="s">
        <v>958</v>
      </c>
      <c r="D377" s="9" t="s">
        <v>952</v>
      </c>
      <c r="E377" s="9" t="s">
        <v>21</v>
      </c>
      <c r="F377" s="9">
        <v>1000.0</v>
      </c>
      <c r="G377" s="9">
        <v>3200.0</v>
      </c>
      <c r="H377" s="9">
        <v>76.2</v>
      </c>
      <c r="I377" s="10">
        <v>57.8666667</v>
      </c>
      <c r="J377" s="10">
        <v>35.0166667</v>
      </c>
      <c r="K377" s="11">
        <v>177.446853637695</v>
      </c>
      <c r="L377" s="12" t="s">
        <v>959</v>
      </c>
    </row>
    <row r="378">
      <c r="A378" s="9" t="s">
        <v>911</v>
      </c>
      <c r="B378" s="9" t="s">
        <v>912</v>
      </c>
      <c r="C378" s="9" t="s">
        <v>960</v>
      </c>
      <c r="D378" s="9" t="s">
        <v>961</v>
      </c>
      <c r="E378" s="9" t="s">
        <v>21</v>
      </c>
      <c r="F378" s="9">
        <v>440.0</v>
      </c>
      <c r="G378" s="9">
        <v>1375.0</v>
      </c>
      <c r="H378" s="9">
        <v>65.5</v>
      </c>
      <c r="I378" s="10">
        <v>67.3666667</v>
      </c>
      <c r="J378" s="10">
        <v>32.5</v>
      </c>
      <c r="K378" s="11">
        <v>155.047271728516</v>
      </c>
      <c r="L378" s="12" t="s">
        <v>962</v>
      </c>
    </row>
    <row r="379">
      <c r="A379" s="9" t="s">
        <v>911</v>
      </c>
      <c r="B379" s="9" t="s">
        <v>912</v>
      </c>
      <c r="C379" s="9" t="s">
        <v>963</v>
      </c>
      <c r="D379" s="9" t="s">
        <v>961</v>
      </c>
      <c r="E379" s="9" t="s">
        <v>21</v>
      </c>
      <c r="F379" s="9">
        <v>440.0</v>
      </c>
      <c r="G379" s="9">
        <v>1375.0</v>
      </c>
      <c r="H379" s="9">
        <v>66.3</v>
      </c>
      <c r="I379" s="10">
        <v>67.3666667</v>
      </c>
      <c r="J379" s="10">
        <v>32.5</v>
      </c>
      <c r="K379" s="11">
        <v>155.047271728516</v>
      </c>
      <c r="L379" s="12" t="s">
        <v>964</v>
      </c>
    </row>
    <row r="380">
      <c r="A380" s="9" t="s">
        <v>911</v>
      </c>
      <c r="B380" s="9" t="s">
        <v>912</v>
      </c>
      <c r="C380" s="9" t="s">
        <v>965</v>
      </c>
      <c r="D380" s="9" t="s">
        <v>961</v>
      </c>
      <c r="E380" s="9" t="s">
        <v>21</v>
      </c>
      <c r="F380" s="9">
        <v>440.0</v>
      </c>
      <c r="G380" s="9">
        <v>1375.0</v>
      </c>
      <c r="H380" s="9">
        <v>69.0</v>
      </c>
      <c r="I380" s="10">
        <v>67.3666667</v>
      </c>
      <c r="J380" s="10">
        <v>32.5</v>
      </c>
      <c r="K380" s="11">
        <v>155.047271728516</v>
      </c>
      <c r="L380" s="12" t="s">
        <v>966</v>
      </c>
    </row>
    <row r="381">
      <c r="A381" s="9" t="s">
        <v>911</v>
      </c>
      <c r="B381" s="9" t="s">
        <v>912</v>
      </c>
      <c r="C381" s="9" t="s">
        <v>967</v>
      </c>
      <c r="D381" s="9" t="s">
        <v>961</v>
      </c>
      <c r="E381" s="9" t="s">
        <v>21</v>
      </c>
      <c r="F381" s="9">
        <v>440.0</v>
      </c>
      <c r="G381" s="9">
        <v>1375.0</v>
      </c>
      <c r="H381" s="9">
        <v>71.7</v>
      </c>
      <c r="I381" s="10">
        <v>67.3666667</v>
      </c>
      <c r="J381" s="10">
        <v>32.5</v>
      </c>
      <c r="K381" s="11">
        <v>155.047271728516</v>
      </c>
      <c r="L381" s="12" t="s">
        <v>968</v>
      </c>
    </row>
    <row r="382">
      <c r="A382" s="9" t="s">
        <v>911</v>
      </c>
      <c r="B382" s="9" t="s">
        <v>912</v>
      </c>
      <c r="C382" s="9" t="s">
        <v>969</v>
      </c>
      <c r="D382" s="9" t="s">
        <v>970</v>
      </c>
      <c r="E382" s="9" t="s">
        <v>21</v>
      </c>
      <c r="F382" s="9">
        <v>1000.0</v>
      </c>
      <c r="G382" s="9">
        <v>3200.0</v>
      </c>
      <c r="H382" s="9">
        <v>62.4</v>
      </c>
      <c r="I382" s="10">
        <v>51.6571864</v>
      </c>
      <c r="J382" s="10">
        <v>35.6783298</v>
      </c>
      <c r="K382" s="11">
        <v>180.078964233398</v>
      </c>
      <c r="L382" s="12" t="s">
        <v>971</v>
      </c>
    </row>
    <row r="383">
      <c r="A383" s="9" t="s">
        <v>911</v>
      </c>
      <c r="B383" s="9" t="s">
        <v>912</v>
      </c>
      <c r="C383" s="9" t="s">
        <v>972</v>
      </c>
      <c r="D383" s="9" t="s">
        <v>970</v>
      </c>
      <c r="E383" s="9" t="s">
        <v>21</v>
      </c>
      <c r="F383" s="9">
        <v>1000.0</v>
      </c>
      <c r="G383" s="9">
        <v>3200.0</v>
      </c>
      <c r="H383" s="9">
        <v>63.2</v>
      </c>
      <c r="I383" s="10">
        <v>51.6571864</v>
      </c>
      <c r="J383" s="10">
        <v>35.6783298</v>
      </c>
      <c r="K383" s="11">
        <v>180.078964233398</v>
      </c>
      <c r="L383" s="12" t="s">
        <v>973</v>
      </c>
    </row>
    <row r="384">
      <c r="A384" s="9" t="s">
        <v>911</v>
      </c>
      <c r="B384" s="9" t="s">
        <v>912</v>
      </c>
      <c r="C384" s="9" t="s">
        <v>974</v>
      </c>
      <c r="D384" s="9" t="s">
        <v>970</v>
      </c>
      <c r="E384" s="9" t="s">
        <v>21</v>
      </c>
      <c r="F384" s="9">
        <v>1000.0</v>
      </c>
      <c r="G384" s="9">
        <v>3200.0</v>
      </c>
      <c r="H384" s="9">
        <v>72.3</v>
      </c>
      <c r="I384" s="10">
        <v>51.6571864</v>
      </c>
      <c r="J384" s="10">
        <v>35.6783298</v>
      </c>
      <c r="K384" s="11">
        <v>180.078964233398</v>
      </c>
      <c r="L384" s="12" t="s">
        <v>975</v>
      </c>
    </row>
    <row r="385">
      <c r="A385" s="9" t="s">
        <v>911</v>
      </c>
      <c r="B385" s="9" t="s">
        <v>912</v>
      </c>
      <c r="C385" s="9" t="s">
        <v>976</v>
      </c>
      <c r="D385" s="9" t="s">
        <v>970</v>
      </c>
      <c r="E385" s="9" t="s">
        <v>21</v>
      </c>
      <c r="F385" s="9">
        <v>1000.0</v>
      </c>
      <c r="G385" s="9">
        <v>3200.0</v>
      </c>
      <c r="H385" s="9">
        <v>76.0</v>
      </c>
      <c r="I385" s="10">
        <v>51.6571864</v>
      </c>
      <c r="J385" s="10">
        <v>35.6783298</v>
      </c>
      <c r="K385" s="11">
        <v>180.078964233398</v>
      </c>
      <c r="L385" s="12" t="s">
        <v>977</v>
      </c>
    </row>
    <row r="386">
      <c r="A386" s="9" t="s">
        <v>911</v>
      </c>
      <c r="B386" s="9" t="s">
        <v>912</v>
      </c>
      <c r="C386" s="9" t="s">
        <v>978</v>
      </c>
      <c r="D386" s="9" t="s">
        <v>979</v>
      </c>
      <c r="E386" s="9" t="s">
        <v>26</v>
      </c>
      <c r="F386" s="9">
        <v>1170.0</v>
      </c>
      <c r="G386" s="9">
        <v>3200.0</v>
      </c>
      <c r="H386" s="9">
        <v>0.0</v>
      </c>
      <c r="I386" s="10">
        <v>59.8833333</v>
      </c>
      <c r="J386" s="10">
        <v>29.1</v>
      </c>
      <c r="K386" s="11">
        <v>45.9534721374512</v>
      </c>
      <c r="L386" s="12" t="s">
        <v>980</v>
      </c>
    </row>
    <row r="387">
      <c r="A387" s="9" t="s">
        <v>911</v>
      </c>
      <c r="B387" s="9" t="s">
        <v>912</v>
      </c>
      <c r="C387" s="9" t="s">
        <v>981</v>
      </c>
      <c r="D387" s="9" t="s">
        <v>979</v>
      </c>
      <c r="E387" s="9" t="s">
        <v>26</v>
      </c>
      <c r="F387" s="9">
        <v>1170.0</v>
      </c>
      <c r="G387" s="9">
        <v>3200.0</v>
      </c>
      <c r="H387" s="9">
        <v>0.0</v>
      </c>
      <c r="I387" s="10">
        <v>59.8833333</v>
      </c>
      <c r="J387" s="10">
        <v>29.1</v>
      </c>
      <c r="K387" s="11">
        <v>45.9534721374512</v>
      </c>
      <c r="L387" s="12" t="s">
        <v>982</v>
      </c>
    </row>
    <row r="388">
      <c r="A388" s="9" t="s">
        <v>911</v>
      </c>
      <c r="B388" s="9" t="s">
        <v>912</v>
      </c>
      <c r="C388" s="9" t="s">
        <v>983</v>
      </c>
      <c r="D388" s="9" t="s">
        <v>979</v>
      </c>
      <c r="E388" s="9" t="s">
        <v>21</v>
      </c>
      <c r="F388" s="9">
        <v>1000.0</v>
      </c>
      <c r="G388" s="9">
        <v>3200.0</v>
      </c>
      <c r="H388" s="9">
        <v>68.7</v>
      </c>
      <c r="I388" s="10">
        <v>59.8833333</v>
      </c>
      <c r="J388" s="10">
        <v>29.1</v>
      </c>
      <c r="K388" s="11">
        <v>45.9534721374512</v>
      </c>
      <c r="L388" s="12" t="s">
        <v>984</v>
      </c>
    </row>
    <row r="389">
      <c r="A389" s="9" t="s">
        <v>911</v>
      </c>
      <c r="B389" s="9" t="s">
        <v>912</v>
      </c>
      <c r="C389" s="9" t="s">
        <v>985</v>
      </c>
      <c r="D389" s="9" t="s">
        <v>979</v>
      </c>
      <c r="E389" s="9" t="s">
        <v>21</v>
      </c>
      <c r="F389" s="9">
        <v>1000.0</v>
      </c>
      <c r="G389" s="9">
        <v>3200.0</v>
      </c>
      <c r="H389" s="9">
        <v>70.1</v>
      </c>
      <c r="I389" s="10">
        <v>59.8833333</v>
      </c>
      <c r="J389" s="10">
        <v>29.1</v>
      </c>
      <c r="K389" s="11">
        <v>45.9534721374512</v>
      </c>
      <c r="L389" s="12" t="s">
        <v>986</v>
      </c>
    </row>
    <row r="390">
      <c r="A390" s="9" t="s">
        <v>911</v>
      </c>
      <c r="B390" s="9" t="s">
        <v>912</v>
      </c>
      <c r="C390" s="9" t="s">
        <v>987</v>
      </c>
      <c r="D390" s="9" t="s">
        <v>979</v>
      </c>
      <c r="E390" s="9" t="s">
        <v>21</v>
      </c>
      <c r="F390" s="9">
        <v>1000.0</v>
      </c>
      <c r="G390" s="9">
        <v>3200.0</v>
      </c>
      <c r="H390" s="9">
        <v>70.5</v>
      </c>
      <c r="I390" s="10">
        <v>59.8833333</v>
      </c>
      <c r="J390" s="10">
        <v>29.1</v>
      </c>
      <c r="K390" s="11">
        <v>45.9534721374512</v>
      </c>
      <c r="L390" s="12" t="s">
        <v>988</v>
      </c>
    </row>
    <row r="391">
      <c r="A391" s="9" t="s">
        <v>911</v>
      </c>
      <c r="B391" s="9" t="s">
        <v>912</v>
      </c>
      <c r="C391" s="9" t="s">
        <v>989</v>
      </c>
      <c r="D391" s="9" t="s">
        <v>979</v>
      </c>
      <c r="E391" s="9" t="s">
        <v>21</v>
      </c>
      <c r="F391" s="9">
        <v>1000.0</v>
      </c>
      <c r="G391" s="9">
        <v>3200.0</v>
      </c>
      <c r="H391" s="9">
        <v>72.0</v>
      </c>
      <c r="I391" s="10">
        <v>59.8833333</v>
      </c>
      <c r="J391" s="10">
        <v>29.1</v>
      </c>
      <c r="K391" s="11">
        <v>45.9534721374512</v>
      </c>
      <c r="L391" s="12" t="s">
        <v>990</v>
      </c>
    </row>
    <row r="392">
      <c r="A392" s="9" t="s">
        <v>911</v>
      </c>
      <c r="B392" s="9" t="s">
        <v>912</v>
      </c>
      <c r="C392" s="9" t="s">
        <v>991</v>
      </c>
      <c r="D392" s="9" t="s">
        <v>992</v>
      </c>
      <c r="E392" s="9" t="s">
        <v>26</v>
      </c>
      <c r="F392" s="9">
        <v>1199.0</v>
      </c>
      <c r="G392" s="9">
        <v>3200.0</v>
      </c>
      <c r="H392" s="9">
        <v>0.0</v>
      </c>
      <c r="I392" s="10">
        <v>51.3074346</v>
      </c>
      <c r="J392" s="10">
        <v>39.2214523</v>
      </c>
      <c r="K392" s="11">
        <v>135.036804199219</v>
      </c>
      <c r="L392" s="12" t="s">
        <v>993</v>
      </c>
    </row>
    <row r="393">
      <c r="A393" s="9" t="s">
        <v>911</v>
      </c>
      <c r="B393" s="9" t="s">
        <v>912</v>
      </c>
      <c r="C393" s="9" t="s">
        <v>994</v>
      </c>
      <c r="D393" s="9" t="s">
        <v>992</v>
      </c>
      <c r="E393" s="9" t="s">
        <v>26</v>
      </c>
      <c r="F393" s="9">
        <v>1199.0</v>
      </c>
      <c r="G393" s="9">
        <v>3200.0</v>
      </c>
      <c r="H393" s="9">
        <v>0.0</v>
      </c>
      <c r="I393" s="10">
        <v>51.3074346</v>
      </c>
      <c r="J393" s="10">
        <v>39.2214523</v>
      </c>
      <c r="K393" s="11">
        <v>135.036804199219</v>
      </c>
      <c r="L393" s="12" t="s">
        <v>995</v>
      </c>
    </row>
    <row r="394">
      <c r="A394" s="9" t="s">
        <v>911</v>
      </c>
      <c r="B394" s="9" t="s">
        <v>912</v>
      </c>
      <c r="C394" s="9" t="s">
        <v>996</v>
      </c>
      <c r="D394" s="9" t="s">
        <v>992</v>
      </c>
      <c r="E394" s="9" t="s">
        <v>24</v>
      </c>
      <c r="F394" s="9">
        <v>210.0</v>
      </c>
      <c r="G394" s="9">
        <v>760.0</v>
      </c>
      <c r="H394" s="9">
        <v>0.0</v>
      </c>
      <c r="I394" s="10">
        <v>51.3074346</v>
      </c>
      <c r="J394" s="10">
        <v>39.2214523</v>
      </c>
      <c r="K394" s="11">
        <v>135.036804199219</v>
      </c>
      <c r="L394" s="12" t="s">
        <v>997</v>
      </c>
    </row>
    <row r="395">
      <c r="A395" s="9" t="s">
        <v>911</v>
      </c>
      <c r="B395" s="9" t="s">
        <v>912</v>
      </c>
      <c r="C395" s="9" t="s">
        <v>998</v>
      </c>
      <c r="D395" s="9" t="s">
        <v>992</v>
      </c>
      <c r="E395" s="9" t="s">
        <v>24</v>
      </c>
      <c r="F395" s="9">
        <v>365.0</v>
      </c>
      <c r="G395" s="9">
        <v>1320.0</v>
      </c>
      <c r="H395" s="9">
        <v>0.0</v>
      </c>
      <c r="I395" s="10">
        <v>51.3074346</v>
      </c>
      <c r="J395" s="10">
        <v>39.2214523</v>
      </c>
      <c r="K395" s="11">
        <v>135.036804199219</v>
      </c>
      <c r="L395" s="12" t="s">
        <v>999</v>
      </c>
    </row>
    <row r="396">
      <c r="A396" s="9" t="s">
        <v>911</v>
      </c>
      <c r="B396" s="9" t="s">
        <v>912</v>
      </c>
      <c r="C396" s="9" t="s">
        <v>1000</v>
      </c>
      <c r="D396" s="9" t="s">
        <v>992</v>
      </c>
      <c r="E396" s="9" t="s">
        <v>21</v>
      </c>
      <c r="F396" s="9">
        <v>417.0</v>
      </c>
      <c r="G396" s="9">
        <v>1375.0</v>
      </c>
      <c r="H396" s="9">
        <v>70.8</v>
      </c>
      <c r="I396" s="10">
        <v>51.3074346</v>
      </c>
      <c r="J396" s="10">
        <v>39.2214523</v>
      </c>
      <c r="K396" s="11">
        <v>135.036804199219</v>
      </c>
      <c r="L396" s="12" t="s">
        <v>1001</v>
      </c>
    </row>
    <row r="397">
      <c r="A397" s="9" t="s">
        <v>911</v>
      </c>
      <c r="B397" s="9" t="s">
        <v>912</v>
      </c>
      <c r="C397" s="9" t="s">
        <v>1002</v>
      </c>
      <c r="D397" s="9" t="s">
        <v>992</v>
      </c>
      <c r="E397" s="9" t="s">
        <v>21</v>
      </c>
      <c r="F397" s="9">
        <v>417.0</v>
      </c>
      <c r="G397" s="9">
        <v>1375.0</v>
      </c>
      <c r="H397" s="9">
        <v>78.2</v>
      </c>
      <c r="I397" s="10">
        <v>51.3074346</v>
      </c>
      <c r="J397" s="10">
        <v>39.2214523</v>
      </c>
      <c r="K397" s="11">
        <v>135.036804199219</v>
      </c>
      <c r="L397" s="12" t="s">
        <v>1003</v>
      </c>
    </row>
    <row r="398">
      <c r="A398" s="9" t="s">
        <v>911</v>
      </c>
      <c r="B398" s="9" t="s">
        <v>912</v>
      </c>
      <c r="C398" s="9" t="s">
        <v>1004</v>
      </c>
      <c r="D398" s="9" t="s">
        <v>992</v>
      </c>
      <c r="E398" s="9" t="s">
        <v>21</v>
      </c>
      <c r="F398" s="9">
        <v>1000.0</v>
      </c>
      <c r="G398" s="9">
        <v>3000.0</v>
      </c>
      <c r="H398" s="9">
        <v>63.5</v>
      </c>
      <c r="I398" s="10">
        <v>51.3074346</v>
      </c>
      <c r="J398" s="10">
        <v>39.2214523</v>
      </c>
      <c r="K398" s="11">
        <v>135.036804199219</v>
      </c>
      <c r="L398" s="12" t="s">
        <v>1005</v>
      </c>
    </row>
    <row r="399">
      <c r="A399" s="9" t="s">
        <v>911</v>
      </c>
      <c r="B399" s="9" t="s">
        <v>912</v>
      </c>
      <c r="C399" s="9" t="s">
        <v>1006</v>
      </c>
      <c r="D399" s="9" t="s">
        <v>1007</v>
      </c>
      <c r="E399" s="9" t="s">
        <v>21</v>
      </c>
      <c r="F399" s="9">
        <v>1000.0</v>
      </c>
      <c r="G399" s="9">
        <v>3200.0</v>
      </c>
      <c r="H399" s="9">
        <v>90.3</v>
      </c>
      <c r="I399" s="10">
        <v>47.6853247</v>
      </c>
      <c r="J399" s="10">
        <v>41.8258952</v>
      </c>
      <c r="K399" s="11">
        <v>80.597770690918</v>
      </c>
      <c r="L399" s="12" t="s">
        <v>1008</v>
      </c>
    </row>
    <row r="400">
      <c r="A400" s="9" t="s">
        <v>911</v>
      </c>
      <c r="B400" s="9" t="s">
        <v>912</v>
      </c>
      <c r="C400" s="9" t="s">
        <v>1009</v>
      </c>
      <c r="D400" s="9" t="s">
        <v>1007</v>
      </c>
      <c r="E400" s="9" t="s">
        <v>21</v>
      </c>
      <c r="F400" s="9">
        <v>1000.0</v>
      </c>
      <c r="G400" s="9">
        <v>3200.0</v>
      </c>
      <c r="H400" s="9">
        <v>90.8</v>
      </c>
      <c r="I400" s="10">
        <v>47.6853247</v>
      </c>
      <c r="J400" s="10">
        <v>41.8258952</v>
      </c>
      <c r="K400" s="11">
        <v>80.597770690918</v>
      </c>
      <c r="L400" s="12" t="s">
        <v>1010</v>
      </c>
    </row>
    <row r="401">
      <c r="A401" s="9" t="s">
        <v>911</v>
      </c>
      <c r="B401" s="9" t="s">
        <v>912</v>
      </c>
      <c r="C401" s="9" t="s">
        <v>1011</v>
      </c>
      <c r="D401" s="9" t="s">
        <v>1007</v>
      </c>
      <c r="E401" s="9" t="s">
        <v>26</v>
      </c>
      <c r="F401" s="9">
        <v>1100.0</v>
      </c>
      <c r="G401" s="9">
        <v>3000.0</v>
      </c>
      <c r="H401" s="9">
        <v>0.0</v>
      </c>
      <c r="I401" s="10">
        <v>47.6853247</v>
      </c>
      <c r="J401" s="10">
        <v>41.8258952</v>
      </c>
      <c r="K401" s="11">
        <v>80.597770690918</v>
      </c>
      <c r="L401" s="12" t="s">
        <v>1012</v>
      </c>
    </row>
    <row r="402">
      <c r="A402" s="9" t="s">
        <v>911</v>
      </c>
      <c r="B402" s="9" t="s">
        <v>912</v>
      </c>
      <c r="C402" s="9" t="s">
        <v>1013</v>
      </c>
      <c r="D402" s="9" t="s">
        <v>1007</v>
      </c>
      <c r="E402" s="9" t="s">
        <v>26</v>
      </c>
      <c r="F402" s="9">
        <v>1100.0</v>
      </c>
      <c r="G402" s="9">
        <v>3000.0</v>
      </c>
      <c r="H402" s="9">
        <v>0.0</v>
      </c>
      <c r="I402" s="10">
        <v>47.6853247</v>
      </c>
      <c r="J402" s="10">
        <v>41.8258952</v>
      </c>
      <c r="K402" s="11">
        <v>80.597770690918</v>
      </c>
      <c r="L402" s="12" t="s">
        <v>1014</v>
      </c>
    </row>
    <row r="403">
      <c r="A403" s="9" t="s">
        <v>911</v>
      </c>
      <c r="B403" s="9" t="s">
        <v>912</v>
      </c>
      <c r="C403" s="9" t="s">
        <v>1015</v>
      </c>
      <c r="D403" s="9" t="s">
        <v>1016</v>
      </c>
      <c r="E403" s="9" t="s">
        <v>21</v>
      </c>
      <c r="F403" s="9">
        <v>1000.0</v>
      </c>
      <c r="G403" s="9">
        <v>3200.0</v>
      </c>
      <c r="H403" s="9">
        <v>72.4</v>
      </c>
      <c r="I403" s="10">
        <v>54.15</v>
      </c>
      <c r="J403" s="10">
        <v>33.2833333</v>
      </c>
      <c r="K403" s="11">
        <v>210.548843383789</v>
      </c>
      <c r="L403" s="12" t="s">
        <v>1017</v>
      </c>
    </row>
    <row r="404">
      <c r="A404" s="9" t="s">
        <v>911</v>
      </c>
      <c r="B404" s="9" t="s">
        <v>912</v>
      </c>
      <c r="C404" s="9" t="s">
        <v>1018</v>
      </c>
      <c r="D404" s="9" t="s">
        <v>1016</v>
      </c>
      <c r="E404" s="9" t="s">
        <v>21</v>
      </c>
      <c r="F404" s="9">
        <v>1000.0</v>
      </c>
      <c r="G404" s="9">
        <v>3200.0</v>
      </c>
      <c r="H404" s="9">
        <v>73.7</v>
      </c>
      <c r="I404" s="10">
        <v>54.15</v>
      </c>
      <c r="J404" s="10">
        <v>33.2833333</v>
      </c>
      <c r="K404" s="11">
        <v>210.548843383789</v>
      </c>
      <c r="L404" s="12" t="s">
        <v>1019</v>
      </c>
    </row>
    <row r="405">
      <c r="A405" s="9" t="s">
        <v>911</v>
      </c>
      <c r="B405" s="9" t="s">
        <v>912</v>
      </c>
      <c r="C405" s="9" t="s">
        <v>1020</v>
      </c>
      <c r="D405" s="9" t="s">
        <v>1016</v>
      </c>
      <c r="E405" s="9" t="s">
        <v>21</v>
      </c>
      <c r="F405" s="9">
        <v>1000.0</v>
      </c>
      <c r="G405" s="9">
        <v>3200.0</v>
      </c>
      <c r="H405" s="9">
        <v>79.4</v>
      </c>
      <c r="I405" s="10">
        <v>54.15</v>
      </c>
      <c r="J405" s="10">
        <v>33.2833333</v>
      </c>
      <c r="K405" s="11">
        <v>210.548843383789</v>
      </c>
      <c r="L405" s="12" t="s">
        <v>1021</v>
      </c>
    </row>
    <row r="406">
      <c r="A406" s="9" t="s">
        <v>1022</v>
      </c>
      <c r="B406" s="9" t="s">
        <v>1023</v>
      </c>
      <c r="C406" s="9" t="s">
        <v>1024</v>
      </c>
      <c r="D406" s="9" t="s">
        <v>1025</v>
      </c>
      <c r="E406" s="9" t="s">
        <v>24</v>
      </c>
      <c r="F406" s="9">
        <v>143.0</v>
      </c>
      <c r="G406" s="9">
        <v>560.0</v>
      </c>
      <c r="H406" s="9">
        <v>26.2</v>
      </c>
      <c r="I406" s="10">
        <v>48.4766275</v>
      </c>
      <c r="J406" s="10">
        <v>17.6472496</v>
      </c>
      <c r="K406" s="11">
        <v>211.436416625977</v>
      </c>
      <c r="L406" s="12" t="s">
        <v>1026</v>
      </c>
    </row>
    <row r="407">
      <c r="A407" s="9" t="s">
        <v>1022</v>
      </c>
      <c r="B407" s="9" t="s">
        <v>1023</v>
      </c>
      <c r="C407" s="9" t="s">
        <v>1027</v>
      </c>
      <c r="D407" s="9" t="s">
        <v>1028</v>
      </c>
      <c r="E407" s="9" t="s">
        <v>24</v>
      </c>
      <c r="F407" s="9">
        <v>440.0</v>
      </c>
      <c r="G407" s="9">
        <v>1375.0</v>
      </c>
      <c r="H407" s="9">
        <v>72.0</v>
      </c>
      <c r="I407" s="10">
        <v>48.4766275</v>
      </c>
      <c r="J407" s="10">
        <v>17.6472496</v>
      </c>
      <c r="K407" s="11">
        <v>211.436416625977</v>
      </c>
      <c r="L407" s="12" t="s">
        <v>1029</v>
      </c>
    </row>
    <row r="408">
      <c r="A408" s="9" t="s">
        <v>1022</v>
      </c>
      <c r="B408" s="9" t="s">
        <v>1023</v>
      </c>
      <c r="C408" s="9" t="s">
        <v>1030</v>
      </c>
      <c r="D408" s="9" t="s">
        <v>1028</v>
      </c>
      <c r="E408" s="9" t="s">
        <v>24</v>
      </c>
      <c r="F408" s="9">
        <v>440.0</v>
      </c>
      <c r="G408" s="9">
        <v>1375.0</v>
      </c>
      <c r="H408" s="9">
        <v>74.9</v>
      </c>
      <c r="I408" s="10">
        <v>48.4766275</v>
      </c>
      <c r="J408" s="10">
        <v>17.6472496</v>
      </c>
      <c r="K408" s="11">
        <v>211.436416625977</v>
      </c>
      <c r="L408" s="12" t="s">
        <v>1031</v>
      </c>
    </row>
    <row r="409">
      <c r="A409" s="9" t="s">
        <v>1022</v>
      </c>
      <c r="B409" s="9" t="s">
        <v>1023</v>
      </c>
      <c r="C409" s="9" t="s">
        <v>1032</v>
      </c>
      <c r="D409" s="9" t="s">
        <v>1028</v>
      </c>
      <c r="E409" s="9" t="s">
        <v>21</v>
      </c>
      <c r="F409" s="9">
        <v>505.0</v>
      </c>
      <c r="G409" s="9">
        <v>1471.0</v>
      </c>
      <c r="H409" s="9">
        <v>78.0</v>
      </c>
      <c r="I409" s="10">
        <v>48.4766275</v>
      </c>
      <c r="J409" s="10">
        <v>17.6472496</v>
      </c>
      <c r="K409" s="11">
        <v>211.436416625977</v>
      </c>
      <c r="L409" s="12" t="s">
        <v>1033</v>
      </c>
    </row>
    <row r="410">
      <c r="A410" s="9" t="s">
        <v>1022</v>
      </c>
      <c r="B410" s="9" t="s">
        <v>1023</v>
      </c>
      <c r="C410" s="9" t="s">
        <v>1034</v>
      </c>
      <c r="D410" s="9" t="s">
        <v>1028</v>
      </c>
      <c r="E410" s="9" t="s">
        <v>21</v>
      </c>
      <c r="F410" s="9">
        <v>505.0</v>
      </c>
      <c r="G410" s="9">
        <v>1471.0</v>
      </c>
      <c r="H410" s="9">
        <v>79.3</v>
      </c>
      <c r="I410" s="10">
        <v>48.4766275</v>
      </c>
      <c r="J410" s="10">
        <v>17.6472496</v>
      </c>
      <c r="K410" s="11">
        <v>211.436416625977</v>
      </c>
      <c r="L410" s="12" t="s">
        <v>1035</v>
      </c>
    </row>
    <row r="411">
      <c r="A411" s="9" t="s">
        <v>1022</v>
      </c>
      <c r="B411" s="9" t="s">
        <v>1023</v>
      </c>
      <c r="C411" s="9" t="s">
        <v>1036</v>
      </c>
      <c r="D411" s="9" t="s">
        <v>1037</v>
      </c>
      <c r="E411" s="9" t="s">
        <v>21</v>
      </c>
      <c r="F411" s="9">
        <v>470.0</v>
      </c>
      <c r="G411" s="9">
        <v>1471.0</v>
      </c>
      <c r="H411" s="9">
        <v>83.6</v>
      </c>
      <c r="I411" s="10">
        <v>48.2192923</v>
      </c>
      <c r="J411" s="10">
        <v>18.6011482</v>
      </c>
      <c r="K411" s="11">
        <v>207.819915771484</v>
      </c>
      <c r="L411" s="12" t="s">
        <v>1038</v>
      </c>
    </row>
    <row r="412">
      <c r="A412" s="9" t="s">
        <v>1022</v>
      </c>
      <c r="B412" s="9" t="s">
        <v>1023</v>
      </c>
      <c r="C412" s="9" t="s">
        <v>1039</v>
      </c>
      <c r="D412" s="9" t="s">
        <v>1037</v>
      </c>
      <c r="E412" s="9" t="s">
        <v>21</v>
      </c>
      <c r="F412" s="9">
        <v>470.0</v>
      </c>
      <c r="G412" s="9">
        <v>1471.0</v>
      </c>
      <c r="H412" s="9">
        <v>82.7</v>
      </c>
      <c r="I412" s="10">
        <v>48.2192923</v>
      </c>
      <c r="J412" s="10">
        <v>18.6011482</v>
      </c>
      <c r="K412" s="11">
        <v>207.819915771484</v>
      </c>
      <c r="L412" s="12" t="s">
        <v>1040</v>
      </c>
    </row>
    <row r="413">
      <c r="A413" s="9" t="s">
        <v>1022</v>
      </c>
      <c r="B413" s="9" t="s">
        <v>1023</v>
      </c>
      <c r="C413" s="9" t="s">
        <v>1041</v>
      </c>
      <c r="D413" s="9" t="s">
        <v>1037</v>
      </c>
      <c r="E413" s="9" t="s">
        <v>26</v>
      </c>
      <c r="F413" s="9">
        <v>471.0</v>
      </c>
      <c r="G413" s="9">
        <v>1375.0</v>
      </c>
      <c r="H413" s="9">
        <v>0.0</v>
      </c>
      <c r="I413" s="10">
        <v>48.2192923</v>
      </c>
      <c r="J413" s="10">
        <v>18.6011482</v>
      </c>
      <c r="K413" s="11">
        <v>207.819915771484</v>
      </c>
      <c r="L413" s="12" t="s">
        <v>1042</v>
      </c>
    </row>
    <row r="414">
      <c r="A414" s="9" t="s">
        <v>1022</v>
      </c>
      <c r="B414" s="9" t="s">
        <v>1023</v>
      </c>
      <c r="C414" s="9" t="s">
        <v>1043</v>
      </c>
      <c r="D414" s="9" t="s">
        <v>1037</v>
      </c>
      <c r="E414" s="9" t="s">
        <v>26</v>
      </c>
      <c r="F414" s="9">
        <v>471.0</v>
      </c>
      <c r="G414" s="9">
        <v>1375.0</v>
      </c>
      <c r="H414" s="9">
        <v>0.0</v>
      </c>
      <c r="I414" s="10">
        <v>48.2192923</v>
      </c>
      <c r="J414" s="10">
        <v>18.6011482</v>
      </c>
      <c r="K414" s="11">
        <v>207.819915771484</v>
      </c>
      <c r="L414" s="12" t="s">
        <v>1044</v>
      </c>
    </row>
    <row r="415">
      <c r="A415" s="9" t="s">
        <v>1045</v>
      </c>
      <c r="B415" s="9" t="s">
        <v>1046</v>
      </c>
      <c r="C415" s="9" t="s">
        <v>1047</v>
      </c>
      <c r="D415" s="9" t="s">
        <v>1047</v>
      </c>
      <c r="E415" s="9" t="s">
        <v>21</v>
      </c>
      <c r="F415" s="9">
        <v>727.0</v>
      </c>
      <c r="G415" s="9">
        <v>1994.0</v>
      </c>
      <c r="H415" s="9">
        <v>83.8</v>
      </c>
      <c r="I415" s="10">
        <v>45.9592256</v>
      </c>
      <c r="J415" s="10">
        <v>15.4950212</v>
      </c>
      <c r="K415" s="11">
        <v>320.083374023438</v>
      </c>
      <c r="L415" s="12" t="s">
        <v>1048</v>
      </c>
    </row>
    <row r="416">
      <c r="A416" s="9" t="s">
        <v>1049</v>
      </c>
      <c r="B416" s="9" t="s">
        <v>1050</v>
      </c>
      <c r="C416" s="9" t="s">
        <v>1051</v>
      </c>
      <c r="D416" s="9" t="s">
        <v>1052</v>
      </c>
      <c r="E416" s="9" t="s">
        <v>21</v>
      </c>
      <c r="F416" s="9">
        <v>970.0</v>
      </c>
      <c r="G416" s="9">
        <v>2775.0</v>
      </c>
      <c r="H416" s="9">
        <v>69.8</v>
      </c>
      <c r="I416" s="10">
        <v>-33.6932193</v>
      </c>
      <c r="J416" s="10">
        <v>18.4483763</v>
      </c>
      <c r="K416" s="11">
        <v>47.8358764648438</v>
      </c>
      <c r="L416" s="12" t="s">
        <v>1053</v>
      </c>
    </row>
    <row r="417">
      <c r="A417" s="9" t="s">
        <v>1049</v>
      </c>
      <c r="B417" s="9" t="s">
        <v>1050</v>
      </c>
      <c r="C417" s="9" t="s">
        <v>1054</v>
      </c>
      <c r="D417" s="9" t="s">
        <v>1052</v>
      </c>
      <c r="E417" s="9" t="s">
        <v>21</v>
      </c>
      <c r="F417" s="9">
        <v>970.0</v>
      </c>
      <c r="G417" s="9">
        <v>2775.0</v>
      </c>
      <c r="H417" s="9">
        <v>70.9</v>
      </c>
      <c r="I417" s="10">
        <v>-33.6932193</v>
      </c>
      <c r="J417" s="10">
        <v>18.4483763</v>
      </c>
      <c r="K417" s="11">
        <v>47.8358764648438</v>
      </c>
      <c r="L417" s="12" t="s">
        <v>1055</v>
      </c>
    </row>
    <row r="418">
      <c r="A418" s="9" t="s">
        <v>619</v>
      </c>
      <c r="B418" s="9" t="s">
        <v>620</v>
      </c>
      <c r="C418" s="9" t="s">
        <v>1056</v>
      </c>
      <c r="D418" s="9" t="s">
        <v>671</v>
      </c>
      <c r="E418" s="9" t="s">
        <v>21</v>
      </c>
      <c r="F418" s="9">
        <v>1049.0</v>
      </c>
      <c r="G418" s="9">
        <v>2947.0</v>
      </c>
      <c r="H418" s="9">
        <v>85.6</v>
      </c>
      <c r="I418" s="10">
        <v>39.814327</v>
      </c>
      <c r="J418" s="10">
        <v>-5.6752957</v>
      </c>
      <c r="K418" s="11">
        <v>326.106597900391</v>
      </c>
      <c r="L418" s="12" t="s">
        <v>1057</v>
      </c>
    </row>
    <row r="419">
      <c r="A419" s="9" t="s">
        <v>619</v>
      </c>
      <c r="B419" s="9" t="s">
        <v>620</v>
      </c>
      <c r="C419" s="9" t="s">
        <v>1058</v>
      </c>
      <c r="D419" s="9" t="s">
        <v>671</v>
      </c>
      <c r="E419" s="9" t="s">
        <v>21</v>
      </c>
      <c r="F419" s="9">
        <v>1044.0</v>
      </c>
      <c r="G419" s="9">
        <v>2947.0</v>
      </c>
      <c r="H419" s="9">
        <v>87.1</v>
      </c>
      <c r="I419" s="10">
        <v>39.814327</v>
      </c>
      <c r="J419" s="10">
        <v>-5.6752957</v>
      </c>
      <c r="K419" s="11">
        <v>326.106597900391</v>
      </c>
      <c r="L419" s="12" t="s">
        <v>1059</v>
      </c>
    </row>
    <row r="420">
      <c r="A420" s="9" t="s">
        <v>619</v>
      </c>
      <c r="B420" s="9" t="s">
        <v>620</v>
      </c>
      <c r="C420" s="9" t="s">
        <v>1060</v>
      </c>
      <c r="D420" s="9" t="s">
        <v>682</v>
      </c>
      <c r="E420" s="9" t="s">
        <v>21</v>
      </c>
      <c r="F420" s="9">
        <v>1033.0</v>
      </c>
      <c r="G420" s="9">
        <v>2954.0</v>
      </c>
      <c r="H420" s="9">
        <v>84.0</v>
      </c>
      <c r="I420" s="10">
        <v>41.185523</v>
      </c>
      <c r="J420" s="10">
        <v>0.566627</v>
      </c>
      <c r="K420" s="11">
        <v>104.044807434082</v>
      </c>
      <c r="L420" s="12" t="s">
        <v>1061</v>
      </c>
    </row>
    <row r="421">
      <c r="A421" s="9" t="s">
        <v>619</v>
      </c>
      <c r="B421" s="9" t="s">
        <v>620</v>
      </c>
      <c r="C421" s="9" t="s">
        <v>1062</v>
      </c>
      <c r="D421" s="9" t="s">
        <v>682</v>
      </c>
      <c r="E421" s="9" t="s">
        <v>21</v>
      </c>
      <c r="F421" s="9">
        <v>1035.0</v>
      </c>
      <c r="G421" s="9">
        <v>2941.0</v>
      </c>
      <c r="H421" s="9">
        <v>86.0</v>
      </c>
      <c r="I421" s="10">
        <v>41.185523</v>
      </c>
      <c r="J421" s="10">
        <v>0.566627</v>
      </c>
      <c r="K421" s="11">
        <v>104.044807434082</v>
      </c>
      <c r="L421" s="12" t="s">
        <v>1063</v>
      </c>
    </row>
    <row r="422">
      <c r="A422" s="9" t="s">
        <v>619</v>
      </c>
      <c r="B422" s="9" t="s">
        <v>620</v>
      </c>
      <c r="C422" s="9" t="s">
        <v>629</v>
      </c>
      <c r="D422" s="9" t="s">
        <v>629</v>
      </c>
      <c r="E422" s="9" t="s">
        <v>21</v>
      </c>
      <c r="F422" s="9">
        <v>1102.0</v>
      </c>
      <c r="G422" s="9">
        <v>3237.0</v>
      </c>
      <c r="H422" s="9">
        <v>86.7</v>
      </c>
      <c r="I422" s="10">
        <v>39.229485</v>
      </c>
      <c r="J422" s="10">
        <v>-1.0616065</v>
      </c>
      <c r="K422" s="11">
        <v>393.936553955078</v>
      </c>
      <c r="L422" s="12" t="s">
        <v>1064</v>
      </c>
    </row>
    <row r="423">
      <c r="A423" s="9" t="s">
        <v>619</v>
      </c>
      <c r="B423" s="9" t="s">
        <v>620</v>
      </c>
      <c r="C423" s="9" t="s">
        <v>1065</v>
      </c>
      <c r="D423" s="9" t="s">
        <v>623</v>
      </c>
      <c r="E423" s="9" t="s">
        <v>24</v>
      </c>
      <c r="F423" s="9">
        <v>150.0</v>
      </c>
      <c r="G423" s="9">
        <v>510.0</v>
      </c>
      <c r="H423" s="9">
        <v>69.6</v>
      </c>
      <c r="I423" s="10">
        <v>40.329262</v>
      </c>
      <c r="J423" s="10">
        <v>-2.852409</v>
      </c>
      <c r="K423" s="11">
        <v>742.680480957031</v>
      </c>
      <c r="L423" s="12" t="s">
        <v>1066</v>
      </c>
    </row>
    <row r="424">
      <c r="A424" s="9" t="s">
        <v>619</v>
      </c>
      <c r="B424" s="9" t="s">
        <v>620</v>
      </c>
      <c r="C424" s="9" t="s">
        <v>659</v>
      </c>
      <c r="D424" s="9" t="s">
        <v>659</v>
      </c>
      <c r="E424" s="9" t="s">
        <v>660</v>
      </c>
      <c r="F424" s="9">
        <v>466.0</v>
      </c>
      <c r="G424" s="9">
        <v>1381.0</v>
      </c>
      <c r="H424" s="9">
        <v>77.5</v>
      </c>
      <c r="I424" s="10">
        <v>42.7655556</v>
      </c>
      <c r="J424" s="10">
        <v>-3.2061111</v>
      </c>
      <c r="K424" s="11">
        <v>582.454162597656</v>
      </c>
      <c r="L424" s="12" t="s">
        <v>1067</v>
      </c>
    </row>
    <row r="425">
      <c r="A425" s="9" t="s">
        <v>619</v>
      </c>
      <c r="B425" s="9" t="s">
        <v>620</v>
      </c>
      <c r="C425" s="9" t="s">
        <v>1068</v>
      </c>
      <c r="D425" s="9" t="s">
        <v>639</v>
      </c>
      <c r="E425" s="9" t="s">
        <v>21</v>
      </c>
      <c r="F425" s="9">
        <v>1066.0</v>
      </c>
      <c r="G425" s="9">
        <v>3010.0</v>
      </c>
      <c r="H425" s="9">
        <v>86.2</v>
      </c>
      <c r="I425" s="10">
        <v>40.7007797</v>
      </c>
      <c r="J425" s="10">
        <v>-2.5928841</v>
      </c>
      <c r="K425" s="11">
        <v>828.2783203125</v>
      </c>
      <c r="L425" s="12" t="s">
        <v>1069</v>
      </c>
    </row>
    <row r="426">
      <c r="A426" s="9" t="s">
        <v>619</v>
      </c>
      <c r="B426" s="9" t="s">
        <v>620</v>
      </c>
      <c r="C426" s="9" t="s">
        <v>1070</v>
      </c>
      <c r="D426" s="9" t="s">
        <v>647</v>
      </c>
      <c r="E426" s="9" t="s">
        <v>24</v>
      </c>
      <c r="F426" s="9">
        <v>500.0</v>
      </c>
      <c r="G426" s="9">
        <v>1670.0</v>
      </c>
      <c r="H426" s="9">
        <v>70.4</v>
      </c>
      <c r="I426" s="10">
        <v>40.9908991</v>
      </c>
      <c r="J426" s="10">
        <v>0.9236691</v>
      </c>
      <c r="K426" s="11">
        <v>60.6206665039062</v>
      </c>
      <c r="L426" s="12" t="s">
        <v>1071</v>
      </c>
    </row>
    <row r="427">
      <c r="A427" s="9" t="s">
        <v>619</v>
      </c>
      <c r="B427" s="9" t="s">
        <v>620</v>
      </c>
      <c r="C427" s="9" t="s">
        <v>1072</v>
      </c>
      <c r="D427" s="9" t="s">
        <v>647</v>
      </c>
      <c r="E427" s="9" t="s">
        <v>21</v>
      </c>
      <c r="F427" s="9">
        <v>1087.0</v>
      </c>
      <c r="G427" s="9">
        <v>2941.0</v>
      </c>
      <c r="H427" s="9">
        <v>81.6</v>
      </c>
      <c r="I427" s="10">
        <v>40.9908991</v>
      </c>
      <c r="J427" s="10">
        <v>0.9236691</v>
      </c>
      <c r="K427" s="11">
        <v>60.6206665039062</v>
      </c>
      <c r="L427" s="12" t="s">
        <v>1073</v>
      </c>
    </row>
    <row r="428">
      <c r="A428" s="9" t="s">
        <v>1074</v>
      </c>
      <c r="B428" s="9" t="s">
        <v>1075</v>
      </c>
      <c r="C428" s="9" t="s">
        <v>1076</v>
      </c>
      <c r="D428" s="9" t="s">
        <v>1076</v>
      </c>
      <c r="E428" s="9" t="s">
        <v>24</v>
      </c>
      <c r="F428" s="9">
        <v>12.0</v>
      </c>
      <c r="G428" s="9">
        <v>80.0</v>
      </c>
      <c r="H428" s="9">
        <v>0.0</v>
      </c>
      <c r="I428" s="10">
        <v>60.14533</v>
      </c>
      <c r="J428" s="10">
        <v>16.1738399</v>
      </c>
      <c r="K428" s="11">
        <v>140.961807250977</v>
      </c>
      <c r="L428" s="12" t="s">
        <v>1077</v>
      </c>
    </row>
    <row r="429">
      <c r="A429" s="9" t="s">
        <v>1074</v>
      </c>
      <c r="B429" s="9" t="s">
        <v>1075</v>
      </c>
      <c r="C429" s="9" t="s">
        <v>1078</v>
      </c>
      <c r="D429" s="9" t="s">
        <v>1079</v>
      </c>
      <c r="E429" s="9" t="s">
        <v>24</v>
      </c>
      <c r="F429" s="9">
        <v>615.0</v>
      </c>
      <c r="G429" s="9">
        <v>1800.0</v>
      </c>
      <c r="H429" s="9">
        <v>74.9</v>
      </c>
      <c r="I429" s="10">
        <v>55.771892</v>
      </c>
      <c r="J429" s="10">
        <v>12.957125</v>
      </c>
      <c r="K429" s="11">
        <v>38.019157409668</v>
      </c>
      <c r="L429" s="12" t="s">
        <v>1080</v>
      </c>
    </row>
    <row r="430">
      <c r="A430" s="9" t="s">
        <v>1074</v>
      </c>
      <c r="B430" s="9" t="s">
        <v>1075</v>
      </c>
      <c r="C430" s="9" t="s">
        <v>1081</v>
      </c>
      <c r="D430" s="9" t="s">
        <v>1079</v>
      </c>
      <c r="E430" s="9" t="s">
        <v>24</v>
      </c>
      <c r="F430" s="9">
        <v>615.0</v>
      </c>
      <c r="G430" s="9">
        <v>1800.0</v>
      </c>
      <c r="H430" s="9">
        <v>75.0</v>
      </c>
      <c r="I430" s="10">
        <v>55.771892</v>
      </c>
      <c r="J430" s="10">
        <v>12.957125</v>
      </c>
      <c r="K430" s="11">
        <v>38.019157409668</v>
      </c>
      <c r="L430" s="12" t="s">
        <v>1082</v>
      </c>
    </row>
    <row r="431">
      <c r="A431" s="9" t="s">
        <v>1074</v>
      </c>
      <c r="B431" s="9" t="s">
        <v>1075</v>
      </c>
      <c r="C431" s="9" t="s">
        <v>1083</v>
      </c>
      <c r="D431" s="9" t="s">
        <v>1084</v>
      </c>
      <c r="E431" s="9" t="s">
        <v>21</v>
      </c>
      <c r="F431" s="9">
        <v>1022.0</v>
      </c>
      <c r="G431" s="9">
        <v>2928.0</v>
      </c>
      <c r="H431" s="9">
        <v>81.8</v>
      </c>
      <c r="I431" s="10">
        <v>60.2597115</v>
      </c>
      <c r="J431" s="10">
        <v>18.3666147</v>
      </c>
      <c r="K431" s="11">
        <v>41.9946708679199</v>
      </c>
      <c r="L431" s="12" t="s">
        <v>1085</v>
      </c>
    </row>
    <row r="432">
      <c r="A432" s="9" t="s">
        <v>1074</v>
      </c>
      <c r="B432" s="9" t="s">
        <v>1075</v>
      </c>
      <c r="C432" s="9" t="s">
        <v>1086</v>
      </c>
      <c r="D432" s="9" t="s">
        <v>1084</v>
      </c>
      <c r="E432" s="9" t="s">
        <v>21</v>
      </c>
      <c r="F432" s="9">
        <v>1158.0</v>
      </c>
      <c r="G432" s="9">
        <v>3253.0</v>
      </c>
      <c r="H432" s="9">
        <v>79.8</v>
      </c>
      <c r="I432" s="10">
        <v>60.2597115</v>
      </c>
      <c r="J432" s="10">
        <v>18.3666147</v>
      </c>
      <c r="K432" s="11">
        <v>41.9946708679199</v>
      </c>
      <c r="L432" s="12" t="s">
        <v>1087</v>
      </c>
    </row>
    <row r="433">
      <c r="A433" s="9" t="s">
        <v>1074</v>
      </c>
      <c r="B433" s="9" t="s">
        <v>1075</v>
      </c>
      <c r="C433" s="9" t="s">
        <v>1088</v>
      </c>
      <c r="D433" s="9" t="s">
        <v>1084</v>
      </c>
      <c r="E433" s="9" t="s">
        <v>21</v>
      </c>
      <c r="F433" s="9">
        <v>1212.0</v>
      </c>
      <c r="G433" s="9">
        <v>3300.0</v>
      </c>
      <c r="H433" s="9">
        <v>84.9</v>
      </c>
      <c r="I433" s="10">
        <v>60.2597115</v>
      </c>
      <c r="J433" s="10">
        <v>18.3666147</v>
      </c>
      <c r="K433" s="11">
        <v>41.9946708679199</v>
      </c>
      <c r="L433" s="12" t="s">
        <v>1089</v>
      </c>
    </row>
    <row r="434">
      <c r="A434" s="9" t="s">
        <v>1074</v>
      </c>
      <c r="B434" s="9" t="s">
        <v>1075</v>
      </c>
      <c r="C434" s="9" t="s">
        <v>1090</v>
      </c>
      <c r="D434" s="9" t="s">
        <v>1091</v>
      </c>
      <c r="E434" s="9" t="s">
        <v>21</v>
      </c>
      <c r="F434" s="9">
        <v>492.0</v>
      </c>
      <c r="G434" s="9">
        <v>1375.0</v>
      </c>
      <c r="H434" s="9">
        <v>60.1</v>
      </c>
      <c r="I434" s="10">
        <v>57.2656993</v>
      </c>
      <c r="J434" s="10">
        <v>16.4473984</v>
      </c>
      <c r="K434" s="11">
        <v>47.4445495605469</v>
      </c>
      <c r="L434" s="12" t="s">
        <v>1092</v>
      </c>
    </row>
    <row r="435">
      <c r="A435" s="9" t="s">
        <v>1074</v>
      </c>
      <c r="B435" s="9" t="s">
        <v>1075</v>
      </c>
      <c r="C435" s="9" t="s">
        <v>1093</v>
      </c>
      <c r="D435" s="9" t="s">
        <v>1091</v>
      </c>
      <c r="E435" s="9" t="s">
        <v>21</v>
      </c>
      <c r="F435" s="9">
        <v>661.0</v>
      </c>
      <c r="G435" s="9">
        <v>1800.0</v>
      </c>
      <c r="H435" s="9">
        <v>75.3</v>
      </c>
      <c r="I435" s="10">
        <v>57.2656993</v>
      </c>
      <c r="J435" s="10">
        <v>16.4473984</v>
      </c>
      <c r="K435" s="11">
        <v>47.4445495605469</v>
      </c>
      <c r="L435" s="12" t="s">
        <v>1094</v>
      </c>
    </row>
    <row r="436">
      <c r="A436" s="9" t="s">
        <v>1074</v>
      </c>
      <c r="B436" s="9" t="s">
        <v>1075</v>
      </c>
      <c r="C436" s="9" t="s">
        <v>1095</v>
      </c>
      <c r="D436" s="9" t="s">
        <v>1091</v>
      </c>
      <c r="E436" s="9" t="s">
        <v>21</v>
      </c>
      <c r="F436" s="9">
        <v>1450.0</v>
      </c>
      <c r="G436" s="9">
        <v>3900.0</v>
      </c>
      <c r="H436" s="9">
        <v>77.5</v>
      </c>
      <c r="I436" s="10">
        <v>57.2656993</v>
      </c>
      <c r="J436" s="10">
        <v>16.4473984</v>
      </c>
      <c r="K436" s="11">
        <v>47.4445495605469</v>
      </c>
      <c r="L436" s="12" t="s">
        <v>1096</v>
      </c>
    </row>
    <row r="437">
      <c r="A437" s="9" t="s">
        <v>1074</v>
      </c>
      <c r="B437" s="9" t="s">
        <v>1075</v>
      </c>
      <c r="C437" s="9" t="s">
        <v>1097</v>
      </c>
      <c r="D437" s="9" t="s">
        <v>1098</v>
      </c>
      <c r="E437" s="9" t="s">
        <v>21</v>
      </c>
      <c r="F437" s="9">
        <v>910.0</v>
      </c>
      <c r="G437" s="9">
        <v>2540.0</v>
      </c>
      <c r="H437" s="9">
        <v>67.1</v>
      </c>
      <c r="I437" s="10">
        <v>57.2569988</v>
      </c>
      <c r="J437" s="10">
        <v>12.1178501</v>
      </c>
      <c r="K437" s="11">
        <v>63.3856582641602</v>
      </c>
      <c r="L437" s="12" t="s">
        <v>1099</v>
      </c>
    </row>
    <row r="438">
      <c r="A438" s="9" t="s">
        <v>1074</v>
      </c>
      <c r="B438" s="9" t="s">
        <v>1075</v>
      </c>
      <c r="C438" s="9" t="s">
        <v>1100</v>
      </c>
      <c r="D438" s="9" t="s">
        <v>1098</v>
      </c>
      <c r="E438" s="9" t="s">
        <v>21</v>
      </c>
      <c r="F438" s="9">
        <v>847.0</v>
      </c>
      <c r="G438" s="9">
        <v>2500.0</v>
      </c>
      <c r="H438" s="9">
        <v>66.2</v>
      </c>
      <c r="I438" s="10">
        <v>57.2569988</v>
      </c>
      <c r="J438" s="10">
        <v>12.1178501</v>
      </c>
      <c r="K438" s="11">
        <v>63.3856582641602</v>
      </c>
      <c r="L438" s="12" t="s">
        <v>1101</v>
      </c>
    </row>
    <row r="439">
      <c r="A439" s="9" t="s">
        <v>1074</v>
      </c>
      <c r="B439" s="9" t="s">
        <v>1075</v>
      </c>
      <c r="C439" s="9" t="s">
        <v>1102</v>
      </c>
      <c r="D439" s="9" t="s">
        <v>1098</v>
      </c>
      <c r="E439" s="9" t="s">
        <v>21</v>
      </c>
      <c r="F439" s="9">
        <v>1117.0</v>
      </c>
      <c r="G439" s="9">
        <v>3135.0</v>
      </c>
      <c r="H439" s="9">
        <v>74.1</v>
      </c>
      <c r="I439" s="10">
        <v>57.2569988</v>
      </c>
      <c r="J439" s="10">
        <v>12.1178501</v>
      </c>
      <c r="K439" s="11">
        <v>63.3856582641602</v>
      </c>
      <c r="L439" s="12" t="s">
        <v>1103</v>
      </c>
    </row>
    <row r="440">
      <c r="A440" s="9" t="s">
        <v>1074</v>
      </c>
      <c r="B440" s="9" t="s">
        <v>1075</v>
      </c>
      <c r="C440" s="9" t="s">
        <v>1104</v>
      </c>
      <c r="D440" s="9" t="s">
        <v>1098</v>
      </c>
      <c r="E440" s="9" t="s">
        <v>21</v>
      </c>
      <c r="F440" s="9">
        <v>990.0</v>
      </c>
      <c r="G440" s="9">
        <v>2775.0</v>
      </c>
      <c r="H440" s="9">
        <v>78.4</v>
      </c>
      <c r="I440" s="10">
        <v>57.2569988</v>
      </c>
      <c r="J440" s="10">
        <v>12.1178501</v>
      </c>
      <c r="K440" s="11">
        <v>63.3856582641602</v>
      </c>
      <c r="L440" s="12" t="s">
        <v>1105</v>
      </c>
    </row>
    <row r="441">
      <c r="A441" s="9" t="s">
        <v>298</v>
      </c>
      <c r="B441" s="9" t="s">
        <v>299</v>
      </c>
      <c r="C441" s="9" t="s">
        <v>1106</v>
      </c>
      <c r="D441" s="9" t="s">
        <v>301</v>
      </c>
      <c r="E441" s="9" t="s">
        <v>21</v>
      </c>
      <c r="F441" s="9">
        <v>380.0</v>
      </c>
      <c r="G441" s="9">
        <v>1130.0</v>
      </c>
      <c r="H441" s="9">
        <v>84.4</v>
      </c>
      <c r="I441" s="10">
        <v>47.5540849</v>
      </c>
      <c r="J441" s="10">
        <v>8.2305843</v>
      </c>
      <c r="K441" s="11">
        <v>427.579956054688</v>
      </c>
      <c r="L441" s="12" t="s">
        <v>1107</v>
      </c>
    </row>
    <row r="442">
      <c r="A442" s="9" t="s">
        <v>298</v>
      </c>
      <c r="B442" s="9" t="s">
        <v>299</v>
      </c>
      <c r="C442" s="9" t="s">
        <v>1108</v>
      </c>
      <c r="D442" s="9" t="s">
        <v>301</v>
      </c>
      <c r="E442" s="9" t="s">
        <v>21</v>
      </c>
      <c r="F442" s="9">
        <v>380.0</v>
      </c>
      <c r="G442" s="9">
        <v>1130.0</v>
      </c>
      <c r="H442" s="9">
        <v>87.6</v>
      </c>
      <c r="I442" s="10">
        <v>47.5540849</v>
      </c>
      <c r="J442" s="10">
        <v>8.2305843</v>
      </c>
      <c r="K442" s="11">
        <v>427.579956054688</v>
      </c>
      <c r="L442" s="12" t="s">
        <v>1109</v>
      </c>
    </row>
    <row r="443">
      <c r="A443" s="9" t="s">
        <v>298</v>
      </c>
      <c r="B443" s="9" t="s">
        <v>299</v>
      </c>
      <c r="C443" s="9" t="s">
        <v>1110</v>
      </c>
      <c r="D443" s="9" t="s">
        <v>317</v>
      </c>
      <c r="E443" s="9" t="s">
        <v>21</v>
      </c>
      <c r="F443" s="9">
        <v>1035.0</v>
      </c>
      <c r="G443" s="9">
        <v>3002.0</v>
      </c>
      <c r="H443" s="9">
        <v>88.9</v>
      </c>
      <c r="I443" s="10">
        <v>47.35308</v>
      </c>
      <c r="J443" s="10">
        <v>7.98264</v>
      </c>
      <c r="K443" s="11">
        <v>441.703308105469</v>
      </c>
      <c r="L443" s="12" t="s">
        <v>1111</v>
      </c>
    </row>
    <row r="444">
      <c r="A444" s="9" t="s">
        <v>298</v>
      </c>
      <c r="B444" s="9" t="s">
        <v>299</v>
      </c>
      <c r="C444" s="9" t="s">
        <v>325</v>
      </c>
      <c r="D444" s="9" t="s">
        <v>325</v>
      </c>
      <c r="E444" s="9" t="s">
        <v>21</v>
      </c>
      <c r="F444" s="9">
        <v>1275.0</v>
      </c>
      <c r="G444" s="9">
        <v>3600.0</v>
      </c>
      <c r="H444" s="9">
        <v>85.7</v>
      </c>
      <c r="I444" s="10">
        <v>47.5869</v>
      </c>
      <c r="J444" s="10">
        <v>8.17607</v>
      </c>
      <c r="K444" s="11">
        <v>437.490203857422</v>
      </c>
      <c r="L444" s="12" t="s">
        <v>1112</v>
      </c>
    </row>
    <row r="445">
      <c r="A445" s="9" t="s">
        <v>298</v>
      </c>
      <c r="B445" s="9" t="s">
        <v>299</v>
      </c>
      <c r="C445" s="9" t="s">
        <v>1113</v>
      </c>
      <c r="D445" s="9" t="s">
        <v>1114</v>
      </c>
      <c r="E445" s="9" t="s">
        <v>24</v>
      </c>
      <c r="F445" s="9">
        <v>7.0</v>
      </c>
      <c r="G445" s="9">
        <v>28.0</v>
      </c>
      <c r="H445" s="9">
        <v>0.0</v>
      </c>
      <c r="I445" s="10">
        <v>46.7101</v>
      </c>
      <c r="J445" s="10">
        <v>6.83901</v>
      </c>
      <c r="K445" s="11">
        <v>722.435546875</v>
      </c>
      <c r="L445" s="12" t="s">
        <v>1115</v>
      </c>
    </row>
    <row r="446">
      <c r="A446" s="9" t="s">
        <v>298</v>
      </c>
      <c r="B446" s="9" t="s">
        <v>299</v>
      </c>
      <c r="C446" s="9" t="s">
        <v>307</v>
      </c>
      <c r="D446" s="9" t="s">
        <v>307</v>
      </c>
      <c r="E446" s="9" t="s">
        <v>21</v>
      </c>
      <c r="F446" s="9">
        <v>390.0</v>
      </c>
      <c r="G446" s="9">
        <v>1097.0</v>
      </c>
      <c r="H446" s="9">
        <v>87.1</v>
      </c>
      <c r="I446" s="10">
        <v>46.95468</v>
      </c>
      <c r="J446" s="10">
        <v>7.26199</v>
      </c>
      <c r="K446" s="11">
        <v>623.658752441406</v>
      </c>
      <c r="L446" s="12" t="s">
        <v>1118</v>
      </c>
    </row>
    <row r="447">
      <c r="A447" s="9" t="s">
        <v>1120</v>
      </c>
      <c r="B447" s="9" t="s">
        <v>1121</v>
      </c>
      <c r="C447" s="9" t="s">
        <v>1122</v>
      </c>
      <c r="D447" s="9" t="s">
        <v>1123</v>
      </c>
      <c r="E447" s="9" t="s">
        <v>21</v>
      </c>
      <c r="F447" s="9">
        <v>636.0</v>
      </c>
      <c r="G447" s="9">
        <v>1840.0</v>
      </c>
      <c r="H447" s="9">
        <v>82.6</v>
      </c>
      <c r="I447" s="10">
        <v>25.285833</v>
      </c>
      <c r="J447" s="10">
        <v>121.586111</v>
      </c>
      <c r="K447" s="11">
        <v>0.0</v>
      </c>
      <c r="L447" s="12" t="s">
        <v>1124</v>
      </c>
    </row>
    <row r="448">
      <c r="A448" s="9" t="s">
        <v>1120</v>
      </c>
      <c r="B448" s="9" t="s">
        <v>1121</v>
      </c>
      <c r="C448" s="9" t="s">
        <v>1125</v>
      </c>
      <c r="D448" s="9" t="s">
        <v>1123</v>
      </c>
      <c r="E448" s="9" t="s">
        <v>21</v>
      </c>
      <c r="F448" s="9">
        <v>636.0</v>
      </c>
      <c r="G448" s="9">
        <v>1840.0</v>
      </c>
      <c r="H448" s="9">
        <v>83.5</v>
      </c>
      <c r="I448" s="10">
        <v>25.285833</v>
      </c>
      <c r="J448" s="10">
        <v>121.586111</v>
      </c>
      <c r="K448" s="11">
        <v>0.0</v>
      </c>
      <c r="L448" s="12" t="s">
        <v>1126</v>
      </c>
    </row>
    <row r="449">
      <c r="A449" s="9" t="s">
        <v>1120</v>
      </c>
      <c r="B449" s="9" t="s">
        <v>1121</v>
      </c>
      <c r="C449" s="9" t="s">
        <v>1127</v>
      </c>
      <c r="D449" s="9" t="s">
        <v>1128</v>
      </c>
      <c r="E449" s="9" t="s">
        <v>21</v>
      </c>
      <c r="F449" s="9">
        <v>1020.0</v>
      </c>
      <c r="G449" s="9">
        <v>2943.0</v>
      </c>
      <c r="H449" s="9">
        <v>82.6</v>
      </c>
      <c r="I449" s="10">
        <v>23.1166667</v>
      </c>
      <c r="J449" s="10">
        <v>120.0333333</v>
      </c>
      <c r="K449" s="11">
        <v>16.9118518829346</v>
      </c>
      <c r="L449" s="12" t="s">
        <v>1129</v>
      </c>
    </row>
    <row r="450">
      <c r="A450" s="9" t="s">
        <v>1120</v>
      </c>
      <c r="B450" s="9" t="s">
        <v>1121</v>
      </c>
      <c r="C450" s="9" t="s">
        <v>1130</v>
      </c>
      <c r="D450" s="9" t="s">
        <v>1128</v>
      </c>
      <c r="E450" s="9" t="s">
        <v>21</v>
      </c>
      <c r="F450" s="9">
        <v>1020.0</v>
      </c>
      <c r="G450" s="9">
        <v>2943.0</v>
      </c>
      <c r="H450" s="9">
        <v>82.9</v>
      </c>
      <c r="I450" s="10">
        <v>23.1166667</v>
      </c>
      <c r="J450" s="10">
        <v>120.0333333</v>
      </c>
      <c r="K450" s="11">
        <v>16.9118518829346</v>
      </c>
      <c r="L450" s="12" t="s">
        <v>1131</v>
      </c>
    </row>
    <row r="451">
      <c r="A451" s="9" t="s">
        <v>1120</v>
      </c>
      <c r="B451" s="9" t="s">
        <v>1121</v>
      </c>
      <c r="C451" s="9" t="s">
        <v>1132</v>
      </c>
      <c r="D451" s="9" t="s">
        <v>1133</v>
      </c>
      <c r="E451" s="9" t="s">
        <v>26</v>
      </c>
      <c r="F451" s="9">
        <v>1350.0</v>
      </c>
      <c r="G451" s="9">
        <v>3926.0</v>
      </c>
      <c r="H451" s="9">
        <v>0.0</v>
      </c>
      <c r="I451" s="10">
        <v>25.0166667</v>
      </c>
      <c r="J451" s="10">
        <v>121.9</v>
      </c>
      <c r="K451" s="11">
        <v>170.841110229492</v>
      </c>
      <c r="L451" s="12" t="s">
        <v>1134</v>
      </c>
    </row>
    <row r="452">
      <c r="A452" s="9" t="s">
        <v>1120</v>
      </c>
      <c r="B452" s="9" t="s">
        <v>1121</v>
      </c>
      <c r="C452" s="9" t="s">
        <v>1135</v>
      </c>
      <c r="D452" s="9" t="s">
        <v>1133</v>
      </c>
      <c r="E452" s="9" t="s">
        <v>26</v>
      </c>
      <c r="F452" s="9">
        <v>1350.0</v>
      </c>
      <c r="G452" s="9">
        <v>3926.0</v>
      </c>
      <c r="H452" s="9">
        <v>0.0</v>
      </c>
      <c r="I452" s="10">
        <v>25.0166667</v>
      </c>
      <c r="J452" s="10">
        <v>121.9</v>
      </c>
      <c r="K452" s="11">
        <v>170.841110229492</v>
      </c>
      <c r="L452" s="12" t="s">
        <v>1136</v>
      </c>
    </row>
    <row r="453">
      <c r="A453" s="9" t="s">
        <v>1120</v>
      </c>
      <c r="B453" s="9" t="s">
        <v>1121</v>
      </c>
      <c r="C453" s="9" t="s">
        <v>1137</v>
      </c>
      <c r="D453" s="9" t="s">
        <v>1138</v>
      </c>
      <c r="E453" s="9" t="s">
        <v>21</v>
      </c>
      <c r="F453" s="9">
        <v>951.0</v>
      </c>
      <c r="G453" s="9">
        <v>2822.0</v>
      </c>
      <c r="H453" s="9">
        <v>86.1</v>
      </c>
      <c r="I453" s="10">
        <v>23.6083333</v>
      </c>
      <c r="J453" s="10">
        <v>121.1297222</v>
      </c>
      <c r="K453" s="11">
        <v>2821.09545898438</v>
      </c>
      <c r="L453" s="12" t="s">
        <v>1139</v>
      </c>
    </row>
    <row r="454">
      <c r="A454" s="9" t="s">
        <v>1120</v>
      </c>
      <c r="B454" s="9" t="s">
        <v>1121</v>
      </c>
      <c r="C454" s="9" t="s">
        <v>1140</v>
      </c>
      <c r="D454" s="9" t="s">
        <v>1138</v>
      </c>
      <c r="E454" s="9" t="s">
        <v>21</v>
      </c>
      <c r="F454" s="9">
        <v>951.0</v>
      </c>
      <c r="G454" s="9">
        <v>2822.0</v>
      </c>
      <c r="H454" s="9">
        <v>87.3</v>
      </c>
      <c r="I454" s="10">
        <v>23.6083333</v>
      </c>
      <c r="J454" s="10">
        <v>121.1297222</v>
      </c>
      <c r="K454" s="11">
        <v>2821.09545898438</v>
      </c>
      <c r="L454" s="12" t="s">
        <v>1141</v>
      </c>
    </row>
    <row r="455">
      <c r="A455" s="9" t="s">
        <v>1143</v>
      </c>
      <c r="B455" s="9" t="s">
        <v>1144</v>
      </c>
      <c r="C455" s="9" t="s">
        <v>1145</v>
      </c>
      <c r="D455" s="9" t="s">
        <v>1146</v>
      </c>
      <c r="E455" s="9" t="s">
        <v>24</v>
      </c>
      <c r="F455" s="9">
        <v>800.0</v>
      </c>
      <c r="G455" s="9">
        <v>3200.0</v>
      </c>
      <c r="H455" s="9">
        <v>64.2</v>
      </c>
      <c r="I455" s="10">
        <v>51.4055556</v>
      </c>
      <c r="J455" s="10">
        <v>30.0569444</v>
      </c>
      <c r="K455" s="11">
        <v>137.635055541992</v>
      </c>
      <c r="L455" s="12" t="s">
        <v>1147</v>
      </c>
    </row>
    <row r="456">
      <c r="A456" s="9" t="s">
        <v>1143</v>
      </c>
      <c r="B456" s="9" t="s">
        <v>1144</v>
      </c>
      <c r="C456" s="9" t="s">
        <v>1148</v>
      </c>
      <c r="D456" s="9" t="s">
        <v>1146</v>
      </c>
      <c r="E456" s="9" t="s">
        <v>24</v>
      </c>
      <c r="F456" s="9">
        <v>1000.0</v>
      </c>
      <c r="G456" s="9">
        <v>3200.0</v>
      </c>
      <c r="H456" s="9">
        <v>0.0</v>
      </c>
      <c r="I456" s="10">
        <v>51.4055556</v>
      </c>
      <c r="J456" s="10">
        <v>30.0569444</v>
      </c>
      <c r="K456" s="11">
        <v>137.635055541992</v>
      </c>
      <c r="L456" s="12" t="s">
        <v>1149</v>
      </c>
    </row>
    <row r="457">
      <c r="A457" s="9" t="s">
        <v>1143</v>
      </c>
      <c r="B457" s="9" t="s">
        <v>1144</v>
      </c>
      <c r="C457" s="9" t="s">
        <v>1150</v>
      </c>
      <c r="D457" s="9" t="s">
        <v>1146</v>
      </c>
      <c r="E457" s="9" t="s">
        <v>24</v>
      </c>
      <c r="F457" s="9">
        <v>1000.0</v>
      </c>
      <c r="G457" s="9">
        <v>3200.0</v>
      </c>
      <c r="H457" s="9">
        <v>63.8</v>
      </c>
      <c r="I457" s="10">
        <v>51.4055556</v>
      </c>
      <c r="J457" s="10">
        <v>30.0569444</v>
      </c>
      <c r="K457" s="11">
        <v>137.635055541992</v>
      </c>
      <c r="L457" s="12" t="s">
        <v>1151</v>
      </c>
    </row>
    <row r="458">
      <c r="A458" s="9" t="s">
        <v>1143</v>
      </c>
      <c r="B458" s="9" t="s">
        <v>1144</v>
      </c>
      <c r="C458" s="9" t="s">
        <v>1152</v>
      </c>
      <c r="D458" s="9" t="s">
        <v>1146</v>
      </c>
      <c r="E458" s="9" t="s">
        <v>24</v>
      </c>
      <c r="F458" s="9">
        <v>1000.0</v>
      </c>
      <c r="G458" s="9">
        <v>3200.0</v>
      </c>
      <c r="H458" s="9">
        <v>0.0</v>
      </c>
      <c r="I458" s="10">
        <v>51.4055556</v>
      </c>
      <c r="J458" s="10">
        <v>30.0569444</v>
      </c>
      <c r="K458" s="11">
        <v>137.635055541992</v>
      </c>
      <c r="L458" s="12" t="s">
        <v>1153</v>
      </c>
    </row>
    <row r="459">
      <c r="A459" s="9" t="s">
        <v>1143</v>
      </c>
      <c r="B459" s="9" t="s">
        <v>1144</v>
      </c>
      <c r="C459" s="9" t="s">
        <v>1154</v>
      </c>
      <c r="D459" s="9" t="s">
        <v>1155</v>
      </c>
      <c r="E459" s="9" t="s">
        <v>21</v>
      </c>
      <c r="F459" s="9">
        <v>1000.0</v>
      </c>
      <c r="G459" s="9">
        <v>3000.0</v>
      </c>
      <c r="H459" s="9">
        <v>74.7</v>
      </c>
      <c r="I459" s="10">
        <v>50.3339731</v>
      </c>
      <c r="J459" s="10">
        <v>26.6500844</v>
      </c>
      <c r="K459" s="11">
        <v>237.322036743164</v>
      </c>
      <c r="L459" s="12" t="s">
        <v>1157</v>
      </c>
    </row>
    <row r="460">
      <c r="A460" s="9" t="s">
        <v>1143</v>
      </c>
      <c r="B460" s="9" t="s">
        <v>1144</v>
      </c>
      <c r="C460" s="9" t="s">
        <v>1158</v>
      </c>
      <c r="D460" s="9" t="s">
        <v>1155</v>
      </c>
      <c r="E460" s="9" t="s">
        <v>21</v>
      </c>
      <c r="F460" s="9">
        <v>1000.0</v>
      </c>
      <c r="G460" s="9">
        <v>3000.0</v>
      </c>
      <c r="H460" s="9">
        <v>75.9</v>
      </c>
      <c r="I460" s="10">
        <v>50.3339731</v>
      </c>
      <c r="J460" s="10">
        <v>26.6500844</v>
      </c>
      <c r="K460" s="11">
        <v>237.322036743164</v>
      </c>
      <c r="L460" s="12" t="s">
        <v>1159</v>
      </c>
    </row>
    <row r="461">
      <c r="A461" s="9" t="s">
        <v>1143</v>
      </c>
      <c r="B461" s="9" t="s">
        <v>1144</v>
      </c>
      <c r="C461" s="9" t="s">
        <v>1160</v>
      </c>
      <c r="D461" s="9" t="s">
        <v>1155</v>
      </c>
      <c r="E461" s="9" t="s">
        <v>26</v>
      </c>
      <c r="F461" s="9">
        <v>1000.0</v>
      </c>
      <c r="G461" s="9">
        <v>3200.0</v>
      </c>
      <c r="H461" s="9">
        <v>0.0</v>
      </c>
      <c r="I461" s="10">
        <v>50.3339731</v>
      </c>
      <c r="J461" s="10">
        <v>26.6500844</v>
      </c>
      <c r="K461" s="11">
        <v>237.322036743164</v>
      </c>
      <c r="L461" s="12" t="s">
        <v>1161</v>
      </c>
    </row>
    <row r="462">
      <c r="A462" s="9" t="s">
        <v>1143</v>
      </c>
      <c r="B462" s="9" t="s">
        <v>1144</v>
      </c>
      <c r="C462" s="9" t="s">
        <v>1162</v>
      </c>
      <c r="D462" s="9" t="s">
        <v>1155</v>
      </c>
      <c r="E462" s="9" t="s">
        <v>26</v>
      </c>
      <c r="F462" s="9">
        <v>1000.0</v>
      </c>
      <c r="G462" s="9">
        <v>3200.0</v>
      </c>
      <c r="H462" s="9">
        <v>0.0</v>
      </c>
      <c r="I462" s="10">
        <v>50.3339731</v>
      </c>
      <c r="J462" s="10">
        <v>26.6500844</v>
      </c>
      <c r="K462" s="11">
        <v>237.322036743164</v>
      </c>
      <c r="L462" s="12" t="s">
        <v>1163</v>
      </c>
    </row>
    <row r="463">
      <c r="A463" s="9" t="s">
        <v>1143</v>
      </c>
      <c r="B463" s="9" t="s">
        <v>1144</v>
      </c>
      <c r="C463" s="9" t="s">
        <v>1164</v>
      </c>
      <c r="D463" s="9" t="s">
        <v>1165</v>
      </c>
      <c r="E463" s="9" t="s">
        <v>21</v>
      </c>
      <c r="F463" s="9">
        <v>420.0</v>
      </c>
      <c r="G463" s="9">
        <v>1375.0</v>
      </c>
      <c r="H463" s="9">
        <v>74.9</v>
      </c>
      <c r="I463" s="10">
        <v>51.3436553</v>
      </c>
      <c r="J463" s="10">
        <v>25.8490867</v>
      </c>
      <c r="K463" s="11">
        <v>192.333908081055</v>
      </c>
      <c r="L463" s="12" t="s">
        <v>1167</v>
      </c>
    </row>
    <row r="464">
      <c r="A464" s="9" t="s">
        <v>1143</v>
      </c>
      <c r="B464" s="9" t="s">
        <v>1144</v>
      </c>
      <c r="C464" s="9" t="s">
        <v>1168</v>
      </c>
      <c r="D464" s="9" t="s">
        <v>1165</v>
      </c>
      <c r="E464" s="9" t="s">
        <v>21</v>
      </c>
      <c r="F464" s="9">
        <v>415.0</v>
      </c>
      <c r="G464" s="9">
        <v>1375.0</v>
      </c>
      <c r="H464" s="9">
        <v>77.4</v>
      </c>
      <c r="I464" s="10">
        <v>51.3436553</v>
      </c>
      <c r="J464" s="10">
        <v>25.8490867</v>
      </c>
      <c r="K464" s="11">
        <v>192.333908081055</v>
      </c>
      <c r="L464" s="12" t="s">
        <v>1169</v>
      </c>
    </row>
    <row r="465">
      <c r="A465" s="9" t="s">
        <v>1143</v>
      </c>
      <c r="B465" s="9" t="s">
        <v>1144</v>
      </c>
      <c r="C465" s="9" t="s">
        <v>1170</v>
      </c>
      <c r="D465" s="9" t="s">
        <v>1165</v>
      </c>
      <c r="E465" s="9" t="s">
        <v>21</v>
      </c>
      <c r="F465" s="9">
        <v>1000.0</v>
      </c>
      <c r="G465" s="9">
        <v>3000.0</v>
      </c>
      <c r="H465" s="9">
        <v>67.7</v>
      </c>
      <c r="I465" s="10">
        <v>51.3436553</v>
      </c>
      <c r="J465" s="10">
        <v>25.8490867</v>
      </c>
      <c r="K465" s="11">
        <v>192.333908081055</v>
      </c>
      <c r="L465" s="12" t="s">
        <v>1171</v>
      </c>
    </row>
    <row r="466">
      <c r="A466" s="9" t="s">
        <v>1143</v>
      </c>
      <c r="B466" s="9" t="s">
        <v>1144</v>
      </c>
      <c r="C466" s="9" t="s">
        <v>1172</v>
      </c>
      <c r="D466" s="9" t="s">
        <v>1165</v>
      </c>
      <c r="E466" s="9" t="s">
        <v>21</v>
      </c>
      <c r="F466" s="9">
        <v>1000.0</v>
      </c>
      <c r="G466" s="9">
        <v>3000.0</v>
      </c>
      <c r="H466" s="9">
        <v>64.3</v>
      </c>
      <c r="I466" s="10">
        <v>51.3436553</v>
      </c>
      <c r="J466" s="10">
        <v>25.8490867</v>
      </c>
      <c r="K466" s="11">
        <v>192.333908081055</v>
      </c>
      <c r="L466" s="12" t="s">
        <v>1174</v>
      </c>
    </row>
    <row r="467">
      <c r="A467" s="9" t="s">
        <v>1143</v>
      </c>
      <c r="B467" s="9" t="s">
        <v>1144</v>
      </c>
      <c r="C467" s="9" t="s">
        <v>1175</v>
      </c>
      <c r="D467" s="9" t="s">
        <v>1176</v>
      </c>
      <c r="E467" s="9" t="s">
        <v>21</v>
      </c>
      <c r="F467" s="9">
        <v>1000.0</v>
      </c>
      <c r="G467" s="9">
        <v>3000.0</v>
      </c>
      <c r="H467" s="9">
        <v>65.1</v>
      </c>
      <c r="I467" s="10">
        <v>46.975033</v>
      </c>
      <c r="J467" s="10">
        <v>31.994583</v>
      </c>
      <c r="K467" s="11">
        <v>41.4952850341797</v>
      </c>
      <c r="L467" s="12" t="s">
        <v>1177</v>
      </c>
    </row>
    <row r="468">
      <c r="A468" s="9" t="s">
        <v>1143</v>
      </c>
      <c r="B468" s="9" t="s">
        <v>1144</v>
      </c>
      <c r="C468" s="9" t="s">
        <v>1178</v>
      </c>
      <c r="D468" s="9" t="s">
        <v>1176</v>
      </c>
      <c r="E468" s="9" t="s">
        <v>21</v>
      </c>
      <c r="F468" s="9">
        <v>1000.0</v>
      </c>
      <c r="G468" s="9">
        <v>3000.0</v>
      </c>
      <c r="H468" s="9">
        <v>65.1</v>
      </c>
      <c r="I468" s="10">
        <v>46.975033</v>
      </c>
      <c r="J468" s="10">
        <v>31.994583</v>
      </c>
      <c r="K468" s="11">
        <v>41.4952850341797</v>
      </c>
      <c r="L468" s="12" t="s">
        <v>1179</v>
      </c>
    </row>
    <row r="469">
      <c r="A469" s="9" t="s">
        <v>1143</v>
      </c>
      <c r="B469" s="9" t="s">
        <v>1144</v>
      </c>
      <c r="C469" s="9" t="s">
        <v>1180</v>
      </c>
      <c r="D469" s="9" t="s">
        <v>1176</v>
      </c>
      <c r="E469" s="9" t="s">
        <v>21</v>
      </c>
      <c r="F469" s="9">
        <v>1000.0</v>
      </c>
      <c r="G469" s="9">
        <v>3000.0</v>
      </c>
      <c r="H469" s="9">
        <v>67.5</v>
      </c>
      <c r="I469" s="10">
        <v>46.975033</v>
      </c>
      <c r="J469" s="10">
        <v>31.994583</v>
      </c>
      <c r="K469" s="11">
        <v>41.4952850341797</v>
      </c>
      <c r="L469" s="12" t="s">
        <v>1181</v>
      </c>
    </row>
    <row r="470">
      <c r="A470" s="9" t="s">
        <v>1143</v>
      </c>
      <c r="B470" s="9" t="s">
        <v>1144</v>
      </c>
      <c r="C470" s="9" t="s">
        <v>1182</v>
      </c>
      <c r="D470" s="9" t="s">
        <v>1183</v>
      </c>
      <c r="E470" s="9" t="s">
        <v>21</v>
      </c>
      <c r="F470" s="9">
        <v>1000.0</v>
      </c>
      <c r="G470" s="9">
        <v>3000.0</v>
      </c>
      <c r="H470" s="9">
        <v>64.9</v>
      </c>
      <c r="I470" s="10">
        <v>47.498634</v>
      </c>
      <c r="J470" s="10">
        <v>34.644732</v>
      </c>
      <c r="K470" s="11">
        <v>46.2720642089844</v>
      </c>
      <c r="L470" s="12" t="s">
        <v>1184</v>
      </c>
    </row>
    <row r="471">
      <c r="A471" s="9" t="s">
        <v>1143</v>
      </c>
      <c r="B471" s="9" t="s">
        <v>1144</v>
      </c>
      <c r="C471" s="9" t="s">
        <v>1186</v>
      </c>
      <c r="D471" s="9" t="s">
        <v>1183</v>
      </c>
      <c r="E471" s="9" t="s">
        <v>21</v>
      </c>
      <c r="F471" s="9">
        <v>1000.0</v>
      </c>
      <c r="G471" s="9">
        <v>3000.0</v>
      </c>
      <c r="H471" s="9">
        <v>67.7</v>
      </c>
      <c r="I471" s="10">
        <v>47.498634</v>
      </c>
      <c r="J471" s="10">
        <v>34.644732</v>
      </c>
      <c r="K471" s="11">
        <v>46.2720642089844</v>
      </c>
      <c r="L471" s="12" t="s">
        <v>1187</v>
      </c>
    </row>
    <row r="472">
      <c r="A472" s="9" t="s">
        <v>1143</v>
      </c>
      <c r="B472" s="9" t="s">
        <v>1144</v>
      </c>
      <c r="C472" s="9" t="s">
        <v>1188</v>
      </c>
      <c r="D472" s="9" t="s">
        <v>1183</v>
      </c>
      <c r="E472" s="9" t="s">
        <v>21</v>
      </c>
      <c r="F472" s="9">
        <v>1000.0</v>
      </c>
      <c r="G472" s="9">
        <v>3000.0</v>
      </c>
      <c r="H472" s="9">
        <v>69.7</v>
      </c>
      <c r="I472" s="10">
        <v>47.498634</v>
      </c>
      <c r="J472" s="10">
        <v>34.644732</v>
      </c>
      <c r="K472" s="11">
        <v>46.2720642089844</v>
      </c>
      <c r="L472" s="12" t="s">
        <v>1189</v>
      </c>
    </row>
    <row r="473">
      <c r="A473" s="9" t="s">
        <v>1143</v>
      </c>
      <c r="B473" s="9" t="s">
        <v>1144</v>
      </c>
      <c r="C473" s="9" t="s">
        <v>1190</v>
      </c>
      <c r="D473" s="9" t="s">
        <v>1183</v>
      </c>
      <c r="E473" s="9" t="s">
        <v>21</v>
      </c>
      <c r="F473" s="9">
        <v>1000.0</v>
      </c>
      <c r="G473" s="9">
        <v>3000.0</v>
      </c>
      <c r="H473" s="9">
        <v>73.1</v>
      </c>
      <c r="I473" s="10">
        <v>47.498634</v>
      </c>
      <c r="J473" s="10">
        <v>34.644732</v>
      </c>
      <c r="K473" s="11">
        <v>46.2720642089844</v>
      </c>
      <c r="L473" s="12" t="s">
        <v>1192</v>
      </c>
    </row>
    <row r="474">
      <c r="A474" s="9" t="s">
        <v>1143</v>
      </c>
      <c r="B474" s="9" t="s">
        <v>1144</v>
      </c>
      <c r="C474" s="9" t="s">
        <v>1193</v>
      </c>
      <c r="D474" s="9" t="s">
        <v>1183</v>
      </c>
      <c r="E474" s="9" t="s">
        <v>21</v>
      </c>
      <c r="F474" s="9">
        <v>1000.0</v>
      </c>
      <c r="G474" s="9">
        <v>3000.0</v>
      </c>
      <c r="H474" s="9">
        <v>74.7</v>
      </c>
      <c r="I474" s="10">
        <v>47.498634</v>
      </c>
      <c r="J474" s="10">
        <v>34.644732</v>
      </c>
      <c r="K474" s="11">
        <v>46.2720642089844</v>
      </c>
      <c r="L474" s="12" t="s">
        <v>1194</v>
      </c>
    </row>
    <row r="475">
      <c r="A475" s="9" t="s">
        <v>1143</v>
      </c>
      <c r="B475" s="9" t="s">
        <v>1144</v>
      </c>
      <c r="C475" s="9" t="s">
        <v>1195</v>
      </c>
      <c r="D475" s="9" t="s">
        <v>1183</v>
      </c>
      <c r="E475" s="9" t="s">
        <v>21</v>
      </c>
      <c r="F475" s="9">
        <v>1000.0</v>
      </c>
      <c r="G475" s="9">
        <v>3000.0</v>
      </c>
      <c r="H475" s="9">
        <v>78.4</v>
      </c>
      <c r="I475" s="10">
        <v>47.498634</v>
      </c>
      <c r="J475" s="10">
        <v>34.644732</v>
      </c>
      <c r="K475" s="11">
        <v>46.2720642089844</v>
      </c>
      <c r="L475" s="12" t="s">
        <v>1197</v>
      </c>
    </row>
    <row r="476">
      <c r="A476" s="9" t="s">
        <v>1198</v>
      </c>
      <c r="B476" s="9" t="s">
        <v>1199</v>
      </c>
      <c r="C476" s="9" t="s">
        <v>1200</v>
      </c>
      <c r="D476" s="9" t="s">
        <v>1201</v>
      </c>
      <c r="E476" s="9" t="s">
        <v>26</v>
      </c>
      <c r="F476" s="9">
        <v>1400.0</v>
      </c>
      <c r="G476" s="9">
        <v>3983.0</v>
      </c>
      <c r="H476" s="9">
        <v>0.0</v>
      </c>
      <c r="I476" s="10">
        <v>24.1166667</v>
      </c>
      <c r="J476" s="10">
        <v>52.7333333</v>
      </c>
      <c r="K476" s="11">
        <v>-23.9190845489502</v>
      </c>
      <c r="L476" s="12" t="s">
        <v>1202</v>
      </c>
    </row>
    <row r="477">
      <c r="A477" s="9" t="s">
        <v>1198</v>
      </c>
      <c r="B477" s="9" t="s">
        <v>1199</v>
      </c>
      <c r="C477" s="9" t="s">
        <v>1203</v>
      </c>
      <c r="D477" s="9" t="s">
        <v>1201</v>
      </c>
      <c r="E477" s="9" t="s">
        <v>26</v>
      </c>
      <c r="F477" s="9">
        <v>1400.0</v>
      </c>
      <c r="G477" s="9">
        <v>3983.0</v>
      </c>
      <c r="H477" s="9">
        <v>0.0</v>
      </c>
      <c r="I477" s="10">
        <v>24.1166667</v>
      </c>
      <c r="J477" s="10">
        <v>52.7333333</v>
      </c>
      <c r="K477" s="11">
        <v>-23.9190845489502</v>
      </c>
      <c r="L477" s="12" t="s">
        <v>1204</v>
      </c>
    </row>
    <row r="478">
      <c r="A478" s="9" t="s">
        <v>1116</v>
      </c>
      <c r="B478" s="9" t="s">
        <v>1117</v>
      </c>
      <c r="C478" s="9" t="s">
        <v>1205</v>
      </c>
      <c r="D478" s="9" t="s">
        <v>1206</v>
      </c>
      <c r="E478" s="9" t="s">
        <v>24</v>
      </c>
      <c r="F478" s="9">
        <v>166.0</v>
      </c>
      <c r="G478" s="9">
        <v>620.0</v>
      </c>
      <c r="H478" s="9">
        <v>58.2</v>
      </c>
      <c r="I478" s="10">
        <v>52.5959563</v>
      </c>
      <c r="J478" s="10">
        <v>-3.3187486</v>
      </c>
      <c r="K478" s="11">
        <v>246.16438293457</v>
      </c>
      <c r="L478" s="12" t="s">
        <v>1207</v>
      </c>
    </row>
    <row r="479">
      <c r="A479" s="9" t="s">
        <v>1116</v>
      </c>
      <c r="B479" s="9" t="s">
        <v>1117</v>
      </c>
      <c r="C479" s="9" t="s">
        <v>1208</v>
      </c>
      <c r="D479" s="9" t="s">
        <v>1206</v>
      </c>
      <c r="E479" s="9" t="s">
        <v>24</v>
      </c>
      <c r="F479" s="9">
        <v>166.0</v>
      </c>
      <c r="G479" s="9">
        <v>620.0</v>
      </c>
      <c r="H479" s="9">
        <v>58.0</v>
      </c>
      <c r="I479" s="10">
        <v>52.5959563</v>
      </c>
      <c r="J479" s="10">
        <v>-3.3187486</v>
      </c>
      <c r="K479" s="11">
        <v>246.16438293457</v>
      </c>
      <c r="L479" s="12" t="s">
        <v>1209</v>
      </c>
    </row>
    <row r="480">
      <c r="A480" s="9" t="s">
        <v>1116</v>
      </c>
      <c r="B480" s="9" t="s">
        <v>1117</v>
      </c>
      <c r="C480" s="9" t="s">
        <v>1211</v>
      </c>
      <c r="D480" s="9" t="s">
        <v>1212</v>
      </c>
      <c r="E480" s="9" t="s">
        <v>24</v>
      </c>
      <c r="F480" s="9">
        <v>146.0</v>
      </c>
      <c r="G480" s="9">
        <v>481.0</v>
      </c>
      <c r="H480" s="9">
        <v>65.5</v>
      </c>
      <c r="I480" s="10">
        <v>51.7599544</v>
      </c>
      <c r="J480" s="10">
        <v>0.8405669</v>
      </c>
      <c r="K480" s="11">
        <v>49.1914443969727</v>
      </c>
      <c r="L480" s="12" t="s">
        <v>1213</v>
      </c>
    </row>
    <row r="481">
      <c r="A481" s="9" t="s">
        <v>1116</v>
      </c>
      <c r="B481" s="9" t="s">
        <v>1117</v>
      </c>
      <c r="C481" s="9" t="s">
        <v>1214</v>
      </c>
      <c r="D481" s="9" t="s">
        <v>1212</v>
      </c>
      <c r="E481" s="9" t="s">
        <v>24</v>
      </c>
      <c r="F481" s="9">
        <v>146.0</v>
      </c>
      <c r="G481" s="9">
        <v>481.0</v>
      </c>
      <c r="H481" s="9">
        <v>65.5</v>
      </c>
      <c r="I481" s="10">
        <v>51.7599544</v>
      </c>
      <c r="J481" s="10">
        <v>0.8405669</v>
      </c>
      <c r="K481" s="11">
        <v>49.1914443969727</v>
      </c>
      <c r="L481" s="12" t="s">
        <v>1215</v>
      </c>
    </row>
    <row r="482">
      <c r="A482" s="9" t="s">
        <v>1116</v>
      </c>
      <c r="B482" s="9" t="s">
        <v>1117</v>
      </c>
      <c r="C482" s="9" t="s">
        <v>1216</v>
      </c>
      <c r="D482" s="9" t="s">
        <v>1119</v>
      </c>
      <c r="E482" s="9" t="s">
        <v>24</v>
      </c>
      <c r="F482" s="9">
        <v>60.0</v>
      </c>
      <c r="G482" s="9">
        <v>268.0</v>
      </c>
      <c r="H482" s="9">
        <v>76.9</v>
      </c>
      <c r="I482" s="10">
        <v>54.396774</v>
      </c>
      <c r="J482" s="10">
        <v>-3.481608</v>
      </c>
      <c r="K482" s="11">
        <v>75.3341674804688</v>
      </c>
      <c r="L482" s="12" t="s">
        <v>1217</v>
      </c>
    </row>
    <row r="483">
      <c r="A483" s="9" t="s">
        <v>1116</v>
      </c>
      <c r="B483" s="9" t="s">
        <v>1117</v>
      </c>
      <c r="C483" s="9" t="s">
        <v>1218</v>
      </c>
      <c r="D483" s="9" t="s">
        <v>1119</v>
      </c>
      <c r="E483" s="9" t="s">
        <v>24</v>
      </c>
      <c r="F483" s="9">
        <v>60.0</v>
      </c>
      <c r="G483" s="9">
        <v>268.0</v>
      </c>
      <c r="H483" s="9">
        <v>76.9</v>
      </c>
      <c r="I483" s="10">
        <v>54.396774</v>
      </c>
      <c r="J483" s="10">
        <v>-3.481608</v>
      </c>
      <c r="K483" s="11">
        <v>75.3341674804688</v>
      </c>
      <c r="L483" s="12" t="s">
        <v>1219</v>
      </c>
    </row>
    <row r="484">
      <c r="A484" s="9" t="s">
        <v>1116</v>
      </c>
      <c r="B484" s="9" t="s">
        <v>1117</v>
      </c>
      <c r="C484" s="9" t="s">
        <v>1220</v>
      </c>
      <c r="D484" s="9" t="s">
        <v>1119</v>
      </c>
      <c r="E484" s="9" t="s">
        <v>24</v>
      </c>
      <c r="F484" s="9">
        <v>60.0</v>
      </c>
      <c r="G484" s="9">
        <v>268.0</v>
      </c>
      <c r="H484" s="9">
        <v>76.9</v>
      </c>
      <c r="I484" s="10">
        <v>54.396774</v>
      </c>
      <c r="J484" s="10">
        <v>-3.481608</v>
      </c>
      <c r="K484" s="11">
        <v>75.3341674804688</v>
      </c>
      <c r="L484" s="12" t="s">
        <v>1222</v>
      </c>
    </row>
    <row r="485">
      <c r="A485" s="9" t="s">
        <v>1116</v>
      </c>
      <c r="B485" s="9" t="s">
        <v>1117</v>
      </c>
      <c r="C485" s="9" t="s">
        <v>1223</v>
      </c>
      <c r="D485" s="9" t="s">
        <v>1119</v>
      </c>
      <c r="E485" s="9" t="s">
        <v>24</v>
      </c>
      <c r="F485" s="9">
        <v>60.0</v>
      </c>
      <c r="G485" s="9">
        <v>268.0</v>
      </c>
      <c r="H485" s="9">
        <v>76.9</v>
      </c>
      <c r="I485" s="10">
        <v>54.396774</v>
      </c>
      <c r="J485" s="10">
        <v>-3.481608</v>
      </c>
      <c r="K485" s="11">
        <v>75.3341674804688</v>
      </c>
      <c r="L485" s="12" t="s">
        <v>1224</v>
      </c>
    </row>
    <row r="486">
      <c r="A486" s="9" t="s">
        <v>1116</v>
      </c>
      <c r="B486" s="9" t="s">
        <v>1117</v>
      </c>
      <c r="C486" s="9" t="s">
        <v>1225</v>
      </c>
      <c r="D486" s="9" t="s">
        <v>1226</v>
      </c>
      <c r="E486" s="9" t="s">
        <v>24</v>
      </c>
      <c r="F486" s="9">
        <v>60.0</v>
      </c>
      <c r="G486" s="9">
        <v>260.0</v>
      </c>
      <c r="H486" s="9">
        <v>85.5</v>
      </c>
      <c r="I486" s="10">
        <v>54.990246</v>
      </c>
      <c r="J486" s="10">
        <v>-3.259773</v>
      </c>
      <c r="K486" s="11">
        <v>75.2118148803711</v>
      </c>
      <c r="L486" s="12" t="s">
        <v>1227</v>
      </c>
    </row>
    <row r="487">
      <c r="A487" s="9" t="s">
        <v>1116</v>
      </c>
      <c r="B487" s="9" t="s">
        <v>1117</v>
      </c>
      <c r="C487" s="9" t="s">
        <v>1228</v>
      </c>
      <c r="D487" s="9" t="s">
        <v>1226</v>
      </c>
      <c r="E487" s="9" t="s">
        <v>24</v>
      </c>
      <c r="F487" s="9">
        <v>60.0</v>
      </c>
      <c r="G487" s="9">
        <v>260.0</v>
      </c>
      <c r="H487" s="9">
        <v>85.5</v>
      </c>
      <c r="I487" s="10">
        <v>54.990246</v>
      </c>
      <c r="J487" s="10">
        <v>-3.259773</v>
      </c>
      <c r="K487" s="11">
        <v>75.2118148803711</v>
      </c>
      <c r="L487" s="12" t="s">
        <v>1229</v>
      </c>
    </row>
    <row r="488">
      <c r="A488" s="9" t="s">
        <v>1116</v>
      </c>
      <c r="B488" s="9" t="s">
        <v>1117</v>
      </c>
      <c r="C488" s="9" t="s">
        <v>1230</v>
      </c>
      <c r="D488" s="9" t="s">
        <v>1226</v>
      </c>
      <c r="E488" s="9" t="s">
        <v>24</v>
      </c>
      <c r="F488" s="9">
        <v>60.0</v>
      </c>
      <c r="G488" s="9">
        <v>260.0</v>
      </c>
      <c r="H488" s="9">
        <v>85.5</v>
      </c>
      <c r="I488" s="10">
        <v>54.990246</v>
      </c>
      <c r="J488" s="10">
        <v>-3.259773</v>
      </c>
      <c r="K488" s="11">
        <v>75.2118148803711</v>
      </c>
      <c r="L488" s="12" t="s">
        <v>1231</v>
      </c>
    </row>
    <row r="489">
      <c r="A489" s="9" t="s">
        <v>1116</v>
      </c>
      <c r="B489" s="9" t="s">
        <v>1117</v>
      </c>
      <c r="C489" s="9" t="s">
        <v>1232</v>
      </c>
      <c r="D489" s="9" t="s">
        <v>1226</v>
      </c>
      <c r="E489" s="9" t="s">
        <v>24</v>
      </c>
      <c r="F489" s="9">
        <v>60.0</v>
      </c>
      <c r="G489" s="9">
        <v>260.0</v>
      </c>
      <c r="H489" s="9">
        <v>85.5</v>
      </c>
      <c r="I489" s="10">
        <v>54.990246</v>
      </c>
      <c r="J489" s="10">
        <v>-3.259773</v>
      </c>
      <c r="K489" s="11">
        <v>75.2118148803711</v>
      </c>
      <c r="L489" s="12" t="s">
        <v>1234</v>
      </c>
    </row>
    <row r="490">
      <c r="A490" s="9" t="s">
        <v>1116</v>
      </c>
      <c r="B490" s="9" t="s">
        <v>1117</v>
      </c>
      <c r="C490" s="9" t="s">
        <v>1235</v>
      </c>
      <c r="D490" s="9" t="s">
        <v>1185</v>
      </c>
      <c r="E490" s="9" t="s">
        <v>24</v>
      </c>
      <c r="F490" s="9">
        <v>15.0</v>
      </c>
      <c r="G490" s="9">
        <v>60.0</v>
      </c>
      <c r="H490" s="9">
        <v>0.0</v>
      </c>
      <c r="I490" s="10">
        <v>58.5829316</v>
      </c>
      <c r="J490" s="10">
        <v>-3.7187165</v>
      </c>
      <c r="K490" s="11">
        <v>79.786994934082</v>
      </c>
      <c r="L490" s="12" t="s">
        <v>1236</v>
      </c>
    </row>
    <row r="491">
      <c r="A491" s="9" t="s">
        <v>1116</v>
      </c>
      <c r="B491" s="9" t="s">
        <v>1117</v>
      </c>
      <c r="C491" s="9" t="s">
        <v>1237</v>
      </c>
      <c r="D491" s="9" t="s">
        <v>1191</v>
      </c>
      <c r="E491" s="9" t="s">
        <v>24</v>
      </c>
      <c r="F491" s="9">
        <v>250.0</v>
      </c>
      <c r="G491" s="9">
        <v>600.0</v>
      </c>
      <c r="H491" s="9">
        <v>26.9</v>
      </c>
      <c r="I491" s="10">
        <v>58.578623</v>
      </c>
      <c r="J491" s="10">
        <v>-3.747688</v>
      </c>
      <c r="K491" s="11">
        <v>64.8225936889648</v>
      </c>
      <c r="L491" s="12" t="s">
        <v>1238</v>
      </c>
    </row>
    <row r="492">
      <c r="A492" s="9" t="s">
        <v>1116</v>
      </c>
      <c r="B492" s="9" t="s">
        <v>1117</v>
      </c>
      <c r="C492" s="9" t="s">
        <v>1239</v>
      </c>
      <c r="D492" s="9" t="s">
        <v>1240</v>
      </c>
      <c r="E492" s="9" t="s">
        <v>24</v>
      </c>
      <c r="F492" s="9">
        <v>230.0</v>
      </c>
      <c r="G492" s="9">
        <v>840.0</v>
      </c>
      <c r="H492" s="9">
        <v>74.0</v>
      </c>
      <c r="I492" s="10">
        <v>51.001938</v>
      </c>
      <c r="J492" s="10">
        <v>0.91883</v>
      </c>
      <c r="K492" s="11">
        <v>46.6321487426758</v>
      </c>
      <c r="L492" s="12" t="s">
        <v>1241</v>
      </c>
    </row>
    <row r="493">
      <c r="A493" s="9" t="s">
        <v>1116</v>
      </c>
      <c r="B493" s="9" t="s">
        <v>1117</v>
      </c>
      <c r="C493" s="9" t="s">
        <v>1242</v>
      </c>
      <c r="D493" s="9" t="s">
        <v>1240</v>
      </c>
      <c r="E493" s="9" t="s">
        <v>24</v>
      </c>
      <c r="F493" s="9">
        <v>230.0</v>
      </c>
      <c r="G493" s="9">
        <v>840.0</v>
      </c>
      <c r="H493" s="9">
        <v>74.9</v>
      </c>
      <c r="I493" s="10">
        <v>51.001938</v>
      </c>
      <c r="J493" s="10">
        <v>0.91883</v>
      </c>
      <c r="K493" s="11">
        <v>46.6321487426758</v>
      </c>
      <c r="L493" s="12" t="s">
        <v>1243</v>
      </c>
    </row>
    <row r="494">
      <c r="A494" s="9" t="s">
        <v>1116</v>
      </c>
      <c r="B494" s="9" t="s">
        <v>1117</v>
      </c>
      <c r="C494" s="9" t="s">
        <v>1244</v>
      </c>
      <c r="D494" s="9" t="s">
        <v>1221</v>
      </c>
      <c r="E494" s="9" t="s">
        <v>21</v>
      </c>
      <c r="F494" s="9">
        <v>615.0</v>
      </c>
      <c r="G494" s="9">
        <v>1500.0</v>
      </c>
      <c r="H494" s="9">
        <v>42.1</v>
      </c>
      <c r="I494" s="10">
        <v>51.001938</v>
      </c>
      <c r="J494" s="10">
        <v>0.91883</v>
      </c>
      <c r="K494" s="11">
        <v>46.6321487426758</v>
      </c>
      <c r="L494" s="12" t="s">
        <v>1245</v>
      </c>
    </row>
    <row r="495">
      <c r="A495" s="9" t="s">
        <v>1116</v>
      </c>
      <c r="B495" s="9" t="s">
        <v>1117</v>
      </c>
      <c r="C495" s="9" t="s">
        <v>1246</v>
      </c>
      <c r="D495" s="9" t="s">
        <v>1221</v>
      </c>
      <c r="E495" s="9" t="s">
        <v>21</v>
      </c>
      <c r="F495" s="9">
        <v>615.0</v>
      </c>
      <c r="G495" s="9">
        <v>1500.0</v>
      </c>
      <c r="H495" s="9">
        <v>48.9</v>
      </c>
      <c r="I495" s="10">
        <v>51.001938</v>
      </c>
      <c r="J495" s="10">
        <v>0.91883</v>
      </c>
      <c r="K495" s="11">
        <v>46.6321487426758</v>
      </c>
      <c r="L495" s="12" t="s">
        <v>1247</v>
      </c>
    </row>
    <row r="496">
      <c r="A496" s="9" t="s">
        <v>1116</v>
      </c>
      <c r="B496" s="9" t="s">
        <v>1117</v>
      </c>
      <c r="C496" s="9" t="s">
        <v>1248</v>
      </c>
      <c r="D496" s="9" t="s">
        <v>1233</v>
      </c>
      <c r="E496" s="9" t="s">
        <v>21</v>
      </c>
      <c r="F496" s="9">
        <v>655.0</v>
      </c>
      <c r="G496" s="9">
        <v>1500.0</v>
      </c>
      <c r="H496" s="9">
        <v>67.9</v>
      </c>
      <c r="I496" s="10">
        <v>54.691745</v>
      </c>
      <c r="J496" s="10">
        <v>-1.212926</v>
      </c>
      <c r="K496" s="11">
        <v>58.0335350036621</v>
      </c>
      <c r="L496" s="12" t="s">
        <v>1249</v>
      </c>
    </row>
    <row r="497">
      <c r="A497" s="9" t="s">
        <v>1116</v>
      </c>
      <c r="B497" s="9" t="s">
        <v>1117</v>
      </c>
      <c r="C497" s="9" t="s">
        <v>1250</v>
      </c>
      <c r="D497" s="9" t="s">
        <v>1233</v>
      </c>
      <c r="E497" s="9" t="s">
        <v>21</v>
      </c>
      <c r="F497" s="9">
        <v>655.0</v>
      </c>
      <c r="G497" s="9">
        <v>1500.0</v>
      </c>
      <c r="H497" s="9">
        <v>70.1</v>
      </c>
      <c r="I497" s="10">
        <v>54.691745</v>
      </c>
      <c r="J497" s="10">
        <v>-1.212926</v>
      </c>
      <c r="K497" s="11">
        <v>58.0335350036621</v>
      </c>
      <c r="L497" s="12" t="s">
        <v>1251</v>
      </c>
    </row>
    <row r="498">
      <c r="A498" s="9" t="s">
        <v>1116</v>
      </c>
      <c r="B498" s="9" t="s">
        <v>1117</v>
      </c>
      <c r="C498" s="9" t="s">
        <v>1252</v>
      </c>
      <c r="D498" s="9" t="s">
        <v>1253</v>
      </c>
      <c r="E498" s="9" t="s">
        <v>21</v>
      </c>
      <c r="F498" s="9">
        <v>625.0</v>
      </c>
      <c r="G498" s="9">
        <v>1500.0</v>
      </c>
      <c r="H498" s="9">
        <v>69.3</v>
      </c>
      <c r="I498" s="10">
        <v>54.04199</v>
      </c>
      <c r="J498" s="10">
        <v>-2.894475</v>
      </c>
      <c r="K498" s="11">
        <v>57.5850715637207</v>
      </c>
      <c r="L498" s="12" t="s">
        <v>1254</v>
      </c>
    </row>
    <row r="499">
      <c r="A499" s="9" t="s">
        <v>1116</v>
      </c>
      <c r="B499" s="9" t="s">
        <v>1117</v>
      </c>
      <c r="C499" s="9" t="s">
        <v>1255</v>
      </c>
      <c r="D499" s="9" t="s">
        <v>1253</v>
      </c>
      <c r="E499" s="9" t="s">
        <v>21</v>
      </c>
      <c r="F499" s="9">
        <v>625.0</v>
      </c>
      <c r="G499" s="9">
        <v>1500.0</v>
      </c>
      <c r="H499" s="9">
        <v>67.0</v>
      </c>
      <c r="I499" s="10">
        <v>54.04199</v>
      </c>
      <c r="J499" s="10">
        <v>-2.894475</v>
      </c>
      <c r="K499" s="11">
        <v>57.5850715637207</v>
      </c>
      <c r="L499" s="12" t="s">
        <v>1256</v>
      </c>
    </row>
    <row r="500">
      <c r="A500" s="9" t="s">
        <v>1116</v>
      </c>
      <c r="B500" s="9" t="s">
        <v>1117</v>
      </c>
      <c r="C500" s="9" t="s">
        <v>1257</v>
      </c>
      <c r="D500" s="9" t="s">
        <v>1253</v>
      </c>
      <c r="E500" s="9" t="s">
        <v>21</v>
      </c>
      <c r="F500" s="9">
        <v>680.0</v>
      </c>
      <c r="G500" s="9">
        <v>1550.0</v>
      </c>
      <c r="H500" s="9">
        <v>76.6</v>
      </c>
      <c r="I500" s="10">
        <v>54.04199</v>
      </c>
      <c r="J500" s="10">
        <v>-2.894475</v>
      </c>
      <c r="K500" s="11">
        <v>57.5850715637207</v>
      </c>
      <c r="L500" s="12" t="s">
        <v>1258</v>
      </c>
    </row>
    <row r="501">
      <c r="A501" s="9" t="s">
        <v>1116</v>
      </c>
      <c r="B501" s="9" t="s">
        <v>1117</v>
      </c>
      <c r="C501" s="9" t="s">
        <v>1259</v>
      </c>
      <c r="D501" s="9" t="s">
        <v>1253</v>
      </c>
      <c r="E501" s="9" t="s">
        <v>21</v>
      </c>
      <c r="F501" s="9">
        <v>680.0</v>
      </c>
      <c r="G501" s="9">
        <v>1550.0</v>
      </c>
      <c r="H501" s="9">
        <v>74.2</v>
      </c>
      <c r="I501" s="10">
        <v>54.04199</v>
      </c>
      <c r="J501" s="10">
        <v>-2.894475</v>
      </c>
      <c r="K501" s="11">
        <v>57.5850715637207</v>
      </c>
      <c r="L501" s="12" t="s">
        <v>1260</v>
      </c>
    </row>
    <row r="502">
      <c r="A502" s="9" t="s">
        <v>1116</v>
      </c>
      <c r="B502" s="9" t="s">
        <v>1117</v>
      </c>
      <c r="C502" s="9" t="s">
        <v>1261</v>
      </c>
      <c r="D502" s="9" t="s">
        <v>1262</v>
      </c>
      <c r="E502" s="9" t="s">
        <v>24</v>
      </c>
      <c r="F502" s="9">
        <v>267.0</v>
      </c>
      <c r="G502" s="9">
        <v>900.0</v>
      </c>
      <c r="H502" s="9">
        <v>72.4</v>
      </c>
      <c r="I502" s="10">
        <v>51.207085</v>
      </c>
      <c r="J502" s="10">
        <v>-3.1366181</v>
      </c>
      <c r="K502" s="11">
        <v>61.5729675292969</v>
      </c>
      <c r="L502" s="12" t="s">
        <v>1263</v>
      </c>
    </row>
    <row r="503">
      <c r="A503" s="9" t="s">
        <v>1116</v>
      </c>
      <c r="B503" s="9" t="s">
        <v>1117</v>
      </c>
      <c r="C503" s="9" t="s">
        <v>1264</v>
      </c>
      <c r="D503" s="9" t="s">
        <v>1262</v>
      </c>
      <c r="E503" s="9" t="s">
        <v>24</v>
      </c>
      <c r="F503" s="9">
        <v>267.0</v>
      </c>
      <c r="G503" s="9">
        <v>900.0</v>
      </c>
      <c r="H503" s="9">
        <v>72.4</v>
      </c>
      <c r="I503" s="10">
        <v>51.207085</v>
      </c>
      <c r="J503" s="10">
        <v>-3.1366181</v>
      </c>
      <c r="K503" s="11">
        <v>61.5729675292969</v>
      </c>
      <c r="L503" s="12" t="s">
        <v>1265</v>
      </c>
    </row>
    <row r="504">
      <c r="A504" s="9" t="s">
        <v>1116</v>
      </c>
      <c r="B504" s="9" t="s">
        <v>1117</v>
      </c>
      <c r="C504" s="9" t="s">
        <v>1266</v>
      </c>
      <c r="D504" s="9" t="s">
        <v>1196</v>
      </c>
      <c r="E504" s="9" t="s">
        <v>21</v>
      </c>
      <c r="F504" s="9">
        <v>655.0</v>
      </c>
      <c r="G504" s="9">
        <v>1494.0</v>
      </c>
      <c r="H504" s="9">
        <v>76.8</v>
      </c>
      <c r="I504" s="10">
        <v>52.5454549</v>
      </c>
      <c r="J504" s="10">
        <v>-1.37667</v>
      </c>
      <c r="K504" s="11">
        <v>161.299423217773</v>
      </c>
      <c r="L504" s="12" t="s">
        <v>1267</v>
      </c>
    </row>
    <row r="505">
      <c r="A505" s="9" t="s">
        <v>1116</v>
      </c>
      <c r="B505" s="9" t="s">
        <v>1117</v>
      </c>
      <c r="C505" s="9" t="s">
        <v>1268</v>
      </c>
      <c r="D505" s="9" t="s">
        <v>1196</v>
      </c>
      <c r="E505" s="9" t="s">
        <v>21</v>
      </c>
      <c r="F505" s="9">
        <v>655.0</v>
      </c>
      <c r="G505" s="9">
        <v>1494.0</v>
      </c>
      <c r="H505" s="9">
        <v>72.9</v>
      </c>
      <c r="I505" s="10">
        <v>52.5454549</v>
      </c>
      <c r="J505" s="10">
        <v>-1.37667</v>
      </c>
      <c r="K505" s="11">
        <v>161.299423217773</v>
      </c>
      <c r="L505" s="12" t="s">
        <v>1269</v>
      </c>
    </row>
    <row r="506">
      <c r="A506" s="9" t="s">
        <v>1116</v>
      </c>
      <c r="B506" s="9" t="s">
        <v>1117</v>
      </c>
      <c r="C506" s="9" t="s">
        <v>1270</v>
      </c>
      <c r="D506" s="9" t="s">
        <v>1210</v>
      </c>
      <c r="E506" s="9" t="s">
        <v>24</v>
      </c>
      <c r="F506" s="9">
        <v>173.0</v>
      </c>
      <c r="G506" s="9">
        <v>595.0</v>
      </c>
      <c r="H506" s="9">
        <v>81.6</v>
      </c>
      <c r="I506" s="10">
        <v>55.7233519</v>
      </c>
      <c r="J506" s="10">
        <v>-4.8983789</v>
      </c>
      <c r="K506" s="11">
        <v>60.5486946105957</v>
      </c>
      <c r="L506" s="12" t="s">
        <v>1271</v>
      </c>
    </row>
    <row r="507">
      <c r="A507" s="9" t="s">
        <v>1116</v>
      </c>
      <c r="B507" s="9" t="s">
        <v>1117</v>
      </c>
      <c r="C507" s="9" t="s">
        <v>1272</v>
      </c>
      <c r="D507" s="9" t="s">
        <v>1210</v>
      </c>
      <c r="E507" s="9" t="s">
        <v>24</v>
      </c>
      <c r="F507" s="9">
        <v>173.0</v>
      </c>
      <c r="G507" s="9">
        <v>595.0</v>
      </c>
      <c r="H507" s="9">
        <v>81.6</v>
      </c>
      <c r="I507" s="10">
        <v>55.7233519</v>
      </c>
      <c r="J507" s="10">
        <v>-4.8983789</v>
      </c>
      <c r="K507" s="11">
        <v>60.5486946105957</v>
      </c>
      <c r="L507" s="12" t="s">
        <v>1273</v>
      </c>
    </row>
    <row r="508">
      <c r="A508" s="9" t="s">
        <v>1116</v>
      </c>
      <c r="B508" s="9" t="s">
        <v>1117</v>
      </c>
      <c r="C508" s="9" t="s">
        <v>1274</v>
      </c>
      <c r="D508" s="9" t="s">
        <v>1210</v>
      </c>
      <c r="E508" s="9" t="s">
        <v>21</v>
      </c>
      <c r="F508" s="9">
        <v>644.0</v>
      </c>
      <c r="G508" s="9">
        <v>1496.0</v>
      </c>
      <c r="H508" s="9">
        <v>70.5</v>
      </c>
      <c r="I508" s="10">
        <v>55.7233519</v>
      </c>
      <c r="J508" s="10">
        <v>-4.8983789</v>
      </c>
      <c r="K508" s="11">
        <v>60.5486946105957</v>
      </c>
      <c r="L508" s="12" t="s">
        <v>1275</v>
      </c>
    </row>
    <row r="509">
      <c r="A509" s="9" t="s">
        <v>1116</v>
      </c>
      <c r="B509" s="9" t="s">
        <v>1117</v>
      </c>
      <c r="C509" s="9" t="s">
        <v>1276</v>
      </c>
      <c r="D509" s="9" t="s">
        <v>1210</v>
      </c>
      <c r="E509" s="9" t="s">
        <v>21</v>
      </c>
      <c r="F509" s="9">
        <v>644.0</v>
      </c>
      <c r="G509" s="9">
        <v>1496.0</v>
      </c>
      <c r="H509" s="9">
        <v>70.3</v>
      </c>
      <c r="I509" s="10">
        <v>55.7233519</v>
      </c>
      <c r="J509" s="10">
        <v>-4.8983789</v>
      </c>
      <c r="K509" s="11">
        <v>60.5486946105957</v>
      </c>
      <c r="L509" s="12" t="s">
        <v>1277</v>
      </c>
    </row>
    <row r="510">
      <c r="A510" s="9" t="s">
        <v>1116</v>
      </c>
      <c r="B510" s="9" t="s">
        <v>1117</v>
      </c>
      <c r="C510" s="9" t="s">
        <v>1278</v>
      </c>
      <c r="D510" s="9" t="s">
        <v>1156</v>
      </c>
      <c r="E510" s="9" t="s">
        <v>24</v>
      </c>
      <c r="F510" s="9">
        <v>230.0</v>
      </c>
      <c r="G510" s="9">
        <v>730.0</v>
      </c>
      <c r="H510" s="9">
        <v>76.2</v>
      </c>
      <c r="I510" s="10">
        <v>51.62958</v>
      </c>
      <c r="J510" s="10">
        <v>-2.564125</v>
      </c>
      <c r="K510" s="11">
        <v>59.9538307189941</v>
      </c>
      <c r="L510" s="12" t="s">
        <v>1279</v>
      </c>
    </row>
    <row r="511">
      <c r="A511" s="9" t="s">
        <v>1116</v>
      </c>
      <c r="B511" s="9" t="s">
        <v>1117</v>
      </c>
      <c r="C511" s="9" t="s">
        <v>1280</v>
      </c>
      <c r="D511" s="9" t="s">
        <v>1156</v>
      </c>
      <c r="E511" s="9" t="s">
        <v>24</v>
      </c>
      <c r="F511" s="9">
        <v>230.0</v>
      </c>
      <c r="G511" s="9">
        <v>660.0</v>
      </c>
      <c r="H511" s="9">
        <v>81.3</v>
      </c>
      <c r="I511" s="10">
        <v>51.62958</v>
      </c>
      <c r="J511" s="10">
        <v>-2.564125</v>
      </c>
      <c r="K511" s="11">
        <v>59.9538307189941</v>
      </c>
      <c r="L511" s="12" t="s">
        <v>1281</v>
      </c>
    </row>
    <row r="512">
      <c r="A512" s="9" t="s">
        <v>1116</v>
      </c>
      <c r="B512" s="9" t="s">
        <v>1117</v>
      </c>
      <c r="C512" s="9" t="s">
        <v>1282</v>
      </c>
      <c r="D512" s="9" t="s">
        <v>1142</v>
      </c>
      <c r="E512" s="9" t="s">
        <v>24</v>
      </c>
      <c r="F512" s="9">
        <v>245.0</v>
      </c>
      <c r="G512" s="9">
        <v>1010.0</v>
      </c>
      <c r="H512" s="9">
        <v>74.7</v>
      </c>
      <c r="I512" s="10">
        <v>52.207955</v>
      </c>
      <c r="J512" s="10">
        <v>1.621034</v>
      </c>
      <c r="K512" s="11">
        <v>47.5478858947754</v>
      </c>
      <c r="L512" s="12" t="s">
        <v>1283</v>
      </c>
    </row>
    <row r="513">
      <c r="A513" s="9" t="s">
        <v>1116</v>
      </c>
      <c r="B513" s="9" t="s">
        <v>1117</v>
      </c>
      <c r="C513" s="9" t="s">
        <v>1285</v>
      </c>
      <c r="D513" s="9" t="s">
        <v>1142</v>
      </c>
      <c r="E513" s="9" t="s">
        <v>24</v>
      </c>
      <c r="F513" s="9">
        <v>245.0</v>
      </c>
      <c r="G513" s="9">
        <v>1010.0</v>
      </c>
      <c r="H513" s="9">
        <v>71.3</v>
      </c>
      <c r="I513" s="10">
        <v>52.207955</v>
      </c>
      <c r="J513" s="10">
        <v>1.621034</v>
      </c>
      <c r="K513" s="11">
        <v>47.5478858947754</v>
      </c>
      <c r="L513" s="12" t="s">
        <v>1286</v>
      </c>
    </row>
    <row r="514">
      <c r="A514" s="9" t="s">
        <v>1116</v>
      </c>
      <c r="B514" s="9" t="s">
        <v>1117</v>
      </c>
      <c r="C514" s="9" t="s">
        <v>1287</v>
      </c>
      <c r="D514" s="9" t="s">
        <v>1288</v>
      </c>
      <c r="E514" s="9" t="s">
        <v>21</v>
      </c>
      <c r="F514" s="9">
        <v>1250.0</v>
      </c>
      <c r="G514" s="9">
        <v>3425.0</v>
      </c>
      <c r="H514" s="9">
        <v>82.9</v>
      </c>
      <c r="I514" s="10">
        <v>52.209044</v>
      </c>
      <c r="J514" s="10">
        <v>1.57408</v>
      </c>
      <c r="K514" s="11">
        <v>58.9649505615234</v>
      </c>
      <c r="L514" s="12" t="s">
        <v>1289</v>
      </c>
    </row>
    <row r="515">
      <c r="A515" s="9" t="s">
        <v>1116</v>
      </c>
      <c r="B515" s="9" t="s">
        <v>1117</v>
      </c>
      <c r="C515" s="9" t="s">
        <v>1290</v>
      </c>
      <c r="D515" s="9" t="s">
        <v>1284</v>
      </c>
      <c r="E515" s="9" t="s">
        <v>21</v>
      </c>
      <c r="F515" s="9">
        <v>682.0</v>
      </c>
      <c r="G515" s="9">
        <v>1623.0</v>
      </c>
      <c r="H515" s="9">
        <v>71.5</v>
      </c>
      <c r="I515" s="10">
        <v>56.002087</v>
      </c>
      <c r="J515" s="10">
        <v>-2.516737</v>
      </c>
      <c r="K515" s="11">
        <v>58.9038467407227</v>
      </c>
      <c r="L515" s="12" t="s">
        <v>1291</v>
      </c>
    </row>
    <row r="516">
      <c r="A516" s="9" t="s">
        <v>1116</v>
      </c>
      <c r="B516" s="9" t="s">
        <v>1117</v>
      </c>
      <c r="C516" s="9" t="s">
        <v>1292</v>
      </c>
      <c r="D516" s="9" t="s">
        <v>1284</v>
      </c>
      <c r="E516" s="9" t="s">
        <v>21</v>
      </c>
      <c r="F516" s="9">
        <v>682.0</v>
      </c>
      <c r="G516" s="9">
        <v>1623.0</v>
      </c>
      <c r="H516" s="9">
        <v>71.6</v>
      </c>
      <c r="I516" s="10">
        <v>56.002087</v>
      </c>
      <c r="J516" s="10">
        <v>-2.516737</v>
      </c>
      <c r="K516" s="11">
        <v>58.9038467407227</v>
      </c>
      <c r="L516" s="12" t="s">
        <v>1293</v>
      </c>
    </row>
    <row r="517">
      <c r="A517" s="9" t="s">
        <v>1116</v>
      </c>
      <c r="B517" s="9" t="s">
        <v>1117</v>
      </c>
      <c r="C517" s="9" t="s">
        <v>1294</v>
      </c>
      <c r="D517" s="9" t="s">
        <v>1295</v>
      </c>
      <c r="E517" s="9" t="s">
        <v>24</v>
      </c>
      <c r="F517" s="9">
        <v>235.0</v>
      </c>
      <c r="G517" s="9">
        <v>850.0</v>
      </c>
      <c r="H517" s="9">
        <v>79.6</v>
      </c>
      <c r="I517" s="10">
        <v>52.8928932</v>
      </c>
      <c r="J517" s="10">
        <v>-3.9958464</v>
      </c>
      <c r="K517" s="11">
        <v>513.283081054688</v>
      </c>
      <c r="L517" s="12" t="s">
        <v>1296</v>
      </c>
    </row>
    <row r="518">
      <c r="A518" s="9" t="s">
        <v>1116</v>
      </c>
      <c r="B518" s="9" t="s">
        <v>1117</v>
      </c>
      <c r="C518" s="9" t="s">
        <v>1297</v>
      </c>
      <c r="D518" s="9" t="s">
        <v>1295</v>
      </c>
      <c r="E518" s="9" t="s">
        <v>24</v>
      </c>
      <c r="F518" s="9">
        <v>235.0</v>
      </c>
      <c r="G518" s="9">
        <v>850.0</v>
      </c>
      <c r="H518" s="9">
        <v>79.6</v>
      </c>
      <c r="I518" s="10">
        <v>52.8928932</v>
      </c>
      <c r="J518" s="10">
        <v>-3.9958464</v>
      </c>
      <c r="K518" s="11">
        <v>513.283081054688</v>
      </c>
      <c r="L518" s="12" t="s">
        <v>1298</v>
      </c>
    </row>
    <row r="519">
      <c r="A519" s="9" t="s">
        <v>1116</v>
      </c>
      <c r="B519" s="9" t="s">
        <v>1117</v>
      </c>
      <c r="C519" s="9" t="s">
        <v>1299</v>
      </c>
      <c r="D519" s="9" t="s">
        <v>1300</v>
      </c>
      <c r="E519" s="9" t="s">
        <v>24</v>
      </c>
      <c r="F519" s="9">
        <v>36.0</v>
      </c>
      <c r="G519" s="9">
        <v>120.0</v>
      </c>
      <c r="H519" s="9">
        <v>59.8</v>
      </c>
      <c r="I519" s="10">
        <v>53.4118177</v>
      </c>
      <c r="J519" s="10">
        <v>-2.5516804</v>
      </c>
      <c r="K519" s="11">
        <v>68.8733215332031</v>
      </c>
      <c r="L519" s="12" t="s">
        <v>1301</v>
      </c>
    </row>
    <row r="520">
      <c r="A520" s="9" t="s">
        <v>1116</v>
      </c>
      <c r="B520" s="9" t="s">
        <v>1117</v>
      </c>
      <c r="C520" s="9" t="s">
        <v>1302</v>
      </c>
      <c r="D520" s="9" t="s">
        <v>1166</v>
      </c>
      <c r="E520" s="9" t="s">
        <v>24</v>
      </c>
      <c r="F520" s="9">
        <v>100.0</v>
      </c>
      <c r="G520" s="9">
        <v>318.0</v>
      </c>
      <c r="H520" s="9">
        <v>60.7</v>
      </c>
      <c r="I520" s="10">
        <v>50.7111639</v>
      </c>
      <c r="J520" s="10">
        <v>-2.441181</v>
      </c>
      <c r="K520" s="11">
        <v>120.768165588379</v>
      </c>
      <c r="L520" s="12" t="s">
        <v>1303</v>
      </c>
    </row>
    <row r="521">
      <c r="A521" s="9" t="s">
        <v>1116</v>
      </c>
      <c r="B521" s="9" t="s">
        <v>1117</v>
      </c>
      <c r="C521" s="9" t="s">
        <v>1304</v>
      </c>
      <c r="D521" s="9" t="s">
        <v>1173</v>
      </c>
      <c r="E521" s="9" t="s">
        <v>21</v>
      </c>
      <c r="F521" s="9">
        <v>540.0</v>
      </c>
      <c r="G521" s="9">
        <v>1920.0</v>
      </c>
      <c r="H521" s="9">
        <v>70.9</v>
      </c>
      <c r="I521" s="10">
        <v>53.2692804</v>
      </c>
      <c r="J521" s="10">
        <v>-4.3212852</v>
      </c>
      <c r="K521" s="11">
        <v>104.441841125488</v>
      </c>
      <c r="L521" s="12" t="s">
        <v>1305</v>
      </c>
    </row>
    <row r="522">
      <c r="A522" s="9" t="s">
        <v>1116</v>
      </c>
      <c r="B522" s="9" t="s">
        <v>1117</v>
      </c>
      <c r="C522" s="9" t="s">
        <v>1306</v>
      </c>
      <c r="D522" s="9" t="s">
        <v>1173</v>
      </c>
      <c r="E522" s="9" t="s">
        <v>24</v>
      </c>
      <c r="F522" s="9">
        <v>540.0</v>
      </c>
      <c r="G522" s="9">
        <v>1920.0</v>
      </c>
      <c r="H522" s="9">
        <v>69.8</v>
      </c>
      <c r="I522" s="10">
        <v>53.2692804</v>
      </c>
      <c r="J522" s="10">
        <v>-4.3212852</v>
      </c>
      <c r="K522" s="11">
        <v>104.441841125488</v>
      </c>
      <c r="L522" s="12" t="s">
        <v>1307</v>
      </c>
    </row>
    <row r="523">
      <c r="A523" s="9" t="s">
        <v>1308</v>
      </c>
      <c r="B523" s="9" t="s">
        <v>1309</v>
      </c>
      <c r="C523" s="9" t="s">
        <v>1310</v>
      </c>
      <c r="D523" s="9" t="s">
        <v>1311</v>
      </c>
      <c r="E523" s="9" t="s">
        <v>21</v>
      </c>
      <c r="F523" s="9">
        <v>903.0</v>
      </c>
      <c r="G523" s="9">
        <v>2568.0</v>
      </c>
      <c r="H523" s="9">
        <v>76.2</v>
      </c>
      <c r="I523" s="10">
        <v>34.2151108</v>
      </c>
      <c r="J523" s="10">
        <v>-89.9478679</v>
      </c>
      <c r="K523" s="11">
        <v>46.7874183654785</v>
      </c>
      <c r="L523" s="12" t="s">
        <v>1312</v>
      </c>
    </row>
    <row r="524">
      <c r="A524" s="9" t="s">
        <v>1308</v>
      </c>
      <c r="B524" s="9" t="s">
        <v>1309</v>
      </c>
      <c r="C524" s="9" t="s">
        <v>1313</v>
      </c>
      <c r="D524" s="9" t="s">
        <v>1311</v>
      </c>
      <c r="E524" s="9" t="s">
        <v>21</v>
      </c>
      <c r="F524" s="9">
        <v>1065.0</v>
      </c>
      <c r="G524" s="9">
        <v>3026.0</v>
      </c>
      <c r="H524" s="9">
        <v>84.5</v>
      </c>
      <c r="I524" s="10">
        <v>34.2151108</v>
      </c>
      <c r="J524" s="10">
        <v>-89.9478679</v>
      </c>
      <c r="K524" s="11">
        <v>46.7874183654785</v>
      </c>
      <c r="L524" s="12" t="s">
        <v>1314</v>
      </c>
    </row>
    <row r="525">
      <c r="A525" s="9" t="s">
        <v>1308</v>
      </c>
      <c r="B525" s="9" t="s">
        <v>1309</v>
      </c>
      <c r="C525" s="9" t="s">
        <v>1315</v>
      </c>
      <c r="D525" s="9" t="s">
        <v>1316</v>
      </c>
      <c r="E525" s="9" t="s">
        <v>21</v>
      </c>
      <c r="F525" s="9">
        <v>959.0</v>
      </c>
      <c r="G525" s="9">
        <v>2900.0</v>
      </c>
      <c r="H525" s="9">
        <v>72.4</v>
      </c>
      <c r="I525" s="10">
        <v>40.6320101</v>
      </c>
      <c r="J525" s="10">
        <v>-80.4139539</v>
      </c>
      <c r="K525" s="11">
        <v>211.508422851562</v>
      </c>
      <c r="L525" s="12" t="s">
        <v>1317</v>
      </c>
    </row>
    <row r="526">
      <c r="A526" s="9" t="s">
        <v>1308</v>
      </c>
      <c r="B526" s="9" t="s">
        <v>1309</v>
      </c>
      <c r="C526" s="9" t="s">
        <v>1318</v>
      </c>
      <c r="D526" s="9" t="s">
        <v>1316</v>
      </c>
      <c r="E526" s="9" t="s">
        <v>21</v>
      </c>
      <c r="F526" s="9">
        <v>958.0</v>
      </c>
      <c r="G526" s="9">
        <v>2900.0</v>
      </c>
      <c r="H526" s="9">
        <v>84.7</v>
      </c>
      <c r="I526" s="10">
        <v>40.6320101</v>
      </c>
      <c r="J526" s="10">
        <v>-80.4139539</v>
      </c>
      <c r="K526" s="11">
        <v>211.508422851562</v>
      </c>
      <c r="L526" s="12" t="s">
        <v>1319</v>
      </c>
    </row>
    <row r="527">
      <c r="A527" s="9" t="s">
        <v>1308</v>
      </c>
      <c r="B527" s="9" t="s">
        <v>1309</v>
      </c>
      <c r="C527" s="9" t="s">
        <v>1320</v>
      </c>
      <c r="D527" s="9" t="s">
        <v>1321</v>
      </c>
      <c r="E527" s="9" t="s">
        <v>24</v>
      </c>
      <c r="F527" s="9">
        <v>71.0</v>
      </c>
      <c r="G527" s="9">
        <v>240.0</v>
      </c>
      <c r="H527" s="9">
        <v>64.1</v>
      </c>
      <c r="I527" s="10">
        <v>45.3180632</v>
      </c>
      <c r="J527" s="10">
        <v>-85.2584004</v>
      </c>
      <c r="K527" s="11">
        <v>144.220748901367</v>
      </c>
      <c r="L527" s="12" t="s">
        <v>1322</v>
      </c>
    </row>
    <row r="528">
      <c r="A528" s="9" t="s">
        <v>1308</v>
      </c>
      <c r="B528" s="9" t="s">
        <v>1309</v>
      </c>
      <c r="C528" s="9" t="s">
        <v>1323</v>
      </c>
      <c r="D528" s="9" t="s">
        <v>1324</v>
      </c>
      <c r="E528" s="9" t="s">
        <v>24</v>
      </c>
      <c r="F528" s="9">
        <v>18.0</v>
      </c>
      <c r="G528" s="9">
        <v>50.0</v>
      </c>
      <c r="H528" s="9">
        <v>0.0</v>
      </c>
      <c r="I528" s="10">
        <v>32.2960289</v>
      </c>
      <c r="J528" s="10">
        <v>-81.2353905</v>
      </c>
      <c r="K528" s="11">
        <v>-13.8776512145996</v>
      </c>
      <c r="L528" s="12" t="s">
        <v>1325</v>
      </c>
    </row>
    <row r="529">
      <c r="A529" s="9" t="s">
        <v>1308</v>
      </c>
      <c r="B529" s="9" t="s">
        <v>1309</v>
      </c>
      <c r="C529" s="9" t="s">
        <v>1326</v>
      </c>
      <c r="D529" s="9" t="s">
        <v>1327</v>
      </c>
      <c r="E529" s="9" t="s">
        <v>21</v>
      </c>
      <c r="F529" s="9">
        <v>1242.0</v>
      </c>
      <c r="G529" s="9">
        <v>3587.0</v>
      </c>
      <c r="H529" s="9">
        <v>87.2</v>
      </c>
      <c r="I529" s="10">
        <v>41.2650318</v>
      </c>
      <c r="J529" s="10">
        <v>-88.2122823</v>
      </c>
      <c r="K529" s="11">
        <v>144.161727905273</v>
      </c>
      <c r="L529" s="12" t="s">
        <v>1328</v>
      </c>
    </row>
    <row r="530">
      <c r="A530" s="9" t="s">
        <v>1308</v>
      </c>
      <c r="B530" s="9" t="s">
        <v>1309</v>
      </c>
      <c r="C530" s="9" t="s">
        <v>1329</v>
      </c>
      <c r="D530" s="9" t="s">
        <v>1327</v>
      </c>
      <c r="E530" s="9" t="s">
        <v>21</v>
      </c>
      <c r="F530" s="9">
        <v>1210.0</v>
      </c>
      <c r="G530" s="9">
        <v>3587.0</v>
      </c>
      <c r="H530" s="9">
        <v>89.5</v>
      </c>
      <c r="I530" s="10">
        <v>41.2650318</v>
      </c>
      <c r="J530" s="10">
        <v>-88.2122823</v>
      </c>
      <c r="K530" s="11">
        <v>144.161727905273</v>
      </c>
      <c r="L530" s="12" t="s">
        <v>1330</v>
      </c>
    </row>
    <row r="531">
      <c r="A531" s="9" t="s">
        <v>1308</v>
      </c>
      <c r="B531" s="9" t="s">
        <v>1309</v>
      </c>
      <c r="C531" s="9" t="s">
        <v>1331</v>
      </c>
      <c r="D531" s="9" t="s">
        <v>1332</v>
      </c>
      <c r="E531" s="9" t="s">
        <v>21</v>
      </c>
      <c r="F531" s="9">
        <v>1155.0</v>
      </c>
      <c r="G531" s="9">
        <v>3458.0</v>
      </c>
      <c r="H531" s="9">
        <v>67.9</v>
      </c>
      <c r="I531" s="10">
        <v>33.7748275</v>
      </c>
      <c r="J531" s="10">
        <v>-84.2963123</v>
      </c>
      <c r="K531" s="11">
        <v>267.066833496094</v>
      </c>
      <c r="L531" s="12" t="s">
        <v>1333</v>
      </c>
    </row>
    <row r="532">
      <c r="A532" s="9" t="s">
        <v>1308</v>
      </c>
      <c r="B532" s="9" t="s">
        <v>1309</v>
      </c>
      <c r="C532" s="9" t="s">
        <v>1334</v>
      </c>
      <c r="D532" s="9" t="s">
        <v>1332</v>
      </c>
      <c r="E532" s="9" t="s">
        <v>21</v>
      </c>
      <c r="F532" s="9">
        <v>1155.0</v>
      </c>
      <c r="G532" s="9">
        <v>3458.0</v>
      </c>
      <c r="H532" s="9">
        <v>77.5</v>
      </c>
      <c r="I532" s="10">
        <v>33.7748275</v>
      </c>
      <c r="J532" s="10">
        <v>-84.2963123</v>
      </c>
      <c r="K532" s="11">
        <v>267.066833496094</v>
      </c>
      <c r="L532" s="12" t="s">
        <v>1335</v>
      </c>
    </row>
    <row r="533">
      <c r="A533" s="9" t="s">
        <v>1308</v>
      </c>
      <c r="B533" s="9" t="s">
        <v>1309</v>
      </c>
      <c r="C533" s="9" t="s">
        <v>1336</v>
      </c>
      <c r="D533" s="9" t="s">
        <v>1332</v>
      </c>
      <c r="E533" s="9" t="s">
        <v>21</v>
      </c>
      <c r="F533" s="9">
        <v>1155.0</v>
      </c>
      <c r="G533" s="9">
        <v>3458.0</v>
      </c>
      <c r="H533" s="9">
        <v>80.3</v>
      </c>
      <c r="I533" s="10">
        <v>33.7748275</v>
      </c>
      <c r="J533" s="10">
        <v>-84.2963123</v>
      </c>
      <c r="K533" s="11">
        <v>267.066833496094</v>
      </c>
      <c r="L533" s="12" t="s">
        <v>1337</v>
      </c>
    </row>
    <row r="534">
      <c r="A534" s="9" t="s">
        <v>1308</v>
      </c>
      <c r="B534" s="9" t="s">
        <v>1309</v>
      </c>
      <c r="C534" s="9" t="s">
        <v>1338</v>
      </c>
      <c r="D534" s="9" t="s">
        <v>1339</v>
      </c>
      <c r="E534" s="9" t="s">
        <v>21</v>
      </c>
      <c r="F534" s="9">
        <v>990.0</v>
      </c>
      <c r="G534" s="9">
        <v>2923.0</v>
      </c>
      <c r="H534" s="9">
        <v>74.2</v>
      </c>
      <c r="I534" s="10">
        <v>33.921563</v>
      </c>
      <c r="J534" s="10">
        <v>-78.0202677</v>
      </c>
      <c r="K534" s="11">
        <v>-34.8567810058594</v>
      </c>
      <c r="L534" s="12" t="s">
        <v>1340</v>
      </c>
    </row>
    <row r="535">
      <c r="A535" s="9" t="s">
        <v>1308</v>
      </c>
      <c r="B535" s="9" t="s">
        <v>1309</v>
      </c>
      <c r="C535" s="9" t="s">
        <v>1341</v>
      </c>
      <c r="D535" s="9" t="s">
        <v>1339</v>
      </c>
      <c r="E535" s="9" t="s">
        <v>21</v>
      </c>
      <c r="F535" s="9">
        <v>960.0</v>
      </c>
      <c r="G535" s="9">
        <v>2923.0</v>
      </c>
      <c r="H535" s="9">
        <v>71.6</v>
      </c>
      <c r="I535" s="10">
        <v>33.921563</v>
      </c>
      <c r="J535" s="10">
        <v>-78.0202677</v>
      </c>
      <c r="K535" s="11">
        <v>-34.8567810058594</v>
      </c>
      <c r="L535" s="12" t="s">
        <v>1342</v>
      </c>
    </row>
    <row r="536">
      <c r="A536" s="9" t="s">
        <v>1308</v>
      </c>
      <c r="B536" s="9" t="s">
        <v>1309</v>
      </c>
      <c r="C536" s="9" t="s">
        <v>1343</v>
      </c>
      <c r="D536" s="9" t="s">
        <v>1344</v>
      </c>
      <c r="E536" s="9" t="s">
        <v>21</v>
      </c>
      <c r="F536" s="9">
        <v>1242.0</v>
      </c>
      <c r="G536" s="9">
        <v>3587.0</v>
      </c>
      <c r="H536" s="9">
        <v>85.5</v>
      </c>
      <c r="I536" s="10">
        <v>32.6537561</v>
      </c>
      <c r="J536" s="10">
        <v>-83.7596295</v>
      </c>
      <c r="K536" s="11">
        <v>123.256256103516</v>
      </c>
      <c r="L536" s="12" t="s">
        <v>1345</v>
      </c>
    </row>
    <row r="537">
      <c r="A537" s="9" t="s">
        <v>1308</v>
      </c>
      <c r="B537" s="9" t="s">
        <v>1309</v>
      </c>
      <c r="C537" s="9" t="s">
        <v>1346</v>
      </c>
      <c r="D537" s="9" t="s">
        <v>1344</v>
      </c>
      <c r="E537" s="9" t="s">
        <v>21</v>
      </c>
      <c r="F537" s="9">
        <v>1210.0</v>
      </c>
      <c r="G537" s="9">
        <v>3587.0</v>
      </c>
      <c r="H537" s="9">
        <v>89.1</v>
      </c>
      <c r="I537" s="10">
        <v>32.6537561</v>
      </c>
      <c r="J537" s="10">
        <v>-83.7596295</v>
      </c>
      <c r="K537" s="11">
        <v>123.256256103516</v>
      </c>
      <c r="L537" s="12" t="s">
        <v>1347</v>
      </c>
    </row>
    <row r="538">
      <c r="A538" s="9" t="s">
        <v>1308</v>
      </c>
      <c r="B538" s="9" t="s">
        <v>1309</v>
      </c>
      <c r="C538" s="9" t="s">
        <v>1348</v>
      </c>
      <c r="D538" s="9" t="s">
        <v>1349</v>
      </c>
      <c r="E538" s="9" t="s">
        <v>21</v>
      </c>
      <c r="F538" s="9">
        <v>1275.0</v>
      </c>
      <c r="G538" s="9">
        <v>3565.0</v>
      </c>
      <c r="H538" s="9">
        <v>87.6</v>
      </c>
      <c r="I538" s="10">
        <v>43.3228462</v>
      </c>
      <c r="J538" s="10">
        <v>-76.4171585</v>
      </c>
      <c r="K538" s="11">
        <v>68.4839553833008</v>
      </c>
      <c r="L538" s="12" t="s">
        <v>1350</v>
      </c>
    </row>
    <row r="539">
      <c r="A539" s="9" t="s">
        <v>1308</v>
      </c>
      <c r="B539" s="9" t="s">
        <v>1309</v>
      </c>
      <c r="C539" s="9" t="s">
        <v>1351</v>
      </c>
      <c r="D539" s="9" t="s">
        <v>1352</v>
      </c>
      <c r="E539" s="9" t="s">
        <v>21</v>
      </c>
      <c r="F539" s="9">
        <v>918.0</v>
      </c>
      <c r="G539" s="9">
        <v>2737.0</v>
      </c>
      <c r="H539" s="9">
        <v>80.0</v>
      </c>
      <c r="I539" s="10">
        <v>38.3536111</v>
      </c>
      <c r="J539" s="10">
        <v>-76.4366667</v>
      </c>
      <c r="K539" s="11">
        <v>-20.1793327331543</v>
      </c>
      <c r="L539" s="12" t="s">
        <v>1353</v>
      </c>
    </row>
    <row r="540">
      <c r="A540" s="9" t="s">
        <v>1308</v>
      </c>
      <c r="B540" s="9" t="s">
        <v>1309</v>
      </c>
      <c r="C540" s="9" t="s">
        <v>1354</v>
      </c>
      <c r="D540" s="9" t="s">
        <v>1352</v>
      </c>
      <c r="E540" s="9" t="s">
        <v>21</v>
      </c>
      <c r="F540" s="9">
        <v>911.0</v>
      </c>
      <c r="G540" s="9">
        <v>2737.0</v>
      </c>
      <c r="H540" s="9">
        <v>82.5</v>
      </c>
      <c r="I540" s="10">
        <v>38.3536111</v>
      </c>
      <c r="J540" s="10">
        <v>-76.4366667</v>
      </c>
      <c r="K540" s="11">
        <v>-20.1793327331543</v>
      </c>
      <c r="L540" s="12" t="s">
        <v>1355</v>
      </c>
    </row>
    <row r="541">
      <c r="A541" s="9" t="s">
        <v>1308</v>
      </c>
      <c r="B541" s="9" t="s">
        <v>1309</v>
      </c>
      <c r="C541" s="9" t="s">
        <v>1356</v>
      </c>
      <c r="D541" s="9" t="s">
        <v>1357</v>
      </c>
      <c r="E541" s="9" t="s">
        <v>21</v>
      </c>
      <c r="F541" s="9">
        <v>1188.0</v>
      </c>
      <c r="G541" s="9">
        <v>3411.0</v>
      </c>
      <c r="H541" s="9">
        <v>84.7</v>
      </c>
      <c r="I541" s="10">
        <v>39.9512496</v>
      </c>
      <c r="J541" s="10">
        <v>-76.7336521</v>
      </c>
      <c r="K541" s="11">
        <v>85.8660507202148</v>
      </c>
      <c r="L541" s="12" t="s">
        <v>1358</v>
      </c>
    </row>
    <row r="542">
      <c r="A542" s="9" t="s">
        <v>1308</v>
      </c>
      <c r="B542" s="9" t="s">
        <v>1309</v>
      </c>
      <c r="C542" s="9" t="s">
        <v>1359</v>
      </c>
      <c r="D542" s="9" t="s">
        <v>1357</v>
      </c>
      <c r="E542" s="9" t="s">
        <v>21</v>
      </c>
      <c r="F542" s="9">
        <v>1188.0</v>
      </c>
      <c r="G542" s="9">
        <v>3411.0</v>
      </c>
      <c r="H542" s="9">
        <v>85.5</v>
      </c>
      <c r="I542" s="10">
        <v>39.9512496</v>
      </c>
      <c r="J542" s="10">
        <v>-76.7336521</v>
      </c>
      <c r="K542" s="11">
        <v>85.8660507202148</v>
      </c>
      <c r="L542" s="12" t="s">
        <v>1360</v>
      </c>
    </row>
    <row r="543">
      <c r="A543" s="9" t="s">
        <v>1308</v>
      </c>
      <c r="B543" s="9" t="s">
        <v>1309</v>
      </c>
      <c r="C543" s="9" t="s">
        <v>1361</v>
      </c>
      <c r="D543" s="9" t="s">
        <v>1362</v>
      </c>
      <c r="E543" s="9" t="s">
        <v>21</v>
      </c>
      <c r="F543" s="9">
        <v>1098.0</v>
      </c>
      <c r="G543" s="9">
        <v>3473.0</v>
      </c>
      <c r="H543" s="9">
        <v>76.2</v>
      </c>
      <c r="I543" s="10">
        <v>43.674255</v>
      </c>
      <c r="J543" s="10">
        <v>-86.317392</v>
      </c>
      <c r="K543" s="11">
        <v>190.363021850586</v>
      </c>
      <c r="L543" s="12" t="s">
        <v>1363</v>
      </c>
    </row>
    <row r="544">
      <c r="A544" s="9" t="s">
        <v>1308</v>
      </c>
      <c r="B544" s="9" t="s">
        <v>1309</v>
      </c>
      <c r="C544" s="9" t="s">
        <v>1364</v>
      </c>
      <c r="D544" s="9" t="s">
        <v>1365</v>
      </c>
      <c r="E544" s="9" t="s">
        <v>21</v>
      </c>
      <c r="F544" s="9">
        <v>1173.0</v>
      </c>
      <c r="G544" s="9">
        <v>3486.0</v>
      </c>
      <c r="H544" s="9">
        <v>72.9</v>
      </c>
      <c r="I544" s="10">
        <v>34.5645371</v>
      </c>
      <c r="J544" s="10">
        <v>-92.586828</v>
      </c>
      <c r="K544" s="11">
        <v>77.9772567749023</v>
      </c>
      <c r="L544" s="12" t="s">
        <v>1366</v>
      </c>
    </row>
    <row r="545">
      <c r="A545" s="9" t="s">
        <v>1308</v>
      </c>
      <c r="B545" s="9" t="s">
        <v>1309</v>
      </c>
      <c r="C545" s="9" t="s">
        <v>1367</v>
      </c>
      <c r="D545" s="9" t="s">
        <v>1368</v>
      </c>
      <c r="E545" s="9" t="s">
        <v>21</v>
      </c>
      <c r="F545" s="9">
        <v>1259.0</v>
      </c>
      <c r="G545" s="9">
        <v>3612.0</v>
      </c>
      <c r="H545" s="9">
        <v>86.6</v>
      </c>
      <c r="I545" s="10">
        <v>32.2345872</v>
      </c>
      <c r="J545" s="10">
        <v>-97.7553061</v>
      </c>
      <c r="K545" s="11">
        <v>206.571182250977</v>
      </c>
      <c r="L545" s="12" t="s">
        <v>1369</v>
      </c>
    </row>
    <row r="546">
      <c r="A546" s="9" t="s">
        <v>1308</v>
      </c>
      <c r="B546" s="9" t="s">
        <v>1309</v>
      </c>
      <c r="C546" s="9" t="s">
        <v>1370</v>
      </c>
      <c r="D546" s="9" t="s">
        <v>1368</v>
      </c>
      <c r="E546" s="9" t="s">
        <v>21</v>
      </c>
      <c r="F546" s="9">
        <v>1250.0</v>
      </c>
      <c r="G546" s="9">
        <v>3612.0</v>
      </c>
      <c r="H546" s="9">
        <v>89.8</v>
      </c>
      <c r="I546" s="10">
        <v>32.2345872</v>
      </c>
      <c r="J546" s="10">
        <v>-97.7553061</v>
      </c>
      <c r="K546" s="11">
        <v>206.571182250977</v>
      </c>
      <c r="L546" s="12" t="s">
        <v>1371</v>
      </c>
    </row>
    <row r="547">
      <c r="A547" s="9" t="s">
        <v>1308</v>
      </c>
      <c r="B547" s="9" t="s">
        <v>1309</v>
      </c>
      <c r="C547" s="9" t="s">
        <v>1372</v>
      </c>
      <c r="D547" s="9" t="s">
        <v>1373</v>
      </c>
      <c r="E547" s="9" t="s">
        <v>21</v>
      </c>
      <c r="F547" s="9">
        <v>1100.0</v>
      </c>
      <c r="G547" s="9">
        <v>3304.0</v>
      </c>
      <c r="H547" s="9">
        <v>67.3</v>
      </c>
      <c r="I547" s="10">
        <v>41.9430986</v>
      </c>
      <c r="J547" s="10">
        <v>-86.5569659</v>
      </c>
      <c r="K547" s="11">
        <v>161.449203491211</v>
      </c>
      <c r="L547" s="12" t="s">
        <v>1374</v>
      </c>
    </row>
    <row r="548">
      <c r="A548" s="9" t="s">
        <v>1308</v>
      </c>
      <c r="B548" s="9" t="s">
        <v>1309</v>
      </c>
      <c r="C548" s="9" t="s">
        <v>1375</v>
      </c>
      <c r="D548" s="9" t="s">
        <v>1373</v>
      </c>
      <c r="E548" s="9" t="s">
        <v>21</v>
      </c>
      <c r="F548" s="9">
        <v>1151.0</v>
      </c>
      <c r="G548" s="9">
        <v>3468.0</v>
      </c>
      <c r="H548" s="9">
        <v>68.4</v>
      </c>
      <c r="I548" s="10">
        <v>41.9430986</v>
      </c>
      <c r="J548" s="10">
        <v>-86.5569659</v>
      </c>
      <c r="K548" s="11">
        <v>161.449203491211</v>
      </c>
      <c r="L548" s="12" t="s">
        <v>1376</v>
      </c>
    </row>
    <row r="549">
      <c r="A549" s="9" t="s">
        <v>1308</v>
      </c>
      <c r="B549" s="9" t="s">
        <v>1309</v>
      </c>
      <c r="C549" s="9" t="s">
        <v>1377</v>
      </c>
      <c r="D549" s="9" t="s">
        <v>1378</v>
      </c>
      <c r="E549" s="9" t="s">
        <v>21</v>
      </c>
      <c r="F549" s="9">
        <v>801.0</v>
      </c>
      <c r="G549" s="9">
        <v>2419.0</v>
      </c>
      <c r="H549" s="9">
        <v>73.3</v>
      </c>
      <c r="I549" s="10">
        <v>40.3977793</v>
      </c>
      <c r="J549" s="10">
        <v>-95.6580455</v>
      </c>
      <c r="K549" s="11">
        <v>272.519500732422</v>
      </c>
      <c r="L549" s="12" t="s">
        <v>1379</v>
      </c>
    </row>
    <row r="550">
      <c r="A550" s="9" t="s">
        <v>1308</v>
      </c>
      <c r="B550" s="9" t="s">
        <v>1309</v>
      </c>
      <c r="C550" s="9" t="s">
        <v>1380</v>
      </c>
      <c r="D550" s="9" t="s">
        <v>1381</v>
      </c>
      <c r="E550" s="9" t="s">
        <v>24</v>
      </c>
      <c r="F550" s="9">
        <v>890.0</v>
      </c>
      <c r="G550" s="9">
        <v>2568.0</v>
      </c>
      <c r="H550" s="9">
        <v>64.5</v>
      </c>
      <c r="I550" s="10">
        <v>37.09024</v>
      </c>
      <c r="J550" s="10">
        <v>-95.712891</v>
      </c>
      <c r="K550" s="11">
        <v>227.951690673828</v>
      </c>
      <c r="L550" s="12" t="s">
        <v>1382</v>
      </c>
    </row>
    <row r="551">
      <c r="A551" s="9" t="s">
        <v>1308</v>
      </c>
      <c r="B551" s="9" t="s">
        <v>1309</v>
      </c>
      <c r="C551" s="9" t="s">
        <v>1383</v>
      </c>
      <c r="D551" s="9" t="s">
        <v>1384</v>
      </c>
      <c r="E551" s="9" t="s">
        <v>24</v>
      </c>
      <c r="F551" s="9">
        <v>19.0</v>
      </c>
      <c r="G551" s="9">
        <v>65.0</v>
      </c>
      <c r="H551" s="9">
        <v>0.0</v>
      </c>
      <c r="I551" s="10">
        <v>41.0272222</v>
      </c>
      <c r="J551" s="10">
        <v>-87.2186111</v>
      </c>
      <c r="K551" s="11">
        <v>175.227813720703</v>
      </c>
      <c r="L551" s="12" t="s">
        <v>1385</v>
      </c>
    </row>
    <row r="552">
      <c r="A552" s="9" t="s">
        <v>1308</v>
      </c>
      <c r="B552" s="9" t="s">
        <v>1309</v>
      </c>
      <c r="C552" s="9" t="s">
        <v>1386</v>
      </c>
      <c r="D552" s="9" t="s">
        <v>1387</v>
      </c>
      <c r="E552" s="9" t="s">
        <v>21</v>
      </c>
      <c r="F552" s="9">
        <v>925.0</v>
      </c>
      <c r="G552" s="9">
        <v>2817.0</v>
      </c>
      <c r="H552" s="9">
        <v>68.5</v>
      </c>
      <c r="I552" s="10">
        <v>41.3455892</v>
      </c>
      <c r="J552" s="10">
        <v>-88.8425769</v>
      </c>
      <c r="K552" s="11">
        <v>116.42911529541</v>
      </c>
      <c r="L552" s="12" t="s">
        <v>1388</v>
      </c>
    </row>
    <row r="553">
      <c r="A553" s="9" t="s">
        <v>1308</v>
      </c>
      <c r="B553" s="9" t="s">
        <v>1309</v>
      </c>
      <c r="C553" s="9" t="s">
        <v>1389</v>
      </c>
      <c r="D553" s="9" t="s">
        <v>1390</v>
      </c>
      <c r="E553" s="9" t="s">
        <v>21</v>
      </c>
      <c r="F553" s="9">
        <v>1197.0</v>
      </c>
      <c r="G553" s="9">
        <v>3411.0</v>
      </c>
      <c r="H553" s="9">
        <v>86.2</v>
      </c>
      <c r="I553" s="10">
        <v>35.1800113</v>
      </c>
      <c r="J553" s="10">
        <v>-120.7319127</v>
      </c>
      <c r="K553" s="11">
        <v>71.5420532226562</v>
      </c>
      <c r="L553" s="12" t="s">
        <v>1391</v>
      </c>
    </row>
    <row r="554">
      <c r="A554" s="9" t="s">
        <v>1308</v>
      </c>
      <c r="B554" s="9" t="s">
        <v>1309</v>
      </c>
      <c r="C554" s="9" t="s">
        <v>1392</v>
      </c>
      <c r="D554" s="9" t="s">
        <v>1390</v>
      </c>
      <c r="E554" s="9" t="s">
        <v>21</v>
      </c>
      <c r="F554" s="9">
        <v>1197.0</v>
      </c>
      <c r="G554" s="9">
        <v>3411.0</v>
      </c>
      <c r="H554" s="9">
        <v>86.9</v>
      </c>
      <c r="I554" s="10">
        <v>35.1800113</v>
      </c>
      <c r="J554" s="10">
        <v>-120.7319127</v>
      </c>
      <c r="K554" s="11">
        <v>15.8682861328125</v>
      </c>
      <c r="L554" s="12" t="s">
        <v>1393</v>
      </c>
    </row>
    <row r="555">
      <c r="A555" s="9" t="s">
        <v>1308</v>
      </c>
      <c r="B555" s="9" t="s">
        <v>1309</v>
      </c>
      <c r="C555" s="9" t="s">
        <v>1394</v>
      </c>
      <c r="D555" s="9" t="s">
        <v>1395</v>
      </c>
      <c r="E555" s="9" t="s">
        <v>24</v>
      </c>
      <c r="F555" s="9">
        <v>207.0</v>
      </c>
      <c r="G555" s="9">
        <v>700.0</v>
      </c>
      <c r="H555" s="9">
        <v>0.0</v>
      </c>
      <c r="I555" s="10">
        <v>41.357254</v>
      </c>
      <c r="J555" s="10">
        <v>-88.4211785</v>
      </c>
      <c r="K555" s="11">
        <v>119.683082580566</v>
      </c>
      <c r="L555" s="12" t="s">
        <v>1396</v>
      </c>
    </row>
    <row r="556">
      <c r="A556" s="9" t="s">
        <v>1308</v>
      </c>
      <c r="B556" s="9" t="s">
        <v>1309</v>
      </c>
      <c r="C556" s="9" t="s">
        <v>1397</v>
      </c>
      <c r="D556" s="9" t="s">
        <v>1395</v>
      </c>
      <c r="E556" s="9" t="s">
        <v>21</v>
      </c>
      <c r="F556" s="9">
        <v>926.0</v>
      </c>
      <c r="G556" s="9">
        <v>2957.0</v>
      </c>
      <c r="H556" s="9">
        <v>70.8</v>
      </c>
      <c r="I556" s="10">
        <v>41.357254</v>
      </c>
      <c r="J556" s="10">
        <v>-88.4211785</v>
      </c>
      <c r="K556" s="11">
        <v>119.683082580566</v>
      </c>
      <c r="L556" s="12" t="s">
        <v>1398</v>
      </c>
    </row>
    <row r="557">
      <c r="A557" s="9" t="s">
        <v>1308</v>
      </c>
      <c r="B557" s="9" t="s">
        <v>1309</v>
      </c>
      <c r="C557" s="9" t="s">
        <v>1399</v>
      </c>
      <c r="D557" s="9" t="s">
        <v>1395</v>
      </c>
      <c r="E557" s="9" t="s">
        <v>21</v>
      </c>
      <c r="F557" s="9">
        <v>890.0</v>
      </c>
      <c r="G557" s="9">
        <v>2957.0</v>
      </c>
      <c r="H557" s="9">
        <v>70.6</v>
      </c>
      <c r="I557" s="10">
        <v>41.357254</v>
      </c>
      <c r="J557" s="10">
        <v>-88.4211785</v>
      </c>
      <c r="K557" s="11">
        <v>119.683082580566</v>
      </c>
      <c r="L557" s="12" t="s">
        <v>1400</v>
      </c>
    </row>
    <row r="558">
      <c r="A558" s="9" t="s">
        <v>1308</v>
      </c>
      <c r="B558" s="9" t="s">
        <v>1309</v>
      </c>
      <c r="C558" s="9" t="s">
        <v>1401</v>
      </c>
      <c r="D558" s="9" t="s">
        <v>1402</v>
      </c>
      <c r="E558" s="9" t="s">
        <v>21</v>
      </c>
      <c r="F558" s="9">
        <v>624.0</v>
      </c>
      <c r="G558" s="9">
        <v>1912.0</v>
      </c>
      <c r="H558" s="9">
        <v>76.7</v>
      </c>
      <c r="I558" s="10">
        <v>42.0660485</v>
      </c>
      <c r="J558" s="10">
        <v>-91.7961118</v>
      </c>
      <c r="K558" s="11">
        <v>198.72981262207</v>
      </c>
      <c r="L558" s="12" t="s">
        <v>1403</v>
      </c>
    </row>
    <row r="559">
      <c r="A559" s="9" t="s">
        <v>1308</v>
      </c>
      <c r="B559" s="9" t="s">
        <v>1309</v>
      </c>
      <c r="C559" s="9" t="s">
        <v>1404</v>
      </c>
      <c r="D559" s="9" t="s">
        <v>1381</v>
      </c>
      <c r="E559" s="9" t="s">
        <v>24</v>
      </c>
      <c r="F559" s="9">
        <v>24.0</v>
      </c>
      <c r="G559" s="9">
        <v>58.0</v>
      </c>
      <c r="H559" s="9">
        <v>0.0</v>
      </c>
      <c r="I559" s="10">
        <v>37.09024</v>
      </c>
      <c r="J559" s="10">
        <v>-95.712891</v>
      </c>
      <c r="K559" s="11">
        <v>227.951690673828</v>
      </c>
      <c r="L559" s="12" t="s">
        <v>1405</v>
      </c>
    </row>
    <row r="560">
      <c r="A560" s="9" t="s">
        <v>1308</v>
      </c>
      <c r="B560" s="9" t="s">
        <v>1309</v>
      </c>
      <c r="C560" s="9" t="s">
        <v>1406</v>
      </c>
      <c r="D560" s="9" t="s">
        <v>1407</v>
      </c>
      <c r="E560" s="9" t="s">
        <v>21</v>
      </c>
      <c r="F560" s="9">
        <v>918.0</v>
      </c>
      <c r="G560" s="9">
        <v>2775.0</v>
      </c>
      <c r="H560" s="9">
        <v>82.9</v>
      </c>
      <c r="I560" s="10">
        <v>31.2232313</v>
      </c>
      <c r="J560" s="10">
        <v>-85.3904888</v>
      </c>
      <c r="K560" s="11">
        <v>67.4140243530273</v>
      </c>
      <c r="L560" s="12" t="s">
        <v>1408</v>
      </c>
    </row>
    <row r="561">
      <c r="A561" s="9" t="s">
        <v>1308</v>
      </c>
      <c r="B561" s="9" t="s">
        <v>1309</v>
      </c>
      <c r="C561" s="9" t="s">
        <v>1409</v>
      </c>
      <c r="D561" s="9" t="s">
        <v>1407</v>
      </c>
      <c r="E561" s="9" t="s">
        <v>21</v>
      </c>
      <c r="F561" s="9">
        <v>928.0</v>
      </c>
      <c r="G561" s="9">
        <v>2775.0</v>
      </c>
      <c r="H561" s="9">
        <v>86.3</v>
      </c>
      <c r="I561" s="10">
        <v>31.2232313</v>
      </c>
      <c r="J561" s="10">
        <v>-85.3904888</v>
      </c>
      <c r="K561" s="11">
        <v>67.4140243530273</v>
      </c>
      <c r="L561" s="12" t="s">
        <v>1410</v>
      </c>
    </row>
    <row r="562">
      <c r="A562" s="9" t="s">
        <v>1308</v>
      </c>
      <c r="B562" s="9" t="s">
        <v>1309</v>
      </c>
      <c r="C562" s="9" t="s">
        <v>1411</v>
      </c>
      <c r="D562" s="9" t="s">
        <v>1412</v>
      </c>
      <c r="E562" s="9" t="s">
        <v>24</v>
      </c>
      <c r="F562" s="9">
        <v>65.0</v>
      </c>
      <c r="G562" s="9">
        <v>200.0</v>
      </c>
      <c r="H562" s="9">
        <v>0.0</v>
      </c>
      <c r="I562" s="10">
        <v>33.5422475</v>
      </c>
      <c r="J562" s="10">
        <v>-117.7831104</v>
      </c>
      <c r="K562" s="11">
        <v>4.4555549621582</v>
      </c>
      <c r="L562" s="12" t="s">
        <v>1413</v>
      </c>
    </row>
    <row r="563">
      <c r="A563" s="9" t="s">
        <v>1308</v>
      </c>
      <c r="B563" s="9" t="s">
        <v>1309</v>
      </c>
      <c r="C563" s="9" t="s">
        <v>1414</v>
      </c>
      <c r="D563" s="9" t="s">
        <v>1412</v>
      </c>
      <c r="E563" s="9" t="s">
        <v>21</v>
      </c>
      <c r="F563" s="9">
        <v>1100.0</v>
      </c>
      <c r="G563" s="9">
        <v>3430.0</v>
      </c>
      <c r="H563" s="9">
        <v>75.1</v>
      </c>
      <c r="I563" s="10">
        <v>33.5422475</v>
      </c>
      <c r="J563" s="10">
        <v>-117.7831104</v>
      </c>
      <c r="K563" s="11">
        <v>2.17086410522461</v>
      </c>
      <c r="L563" s="12" t="s">
        <v>1415</v>
      </c>
    </row>
    <row r="564">
      <c r="A564" s="9" t="s">
        <v>1308</v>
      </c>
      <c r="B564" s="9" t="s">
        <v>1309</v>
      </c>
      <c r="C564" s="9" t="s">
        <v>1416</v>
      </c>
      <c r="D564" s="9" t="s">
        <v>1417</v>
      </c>
      <c r="E564" s="9" t="s">
        <v>21</v>
      </c>
      <c r="F564" s="9">
        <v>849.0</v>
      </c>
      <c r="G564" s="9">
        <v>2536.0</v>
      </c>
      <c r="H564" s="9">
        <v>76.1</v>
      </c>
      <c r="I564" s="10">
        <v>43.4553461</v>
      </c>
      <c r="J564" s="10">
        <v>-76.5104973</v>
      </c>
      <c r="K564" s="11">
        <v>54.2533493041992</v>
      </c>
      <c r="L564" s="12" t="s">
        <v>1418</v>
      </c>
    </row>
    <row r="565">
      <c r="A565" s="9" t="s">
        <v>1308</v>
      </c>
      <c r="B565" s="9" t="s">
        <v>1309</v>
      </c>
      <c r="C565" s="9" t="s">
        <v>1419</v>
      </c>
      <c r="D565" s="9" t="s">
        <v>1420</v>
      </c>
      <c r="E565" s="9" t="s">
        <v>21</v>
      </c>
      <c r="F565" s="9">
        <v>512.0</v>
      </c>
      <c r="G565" s="9">
        <v>1500.0</v>
      </c>
      <c r="H565" s="9">
        <v>71.6</v>
      </c>
      <c r="I565" s="10">
        <v>41.4558282</v>
      </c>
      <c r="J565" s="10">
        <v>-96.0264024</v>
      </c>
      <c r="K565" s="11">
        <v>299.831115722656</v>
      </c>
      <c r="L565" s="12" t="s">
        <v>1421</v>
      </c>
    </row>
    <row r="566">
      <c r="A566" s="9" t="s">
        <v>1308</v>
      </c>
      <c r="B566" s="9" t="s">
        <v>1309</v>
      </c>
      <c r="C566" s="9" t="s">
        <v>1422</v>
      </c>
      <c r="D566" s="9" t="s">
        <v>1423</v>
      </c>
      <c r="E566" s="9" t="s">
        <v>24</v>
      </c>
      <c r="F566" s="9">
        <v>342.0</v>
      </c>
      <c r="G566" s="9">
        <v>842.0</v>
      </c>
      <c r="H566" s="9">
        <v>15.2</v>
      </c>
      <c r="I566" s="10">
        <v>42.73416</v>
      </c>
      <c r="J566" s="10">
        <v>-90.4784621</v>
      </c>
      <c r="K566" s="11">
        <v>271.012542724609</v>
      </c>
      <c r="L566" s="12" t="s">
        <v>1424</v>
      </c>
    </row>
    <row r="567">
      <c r="A567" s="9" t="s">
        <v>1308</v>
      </c>
      <c r="B567" s="9" t="s">
        <v>1309</v>
      </c>
      <c r="C567" s="9" t="s">
        <v>1425</v>
      </c>
      <c r="D567" s="9" t="s">
        <v>1426</v>
      </c>
      <c r="E567" s="9" t="s">
        <v>24</v>
      </c>
      <c r="F567" s="9">
        <v>24.0</v>
      </c>
      <c r="G567" s="9">
        <v>50.0</v>
      </c>
      <c r="H567" s="9">
        <v>0.0</v>
      </c>
      <c r="I567" s="10">
        <v>37.6935782</v>
      </c>
      <c r="J567" s="10">
        <v>-121.9048905</v>
      </c>
      <c r="K567" s="11">
        <v>82.669563293457</v>
      </c>
      <c r="L567" s="12" t="s">
        <v>1427</v>
      </c>
    </row>
    <row r="568">
      <c r="A568" s="9" t="s">
        <v>1308</v>
      </c>
      <c r="B568" s="9" t="s">
        <v>1309</v>
      </c>
      <c r="C568" s="9" t="s">
        <v>1428</v>
      </c>
      <c r="D568" s="9" t="s">
        <v>1429</v>
      </c>
      <c r="E568" s="9" t="s">
        <v>21</v>
      </c>
      <c r="F568" s="9">
        <v>608.0</v>
      </c>
      <c r="G568" s="9">
        <v>1775.0</v>
      </c>
      <c r="H568" s="9">
        <v>83.9</v>
      </c>
      <c r="I568" s="10">
        <v>34.0633443</v>
      </c>
      <c r="J568" s="10">
        <v>-117.6508876</v>
      </c>
      <c r="K568" s="11">
        <v>272.368621826172</v>
      </c>
      <c r="L568" s="12" t="s">
        <v>1430</v>
      </c>
    </row>
    <row r="569">
      <c r="A569" s="9" t="s">
        <v>1308</v>
      </c>
      <c r="B569" s="9" t="s">
        <v>1309</v>
      </c>
      <c r="C569" s="9" t="s">
        <v>1431</v>
      </c>
      <c r="D569" s="9" t="s">
        <v>1432</v>
      </c>
      <c r="E569" s="9" t="s">
        <v>21</v>
      </c>
      <c r="F569" s="9">
        <v>1500.0</v>
      </c>
      <c r="G569" s="9">
        <v>4408.0</v>
      </c>
      <c r="H569" s="9">
        <v>86.4</v>
      </c>
      <c r="I569" s="10">
        <v>31.9607734</v>
      </c>
      <c r="J569" s="10">
        <v>-90.9817325</v>
      </c>
      <c r="K569" s="11">
        <v>17.6161193847656</v>
      </c>
      <c r="L569" s="12" t="s">
        <v>1433</v>
      </c>
    </row>
    <row r="570">
      <c r="A570" s="9" t="s">
        <v>1308</v>
      </c>
      <c r="B570" s="9" t="s">
        <v>1309</v>
      </c>
      <c r="C570" s="9" t="s">
        <v>1434</v>
      </c>
      <c r="D570" s="9" t="s">
        <v>1434</v>
      </c>
      <c r="E570" s="9" t="s">
        <v>24</v>
      </c>
      <c r="F570" s="9">
        <v>603.0</v>
      </c>
      <c r="G570" s="9">
        <v>1825.0</v>
      </c>
      <c r="H570" s="9">
        <v>73.5</v>
      </c>
      <c r="I570" s="10">
        <v>41.4771433</v>
      </c>
      <c r="J570" s="10">
        <v>-72.5122763</v>
      </c>
      <c r="K570" s="11">
        <v>-6.21160316467285</v>
      </c>
      <c r="L570" s="12" t="s">
        <v>1435</v>
      </c>
    </row>
    <row r="571">
      <c r="A571" s="9" t="s">
        <v>1308</v>
      </c>
      <c r="B571" s="9" t="s">
        <v>1309</v>
      </c>
      <c r="C571" s="9" t="s">
        <v>1436</v>
      </c>
      <c r="D571" s="9" t="s">
        <v>1437</v>
      </c>
      <c r="E571" s="9" t="s">
        <v>24</v>
      </c>
      <c r="F571" s="9">
        <v>84.0</v>
      </c>
      <c r="G571" s="9">
        <v>256.0</v>
      </c>
      <c r="H571" s="9">
        <v>0.0</v>
      </c>
      <c r="I571" s="10">
        <v>40.806862</v>
      </c>
      <c r="J571" s="10">
        <v>-96.681679</v>
      </c>
      <c r="K571" s="11">
        <v>346.781677246094</v>
      </c>
      <c r="L571" s="12" t="s">
        <v>1438</v>
      </c>
    </row>
    <row r="572">
      <c r="A572" s="9" t="s">
        <v>1308</v>
      </c>
      <c r="B572" s="9" t="s">
        <v>1309</v>
      </c>
      <c r="C572" s="9" t="s">
        <v>1439</v>
      </c>
      <c r="D572" s="9" t="s">
        <v>1440</v>
      </c>
      <c r="E572" s="9" t="s">
        <v>21</v>
      </c>
      <c r="F572" s="9">
        <v>960.0</v>
      </c>
      <c r="G572" s="9">
        <v>2900.0</v>
      </c>
      <c r="H572" s="9">
        <v>87.9</v>
      </c>
      <c r="I572" s="10">
        <v>35.6809856</v>
      </c>
      <c r="J572" s="10">
        <v>-78.9355668</v>
      </c>
      <c r="K572" s="11">
        <v>66.2731323242188</v>
      </c>
      <c r="L572" s="12" t="s">
        <v>1441</v>
      </c>
    </row>
    <row r="573">
      <c r="A573" s="9" t="s">
        <v>1308</v>
      </c>
      <c r="B573" s="9" t="s">
        <v>1309</v>
      </c>
      <c r="C573" s="9" t="s">
        <v>1442</v>
      </c>
      <c r="D573" s="9" t="s">
        <v>1443</v>
      </c>
      <c r="E573" s="9" t="s">
        <v>21</v>
      </c>
      <c r="F573" s="9">
        <v>911.0</v>
      </c>
      <c r="G573" s="9">
        <v>2804.0</v>
      </c>
      <c r="H573" s="9">
        <v>79.5</v>
      </c>
      <c r="I573" s="10">
        <v>31.7782514</v>
      </c>
      <c r="J573" s="10">
        <v>-82.3484618</v>
      </c>
      <c r="K573" s="11">
        <v>31.7446174621582</v>
      </c>
      <c r="L573" s="12" t="s">
        <v>1444</v>
      </c>
    </row>
    <row r="574">
      <c r="A574" s="9" t="s">
        <v>1308</v>
      </c>
      <c r="B574" s="9" t="s">
        <v>1309</v>
      </c>
      <c r="C574" s="9" t="s">
        <v>1445</v>
      </c>
      <c r="D574" s="9" t="s">
        <v>1443</v>
      </c>
      <c r="E574" s="9" t="s">
        <v>21</v>
      </c>
      <c r="F574" s="9">
        <v>921.0</v>
      </c>
      <c r="G574" s="9">
        <v>2804.0</v>
      </c>
      <c r="H574" s="9">
        <v>79.9</v>
      </c>
      <c r="I574" s="10">
        <v>31.7782514</v>
      </c>
      <c r="J574" s="10">
        <v>-82.3484618</v>
      </c>
      <c r="K574" s="11">
        <v>31.7446174621582</v>
      </c>
      <c r="L574" s="12" t="s">
        <v>1446</v>
      </c>
    </row>
    <row r="575">
      <c r="A575" s="9" t="s">
        <v>1308</v>
      </c>
      <c r="B575" s="9" t="s">
        <v>1309</v>
      </c>
      <c r="C575" s="9" t="s">
        <v>1447</v>
      </c>
      <c r="D575" s="9" t="s">
        <v>1448</v>
      </c>
      <c r="E575" s="9" t="s">
        <v>21</v>
      </c>
      <c r="F575" s="9">
        <v>1240.0</v>
      </c>
      <c r="G575" s="9">
        <v>3840.0</v>
      </c>
      <c r="H575" s="9">
        <v>85.3</v>
      </c>
      <c r="I575" s="10">
        <v>42.51954</v>
      </c>
      <c r="J575" s="10">
        <v>-70.8967155</v>
      </c>
      <c r="K575" s="11">
        <v>-23.4202823638916</v>
      </c>
      <c r="L575" s="12" t="s">
        <v>1449</v>
      </c>
    </row>
    <row r="576">
      <c r="A576" s="9" t="s">
        <v>1308</v>
      </c>
      <c r="B576" s="9" t="s">
        <v>1309</v>
      </c>
      <c r="C576" s="9" t="s">
        <v>1450</v>
      </c>
      <c r="D576" s="9" t="s">
        <v>1451</v>
      </c>
      <c r="E576" s="9" t="s">
        <v>24</v>
      </c>
      <c r="F576" s="9">
        <v>65.0</v>
      </c>
      <c r="G576" s="9">
        <v>220.0</v>
      </c>
      <c r="H576" s="9">
        <v>0.0</v>
      </c>
      <c r="I576" s="10">
        <v>40.8020712</v>
      </c>
      <c r="J576" s="10">
        <v>-124.1636729</v>
      </c>
      <c r="K576" s="11">
        <v>-18.1665935516357</v>
      </c>
      <c r="L576" s="12" t="s">
        <v>1452</v>
      </c>
    </row>
    <row r="577">
      <c r="A577" s="9" t="s">
        <v>1308</v>
      </c>
      <c r="B577" s="9" t="s">
        <v>1309</v>
      </c>
      <c r="C577" s="9" t="s">
        <v>1453</v>
      </c>
      <c r="D577" s="9" t="s">
        <v>1454</v>
      </c>
      <c r="E577" s="9" t="s">
        <v>24</v>
      </c>
      <c r="F577" s="9">
        <v>277.0</v>
      </c>
      <c r="G577" s="9">
        <v>615.0</v>
      </c>
      <c r="H577" s="9">
        <v>0.0</v>
      </c>
      <c r="I577" s="10">
        <v>41.8272684</v>
      </c>
      <c r="J577" s="10">
        <v>-86.3611248</v>
      </c>
      <c r="K577" s="11">
        <v>188.132354736328</v>
      </c>
      <c r="L577" s="12" t="s">
        <v>1455</v>
      </c>
    </row>
    <row r="578">
      <c r="A578" s="9" t="s">
        <v>1308</v>
      </c>
      <c r="B578" s="9" t="s">
        <v>1309</v>
      </c>
      <c r="C578" s="9" t="s">
        <v>1456</v>
      </c>
      <c r="D578" s="9" t="s">
        <v>1454</v>
      </c>
      <c r="E578" s="9" t="s">
        <v>21</v>
      </c>
      <c r="F578" s="9">
        <v>1067.0</v>
      </c>
      <c r="G578" s="9">
        <v>3216.0</v>
      </c>
      <c r="H578" s="9">
        <v>73.3</v>
      </c>
      <c r="I578" s="10">
        <v>41.8272684</v>
      </c>
      <c r="J578" s="10">
        <v>-86.3611248</v>
      </c>
      <c r="K578" s="11">
        <v>188.132354736328</v>
      </c>
      <c r="L578" s="12" t="s">
        <v>1457</v>
      </c>
    </row>
    <row r="579">
      <c r="A579" s="9" t="s">
        <v>1308</v>
      </c>
      <c r="B579" s="9" t="s">
        <v>1309</v>
      </c>
      <c r="C579" s="9" t="s">
        <v>1458</v>
      </c>
      <c r="D579" s="9" t="s">
        <v>1454</v>
      </c>
      <c r="E579" s="9" t="s">
        <v>21</v>
      </c>
      <c r="F579" s="9">
        <v>1085.0</v>
      </c>
      <c r="G579" s="9">
        <v>3216.0</v>
      </c>
      <c r="H579" s="9">
        <v>69.2</v>
      </c>
      <c r="I579" s="10">
        <v>41.8272684</v>
      </c>
      <c r="J579" s="10">
        <v>-86.3611248</v>
      </c>
      <c r="K579" s="11">
        <v>188.132354736328</v>
      </c>
      <c r="L579" s="12" t="s">
        <v>1459</v>
      </c>
    </row>
    <row r="580">
      <c r="A580" s="9" t="s">
        <v>1308</v>
      </c>
      <c r="B580" s="9" t="s">
        <v>1309</v>
      </c>
      <c r="C580" s="9" t="s">
        <v>1460</v>
      </c>
      <c r="D580" s="9" t="s">
        <v>1461</v>
      </c>
      <c r="E580" s="9" t="s">
        <v>24</v>
      </c>
      <c r="F580" s="9">
        <v>595.0</v>
      </c>
      <c r="G580" s="9">
        <v>1772.0</v>
      </c>
      <c r="H580" s="9">
        <v>84.0</v>
      </c>
      <c r="I580" s="10">
        <v>45.2942822</v>
      </c>
      <c r="J580" s="10">
        <v>-123.1764949</v>
      </c>
      <c r="K580" s="11">
        <v>32.6611747741699</v>
      </c>
      <c r="L580" s="12" t="s">
        <v>1462</v>
      </c>
    </row>
    <row r="581">
      <c r="A581" s="9" t="s">
        <v>1308</v>
      </c>
      <c r="B581" s="9" t="s">
        <v>1309</v>
      </c>
      <c r="C581" s="9" t="s">
        <v>1463</v>
      </c>
      <c r="D581" s="9" t="s">
        <v>1464</v>
      </c>
      <c r="E581" s="9" t="s">
        <v>24</v>
      </c>
      <c r="F581" s="9">
        <v>55.0</v>
      </c>
      <c r="G581" s="9">
        <v>165.0</v>
      </c>
      <c r="H581" s="9">
        <v>51.0</v>
      </c>
      <c r="I581" s="10">
        <v>42.097248</v>
      </c>
      <c r="J581" s="10">
        <v>-88.6928688</v>
      </c>
      <c r="K581" s="11">
        <v>218.789215087891</v>
      </c>
      <c r="L581" s="12" t="s">
        <v>1465</v>
      </c>
    </row>
    <row r="582">
      <c r="A582" s="9" t="s">
        <v>1308</v>
      </c>
      <c r="B582" s="9" t="s">
        <v>1309</v>
      </c>
      <c r="C582" s="9" t="s">
        <v>1466</v>
      </c>
      <c r="D582" s="9" t="s">
        <v>1467</v>
      </c>
      <c r="E582" s="9" t="s">
        <v>21</v>
      </c>
      <c r="F582" s="9">
        <v>1207.0</v>
      </c>
      <c r="G582" s="9">
        <v>3546.0</v>
      </c>
      <c r="H582" s="9">
        <v>76.9</v>
      </c>
      <c r="I582" s="10">
        <v>41.3308666</v>
      </c>
      <c r="J582" s="10">
        <v>-88.7081293</v>
      </c>
      <c r="K582" s="11">
        <v>153.748733520508</v>
      </c>
      <c r="L582" s="12" t="s">
        <v>1468</v>
      </c>
    </row>
    <row r="583">
      <c r="A583" s="9" t="s">
        <v>1308</v>
      </c>
      <c r="B583" s="9" t="s">
        <v>1309</v>
      </c>
      <c r="C583" s="9" t="s">
        <v>1469</v>
      </c>
      <c r="D583" s="9" t="s">
        <v>1467</v>
      </c>
      <c r="E583" s="9" t="s">
        <v>21</v>
      </c>
      <c r="F583" s="9">
        <v>1207.0</v>
      </c>
      <c r="G583" s="9">
        <v>3546.0</v>
      </c>
      <c r="H583" s="9">
        <v>77.2</v>
      </c>
      <c r="I583" s="10">
        <v>41.3308666</v>
      </c>
      <c r="J583" s="10">
        <v>-88.7081293</v>
      </c>
      <c r="K583" s="11">
        <v>153.748733520508</v>
      </c>
      <c r="L583" s="12" t="s">
        <v>1470</v>
      </c>
    </row>
    <row r="584">
      <c r="A584" s="9" t="s">
        <v>1308</v>
      </c>
      <c r="B584" s="9" t="s">
        <v>1309</v>
      </c>
      <c r="C584" s="9" t="s">
        <v>1471</v>
      </c>
      <c r="D584" s="9" t="s">
        <v>1472</v>
      </c>
      <c r="E584" s="9" t="s">
        <v>21</v>
      </c>
      <c r="F584" s="9">
        <v>1194.0</v>
      </c>
      <c r="G584" s="9">
        <v>3515.0</v>
      </c>
      <c r="H584" s="9">
        <v>88.0</v>
      </c>
      <c r="I584" s="10">
        <v>40.2309343</v>
      </c>
      <c r="J584" s="10">
        <v>-75.5221245</v>
      </c>
      <c r="K584" s="11">
        <v>49.4395599365234</v>
      </c>
      <c r="L584" s="12" t="s">
        <v>1473</v>
      </c>
    </row>
    <row r="585">
      <c r="A585" s="9" t="s">
        <v>1308</v>
      </c>
      <c r="B585" s="9" t="s">
        <v>1309</v>
      </c>
      <c r="C585" s="9" t="s">
        <v>1474</v>
      </c>
      <c r="D585" s="9" t="s">
        <v>1472</v>
      </c>
      <c r="E585" s="9" t="s">
        <v>21</v>
      </c>
      <c r="F585" s="9">
        <v>1194.0</v>
      </c>
      <c r="G585" s="9">
        <v>3515.0</v>
      </c>
      <c r="H585" s="9">
        <v>92.2</v>
      </c>
      <c r="I585" s="10">
        <v>40.2309343</v>
      </c>
      <c r="J585" s="10">
        <v>-75.5221245</v>
      </c>
      <c r="K585" s="11">
        <v>49.4395599365234</v>
      </c>
      <c r="L585" s="12" t="s">
        <v>1475</v>
      </c>
    </row>
    <row r="586">
      <c r="A586" s="9" t="s">
        <v>1308</v>
      </c>
      <c r="B586" s="9" t="s">
        <v>1309</v>
      </c>
      <c r="C586" s="9" t="s">
        <v>1476</v>
      </c>
      <c r="D586" s="9" t="s">
        <v>1477</v>
      </c>
      <c r="E586" s="9" t="s">
        <v>24</v>
      </c>
      <c r="F586" s="9">
        <v>900.0</v>
      </c>
      <c r="G586" s="9">
        <v>2630.0</v>
      </c>
      <c r="H586" s="9">
        <v>68.2</v>
      </c>
      <c r="I586" s="10">
        <v>44.0028921</v>
      </c>
      <c r="J586" s="10">
        <v>-69.665583</v>
      </c>
      <c r="K586" s="11">
        <v>-7.86003875732422</v>
      </c>
      <c r="L586" s="12" t="s">
        <v>1478</v>
      </c>
    </row>
    <row r="587">
      <c r="A587" s="9" t="s">
        <v>1308</v>
      </c>
      <c r="B587" s="9" t="s">
        <v>1309</v>
      </c>
      <c r="C587" s="9" t="s">
        <v>1479</v>
      </c>
      <c r="D587" s="9" t="s">
        <v>1480</v>
      </c>
      <c r="E587" s="9" t="s">
        <v>21</v>
      </c>
      <c r="F587" s="9">
        <v>1215.0</v>
      </c>
      <c r="G587" s="9">
        <v>3411.0</v>
      </c>
      <c r="H587" s="9">
        <v>79.3</v>
      </c>
      <c r="I587" s="10">
        <v>35.4868032</v>
      </c>
      <c r="J587" s="10">
        <v>-80.8600736</v>
      </c>
      <c r="K587" s="11">
        <v>202.61589050293</v>
      </c>
      <c r="L587" s="12" t="s">
        <v>1481</v>
      </c>
    </row>
    <row r="588">
      <c r="A588" s="9" t="s">
        <v>1308</v>
      </c>
      <c r="B588" s="9" t="s">
        <v>1309</v>
      </c>
      <c r="C588" s="9" t="s">
        <v>1482</v>
      </c>
      <c r="D588" s="9" t="s">
        <v>1480</v>
      </c>
      <c r="E588" s="9" t="s">
        <v>21</v>
      </c>
      <c r="F588" s="9">
        <v>1215.0</v>
      </c>
      <c r="G588" s="9">
        <v>3411.0</v>
      </c>
      <c r="H588" s="9">
        <v>84.8</v>
      </c>
      <c r="I588" s="10">
        <v>35.4868032</v>
      </c>
      <c r="J588" s="10">
        <v>-80.8600736</v>
      </c>
      <c r="K588" s="11">
        <v>202.61589050293</v>
      </c>
      <c r="L588" s="12" t="s">
        <v>1483</v>
      </c>
    </row>
    <row r="589">
      <c r="A589" s="9" t="s">
        <v>1308</v>
      </c>
      <c r="B589" s="9" t="s">
        <v>1309</v>
      </c>
      <c r="C589" s="9" t="s">
        <v>1484</v>
      </c>
      <c r="D589" s="9" t="s">
        <v>1485</v>
      </c>
      <c r="E589" s="9" t="s">
        <v>24</v>
      </c>
      <c r="F589" s="9">
        <v>684.0</v>
      </c>
      <c r="G589" s="9">
        <v>2011.0</v>
      </c>
      <c r="H589" s="9">
        <v>65.1</v>
      </c>
      <c r="I589" s="10">
        <v>42.6907443</v>
      </c>
      <c r="J589" s="10">
        <v>-83.4066132</v>
      </c>
      <c r="K589" s="11">
        <v>263.674377441406</v>
      </c>
      <c r="L589" s="12" t="s">
        <v>1486</v>
      </c>
    </row>
    <row r="590">
      <c r="A590" s="9" t="s">
        <v>1308</v>
      </c>
      <c r="B590" s="9" t="s">
        <v>1309</v>
      </c>
      <c r="C590" s="9" t="s">
        <v>1487</v>
      </c>
      <c r="D590" s="9" t="s">
        <v>1485</v>
      </c>
      <c r="E590" s="9" t="s">
        <v>21</v>
      </c>
      <c r="F590" s="9">
        <v>918.0</v>
      </c>
      <c r="G590" s="9">
        <v>2700.0</v>
      </c>
      <c r="H590" s="9">
        <v>67.8</v>
      </c>
      <c r="I590" s="10">
        <v>42.6907443</v>
      </c>
      <c r="J590" s="10">
        <v>-83.4066132</v>
      </c>
      <c r="K590" s="11">
        <v>263.674377441406</v>
      </c>
      <c r="L590" s="12" t="s">
        <v>1488</v>
      </c>
    </row>
    <row r="591">
      <c r="A591" s="9" t="s">
        <v>1308</v>
      </c>
      <c r="B591" s="9" t="s">
        <v>1309</v>
      </c>
      <c r="C591" s="9" t="s">
        <v>1489</v>
      </c>
      <c r="D591" s="9" t="s">
        <v>1485</v>
      </c>
      <c r="E591" s="9" t="s">
        <v>21</v>
      </c>
      <c r="F591" s="9">
        <v>1280.0</v>
      </c>
      <c r="G591" s="9">
        <v>3650.0</v>
      </c>
      <c r="H591" s="9">
        <v>76.7</v>
      </c>
      <c r="I591" s="10">
        <v>42.6907443</v>
      </c>
      <c r="J591" s="10">
        <v>-83.4066132</v>
      </c>
      <c r="K591" s="11">
        <v>263.674377441406</v>
      </c>
      <c r="L591" s="12" t="s">
        <v>1490</v>
      </c>
    </row>
    <row r="592">
      <c r="A592" s="9" t="s">
        <v>1308</v>
      </c>
      <c r="B592" s="9" t="s">
        <v>1309</v>
      </c>
      <c r="C592" s="9" t="s">
        <v>1491</v>
      </c>
      <c r="D592" s="9" t="s">
        <v>1491</v>
      </c>
      <c r="E592" s="9" t="s">
        <v>21</v>
      </c>
      <c r="F592" s="9">
        <v>613.0</v>
      </c>
      <c r="G592" s="9">
        <v>1775.0</v>
      </c>
      <c r="H592" s="9">
        <v>80.1</v>
      </c>
      <c r="I592" s="10">
        <v>38.0086043</v>
      </c>
      <c r="J592" s="10">
        <v>-78.4531994</v>
      </c>
      <c r="K592" s="11">
        <v>103.173919677734</v>
      </c>
      <c r="L592" s="12" t="s">
        <v>1492</v>
      </c>
    </row>
    <row r="593">
      <c r="A593" s="9" t="s">
        <v>1308</v>
      </c>
      <c r="B593" s="9" t="s">
        <v>1309</v>
      </c>
      <c r="C593" s="9" t="s">
        <v>1493</v>
      </c>
      <c r="D593" s="9" t="s">
        <v>1494</v>
      </c>
      <c r="E593" s="9" t="s">
        <v>21</v>
      </c>
      <c r="F593" s="9">
        <v>642.0</v>
      </c>
      <c r="G593" s="9">
        <v>1850.0</v>
      </c>
      <c r="H593" s="9">
        <v>71.6</v>
      </c>
      <c r="I593" s="10">
        <v>43.4653465</v>
      </c>
      <c r="J593" s="10">
        <v>-76.4304934</v>
      </c>
      <c r="K593" s="11">
        <v>91.0161590576172</v>
      </c>
      <c r="L593" s="12" t="s">
        <v>1495</v>
      </c>
    </row>
    <row r="594">
      <c r="A594" s="9" t="s">
        <v>1308</v>
      </c>
      <c r="B594" s="9" t="s">
        <v>1309</v>
      </c>
      <c r="C594" s="9" t="s">
        <v>1496</v>
      </c>
      <c r="D594" s="9" t="s">
        <v>1494</v>
      </c>
      <c r="E594" s="9" t="s">
        <v>21</v>
      </c>
      <c r="F594" s="9">
        <v>1320.0</v>
      </c>
      <c r="G594" s="9">
        <v>3988.0</v>
      </c>
      <c r="H594" s="9">
        <v>82.4</v>
      </c>
      <c r="I594" s="10">
        <v>43.4653465</v>
      </c>
      <c r="J594" s="10">
        <v>-76.4304934</v>
      </c>
      <c r="K594" s="11">
        <v>90.3345184326172</v>
      </c>
      <c r="L594" s="12" t="s">
        <v>1497</v>
      </c>
    </row>
    <row r="595">
      <c r="A595" s="9" t="s">
        <v>1308</v>
      </c>
      <c r="B595" s="9" t="s">
        <v>1309</v>
      </c>
      <c r="C595" s="9" t="s">
        <v>1498</v>
      </c>
      <c r="D595" s="9" t="s">
        <v>1499</v>
      </c>
      <c r="E595" s="9" t="s">
        <v>21</v>
      </c>
      <c r="F595" s="9">
        <v>990.0</v>
      </c>
      <c r="G595" s="9">
        <v>2940.0</v>
      </c>
      <c r="H595" s="9">
        <v>80.5</v>
      </c>
      <c r="I595" s="10">
        <v>38.010695</v>
      </c>
      <c r="J595" s="10">
        <v>-77.9086068</v>
      </c>
      <c r="K595" s="11">
        <v>96.6587524414062</v>
      </c>
      <c r="L595" s="12" t="s">
        <v>1500</v>
      </c>
    </row>
    <row r="596">
      <c r="A596" s="9" t="s">
        <v>1308</v>
      </c>
      <c r="B596" s="9" t="s">
        <v>1309</v>
      </c>
      <c r="C596" s="9" t="s">
        <v>1501</v>
      </c>
      <c r="D596" s="9" t="s">
        <v>1499</v>
      </c>
      <c r="E596" s="9" t="s">
        <v>21</v>
      </c>
      <c r="F596" s="9">
        <v>1011.0</v>
      </c>
      <c r="G596" s="9">
        <v>2940.0</v>
      </c>
      <c r="H596" s="9">
        <v>83.6</v>
      </c>
      <c r="I596" s="10">
        <v>38.010695</v>
      </c>
      <c r="J596" s="10">
        <v>-77.9086068</v>
      </c>
      <c r="K596" s="11">
        <v>96.6587524414062</v>
      </c>
      <c r="L596" s="12" t="s">
        <v>1502</v>
      </c>
    </row>
    <row r="597">
      <c r="A597" s="9" t="s">
        <v>1308</v>
      </c>
      <c r="B597" s="9" t="s">
        <v>1309</v>
      </c>
      <c r="C597" s="9" t="s">
        <v>1503</v>
      </c>
      <c r="D597" s="9" t="s">
        <v>1504</v>
      </c>
      <c r="E597" s="9" t="s">
        <v>21</v>
      </c>
      <c r="F597" s="9">
        <v>891.0</v>
      </c>
      <c r="G597" s="9">
        <v>2568.0</v>
      </c>
      <c r="H597" s="9">
        <v>77.9</v>
      </c>
      <c r="I597" s="10">
        <v>34.749245</v>
      </c>
      <c r="J597" s="10">
        <v>-82.9931607</v>
      </c>
      <c r="K597" s="11">
        <v>232.397323608398</v>
      </c>
      <c r="L597" s="12" t="s">
        <v>1505</v>
      </c>
    </row>
    <row r="598">
      <c r="A598" s="9" t="s">
        <v>1308</v>
      </c>
      <c r="B598" s="9" t="s">
        <v>1309</v>
      </c>
      <c r="C598" s="9" t="s">
        <v>1506</v>
      </c>
      <c r="D598" s="9" t="s">
        <v>1504</v>
      </c>
      <c r="E598" s="9" t="s">
        <v>21</v>
      </c>
      <c r="F598" s="9">
        <v>891.0</v>
      </c>
      <c r="G598" s="9">
        <v>2568.0</v>
      </c>
      <c r="H598" s="9">
        <v>80.5</v>
      </c>
      <c r="I598" s="10">
        <v>34.749245</v>
      </c>
      <c r="J598" s="10">
        <v>-82.9931607</v>
      </c>
      <c r="K598" s="11">
        <v>232.397323608398</v>
      </c>
      <c r="L598" s="12" t="s">
        <v>1507</v>
      </c>
    </row>
    <row r="599">
      <c r="A599" s="9" t="s">
        <v>1308</v>
      </c>
      <c r="B599" s="9" t="s">
        <v>1309</v>
      </c>
      <c r="C599" s="9" t="s">
        <v>1508</v>
      </c>
      <c r="D599" s="9" t="s">
        <v>1504</v>
      </c>
      <c r="E599" s="9" t="s">
        <v>21</v>
      </c>
      <c r="F599" s="9">
        <v>891.0</v>
      </c>
      <c r="G599" s="9">
        <v>2568.0</v>
      </c>
      <c r="H599" s="9">
        <v>80.5</v>
      </c>
      <c r="I599" s="10">
        <v>34.749245</v>
      </c>
      <c r="J599" s="10">
        <v>-82.9931607</v>
      </c>
      <c r="K599" s="11">
        <v>232.397323608398</v>
      </c>
      <c r="L599" s="12" t="s">
        <v>1509</v>
      </c>
    </row>
    <row r="600">
      <c r="A600" s="9" t="s">
        <v>1308</v>
      </c>
      <c r="B600" s="9" t="s">
        <v>1309</v>
      </c>
      <c r="C600" s="9" t="s">
        <v>1510</v>
      </c>
      <c r="D600" s="9" t="s">
        <v>1511</v>
      </c>
      <c r="E600" s="9" t="s">
        <v>21</v>
      </c>
      <c r="F600" s="9">
        <v>652.0</v>
      </c>
      <c r="G600" s="9">
        <v>1930.0</v>
      </c>
      <c r="H600" s="9">
        <v>72.3</v>
      </c>
      <c r="I600" s="10">
        <v>39.8258333</v>
      </c>
      <c r="J600" s="10">
        <v>-74.1833333</v>
      </c>
      <c r="K600" s="11">
        <v>-30.3779582977295</v>
      </c>
      <c r="L600" s="12" t="s">
        <v>1512</v>
      </c>
    </row>
    <row r="601">
      <c r="A601" s="9" t="s">
        <v>1308</v>
      </c>
      <c r="B601" s="9" t="s">
        <v>1309</v>
      </c>
      <c r="C601" s="9" t="s">
        <v>1513</v>
      </c>
      <c r="D601" s="9" t="s">
        <v>1514</v>
      </c>
      <c r="E601" s="9" t="s">
        <v>21</v>
      </c>
      <c r="F601" s="9">
        <v>845.0</v>
      </c>
      <c r="G601" s="9">
        <v>2565.0</v>
      </c>
      <c r="H601" s="9">
        <v>68.4</v>
      </c>
      <c r="I601" s="10">
        <v>42.4030865</v>
      </c>
      <c r="J601" s="10">
        <v>-86.2736407</v>
      </c>
      <c r="K601" s="11">
        <v>145.281661987305</v>
      </c>
      <c r="L601" s="12" t="s">
        <v>1515</v>
      </c>
    </row>
    <row r="602">
      <c r="A602" s="9" t="s">
        <v>1308</v>
      </c>
      <c r="B602" s="9" t="s">
        <v>1309</v>
      </c>
      <c r="C602" s="9" t="s">
        <v>1516</v>
      </c>
      <c r="D602" s="9" t="s">
        <v>1517</v>
      </c>
      <c r="E602" s="9" t="s">
        <v>21</v>
      </c>
      <c r="F602" s="9">
        <v>1414.0</v>
      </c>
      <c r="G602" s="9">
        <v>3990.0</v>
      </c>
      <c r="H602" s="9">
        <v>77.8</v>
      </c>
      <c r="I602" s="10">
        <v>33.425049</v>
      </c>
      <c r="J602" s="10">
        <v>-112.861702</v>
      </c>
      <c r="K602" s="11">
        <v>274.654693603516</v>
      </c>
      <c r="L602" s="12" t="s">
        <v>1518</v>
      </c>
    </row>
    <row r="603">
      <c r="A603" s="9" t="s">
        <v>1308</v>
      </c>
      <c r="B603" s="9" t="s">
        <v>1309</v>
      </c>
      <c r="C603" s="9" t="s">
        <v>1519</v>
      </c>
      <c r="D603" s="9" t="s">
        <v>1517</v>
      </c>
      <c r="E603" s="9" t="s">
        <v>21</v>
      </c>
      <c r="F603" s="9">
        <v>1414.0</v>
      </c>
      <c r="G603" s="9">
        <v>3990.0</v>
      </c>
      <c r="H603" s="9">
        <v>82.1</v>
      </c>
      <c r="I603" s="10">
        <v>33.425049</v>
      </c>
      <c r="J603" s="10">
        <v>-112.861702</v>
      </c>
      <c r="K603" s="11">
        <v>274.654693603516</v>
      </c>
      <c r="L603" s="12" t="s">
        <v>1520</v>
      </c>
    </row>
    <row r="604">
      <c r="A604" s="9" t="s">
        <v>1308</v>
      </c>
      <c r="B604" s="9" t="s">
        <v>1309</v>
      </c>
      <c r="C604" s="9" t="s">
        <v>1521</v>
      </c>
      <c r="D604" s="9" t="s">
        <v>1517</v>
      </c>
      <c r="E604" s="9" t="s">
        <v>21</v>
      </c>
      <c r="F604" s="9">
        <v>1414.0</v>
      </c>
      <c r="G604" s="9">
        <v>3990.0</v>
      </c>
      <c r="H604" s="9">
        <v>83.5</v>
      </c>
      <c r="I604" s="10">
        <v>33.425049</v>
      </c>
      <c r="J604" s="10">
        <v>-112.861702</v>
      </c>
      <c r="K604" s="11">
        <v>274.654693603516</v>
      </c>
      <c r="L604" s="12" t="s">
        <v>1522</v>
      </c>
    </row>
    <row r="605">
      <c r="A605" s="9" t="s">
        <v>1308</v>
      </c>
      <c r="B605" s="9" t="s">
        <v>1309</v>
      </c>
      <c r="C605" s="9" t="s">
        <v>1523</v>
      </c>
      <c r="D605" s="9" t="s">
        <v>1381</v>
      </c>
      <c r="E605" s="9" t="s">
        <v>24</v>
      </c>
      <c r="F605" s="9">
        <v>63.0</v>
      </c>
      <c r="G605" s="9">
        <v>220.0</v>
      </c>
      <c r="H605" s="9">
        <v>0.0</v>
      </c>
      <c r="I605" s="10">
        <v>37.09024</v>
      </c>
      <c r="J605" s="10">
        <v>-95.712891</v>
      </c>
      <c r="K605" s="11">
        <v>227.951690673828</v>
      </c>
      <c r="L605" s="12" t="s">
        <v>1524</v>
      </c>
    </row>
    <row r="606">
      <c r="A606" s="9" t="s">
        <v>1308</v>
      </c>
      <c r="B606" s="9" t="s">
        <v>1309</v>
      </c>
      <c r="C606" s="9" t="s">
        <v>1525</v>
      </c>
      <c r="D606" s="9" t="s">
        <v>1357</v>
      </c>
      <c r="E606" s="9" t="s">
        <v>24</v>
      </c>
      <c r="F606" s="9">
        <v>42.0</v>
      </c>
      <c r="G606" s="9">
        <v>115.0</v>
      </c>
      <c r="H606" s="9">
        <v>0.0</v>
      </c>
      <c r="I606" s="10">
        <v>39.9512496</v>
      </c>
      <c r="J606" s="10">
        <v>-76.7336521</v>
      </c>
      <c r="K606" s="11">
        <v>91.1608581542969</v>
      </c>
      <c r="L606" s="12" t="s">
        <v>1526</v>
      </c>
    </row>
    <row r="607">
      <c r="A607" s="9" t="s">
        <v>1308</v>
      </c>
      <c r="B607" s="9" t="s">
        <v>1309</v>
      </c>
      <c r="C607" s="9" t="s">
        <v>1527</v>
      </c>
      <c r="D607" s="9" t="s">
        <v>1357</v>
      </c>
      <c r="E607" s="9" t="s">
        <v>21</v>
      </c>
      <c r="F607" s="9">
        <v>1182.0</v>
      </c>
      <c r="G607" s="9">
        <v>3514.0</v>
      </c>
      <c r="H607" s="9">
        <v>74.3</v>
      </c>
      <c r="I607" s="10">
        <v>39.9512496</v>
      </c>
      <c r="J607" s="10">
        <v>-76.7336521</v>
      </c>
      <c r="K607" s="11">
        <v>91.1608581542969</v>
      </c>
      <c r="L607" s="12" t="s">
        <v>1528</v>
      </c>
    </row>
    <row r="608">
      <c r="A608" s="9" t="s">
        <v>1308</v>
      </c>
      <c r="B608" s="9" t="s">
        <v>1309</v>
      </c>
      <c r="C608" s="9" t="s">
        <v>1529</v>
      </c>
      <c r="D608" s="9" t="s">
        <v>1357</v>
      </c>
      <c r="E608" s="9" t="s">
        <v>21</v>
      </c>
      <c r="F608" s="9">
        <v>1182.0</v>
      </c>
      <c r="G608" s="9">
        <v>3514.0</v>
      </c>
      <c r="H608" s="9">
        <v>75.3</v>
      </c>
      <c r="I608" s="10">
        <v>39.9512496</v>
      </c>
      <c r="J608" s="10">
        <v>-76.7336521</v>
      </c>
      <c r="K608" s="11">
        <v>91.1608581542969</v>
      </c>
      <c r="L608" s="12" t="s">
        <v>1530</v>
      </c>
    </row>
    <row r="609">
      <c r="A609" s="9" t="s">
        <v>1308</v>
      </c>
      <c r="B609" s="9" t="s">
        <v>1309</v>
      </c>
      <c r="C609" s="9" t="s">
        <v>1532</v>
      </c>
      <c r="D609" s="9" t="s">
        <v>1533</v>
      </c>
      <c r="E609" s="9" t="s">
        <v>21</v>
      </c>
      <c r="F609" s="9">
        <v>1303.0</v>
      </c>
      <c r="G609" s="9">
        <v>3758.0</v>
      </c>
      <c r="H609" s="9">
        <v>79.2</v>
      </c>
      <c r="I609" s="10">
        <v>32.4582065</v>
      </c>
      <c r="J609" s="10">
        <v>-83.7315723</v>
      </c>
      <c r="K609" s="11">
        <v>73.0311737060547</v>
      </c>
      <c r="L609" s="12" t="s">
        <v>1534</v>
      </c>
    </row>
    <row r="610">
      <c r="A610" s="9" t="s">
        <v>1308</v>
      </c>
      <c r="B610" s="9" t="s">
        <v>1309</v>
      </c>
      <c r="C610" s="9" t="s">
        <v>1535</v>
      </c>
      <c r="D610" s="9" t="s">
        <v>1536</v>
      </c>
      <c r="E610" s="9" t="s">
        <v>21</v>
      </c>
      <c r="F610" s="9">
        <v>711.0</v>
      </c>
      <c r="G610" s="9">
        <v>2028.0</v>
      </c>
      <c r="H610" s="9">
        <v>68.8</v>
      </c>
      <c r="I610" s="10">
        <v>45.0105194</v>
      </c>
      <c r="J610" s="10">
        <v>-93.4555093</v>
      </c>
      <c r="K610" s="11">
        <v>264.847625732422</v>
      </c>
      <c r="L610" s="12" t="s">
        <v>1537</v>
      </c>
    </row>
    <row r="611">
      <c r="A611" s="9" t="s">
        <v>1308</v>
      </c>
      <c r="B611" s="9" t="s">
        <v>1309</v>
      </c>
      <c r="C611" s="9" t="s">
        <v>1538</v>
      </c>
      <c r="D611" s="9" t="s">
        <v>1539</v>
      </c>
      <c r="E611" s="9" t="s">
        <v>24</v>
      </c>
      <c r="F611" s="9">
        <v>12.0</v>
      </c>
      <c r="G611" s="9">
        <v>46.0</v>
      </c>
      <c r="H611" s="9">
        <v>0.0</v>
      </c>
      <c r="I611" s="10">
        <v>40.1447732</v>
      </c>
      <c r="J611" s="10">
        <v>-84.2424449</v>
      </c>
      <c r="K611" s="11">
        <v>258.392669677734</v>
      </c>
      <c r="L611" s="12" t="s">
        <v>1540</v>
      </c>
    </row>
    <row r="612">
      <c r="A612" s="9" t="s">
        <v>1308</v>
      </c>
      <c r="B612" s="9" t="s">
        <v>1309</v>
      </c>
      <c r="C612" s="9" t="s">
        <v>1541</v>
      </c>
      <c r="D612" s="9" t="s">
        <v>1542</v>
      </c>
      <c r="E612" s="9" t="s">
        <v>21</v>
      </c>
      <c r="F612" s="9">
        <v>640.0</v>
      </c>
      <c r="G612" s="9">
        <v>1800.0</v>
      </c>
      <c r="H612" s="9">
        <v>79.9</v>
      </c>
      <c r="I612" s="10">
        <v>44.3022186</v>
      </c>
      <c r="J612" s="10">
        <v>-87.5631378</v>
      </c>
      <c r="K612" s="11">
        <v>162.796630859375</v>
      </c>
      <c r="L612" s="12" t="s">
        <v>1543</v>
      </c>
    </row>
    <row r="613">
      <c r="A613" s="9" t="s">
        <v>1308</v>
      </c>
      <c r="B613" s="9" t="s">
        <v>1309</v>
      </c>
      <c r="C613" s="9" t="s">
        <v>1544</v>
      </c>
      <c r="D613" s="9" t="s">
        <v>1542</v>
      </c>
      <c r="E613" s="9" t="s">
        <v>21</v>
      </c>
      <c r="F613" s="9">
        <v>640.0</v>
      </c>
      <c r="G613" s="9">
        <v>1800.0</v>
      </c>
      <c r="H613" s="9">
        <v>83.0</v>
      </c>
      <c r="I613" s="10">
        <v>44.3022186</v>
      </c>
      <c r="J613" s="10">
        <v>-87.5631378</v>
      </c>
      <c r="K613" s="11">
        <v>162.796630859375</v>
      </c>
      <c r="L613" s="12" t="s">
        <v>1545</v>
      </c>
    </row>
    <row r="614">
      <c r="A614" s="9" t="s">
        <v>1308</v>
      </c>
      <c r="B614" s="9" t="s">
        <v>1309</v>
      </c>
      <c r="C614" s="9" t="s">
        <v>1546</v>
      </c>
      <c r="D614" s="9" t="s">
        <v>1547</v>
      </c>
      <c r="E614" s="9" t="s">
        <v>21</v>
      </c>
      <c r="F614" s="9">
        <v>566.0</v>
      </c>
      <c r="G614" s="9">
        <v>1677.0</v>
      </c>
      <c r="H614" s="9">
        <v>85.7</v>
      </c>
      <c r="I614" s="10">
        <v>44.5660691</v>
      </c>
      <c r="J614" s="10">
        <v>-92.5369563</v>
      </c>
      <c r="K614" s="11">
        <v>213.076171875</v>
      </c>
      <c r="L614" s="12" t="s">
        <v>1548</v>
      </c>
    </row>
    <row r="615">
      <c r="A615" s="9" t="s">
        <v>1308</v>
      </c>
      <c r="B615" s="9" t="s">
        <v>1309</v>
      </c>
      <c r="C615" s="9" t="s">
        <v>1549</v>
      </c>
      <c r="D615" s="9" t="s">
        <v>1547</v>
      </c>
      <c r="E615" s="9" t="s">
        <v>21</v>
      </c>
      <c r="F615" s="9">
        <v>560.0</v>
      </c>
      <c r="G615" s="9">
        <v>1677.0</v>
      </c>
      <c r="H615" s="9">
        <v>87.2</v>
      </c>
      <c r="I615" s="10">
        <v>44.5660691</v>
      </c>
      <c r="J615" s="10">
        <v>-92.5369563</v>
      </c>
      <c r="K615" s="11">
        <v>213.076171875</v>
      </c>
      <c r="L615" s="12" t="s">
        <v>1550</v>
      </c>
    </row>
    <row r="616">
      <c r="A616" s="9" t="s">
        <v>1308</v>
      </c>
      <c r="B616" s="9" t="s">
        <v>1309</v>
      </c>
      <c r="C616" s="9" t="s">
        <v>1551</v>
      </c>
      <c r="D616" s="9" t="s">
        <v>1552</v>
      </c>
      <c r="E616" s="9" t="s">
        <v>21</v>
      </c>
      <c r="F616" s="9">
        <v>940.0</v>
      </c>
      <c r="G616" s="9">
        <v>2957.0</v>
      </c>
      <c r="H616" s="9">
        <v>74.8</v>
      </c>
      <c r="I616" s="10">
        <v>41.726389</v>
      </c>
      <c r="J616" s="10">
        <v>-90.31</v>
      </c>
      <c r="K616" s="11">
        <v>0.0</v>
      </c>
      <c r="L616" s="12" t="s">
        <v>1553</v>
      </c>
    </row>
    <row r="617">
      <c r="A617" s="9" t="s">
        <v>1308</v>
      </c>
      <c r="B617" s="9" t="s">
        <v>1309</v>
      </c>
      <c r="C617" s="9" t="s">
        <v>1554</v>
      </c>
      <c r="D617" s="9" t="s">
        <v>1552</v>
      </c>
      <c r="E617" s="9" t="s">
        <v>21</v>
      </c>
      <c r="F617" s="9">
        <v>940.0</v>
      </c>
      <c r="G617" s="9">
        <v>2957.0</v>
      </c>
      <c r="H617" s="9">
        <v>73.7</v>
      </c>
      <c r="I617" s="10">
        <v>41.726389</v>
      </c>
      <c r="J617" s="10">
        <v>-90.31</v>
      </c>
      <c r="K617" s="11">
        <v>0.0</v>
      </c>
      <c r="L617" s="12" t="s">
        <v>1555</v>
      </c>
    </row>
    <row r="618">
      <c r="A618" s="9" t="s">
        <v>1308</v>
      </c>
      <c r="B618" s="9" t="s">
        <v>1309</v>
      </c>
      <c r="C618" s="9" t="s">
        <v>1556</v>
      </c>
      <c r="D618" s="9" t="s">
        <v>1557</v>
      </c>
      <c r="E618" s="9" t="s">
        <v>24</v>
      </c>
      <c r="F618" s="9">
        <v>917.0</v>
      </c>
      <c r="G618" s="9">
        <v>2772.0</v>
      </c>
      <c r="H618" s="9">
        <v>40.0</v>
      </c>
      <c r="I618" s="10">
        <v>38.5815719</v>
      </c>
      <c r="J618" s="10">
        <v>-121.4943996</v>
      </c>
      <c r="K618" s="11">
        <v>-22.4553394317627</v>
      </c>
      <c r="L618" s="12" t="s">
        <v>1558</v>
      </c>
    </row>
    <row r="619">
      <c r="A619" s="9" t="s">
        <v>1308</v>
      </c>
      <c r="B619" s="9" t="s">
        <v>1309</v>
      </c>
      <c r="C619" s="9" t="s">
        <v>1559</v>
      </c>
      <c r="D619" s="9" t="s">
        <v>1560</v>
      </c>
      <c r="E619" s="9" t="s">
        <v>21</v>
      </c>
      <c r="F619" s="9">
        <v>1016.0</v>
      </c>
      <c r="G619" s="9">
        <v>3091.0</v>
      </c>
      <c r="H619" s="9">
        <v>81.2</v>
      </c>
      <c r="I619" s="10">
        <v>30.7880721</v>
      </c>
      <c r="J619" s="10">
        <v>-91.3768479</v>
      </c>
      <c r="K619" s="11">
        <v>3.16800308227539</v>
      </c>
      <c r="L619" s="12" t="s">
        <v>1561</v>
      </c>
    </row>
    <row r="620">
      <c r="A620" s="9" t="s">
        <v>1308</v>
      </c>
      <c r="B620" s="9" t="s">
        <v>1309</v>
      </c>
      <c r="C620" s="9" t="s">
        <v>1562</v>
      </c>
      <c r="D620" s="9" t="s">
        <v>1563</v>
      </c>
      <c r="E620" s="9" t="s">
        <v>21</v>
      </c>
      <c r="F620" s="9">
        <v>780.0</v>
      </c>
      <c r="G620" s="9">
        <v>2339.0</v>
      </c>
      <c r="H620" s="9">
        <v>77.1</v>
      </c>
      <c r="I620" s="10">
        <v>34.3740431</v>
      </c>
      <c r="J620" s="10">
        <v>-80.0734005</v>
      </c>
      <c r="K620" s="11">
        <v>33.4944229125977</v>
      </c>
      <c r="L620" s="12" t="s">
        <v>1564</v>
      </c>
    </row>
    <row r="621">
      <c r="A621" s="9" t="s">
        <v>1308</v>
      </c>
      <c r="B621" s="9" t="s">
        <v>1309</v>
      </c>
      <c r="C621" s="9" t="s">
        <v>1565</v>
      </c>
      <c r="D621" s="9" t="s">
        <v>1448</v>
      </c>
      <c r="E621" s="9" t="s">
        <v>21</v>
      </c>
      <c r="F621" s="9">
        <v>1254.0</v>
      </c>
      <c r="G621" s="9">
        <v>3459.0</v>
      </c>
      <c r="H621" s="9">
        <v>67.9</v>
      </c>
      <c r="I621" s="10">
        <v>42.51954</v>
      </c>
      <c r="J621" s="10">
        <v>-70.8967155</v>
      </c>
      <c r="K621" s="11">
        <v>-12.8436737060547</v>
      </c>
      <c r="L621" s="12" t="s">
        <v>1566</v>
      </c>
    </row>
    <row r="622">
      <c r="A622" s="9" t="s">
        <v>1308</v>
      </c>
      <c r="B622" s="9" t="s">
        <v>1309</v>
      </c>
      <c r="C622" s="9" t="s">
        <v>1567</v>
      </c>
      <c r="D622" s="9" t="s">
        <v>1448</v>
      </c>
      <c r="E622" s="9" t="s">
        <v>21</v>
      </c>
      <c r="F622" s="9">
        <v>1200.0</v>
      </c>
      <c r="G622" s="9">
        <v>3459.0</v>
      </c>
      <c r="H622" s="9">
        <v>69.8</v>
      </c>
      <c r="I622" s="10">
        <v>42.51954</v>
      </c>
      <c r="J622" s="10">
        <v>-70.8967155</v>
      </c>
      <c r="K622" s="11">
        <v>-23.4202823638916</v>
      </c>
      <c r="L622" s="12" t="s">
        <v>1568</v>
      </c>
    </row>
    <row r="623">
      <c r="A623" s="9" t="s">
        <v>1308</v>
      </c>
      <c r="B623" s="9" t="s">
        <v>1309</v>
      </c>
      <c r="C623" s="9" t="s">
        <v>1569</v>
      </c>
      <c r="D623" s="9" t="s">
        <v>1570</v>
      </c>
      <c r="E623" s="9" t="s">
        <v>24</v>
      </c>
      <c r="F623" s="9">
        <v>456.0</v>
      </c>
      <c r="G623" s="9">
        <v>1347.0</v>
      </c>
      <c r="H623" s="9">
        <v>53.2</v>
      </c>
      <c r="I623" s="10">
        <v>33.4269728</v>
      </c>
      <c r="J623" s="10">
        <v>-117.6119925</v>
      </c>
      <c r="K623" s="11">
        <v>44.1847610473633</v>
      </c>
      <c r="L623" s="12" t="s">
        <v>1571</v>
      </c>
    </row>
    <row r="624">
      <c r="A624" s="9" t="s">
        <v>1308</v>
      </c>
      <c r="B624" s="9" t="s">
        <v>1309</v>
      </c>
      <c r="C624" s="9" t="s">
        <v>1572</v>
      </c>
      <c r="D624" s="9" t="s">
        <v>1570</v>
      </c>
      <c r="E624" s="9" t="s">
        <v>24</v>
      </c>
      <c r="F624" s="9">
        <v>1127.0</v>
      </c>
      <c r="G624" s="9">
        <v>3438.0</v>
      </c>
      <c r="H624" s="9">
        <v>78.0</v>
      </c>
      <c r="I624" s="10">
        <v>33.4269728</v>
      </c>
      <c r="J624" s="10">
        <v>-117.6119925</v>
      </c>
      <c r="K624" s="11">
        <v>27.8474159240723</v>
      </c>
      <c r="L624" s="12" t="s">
        <v>1573</v>
      </c>
    </row>
    <row r="625">
      <c r="A625" s="9" t="s">
        <v>1308</v>
      </c>
      <c r="B625" s="9" t="s">
        <v>1309</v>
      </c>
      <c r="C625" s="9" t="s">
        <v>1574</v>
      </c>
      <c r="D625" s="9" t="s">
        <v>1570</v>
      </c>
      <c r="E625" s="9" t="s">
        <v>24</v>
      </c>
      <c r="F625" s="9">
        <v>1127.0</v>
      </c>
      <c r="G625" s="9">
        <v>3438.0</v>
      </c>
      <c r="H625" s="9">
        <v>77.5</v>
      </c>
      <c r="I625" s="10">
        <v>33.4269728</v>
      </c>
      <c r="J625" s="10">
        <v>-117.6119925</v>
      </c>
      <c r="K625" s="11">
        <v>27.8474159240723</v>
      </c>
      <c r="L625" s="12" t="s">
        <v>1575</v>
      </c>
    </row>
    <row r="626">
      <c r="A626" s="9" t="s">
        <v>1308</v>
      </c>
      <c r="B626" s="9" t="s">
        <v>1309</v>
      </c>
      <c r="C626" s="9" t="s">
        <v>1576</v>
      </c>
      <c r="D626" s="9" t="s">
        <v>1381</v>
      </c>
      <c r="E626" s="9" t="s">
        <v>24</v>
      </c>
      <c r="F626" s="9">
        <v>3.0</v>
      </c>
      <c r="G626" s="9">
        <v>24.0</v>
      </c>
      <c r="H626" s="9">
        <v>0.0</v>
      </c>
      <c r="I626" s="10">
        <v>37.09024</v>
      </c>
      <c r="J626" s="10">
        <v>-95.712891</v>
      </c>
      <c r="K626" s="11">
        <v>227.909729003906</v>
      </c>
      <c r="L626" s="12" t="s">
        <v>1577</v>
      </c>
    </row>
    <row r="627">
      <c r="A627" s="9" t="s">
        <v>1308</v>
      </c>
      <c r="B627" s="9" t="s">
        <v>1309</v>
      </c>
      <c r="C627" s="9" t="s">
        <v>1578</v>
      </c>
      <c r="D627" s="9" t="s">
        <v>1579</v>
      </c>
      <c r="E627" s="9" t="s">
        <v>21</v>
      </c>
      <c r="F627" s="9">
        <v>1296.0</v>
      </c>
      <c r="G627" s="9">
        <v>3648.0</v>
      </c>
      <c r="H627" s="9">
        <v>85.6</v>
      </c>
      <c r="I627" s="10">
        <v>29.5641184</v>
      </c>
      <c r="J627" s="10">
        <v>-95.0254839</v>
      </c>
      <c r="K627" s="11">
        <v>-24.861515045166</v>
      </c>
      <c r="L627" s="12" t="s">
        <v>1580</v>
      </c>
    </row>
    <row r="628">
      <c r="A628" s="9" t="s">
        <v>1308</v>
      </c>
      <c r="B628" s="9" t="s">
        <v>1309</v>
      </c>
      <c r="C628" s="9" t="s">
        <v>1581</v>
      </c>
      <c r="D628" s="9" t="s">
        <v>1582</v>
      </c>
      <c r="E628" s="9" t="s">
        <v>21</v>
      </c>
      <c r="F628" s="9">
        <v>1221.0</v>
      </c>
      <c r="G628" s="9">
        <v>3455.0</v>
      </c>
      <c r="H628" s="9">
        <v>72.4</v>
      </c>
      <c r="I628" s="10">
        <v>34.5359314</v>
      </c>
      <c r="J628" s="10">
        <v>-95.7397033</v>
      </c>
      <c r="K628" s="11">
        <v>252.982986450195</v>
      </c>
      <c r="L628" s="12" t="s">
        <v>1583</v>
      </c>
    </row>
    <row r="629">
      <c r="A629" s="9" t="s">
        <v>1308</v>
      </c>
      <c r="B629" s="9" t="s">
        <v>1309</v>
      </c>
      <c r="C629" s="9" t="s">
        <v>1584</v>
      </c>
      <c r="D629" s="9" t="s">
        <v>1582</v>
      </c>
      <c r="E629" s="9" t="s">
        <v>21</v>
      </c>
      <c r="F629" s="9">
        <v>1200.0</v>
      </c>
      <c r="G629" s="9">
        <v>3455.0</v>
      </c>
      <c r="H629" s="9">
        <v>75.2</v>
      </c>
      <c r="I629" s="10">
        <v>34.5359314</v>
      </c>
      <c r="J629" s="10">
        <v>-95.7397033</v>
      </c>
      <c r="K629" s="11">
        <v>252.982986450195</v>
      </c>
      <c r="L629" s="12" t="s">
        <v>1585</v>
      </c>
    </row>
    <row r="630">
      <c r="A630" s="9" t="s">
        <v>1308</v>
      </c>
      <c r="B630" s="9" t="s">
        <v>1309</v>
      </c>
      <c r="C630" s="9" t="s">
        <v>1316</v>
      </c>
      <c r="D630" s="9" t="s">
        <v>1381</v>
      </c>
      <c r="E630" s="9" t="s">
        <v>24</v>
      </c>
      <c r="F630" s="9">
        <v>68.0</v>
      </c>
      <c r="G630" s="9">
        <v>236.0</v>
      </c>
      <c r="H630" s="9">
        <v>0.0</v>
      </c>
      <c r="I630" s="10">
        <v>37.09024</v>
      </c>
      <c r="J630" s="10">
        <v>-95.712891</v>
      </c>
      <c r="K630" s="11">
        <v>227.909729003906</v>
      </c>
      <c r="L630" s="12" t="s">
        <v>1586</v>
      </c>
    </row>
    <row r="631">
      <c r="A631" s="9" t="s">
        <v>1308</v>
      </c>
      <c r="B631" s="9" t="s">
        <v>1309</v>
      </c>
      <c r="C631" s="9" t="s">
        <v>1587</v>
      </c>
      <c r="D631" s="9" t="s">
        <v>1587</v>
      </c>
      <c r="E631" s="9" t="s">
        <v>24</v>
      </c>
      <c r="F631" s="9">
        <v>849.0</v>
      </c>
      <c r="G631" s="9">
        <v>2436.0</v>
      </c>
      <c r="H631" s="9">
        <v>0.0</v>
      </c>
      <c r="I631" s="10">
        <v>40.9573208</v>
      </c>
      <c r="J631" s="10">
        <v>-72.9076025</v>
      </c>
      <c r="K631" s="11">
        <v>4.81040573120117</v>
      </c>
      <c r="L631" s="12" t="s">
        <v>1588</v>
      </c>
    </row>
    <row r="632">
      <c r="A632" s="9" t="s">
        <v>1308</v>
      </c>
      <c r="B632" s="9" t="s">
        <v>1309</v>
      </c>
      <c r="C632" s="9" t="s">
        <v>1589</v>
      </c>
      <c r="D632" s="9" t="s">
        <v>1590</v>
      </c>
      <c r="E632" s="9" t="s">
        <v>21</v>
      </c>
      <c r="F632" s="9">
        <v>1354.0</v>
      </c>
      <c r="G632" s="9">
        <v>3853.0</v>
      </c>
      <c r="H632" s="9">
        <v>83.0</v>
      </c>
      <c r="I632" s="10">
        <v>43.5944677</v>
      </c>
      <c r="J632" s="10">
        <v>-83.8888647</v>
      </c>
      <c r="K632" s="11">
        <v>145.08918762207</v>
      </c>
      <c r="L632" s="12" t="s">
        <v>1591</v>
      </c>
    </row>
    <row r="633">
      <c r="A633" s="9" t="s">
        <v>1308</v>
      </c>
      <c r="B633" s="9" t="s">
        <v>1309</v>
      </c>
      <c r="C633" s="9" t="s">
        <v>1592</v>
      </c>
      <c r="D633" s="9" t="s">
        <v>1590</v>
      </c>
      <c r="E633" s="9" t="s">
        <v>21</v>
      </c>
      <c r="F633" s="9">
        <v>1354.0</v>
      </c>
      <c r="G633" s="9">
        <v>3853.0</v>
      </c>
      <c r="H633" s="9">
        <v>81.0</v>
      </c>
      <c r="I633" s="10">
        <v>43.5944677</v>
      </c>
      <c r="J633" s="10">
        <v>-83.8888647</v>
      </c>
      <c r="K633" s="11">
        <v>145.08918762207</v>
      </c>
      <c r="L633" s="12" t="s">
        <v>1593</v>
      </c>
    </row>
    <row r="634">
      <c r="A634" s="9" t="s">
        <v>1308</v>
      </c>
      <c r="B634" s="9" t="s">
        <v>1309</v>
      </c>
      <c r="C634" s="9" t="s">
        <v>1594</v>
      </c>
      <c r="D634" s="9" t="s">
        <v>1595</v>
      </c>
      <c r="E634" s="9" t="s">
        <v>21</v>
      </c>
      <c r="F634" s="9">
        <v>1045.0</v>
      </c>
      <c r="G634" s="9">
        <v>3020.0</v>
      </c>
      <c r="H634" s="9">
        <v>81.5</v>
      </c>
      <c r="I634" s="10">
        <v>27.4467056</v>
      </c>
      <c r="J634" s="10">
        <v>-80.3256056</v>
      </c>
      <c r="K634" s="11">
        <v>-26.895471572876</v>
      </c>
      <c r="L634" s="12" t="s">
        <v>1596</v>
      </c>
    </row>
    <row r="635">
      <c r="A635" s="9" t="s">
        <v>1308</v>
      </c>
      <c r="B635" s="9" t="s">
        <v>1309</v>
      </c>
      <c r="C635" s="9" t="s">
        <v>1597</v>
      </c>
      <c r="D635" s="9" t="s">
        <v>1595</v>
      </c>
      <c r="E635" s="9" t="s">
        <v>21</v>
      </c>
      <c r="F635" s="9">
        <v>1050.0</v>
      </c>
      <c r="G635" s="9">
        <v>3020.0</v>
      </c>
      <c r="H635" s="9">
        <v>84.7</v>
      </c>
      <c r="I635" s="10">
        <v>27.4467056</v>
      </c>
      <c r="J635" s="10">
        <v>-80.3256056</v>
      </c>
      <c r="K635" s="11">
        <v>-26.895471572876</v>
      </c>
      <c r="L635" s="12" t="s">
        <v>1598</v>
      </c>
    </row>
    <row r="636">
      <c r="A636" s="9" t="s">
        <v>1308</v>
      </c>
      <c r="B636" s="9" t="s">
        <v>1309</v>
      </c>
      <c r="C636" s="9" t="s">
        <v>1599</v>
      </c>
      <c r="D636" s="9" t="s">
        <v>1600</v>
      </c>
      <c r="E636" s="9" t="s">
        <v>21</v>
      </c>
      <c r="F636" s="9">
        <v>1006.0</v>
      </c>
      <c r="G636" s="9">
        <v>2900.0</v>
      </c>
      <c r="H636" s="9">
        <v>83.5</v>
      </c>
      <c r="I636" s="10">
        <v>34.2673706</v>
      </c>
      <c r="J636" s="10">
        <v>-81.2884285</v>
      </c>
      <c r="K636" s="11">
        <v>68.832763671875</v>
      </c>
      <c r="L636" s="12" t="s">
        <v>1601</v>
      </c>
    </row>
    <row r="637">
      <c r="A637" s="9" t="s">
        <v>1308</v>
      </c>
      <c r="B637" s="9" t="s">
        <v>1309</v>
      </c>
      <c r="C637" s="9" t="s">
        <v>1602</v>
      </c>
      <c r="D637" s="9" t="s">
        <v>1600</v>
      </c>
      <c r="E637" s="9" t="s">
        <v>26</v>
      </c>
      <c r="F637" s="9">
        <v>1250.0</v>
      </c>
      <c r="G637" s="9">
        <v>3400.0</v>
      </c>
      <c r="H637" s="9">
        <v>0.0</v>
      </c>
      <c r="I637" s="10">
        <v>34.2673706</v>
      </c>
      <c r="J637" s="10">
        <v>-81.2884285</v>
      </c>
      <c r="K637" s="11">
        <v>78.3490219116211</v>
      </c>
      <c r="L637" s="12" t="s">
        <v>1603</v>
      </c>
    </row>
    <row r="638">
      <c r="A638" s="9" t="s">
        <v>1308</v>
      </c>
      <c r="B638" s="9" t="s">
        <v>1309</v>
      </c>
      <c r="C638" s="9" t="s">
        <v>1604</v>
      </c>
      <c r="D638" s="9" t="s">
        <v>1600</v>
      </c>
      <c r="E638" s="9" t="s">
        <v>26</v>
      </c>
      <c r="F638" s="9">
        <v>1250.0</v>
      </c>
      <c r="G638" s="9">
        <v>3400.0</v>
      </c>
      <c r="H638" s="9">
        <v>0.0</v>
      </c>
      <c r="I638" s="10">
        <v>34.2673706</v>
      </c>
      <c r="J638" s="10">
        <v>-81.2884285</v>
      </c>
      <c r="K638" s="11">
        <v>78.3490219116211</v>
      </c>
      <c r="L638" s="12" t="s">
        <v>1605</v>
      </c>
    </row>
    <row r="639">
      <c r="A639" s="9" t="s">
        <v>1308</v>
      </c>
      <c r="B639" s="9" t="s">
        <v>1309</v>
      </c>
      <c r="C639" s="9" t="s">
        <v>1606</v>
      </c>
      <c r="D639" s="9" t="s">
        <v>1607</v>
      </c>
      <c r="E639" s="9" t="s">
        <v>21</v>
      </c>
      <c r="F639" s="9">
        <v>890.0</v>
      </c>
      <c r="G639" s="9">
        <v>2857.0</v>
      </c>
      <c r="H639" s="9">
        <v>75.6</v>
      </c>
      <c r="I639" s="10">
        <v>37.1604252</v>
      </c>
      <c r="J639" s="10">
        <v>-76.6894011</v>
      </c>
      <c r="K639" s="11">
        <v>-32.394474029541</v>
      </c>
      <c r="L639" s="12" t="s">
        <v>1608</v>
      </c>
    </row>
    <row r="640">
      <c r="A640" s="9" t="s">
        <v>1308</v>
      </c>
      <c r="B640" s="9" t="s">
        <v>1309</v>
      </c>
      <c r="C640" s="9" t="s">
        <v>1609</v>
      </c>
      <c r="D640" s="9" t="s">
        <v>1607</v>
      </c>
      <c r="E640" s="9" t="s">
        <v>21</v>
      </c>
      <c r="F640" s="9">
        <v>890.0</v>
      </c>
      <c r="G640" s="9">
        <v>2857.0</v>
      </c>
      <c r="H640" s="9">
        <v>76.0</v>
      </c>
      <c r="I640" s="10">
        <v>37.1604252</v>
      </c>
      <c r="J640" s="10">
        <v>-76.6894011</v>
      </c>
      <c r="K640" s="11">
        <v>-32.394474029541</v>
      </c>
      <c r="L640" s="12" t="s">
        <v>1610</v>
      </c>
    </row>
    <row r="641">
      <c r="A641" s="9" t="s">
        <v>1308</v>
      </c>
      <c r="B641" s="9" t="s">
        <v>1309</v>
      </c>
      <c r="C641" s="9" t="s">
        <v>1611</v>
      </c>
      <c r="D641" s="9" t="s">
        <v>1448</v>
      </c>
      <c r="E641" s="9" t="s">
        <v>21</v>
      </c>
      <c r="F641" s="9">
        <v>1330.0</v>
      </c>
      <c r="G641" s="9">
        <v>3952.0</v>
      </c>
      <c r="H641" s="9">
        <v>82.5</v>
      </c>
      <c r="I641" s="10">
        <v>42.51954</v>
      </c>
      <c r="J641" s="10">
        <v>-70.8967155</v>
      </c>
      <c r="K641" s="11">
        <v>-23.4202823638916</v>
      </c>
      <c r="L641" s="12" t="s">
        <v>1612</v>
      </c>
    </row>
    <row r="642">
      <c r="A642" s="9" t="s">
        <v>1308</v>
      </c>
      <c r="B642" s="9" t="s">
        <v>1309</v>
      </c>
      <c r="C642" s="9" t="s">
        <v>1613</v>
      </c>
      <c r="D642" s="9" t="s">
        <v>1448</v>
      </c>
      <c r="E642" s="9" t="s">
        <v>21</v>
      </c>
      <c r="F642" s="9">
        <v>1330.0</v>
      </c>
      <c r="G642" s="9">
        <v>3952.0</v>
      </c>
      <c r="H642" s="9">
        <v>86.0</v>
      </c>
      <c r="I642" s="10">
        <v>42.51954</v>
      </c>
      <c r="J642" s="10">
        <v>-70.8967155</v>
      </c>
      <c r="K642" s="11">
        <v>-23.4202823638916</v>
      </c>
      <c r="L642" s="12" t="s">
        <v>1614</v>
      </c>
    </row>
    <row r="643">
      <c r="A643" s="9" t="s">
        <v>1308</v>
      </c>
      <c r="B643" s="9" t="s">
        <v>1309</v>
      </c>
      <c r="C643" s="9" t="s">
        <v>1615</v>
      </c>
      <c r="D643" s="9" t="s">
        <v>1616</v>
      </c>
      <c r="E643" s="9" t="s">
        <v>21</v>
      </c>
      <c r="F643" s="9">
        <v>880.0</v>
      </c>
      <c r="G643" s="9">
        <v>2568.0</v>
      </c>
      <c r="H643" s="9">
        <v>75.2</v>
      </c>
      <c r="I643" s="10">
        <v>40.3673093</v>
      </c>
      <c r="J643" s="10">
        <v>-76.9310859</v>
      </c>
      <c r="K643" s="11">
        <v>92.5796890258789</v>
      </c>
      <c r="L643" s="12" t="s">
        <v>1617</v>
      </c>
    </row>
    <row r="644">
      <c r="A644" s="9" t="s">
        <v>1308</v>
      </c>
      <c r="B644" s="9" t="s">
        <v>1309</v>
      </c>
      <c r="C644" s="9" t="s">
        <v>1618</v>
      </c>
      <c r="D644" s="9" t="s">
        <v>1616</v>
      </c>
      <c r="E644" s="9" t="s">
        <v>24</v>
      </c>
      <c r="F644" s="9">
        <v>959.0</v>
      </c>
      <c r="G644" s="9">
        <v>2772.0</v>
      </c>
      <c r="H644" s="9">
        <v>69.3</v>
      </c>
      <c r="I644" s="10">
        <v>40.3673093</v>
      </c>
      <c r="J644" s="10">
        <v>-76.9310859</v>
      </c>
      <c r="K644" s="11">
        <v>92.5796890258789</v>
      </c>
      <c r="L644" s="12" t="s">
        <v>1619</v>
      </c>
    </row>
    <row r="645">
      <c r="A645" s="9" t="s">
        <v>1308</v>
      </c>
      <c r="B645" s="9" t="s">
        <v>1309</v>
      </c>
      <c r="C645" s="9" t="s">
        <v>1620</v>
      </c>
      <c r="D645" s="9" t="s">
        <v>1621</v>
      </c>
      <c r="E645" s="9" t="s">
        <v>24</v>
      </c>
      <c r="F645" s="9">
        <v>1155.0</v>
      </c>
      <c r="G645" s="9">
        <v>3411.0</v>
      </c>
      <c r="H645" s="9">
        <v>53.6</v>
      </c>
      <c r="I645" s="10">
        <v>34.5400242</v>
      </c>
      <c r="J645" s="10">
        <v>-112.4685025</v>
      </c>
      <c r="K645" s="11">
        <v>1638.80236816406</v>
      </c>
      <c r="L645" s="12" t="s">
        <v>1622</v>
      </c>
    </row>
    <row r="646">
      <c r="A646" s="9" t="s">
        <v>1308</v>
      </c>
      <c r="B646" s="9" t="s">
        <v>1309</v>
      </c>
      <c r="C646" s="9" t="s">
        <v>1623</v>
      </c>
      <c r="D646" s="9" t="s">
        <v>1624</v>
      </c>
      <c r="E646" s="9" t="s">
        <v>21</v>
      </c>
      <c r="F646" s="9">
        <v>829.0</v>
      </c>
      <c r="G646" s="9">
        <v>2644.0</v>
      </c>
      <c r="H646" s="9">
        <v>75.8</v>
      </c>
      <c r="I646" s="10">
        <v>25.4478898</v>
      </c>
      <c r="J646" s="10">
        <v>-80.4792237</v>
      </c>
      <c r="K646" s="11">
        <v>-25.35524559021</v>
      </c>
      <c r="L646" s="12" t="s">
        <v>1625</v>
      </c>
    </row>
    <row r="647">
      <c r="A647" s="9" t="s">
        <v>1308</v>
      </c>
      <c r="B647" s="9" t="s">
        <v>1309</v>
      </c>
      <c r="C647" s="9" t="s">
        <v>1626</v>
      </c>
      <c r="D647" s="9" t="s">
        <v>1624</v>
      </c>
      <c r="E647" s="9" t="s">
        <v>21</v>
      </c>
      <c r="F647" s="9">
        <v>829.0</v>
      </c>
      <c r="G647" s="9">
        <v>2644.0</v>
      </c>
      <c r="H647" s="9">
        <v>75.6</v>
      </c>
      <c r="I647" s="10">
        <v>25.4478898</v>
      </c>
      <c r="J647" s="10">
        <v>-80.4792237</v>
      </c>
      <c r="K647" s="11">
        <v>-25.35524559021</v>
      </c>
      <c r="L647" s="12" t="s">
        <v>1627</v>
      </c>
    </row>
    <row r="648">
      <c r="A648" s="9" t="s">
        <v>1308</v>
      </c>
      <c r="B648" s="9" t="s">
        <v>1309</v>
      </c>
      <c r="C648" s="9" t="s">
        <v>1628</v>
      </c>
      <c r="D648" s="9" t="s">
        <v>1629</v>
      </c>
      <c r="E648" s="9" t="s">
        <v>21</v>
      </c>
      <c r="F648" s="9">
        <v>635.0</v>
      </c>
      <c r="G648" s="9">
        <v>1912.0</v>
      </c>
      <c r="H648" s="9">
        <v>83.5</v>
      </c>
      <c r="I648" s="10">
        <v>34.003903</v>
      </c>
      <c r="J648" s="10">
        <v>-118.230073</v>
      </c>
      <c r="K648" s="11">
        <v>24.1164131164551</v>
      </c>
      <c r="L648" s="12" t="s">
        <v>1630</v>
      </c>
    </row>
    <row r="649">
      <c r="A649" s="9" t="s">
        <v>1308</v>
      </c>
      <c r="B649" s="9" t="s">
        <v>1309</v>
      </c>
      <c r="C649" s="9" t="s">
        <v>1631</v>
      </c>
      <c r="D649" s="9" t="s">
        <v>1632</v>
      </c>
      <c r="E649" s="9" t="s">
        <v>21</v>
      </c>
      <c r="F649" s="9">
        <v>1229.0</v>
      </c>
      <c r="G649" s="9">
        <v>3626.0</v>
      </c>
      <c r="H649" s="9">
        <v>90.9</v>
      </c>
      <c r="I649" s="10">
        <v>38.0684692</v>
      </c>
      <c r="J649" s="10">
        <v>-78.8894682</v>
      </c>
      <c r="K649" s="11">
        <v>381.560119628906</v>
      </c>
      <c r="L649" s="12" t="s">
        <v>1633</v>
      </c>
    </row>
    <row r="650">
      <c r="A650" s="9" t="s">
        <v>1308</v>
      </c>
      <c r="B650" s="9" t="s">
        <v>1309</v>
      </c>
      <c r="C650" s="9" t="s">
        <v>1634</v>
      </c>
      <c r="D650" s="9" t="s">
        <v>1632</v>
      </c>
      <c r="E650" s="9" t="s">
        <v>21</v>
      </c>
      <c r="F650" s="9">
        <v>1229.0</v>
      </c>
      <c r="G650" s="9">
        <v>3626.0</v>
      </c>
      <c r="H650" s="9">
        <v>90.5</v>
      </c>
      <c r="I650" s="10">
        <v>38.0684692</v>
      </c>
      <c r="J650" s="10">
        <v>-78.8894682</v>
      </c>
      <c r="K650" s="11">
        <v>381.560119628906</v>
      </c>
      <c r="L650" s="12" t="s">
        <v>1635</v>
      </c>
    </row>
    <row r="651">
      <c r="A651" s="9" t="s">
        <v>1308</v>
      </c>
      <c r="B651" s="9" t="s">
        <v>1309</v>
      </c>
      <c r="C651" s="9" t="s">
        <v>1636</v>
      </c>
      <c r="D651" s="9" t="s">
        <v>1632</v>
      </c>
      <c r="E651" s="9" t="s">
        <v>26</v>
      </c>
      <c r="F651" s="9">
        <v>1250.0</v>
      </c>
      <c r="G651" s="9">
        <v>3400.0</v>
      </c>
      <c r="H651" s="9">
        <v>0.0</v>
      </c>
      <c r="I651" s="10">
        <v>38.0684692</v>
      </c>
      <c r="J651" s="10">
        <v>-78.8894682</v>
      </c>
      <c r="K651" s="11">
        <v>430.282531738281</v>
      </c>
      <c r="L651" s="12" t="s">
        <v>1637</v>
      </c>
    </row>
    <row r="652">
      <c r="A652" s="9" t="s">
        <v>1308</v>
      </c>
      <c r="B652" s="9" t="s">
        <v>1309</v>
      </c>
      <c r="C652" s="9" t="s">
        <v>1638</v>
      </c>
      <c r="D652" s="9" t="s">
        <v>1632</v>
      </c>
      <c r="E652" s="9" t="s">
        <v>26</v>
      </c>
      <c r="F652" s="9">
        <v>1250.0</v>
      </c>
      <c r="G652" s="9">
        <v>3400.0</v>
      </c>
      <c r="H652" s="9">
        <v>0.0</v>
      </c>
      <c r="I652" s="10">
        <v>38.0684692</v>
      </c>
      <c r="J652" s="10">
        <v>-78.8894682</v>
      </c>
      <c r="K652" s="11">
        <v>430.282531738281</v>
      </c>
      <c r="L652" s="12" t="s">
        <v>1639</v>
      </c>
    </row>
    <row r="653">
      <c r="A653" s="9" t="s">
        <v>1308</v>
      </c>
      <c r="B653" s="9" t="s">
        <v>1309</v>
      </c>
      <c r="C653" s="9" t="s">
        <v>1640</v>
      </c>
      <c r="D653" s="9" t="s">
        <v>1641</v>
      </c>
      <c r="E653" s="9" t="s">
        <v>21</v>
      </c>
      <c r="F653" s="9">
        <v>1250.0</v>
      </c>
      <c r="G653" s="9">
        <v>3716.0</v>
      </c>
      <c r="H653" s="9">
        <v>86.9</v>
      </c>
      <c r="I653" s="10">
        <v>35.1424671</v>
      </c>
      <c r="J653" s="10">
        <v>-119.4565078</v>
      </c>
      <c r="K653" s="11">
        <v>261.239562988281</v>
      </c>
      <c r="L653" s="12" t="s">
        <v>1642</v>
      </c>
    </row>
    <row r="654">
      <c r="A654" s="9" t="s">
        <v>1308</v>
      </c>
      <c r="B654" s="9" t="s">
        <v>1309</v>
      </c>
      <c r="C654" s="9" t="s">
        <v>1643</v>
      </c>
      <c r="D654" s="9" t="s">
        <v>1644</v>
      </c>
      <c r="E654" s="9" t="s">
        <v>21</v>
      </c>
      <c r="F654" s="9">
        <v>1210.0</v>
      </c>
      <c r="G654" s="9">
        <v>3459.0</v>
      </c>
      <c r="H654" s="9">
        <v>90.3</v>
      </c>
      <c r="I654" s="10">
        <v>30.0799405</v>
      </c>
      <c r="J654" s="10">
        <v>-95.4171601</v>
      </c>
      <c r="K654" s="11">
        <v>5.02231597900391</v>
      </c>
      <c r="L654" s="12" t="s">
        <v>1645</v>
      </c>
    </row>
    <row r="655">
      <c r="A655" s="9" t="s">
        <v>1308</v>
      </c>
      <c r="B655" s="9" t="s">
        <v>1309</v>
      </c>
      <c r="C655" s="9" t="s">
        <v>1646</v>
      </c>
      <c r="D655" s="9" t="s">
        <v>1644</v>
      </c>
      <c r="E655" s="9" t="s">
        <v>26</v>
      </c>
      <c r="F655" s="9">
        <v>1218.0</v>
      </c>
      <c r="G655" s="9">
        <v>3425.0</v>
      </c>
      <c r="H655" s="9">
        <v>0.0</v>
      </c>
      <c r="I655" s="10">
        <v>30.0799405</v>
      </c>
      <c r="J655" s="10">
        <v>-95.4171601</v>
      </c>
      <c r="K655" s="11">
        <v>5.02231597900391</v>
      </c>
      <c r="L655" s="12" t="s">
        <v>1647</v>
      </c>
    </row>
    <row r="656">
      <c r="A656" s="9" t="s">
        <v>1308</v>
      </c>
      <c r="B656" s="9" t="s">
        <v>1309</v>
      </c>
      <c r="C656" s="9" t="s">
        <v>1648</v>
      </c>
      <c r="D656" s="9" t="s">
        <v>1649</v>
      </c>
      <c r="E656" s="9" t="s">
        <v>21</v>
      </c>
      <c r="F656" s="9">
        <v>1280.0</v>
      </c>
      <c r="G656" s="9">
        <v>3565.0</v>
      </c>
      <c r="H656" s="9">
        <v>84.7</v>
      </c>
      <c r="I656" s="10">
        <v>44.4758825</v>
      </c>
      <c r="J656" s="10">
        <v>-73.212072</v>
      </c>
      <c r="K656" s="11">
        <v>13.3385791778564</v>
      </c>
      <c r="L656" s="12" t="s">
        <v>1650</v>
      </c>
    </row>
    <row r="657">
      <c r="A657" s="9" t="s">
        <v>1308</v>
      </c>
      <c r="B657" s="9" t="s">
        <v>1309</v>
      </c>
      <c r="C657" s="9" t="s">
        <v>1651</v>
      </c>
      <c r="D657" s="9" t="s">
        <v>1652</v>
      </c>
      <c r="E657" s="9" t="s">
        <v>24</v>
      </c>
      <c r="F657" s="9">
        <v>180.0</v>
      </c>
      <c r="G657" s="9">
        <v>600.0</v>
      </c>
      <c r="H657" s="9">
        <v>71.7</v>
      </c>
      <c r="I657" s="10">
        <v>42.6934166</v>
      </c>
      <c r="J657" s="10">
        <v>-72.899542</v>
      </c>
      <c r="K657" s="11">
        <v>411.243469238281</v>
      </c>
      <c r="L657" s="12" t="s">
        <v>1653</v>
      </c>
    </row>
    <row r="658">
      <c r="A658" s="9" t="s">
        <v>1308</v>
      </c>
      <c r="B658" s="9" t="s">
        <v>1309</v>
      </c>
      <c r="C658" s="9" t="s">
        <v>1654</v>
      </c>
      <c r="D658" s="9" t="s">
        <v>1655</v>
      </c>
      <c r="E658" s="9" t="s">
        <v>24</v>
      </c>
      <c r="F658" s="9">
        <v>1085.0</v>
      </c>
      <c r="G658" s="9">
        <v>3250.0</v>
      </c>
      <c r="H658" s="9">
        <v>57.4</v>
      </c>
      <c r="I658" s="10">
        <v>42.4461322</v>
      </c>
      <c r="J658" s="10">
        <v>-87.8328505</v>
      </c>
      <c r="K658" s="11">
        <v>160.407867431641</v>
      </c>
      <c r="L658" s="12" t="s">
        <v>1656</v>
      </c>
    </row>
    <row r="659">
      <c r="A659" s="9" t="s">
        <v>1308</v>
      </c>
      <c r="B659" s="9" t="s">
        <v>1309</v>
      </c>
      <c r="C659" s="9" t="s">
        <v>1657</v>
      </c>
      <c r="D659" s="9" t="s">
        <v>1655</v>
      </c>
      <c r="E659" s="9" t="s">
        <v>24</v>
      </c>
      <c r="F659" s="9">
        <v>1085.0</v>
      </c>
      <c r="G659" s="9">
        <v>3250.0</v>
      </c>
      <c r="H659" s="9">
        <v>59.2</v>
      </c>
      <c r="I659" s="10">
        <v>42.4461322</v>
      </c>
      <c r="J659" s="10">
        <v>-87.8328505</v>
      </c>
      <c r="K659" s="11">
        <v>160.407867431641</v>
      </c>
      <c r="L659" s="12" t="s">
        <v>1658</v>
      </c>
    </row>
    <row r="660">
      <c r="I660" s="14"/>
      <c r="J660" s="14"/>
      <c r="K660" s="15"/>
    </row>
    <row r="661">
      <c r="I661" s="14"/>
      <c r="J661" s="14"/>
      <c r="K661" s="15"/>
    </row>
    <row r="662">
      <c r="I662" s="14"/>
      <c r="J662" s="14"/>
      <c r="K662" s="15"/>
    </row>
    <row r="663">
      <c r="I663" s="14"/>
      <c r="J663" s="14"/>
      <c r="K663" s="15"/>
    </row>
    <row r="664">
      <c r="I664" s="14"/>
      <c r="J664" s="14"/>
      <c r="K664" s="15"/>
    </row>
    <row r="665">
      <c r="I665" s="14"/>
      <c r="J665" s="14"/>
      <c r="K665" s="15"/>
    </row>
    <row r="666">
      <c r="I666" s="14"/>
      <c r="J666" s="14"/>
      <c r="K666" s="15"/>
    </row>
    <row r="667">
      <c r="I667" s="14"/>
      <c r="J667" s="14"/>
      <c r="K667" s="15"/>
    </row>
    <row r="668">
      <c r="I668" s="14"/>
      <c r="J668" s="14"/>
      <c r="K668" s="15"/>
    </row>
    <row r="669">
      <c r="I669" s="14"/>
      <c r="J669" s="14"/>
      <c r="K669" s="15"/>
    </row>
    <row r="670">
      <c r="I670" s="14"/>
      <c r="J670" s="14"/>
      <c r="K670" s="15"/>
    </row>
    <row r="671">
      <c r="I671" s="14"/>
      <c r="J671" s="14"/>
      <c r="K671" s="15"/>
    </row>
    <row r="672">
      <c r="I672" s="14"/>
      <c r="J672" s="14"/>
      <c r="K672" s="15"/>
    </row>
    <row r="673">
      <c r="I673" s="14"/>
      <c r="J673" s="14"/>
      <c r="K673" s="15"/>
    </row>
    <row r="674">
      <c r="I674" s="14"/>
      <c r="J674" s="14"/>
      <c r="K674" s="15"/>
    </row>
    <row r="675">
      <c r="I675" s="14"/>
      <c r="J675" s="14"/>
      <c r="K675" s="15"/>
    </row>
    <row r="676">
      <c r="I676" s="14"/>
      <c r="J676" s="14"/>
      <c r="K676" s="15"/>
    </row>
    <row r="677">
      <c r="I677" s="14"/>
      <c r="J677" s="14"/>
      <c r="K677" s="15"/>
    </row>
    <row r="678">
      <c r="I678" s="14"/>
      <c r="J678" s="14"/>
      <c r="K678" s="15"/>
    </row>
    <row r="679">
      <c r="I679" s="14"/>
      <c r="J679" s="14"/>
      <c r="K679" s="15"/>
    </row>
    <row r="680">
      <c r="I680" s="14"/>
      <c r="J680" s="14"/>
      <c r="K680" s="15"/>
    </row>
    <row r="681">
      <c r="I681" s="14"/>
      <c r="J681" s="14"/>
      <c r="K681" s="15"/>
    </row>
    <row r="682">
      <c r="I682" s="14"/>
      <c r="J682" s="14"/>
      <c r="K682" s="15"/>
    </row>
    <row r="683">
      <c r="I683" s="14"/>
      <c r="J683" s="14"/>
      <c r="K683" s="15"/>
    </row>
    <row r="684">
      <c r="I684" s="14"/>
      <c r="J684" s="14"/>
      <c r="K684" s="15"/>
    </row>
    <row r="685">
      <c r="I685" s="14"/>
      <c r="J685" s="14"/>
      <c r="K685" s="15"/>
    </row>
    <row r="686">
      <c r="I686" s="14"/>
      <c r="J686" s="14"/>
      <c r="K686" s="15"/>
    </row>
    <row r="687">
      <c r="I687" s="14"/>
      <c r="J687" s="14"/>
      <c r="K687" s="15"/>
    </row>
    <row r="688">
      <c r="I688" s="14"/>
      <c r="J688" s="14"/>
      <c r="K688" s="15"/>
    </row>
    <row r="689">
      <c r="I689" s="14"/>
      <c r="J689" s="14"/>
      <c r="K689" s="15"/>
    </row>
    <row r="690">
      <c r="I690" s="14"/>
      <c r="J690" s="14"/>
      <c r="K690" s="15"/>
    </row>
    <row r="691">
      <c r="I691" s="14"/>
      <c r="J691" s="14"/>
      <c r="K691" s="15"/>
    </row>
    <row r="692">
      <c r="I692" s="14"/>
      <c r="J692" s="14"/>
      <c r="K692" s="15"/>
    </row>
    <row r="693">
      <c r="I693" s="14"/>
      <c r="J693" s="14"/>
      <c r="K693" s="15"/>
    </row>
    <row r="694">
      <c r="I694" s="14"/>
      <c r="J694" s="14"/>
      <c r="K694" s="15"/>
    </row>
    <row r="695">
      <c r="I695" s="14"/>
      <c r="J695" s="14"/>
      <c r="K695" s="15"/>
    </row>
    <row r="696">
      <c r="I696" s="14"/>
      <c r="J696" s="14"/>
      <c r="K696" s="15"/>
    </row>
    <row r="697">
      <c r="I697" s="14"/>
      <c r="J697" s="14"/>
      <c r="K697" s="15"/>
    </row>
    <row r="698">
      <c r="I698" s="14"/>
      <c r="J698" s="14"/>
      <c r="K698" s="15"/>
    </row>
    <row r="699">
      <c r="I699" s="14"/>
      <c r="J699" s="14"/>
      <c r="K699" s="15"/>
    </row>
    <row r="700">
      <c r="I700" s="14"/>
      <c r="J700" s="14"/>
      <c r="K700" s="15"/>
    </row>
    <row r="701">
      <c r="I701" s="14"/>
      <c r="J701" s="14"/>
      <c r="K701" s="15"/>
    </row>
    <row r="702">
      <c r="I702" s="14"/>
      <c r="J702" s="14"/>
      <c r="K702" s="15"/>
    </row>
    <row r="703">
      <c r="I703" s="14"/>
      <c r="J703" s="14"/>
      <c r="K703" s="15"/>
    </row>
    <row r="704">
      <c r="I704" s="14"/>
      <c r="J704" s="14"/>
      <c r="K704" s="15"/>
    </row>
    <row r="705">
      <c r="I705" s="14"/>
      <c r="J705" s="14"/>
      <c r="K705" s="15"/>
    </row>
    <row r="706">
      <c r="I706" s="14"/>
      <c r="J706" s="14"/>
      <c r="K706" s="15"/>
    </row>
    <row r="707">
      <c r="I707" s="14"/>
      <c r="J707" s="14"/>
      <c r="K707" s="15"/>
    </row>
    <row r="708">
      <c r="I708" s="14"/>
      <c r="J708" s="14"/>
      <c r="K708" s="15"/>
    </row>
    <row r="709">
      <c r="I709" s="14"/>
      <c r="J709" s="14"/>
      <c r="K709" s="15"/>
    </row>
    <row r="710">
      <c r="I710" s="14"/>
      <c r="J710" s="14"/>
      <c r="K710" s="15"/>
    </row>
    <row r="711">
      <c r="I711" s="14"/>
      <c r="J711" s="14"/>
      <c r="K711" s="15"/>
    </row>
    <row r="712">
      <c r="I712" s="14"/>
      <c r="J712" s="14"/>
      <c r="K712" s="15"/>
    </row>
    <row r="713">
      <c r="I713" s="14"/>
      <c r="J713" s="14"/>
      <c r="K713" s="15"/>
    </row>
    <row r="714">
      <c r="I714" s="14"/>
      <c r="J714" s="14"/>
      <c r="K714" s="15"/>
    </row>
    <row r="715">
      <c r="I715" s="14"/>
      <c r="J715" s="14"/>
      <c r="K715" s="15"/>
    </row>
    <row r="716">
      <c r="I716" s="14"/>
      <c r="J716" s="14"/>
      <c r="K716" s="15"/>
    </row>
    <row r="717">
      <c r="I717" s="14"/>
      <c r="J717" s="14"/>
      <c r="K717" s="15"/>
    </row>
    <row r="718">
      <c r="I718" s="14"/>
      <c r="J718" s="14"/>
      <c r="K718" s="15"/>
    </row>
    <row r="719">
      <c r="I719" s="14"/>
      <c r="J719" s="14"/>
      <c r="K719" s="15"/>
    </row>
    <row r="720">
      <c r="I720" s="14"/>
      <c r="J720" s="14"/>
      <c r="K720" s="15"/>
    </row>
    <row r="721">
      <c r="I721" s="14"/>
      <c r="J721" s="14"/>
      <c r="K721" s="15"/>
    </row>
    <row r="722">
      <c r="I722" s="14"/>
      <c r="J722" s="14"/>
      <c r="K722" s="15"/>
    </row>
    <row r="723">
      <c r="I723" s="14"/>
      <c r="J723" s="14"/>
      <c r="K723" s="15"/>
    </row>
    <row r="724">
      <c r="I724" s="14"/>
      <c r="J724" s="14"/>
      <c r="K724" s="15"/>
    </row>
    <row r="725">
      <c r="I725" s="14"/>
      <c r="J725" s="14"/>
      <c r="K725" s="15"/>
    </row>
    <row r="726">
      <c r="I726" s="14"/>
      <c r="J726" s="14"/>
      <c r="K726" s="15"/>
    </row>
    <row r="727">
      <c r="I727" s="14"/>
      <c r="J727" s="14"/>
      <c r="K727" s="15"/>
    </row>
    <row r="728">
      <c r="I728" s="14"/>
      <c r="J728" s="14"/>
      <c r="K728" s="15"/>
    </row>
    <row r="729">
      <c r="I729" s="14"/>
      <c r="J729" s="14"/>
      <c r="K729" s="15"/>
    </row>
    <row r="730">
      <c r="I730" s="14"/>
      <c r="J730" s="14"/>
      <c r="K730" s="15"/>
    </row>
    <row r="731">
      <c r="I731" s="14"/>
      <c r="J731" s="14"/>
      <c r="K731" s="15"/>
    </row>
    <row r="732">
      <c r="I732" s="14"/>
      <c r="J732" s="14"/>
      <c r="K732" s="15"/>
    </row>
    <row r="733">
      <c r="I733" s="14"/>
      <c r="J733" s="14"/>
      <c r="K733" s="15"/>
    </row>
    <row r="734">
      <c r="I734" s="14"/>
      <c r="J734" s="14"/>
      <c r="K734" s="15"/>
    </row>
    <row r="735">
      <c r="I735" s="14"/>
      <c r="J735" s="14"/>
      <c r="K735" s="15"/>
    </row>
    <row r="736">
      <c r="I736" s="14"/>
      <c r="J736" s="14"/>
      <c r="K736" s="15"/>
    </row>
    <row r="737">
      <c r="I737" s="14"/>
      <c r="J737" s="14"/>
      <c r="K737" s="15"/>
    </row>
    <row r="738">
      <c r="I738" s="14"/>
      <c r="J738" s="14"/>
      <c r="K738" s="15"/>
    </row>
    <row r="739">
      <c r="I739" s="14"/>
      <c r="J739" s="14"/>
      <c r="K739" s="15"/>
    </row>
    <row r="740">
      <c r="I740" s="14"/>
      <c r="J740" s="14"/>
      <c r="K740" s="15"/>
    </row>
    <row r="741">
      <c r="I741" s="14"/>
      <c r="J741" s="14"/>
      <c r="K741" s="15"/>
    </row>
    <row r="742">
      <c r="I742" s="14"/>
      <c r="J742" s="14"/>
      <c r="K742" s="15"/>
    </row>
    <row r="743">
      <c r="I743" s="14"/>
      <c r="J743" s="14"/>
      <c r="K743" s="15"/>
    </row>
    <row r="744">
      <c r="I744" s="14"/>
      <c r="J744" s="14"/>
      <c r="K744" s="15"/>
    </row>
    <row r="745">
      <c r="I745" s="14"/>
      <c r="J745" s="14"/>
      <c r="K745" s="15"/>
    </row>
    <row r="746">
      <c r="I746" s="14"/>
      <c r="J746" s="14"/>
      <c r="K746" s="15"/>
    </row>
    <row r="747">
      <c r="I747" s="14"/>
      <c r="J747" s="14"/>
      <c r="K747" s="15"/>
    </row>
    <row r="748">
      <c r="I748" s="14"/>
      <c r="J748" s="14"/>
      <c r="K748" s="15"/>
    </row>
    <row r="749">
      <c r="I749" s="14"/>
      <c r="J749" s="14"/>
      <c r="K749" s="15"/>
    </row>
    <row r="750">
      <c r="I750" s="14"/>
      <c r="J750" s="14"/>
      <c r="K750" s="15"/>
    </row>
    <row r="751">
      <c r="I751" s="14"/>
      <c r="J751" s="14"/>
      <c r="K751" s="15"/>
    </row>
    <row r="752">
      <c r="I752" s="14"/>
      <c r="J752" s="14"/>
      <c r="K752" s="15"/>
    </row>
    <row r="753">
      <c r="I753" s="14"/>
      <c r="J753" s="14"/>
      <c r="K753" s="15"/>
    </row>
    <row r="754">
      <c r="I754" s="14"/>
      <c r="J754" s="14"/>
      <c r="K754" s="15"/>
    </row>
    <row r="755">
      <c r="I755" s="14"/>
      <c r="J755" s="14"/>
      <c r="K755" s="15"/>
    </row>
    <row r="756">
      <c r="I756" s="14"/>
      <c r="J756" s="14"/>
      <c r="K756" s="15"/>
    </row>
    <row r="757">
      <c r="I757" s="14"/>
      <c r="J757" s="14"/>
      <c r="K757" s="15"/>
    </row>
    <row r="758">
      <c r="I758" s="14"/>
      <c r="J758" s="14"/>
      <c r="K758" s="15"/>
    </row>
    <row r="759">
      <c r="I759" s="14"/>
      <c r="J759" s="14"/>
      <c r="K759" s="15"/>
    </row>
    <row r="760">
      <c r="I760" s="14"/>
      <c r="J760" s="14"/>
      <c r="K760" s="15"/>
    </row>
    <row r="761">
      <c r="I761" s="14"/>
      <c r="J761" s="14"/>
      <c r="K761" s="15"/>
    </row>
    <row r="762">
      <c r="I762" s="14"/>
      <c r="J762" s="14"/>
      <c r="K762" s="15"/>
    </row>
    <row r="763">
      <c r="I763" s="14"/>
      <c r="J763" s="14"/>
      <c r="K763" s="15"/>
    </row>
    <row r="764">
      <c r="I764" s="14"/>
      <c r="J764" s="14"/>
      <c r="K764" s="15"/>
    </row>
    <row r="765">
      <c r="I765" s="14"/>
      <c r="J765" s="14"/>
      <c r="K765" s="15"/>
    </row>
    <row r="766">
      <c r="I766" s="14"/>
      <c r="J766" s="14"/>
      <c r="K766" s="15"/>
    </row>
    <row r="767">
      <c r="I767" s="14"/>
      <c r="J767" s="14"/>
      <c r="K767" s="15"/>
    </row>
    <row r="768">
      <c r="I768" s="14"/>
      <c r="J768" s="14"/>
      <c r="K768" s="15"/>
    </row>
    <row r="769">
      <c r="I769" s="14"/>
      <c r="J769" s="14"/>
      <c r="K769" s="15"/>
    </row>
    <row r="770">
      <c r="I770" s="14"/>
      <c r="J770" s="14"/>
      <c r="K770" s="15"/>
    </row>
    <row r="771">
      <c r="I771" s="14"/>
      <c r="J771" s="14"/>
      <c r="K771" s="15"/>
    </row>
    <row r="772">
      <c r="I772" s="14"/>
      <c r="J772" s="14"/>
      <c r="K772" s="15"/>
    </row>
    <row r="773">
      <c r="I773" s="14"/>
      <c r="J773" s="14"/>
      <c r="K773" s="15"/>
    </row>
    <row r="774">
      <c r="I774" s="14"/>
      <c r="J774" s="14"/>
      <c r="K774" s="15"/>
    </row>
    <row r="775">
      <c r="I775" s="14"/>
      <c r="J775" s="14"/>
      <c r="K775" s="15"/>
    </row>
    <row r="776">
      <c r="I776" s="14"/>
      <c r="J776" s="14"/>
      <c r="K776" s="15"/>
    </row>
    <row r="777">
      <c r="I777" s="14"/>
      <c r="J777" s="14"/>
      <c r="K777" s="15"/>
    </row>
    <row r="778">
      <c r="I778" s="14"/>
      <c r="J778" s="14"/>
      <c r="K778" s="15"/>
    </row>
    <row r="779">
      <c r="I779" s="14"/>
      <c r="J779" s="14"/>
      <c r="K779" s="15"/>
    </row>
    <row r="780">
      <c r="I780" s="14"/>
      <c r="J780" s="14"/>
      <c r="K780" s="15"/>
    </row>
    <row r="781">
      <c r="I781" s="14"/>
      <c r="J781" s="14"/>
      <c r="K781" s="15"/>
    </row>
    <row r="782">
      <c r="I782" s="14"/>
      <c r="J782" s="14"/>
      <c r="K782" s="15"/>
    </row>
    <row r="783">
      <c r="I783" s="14"/>
      <c r="J783" s="14"/>
      <c r="K783" s="15"/>
    </row>
    <row r="784">
      <c r="I784" s="14"/>
      <c r="J784" s="14"/>
      <c r="K784" s="15"/>
    </row>
    <row r="785">
      <c r="I785" s="14"/>
      <c r="J785" s="14"/>
      <c r="K785" s="15"/>
    </row>
    <row r="786">
      <c r="I786" s="14"/>
      <c r="J786" s="14"/>
      <c r="K786" s="15"/>
    </row>
    <row r="787">
      <c r="I787" s="14"/>
      <c r="J787" s="14"/>
      <c r="K787" s="15"/>
    </row>
    <row r="788">
      <c r="I788" s="14"/>
      <c r="J788" s="14"/>
      <c r="K788" s="15"/>
    </row>
    <row r="789">
      <c r="I789" s="14"/>
      <c r="J789" s="14"/>
      <c r="K789" s="15"/>
    </row>
    <row r="790">
      <c r="I790" s="14"/>
      <c r="J790" s="14"/>
      <c r="K790" s="15"/>
    </row>
    <row r="791">
      <c r="I791" s="14"/>
      <c r="J791" s="14"/>
      <c r="K791" s="15"/>
    </row>
    <row r="792">
      <c r="I792" s="14"/>
      <c r="J792" s="14"/>
      <c r="K792" s="15"/>
    </row>
    <row r="793">
      <c r="I793" s="14"/>
      <c r="J793" s="14"/>
      <c r="K793" s="15"/>
    </row>
    <row r="794">
      <c r="I794" s="14"/>
      <c r="J794" s="14"/>
      <c r="K794" s="15"/>
    </row>
    <row r="795">
      <c r="I795" s="14"/>
      <c r="J795" s="14"/>
      <c r="K795" s="15"/>
    </row>
    <row r="796">
      <c r="I796" s="14"/>
      <c r="J796" s="14"/>
      <c r="K796" s="15"/>
    </row>
    <row r="797">
      <c r="I797" s="14"/>
      <c r="J797" s="14"/>
      <c r="K797" s="15"/>
    </row>
    <row r="798">
      <c r="I798" s="14"/>
      <c r="J798" s="14"/>
      <c r="K798" s="15"/>
    </row>
    <row r="799">
      <c r="I799" s="14"/>
      <c r="J799" s="14"/>
      <c r="K799" s="15"/>
    </row>
    <row r="800">
      <c r="I800" s="14"/>
      <c r="J800" s="14"/>
      <c r="K800" s="15"/>
    </row>
    <row r="801">
      <c r="I801" s="14"/>
      <c r="J801" s="14"/>
      <c r="K801" s="15"/>
    </row>
    <row r="802">
      <c r="I802" s="14"/>
      <c r="J802" s="14"/>
      <c r="K802" s="15"/>
    </row>
    <row r="803">
      <c r="I803" s="14"/>
      <c r="J803" s="14"/>
      <c r="K803" s="15"/>
    </row>
    <row r="804">
      <c r="I804" s="14"/>
      <c r="J804" s="14"/>
      <c r="K804" s="15"/>
    </row>
    <row r="805">
      <c r="I805" s="14"/>
      <c r="J805" s="14"/>
      <c r="K805" s="15"/>
    </row>
    <row r="806">
      <c r="I806" s="14"/>
      <c r="J806" s="14"/>
      <c r="K806" s="15"/>
    </row>
    <row r="807">
      <c r="I807" s="14"/>
      <c r="J807" s="14"/>
      <c r="K807" s="15"/>
    </row>
    <row r="808">
      <c r="I808" s="14"/>
      <c r="J808" s="14"/>
      <c r="K808" s="15"/>
    </row>
    <row r="809">
      <c r="I809" s="14"/>
      <c r="J809" s="14"/>
      <c r="K809" s="15"/>
    </row>
    <row r="810">
      <c r="I810" s="14"/>
      <c r="J810" s="14"/>
      <c r="K810" s="15"/>
    </row>
    <row r="811">
      <c r="I811" s="14"/>
      <c r="J811" s="14"/>
      <c r="K811" s="15"/>
    </row>
    <row r="812">
      <c r="I812" s="14"/>
      <c r="J812" s="14"/>
      <c r="K812" s="15"/>
    </row>
    <row r="813">
      <c r="I813" s="14"/>
      <c r="J813" s="14"/>
      <c r="K813" s="15"/>
    </row>
    <row r="814">
      <c r="I814" s="14"/>
      <c r="J814" s="14"/>
      <c r="K814" s="15"/>
    </row>
    <row r="815">
      <c r="I815" s="14"/>
      <c r="J815" s="14"/>
      <c r="K815" s="15"/>
    </row>
    <row r="816">
      <c r="I816" s="14"/>
      <c r="J816" s="14"/>
      <c r="K816" s="15"/>
    </row>
    <row r="817">
      <c r="I817" s="14"/>
      <c r="J817" s="14"/>
      <c r="K817" s="15"/>
    </row>
    <row r="818">
      <c r="I818" s="14"/>
      <c r="J818" s="14"/>
      <c r="K818" s="15"/>
    </row>
    <row r="819">
      <c r="I819" s="14"/>
      <c r="J819" s="14"/>
      <c r="K819" s="15"/>
    </row>
    <row r="820">
      <c r="I820" s="14"/>
      <c r="J820" s="14"/>
      <c r="K820" s="15"/>
    </row>
    <row r="821">
      <c r="I821" s="14"/>
      <c r="J821" s="14"/>
      <c r="K821" s="15"/>
    </row>
    <row r="822">
      <c r="I822" s="14"/>
      <c r="J822" s="14"/>
      <c r="K822" s="15"/>
    </row>
    <row r="823">
      <c r="I823" s="14"/>
      <c r="J823" s="14"/>
      <c r="K823" s="15"/>
    </row>
    <row r="824">
      <c r="I824" s="14"/>
      <c r="J824" s="14"/>
      <c r="K824" s="15"/>
    </row>
    <row r="825">
      <c r="I825" s="14"/>
      <c r="J825" s="14"/>
      <c r="K825" s="15"/>
    </row>
    <row r="826">
      <c r="I826" s="14"/>
      <c r="J826" s="14"/>
      <c r="K826" s="15"/>
    </row>
    <row r="827">
      <c r="I827" s="14"/>
      <c r="J827" s="14"/>
      <c r="K827" s="15"/>
    </row>
    <row r="828">
      <c r="I828" s="14"/>
      <c r="J828" s="14"/>
      <c r="K828" s="15"/>
    </row>
    <row r="829">
      <c r="I829" s="14"/>
      <c r="J829" s="14"/>
      <c r="K829" s="15"/>
    </row>
    <row r="830">
      <c r="I830" s="14"/>
      <c r="J830" s="14"/>
      <c r="K830" s="15"/>
    </row>
    <row r="831">
      <c r="I831" s="14"/>
      <c r="J831" s="14"/>
      <c r="K831" s="15"/>
    </row>
    <row r="832">
      <c r="I832" s="14"/>
      <c r="J832" s="14"/>
      <c r="K832" s="15"/>
    </row>
    <row r="833">
      <c r="I833" s="14"/>
      <c r="J833" s="14"/>
      <c r="K833" s="15"/>
    </row>
    <row r="834">
      <c r="I834" s="14"/>
      <c r="J834" s="14"/>
      <c r="K834" s="15"/>
    </row>
    <row r="835">
      <c r="I835" s="14"/>
      <c r="J835" s="14"/>
      <c r="K835" s="15"/>
    </row>
    <row r="836">
      <c r="I836" s="14"/>
      <c r="J836" s="14"/>
      <c r="K836" s="15"/>
    </row>
    <row r="837">
      <c r="I837" s="14"/>
      <c r="J837" s="14"/>
      <c r="K837" s="15"/>
    </row>
    <row r="838">
      <c r="I838" s="14"/>
      <c r="J838" s="14"/>
      <c r="K838" s="15"/>
    </row>
    <row r="839">
      <c r="I839" s="14"/>
      <c r="J839" s="14"/>
      <c r="K839" s="15"/>
    </row>
    <row r="840">
      <c r="I840" s="14"/>
      <c r="J840" s="14"/>
      <c r="K840" s="15"/>
    </row>
    <row r="841">
      <c r="I841" s="14"/>
      <c r="J841" s="14"/>
      <c r="K841" s="15"/>
    </row>
    <row r="842">
      <c r="I842" s="14"/>
      <c r="J842" s="14"/>
      <c r="K842" s="15"/>
    </row>
    <row r="843">
      <c r="I843" s="14"/>
      <c r="J843" s="14"/>
      <c r="K843" s="15"/>
    </row>
    <row r="844">
      <c r="I844" s="14"/>
      <c r="J844" s="14"/>
      <c r="K844" s="15"/>
    </row>
    <row r="845">
      <c r="I845" s="14"/>
      <c r="J845" s="14"/>
      <c r="K845" s="15"/>
    </row>
    <row r="846">
      <c r="I846" s="14"/>
      <c r="J846" s="14"/>
      <c r="K846" s="15"/>
    </row>
    <row r="847">
      <c r="I847" s="14"/>
      <c r="J847" s="14"/>
      <c r="K847" s="15"/>
    </row>
    <row r="848">
      <c r="I848" s="14"/>
      <c r="J848" s="14"/>
      <c r="K848" s="15"/>
    </row>
    <row r="849">
      <c r="I849" s="14"/>
      <c r="J849" s="14"/>
      <c r="K849" s="15"/>
    </row>
    <row r="850">
      <c r="I850" s="14"/>
      <c r="J850" s="14"/>
      <c r="K850" s="15"/>
    </row>
    <row r="851">
      <c r="I851" s="14"/>
      <c r="J851" s="14"/>
      <c r="K851" s="15"/>
    </row>
    <row r="852">
      <c r="I852" s="14"/>
      <c r="J852" s="14"/>
      <c r="K852" s="15"/>
    </row>
    <row r="853">
      <c r="I853" s="14"/>
      <c r="J853" s="14"/>
      <c r="K853" s="15"/>
    </row>
    <row r="854">
      <c r="I854" s="14"/>
      <c r="J854" s="14"/>
      <c r="K854" s="15"/>
    </row>
    <row r="855">
      <c r="I855" s="14"/>
      <c r="J855" s="14"/>
      <c r="K855" s="15"/>
    </row>
    <row r="856">
      <c r="I856" s="14"/>
      <c r="J856" s="14"/>
      <c r="K856" s="15"/>
    </row>
    <row r="857">
      <c r="I857" s="14"/>
      <c r="J857" s="14"/>
      <c r="K857" s="15"/>
    </row>
    <row r="858">
      <c r="I858" s="14"/>
      <c r="J858" s="14"/>
      <c r="K858" s="15"/>
    </row>
    <row r="859">
      <c r="I859" s="14"/>
      <c r="J859" s="14"/>
      <c r="K859" s="15"/>
    </row>
    <row r="860">
      <c r="I860" s="14"/>
      <c r="J860" s="14"/>
      <c r="K860" s="15"/>
    </row>
    <row r="861">
      <c r="I861" s="14"/>
      <c r="J861" s="14"/>
      <c r="K861" s="15"/>
    </row>
    <row r="862">
      <c r="I862" s="14"/>
      <c r="J862" s="14"/>
      <c r="K862" s="15"/>
    </row>
    <row r="863">
      <c r="I863" s="14"/>
      <c r="J863" s="14"/>
      <c r="K863" s="15"/>
    </row>
    <row r="864">
      <c r="I864" s="14"/>
      <c r="J864" s="14"/>
      <c r="K864" s="15"/>
    </row>
    <row r="865">
      <c r="I865" s="14"/>
      <c r="J865" s="14"/>
      <c r="K865" s="15"/>
    </row>
    <row r="866">
      <c r="I866" s="14"/>
      <c r="J866" s="14"/>
      <c r="K866" s="15"/>
    </row>
    <row r="867">
      <c r="I867" s="14"/>
      <c r="J867" s="14"/>
      <c r="K867" s="15"/>
    </row>
    <row r="868">
      <c r="I868" s="14"/>
      <c r="J868" s="14"/>
      <c r="K868" s="15"/>
    </row>
    <row r="869">
      <c r="I869" s="14"/>
      <c r="J869" s="14"/>
      <c r="K869" s="15"/>
    </row>
    <row r="870">
      <c r="I870" s="14"/>
      <c r="J870" s="14"/>
      <c r="K870" s="15"/>
    </row>
    <row r="871">
      <c r="I871" s="14"/>
      <c r="J871" s="14"/>
      <c r="K871" s="15"/>
    </row>
    <row r="872">
      <c r="I872" s="14"/>
      <c r="J872" s="14"/>
      <c r="K872" s="15"/>
    </row>
    <row r="873">
      <c r="I873" s="14"/>
      <c r="J873" s="14"/>
      <c r="K873" s="15"/>
    </row>
    <row r="874">
      <c r="I874" s="14"/>
      <c r="J874" s="14"/>
      <c r="K874" s="15"/>
    </row>
    <row r="875">
      <c r="I875" s="14"/>
      <c r="J875" s="14"/>
      <c r="K875" s="15"/>
    </row>
    <row r="876">
      <c r="I876" s="14"/>
      <c r="J876" s="14"/>
      <c r="K876" s="15"/>
    </row>
    <row r="877">
      <c r="I877" s="14"/>
      <c r="J877" s="14"/>
      <c r="K877" s="15"/>
    </row>
    <row r="878">
      <c r="I878" s="14"/>
      <c r="J878" s="14"/>
      <c r="K878" s="15"/>
    </row>
    <row r="879">
      <c r="I879" s="14"/>
      <c r="J879" s="14"/>
      <c r="K879" s="15"/>
    </row>
    <row r="880">
      <c r="I880" s="14"/>
      <c r="J880" s="14"/>
      <c r="K880" s="15"/>
    </row>
    <row r="881">
      <c r="I881" s="14"/>
      <c r="J881" s="14"/>
      <c r="K881" s="15"/>
    </row>
    <row r="882">
      <c r="I882" s="14"/>
      <c r="J882" s="14"/>
      <c r="K882" s="15"/>
    </row>
    <row r="883">
      <c r="I883" s="14"/>
      <c r="J883" s="14"/>
      <c r="K883" s="15"/>
    </row>
    <row r="884">
      <c r="I884" s="14"/>
      <c r="J884" s="14"/>
      <c r="K884" s="15"/>
    </row>
    <row r="885">
      <c r="I885" s="14"/>
      <c r="J885" s="14"/>
      <c r="K885" s="15"/>
    </row>
    <row r="886">
      <c r="I886" s="14"/>
      <c r="J886" s="14"/>
      <c r="K886" s="15"/>
    </row>
    <row r="887">
      <c r="I887" s="14"/>
      <c r="J887" s="14"/>
      <c r="K887" s="15"/>
    </row>
    <row r="888">
      <c r="I888" s="14"/>
      <c r="J888" s="14"/>
      <c r="K888" s="15"/>
    </row>
    <row r="889">
      <c r="I889" s="14"/>
      <c r="J889" s="14"/>
      <c r="K889" s="15"/>
    </row>
    <row r="890">
      <c r="I890" s="14"/>
      <c r="J890" s="14"/>
      <c r="K890" s="15"/>
    </row>
    <row r="891">
      <c r="I891" s="14"/>
      <c r="J891" s="14"/>
      <c r="K891" s="15"/>
    </row>
    <row r="892">
      <c r="I892" s="14"/>
      <c r="J892" s="14"/>
      <c r="K892" s="15"/>
    </row>
    <row r="893">
      <c r="I893" s="14"/>
      <c r="J893" s="14"/>
      <c r="K893" s="15"/>
    </row>
    <row r="894">
      <c r="I894" s="14"/>
      <c r="J894" s="14"/>
      <c r="K894" s="15"/>
    </row>
    <row r="895">
      <c r="I895" s="14"/>
      <c r="J895" s="14"/>
      <c r="K895" s="15"/>
    </row>
    <row r="896">
      <c r="I896" s="14"/>
      <c r="J896" s="14"/>
      <c r="K896" s="15"/>
    </row>
    <row r="897">
      <c r="I897" s="14"/>
      <c r="J897" s="14"/>
      <c r="K897" s="15"/>
    </row>
    <row r="898">
      <c r="I898" s="14"/>
      <c r="J898" s="14"/>
      <c r="K898" s="15"/>
    </row>
    <row r="899">
      <c r="I899" s="14"/>
      <c r="J899" s="14"/>
      <c r="K899" s="15"/>
    </row>
    <row r="900">
      <c r="I900" s="14"/>
      <c r="J900" s="14"/>
      <c r="K900" s="15"/>
    </row>
    <row r="901">
      <c r="I901" s="14"/>
      <c r="J901" s="14"/>
      <c r="K901" s="15"/>
    </row>
    <row r="902">
      <c r="I902" s="14"/>
      <c r="J902" s="14"/>
      <c r="K902" s="15"/>
    </row>
    <row r="903">
      <c r="I903" s="14"/>
      <c r="J903" s="14"/>
      <c r="K903" s="15"/>
    </row>
    <row r="904">
      <c r="I904" s="14"/>
      <c r="J904" s="14"/>
      <c r="K904" s="15"/>
    </row>
    <row r="905">
      <c r="I905" s="14"/>
      <c r="J905" s="14"/>
      <c r="K905" s="15"/>
    </row>
    <row r="906">
      <c r="I906" s="14"/>
      <c r="J906" s="14"/>
      <c r="K906" s="15"/>
    </row>
    <row r="907">
      <c r="I907" s="14"/>
      <c r="J907" s="14"/>
      <c r="K907" s="15"/>
    </row>
    <row r="908">
      <c r="I908" s="14"/>
      <c r="J908" s="14"/>
      <c r="K908" s="15"/>
    </row>
    <row r="909">
      <c r="I909" s="14"/>
      <c r="J909" s="14"/>
      <c r="K909" s="15"/>
    </row>
    <row r="910">
      <c r="I910" s="14"/>
      <c r="J910" s="14"/>
      <c r="K910" s="15"/>
    </row>
    <row r="911">
      <c r="I911" s="14"/>
      <c r="J911" s="14"/>
      <c r="K911" s="15"/>
    </row>
    <row r="912">
      <c r="I912" s="14"/>
      <c r="J912" s="14"/>
      <c r="K912" s="15"/>
    </row>
    <row r="913">
      <c r="I913" s="14"/>
      <c r="J913" s="14"/>
      <c r="K913" s="15"/>
    </row>
    <row r="914">
      <c r="I914" s="14"/>
      <c r="J914" s="14"/>
      <c r="K914" s="15"/>
    </row>
    <row r="915">
      <c r="I915" s="14"/>
      <c r="J915" s="14"/>
      <c r="K915" s="15"/>
    </row>
    <row r="916">
      <c r="I916" s="14"/>
      <c r="J916" s="14"/>
      <c r="K916" s="15"/>
    </row>
    <row r="917">
      <c r="I917" s="14"/>
      <c r="J917" s="14"/>
      <c r="K917" s="15"/>
    </row>
    <row r="918">
      <c r="I918" s="14"/>
      <c r="J918" s="14"/>
      <c r="K918" s="15"/>
    </row>
    <row r="919">
      <c r="I919" s="14"/>
      <c r="J919" s="14"/>
      <c r="K919" s="15"/>
    </row>
    <row r="920">
      <c r="I920" s="14"/>
      <c r="J920" s="14"/>
      <c r="K920" s="15"/>
    </row>
    <row r="921">
      <c r="I921" s="14"/>
      <c r="J921" s="14"/>
      <c r="K921" s="15"/>
    </row>
    <row r="922">
      <c r="I922" s="14"/>
      <c r="J922" s="14"/>
      <c r="K922" s="15"/>
    </row>
    <row r="923">
      <c r="I923" s="14"/>
      <c r="J923" s="14"/>
      <c r="K923" s="15"/>
    </row>
    <row r="924">
      <c r="I924" s="14"/>
      <c r="J924" s="14"/>
      <c r="K924" s="15"/>
    </row>
    <row r="925">
      <c r="I925" s="14"/>
      <c r="J925" s="14"/>
      <c r="K925" s="15"/>
    </row>
    <row r="926">
      <c r="I926" s="14"/>
      <c r="J926" s="14"/>
      <c r="K926" s="15"/>
    </row>
    <row r="927">
      <c r="I927" s="14"/>
      <c r="J927" s="14"/>
      <c r="K927" s="15"/>
    </row>
    <row r="928">
      <c r="I928" s="14"/>
      <c r="J928" s="14"/>
      <c r="K928" s="15"/>
    </row>
    <row r="929">
      <c r="I929" s="14"/>
      <c r="J929" s="14"/>
      <c r="K929" s="15"/>
    </row>
    <row r="930">
      <c r="I930" s="14"/>
      <c r="J930" s="14"/>
      <c r="K930" s="15"/>
    </row>
    <row r="931">
      <c r="I931" s="14"/>
      <c r="J931" s="14"/>
      <c r="K931" s="15"/>
    </row>
    <row r="932">
      <c r="I932" s="14"/>
      <c r="J932" s="14"/>
      <c r="K932" s="15"/>
    </row>
    <row r="933">
      <c r="I933" s="14"/>
      <c r="J933" s="14"/>
      <c r="K933" s="15"/>
    </row>
    <row r="934">
      <c r="I934" s="14"/>
      <c r="J934" s="14"/>
      <c r="K934" s="15"/>
    </row>
    <row r="935">
      <c r="I935" s="14"/>
      <c r="J935" s="14"/>
      <c r="K935" s="15"/>
    </row>
    <row r="936">
      <c r="I936" s="14"/>
      <c r="J936" s="14"/>
      <c r="K936" s="15"/>
    </row>
    <row r="937">
      <c r="I937" s="14"/>
      <c r="J937" s="14"/>
      <c r="K937" s="15"/>
    </row>
    <row r="938">
      <c r="I938" s="14"/>
      <c r="J938" s="14"/>
      <c r="K938" s="15"/>
    </row>
    <row r="939">
      <c r="I939" s="14"/>
      <c r="J939" s="14"/>
      <c r="K939" s="15"/>
    </row>
    <row r="940">
      <c r="I940" s="14"/>
      <c r="J940" s="14"/>
      <c r="K940" s="15"/>
    </row>
    <row r="941">
      <c r="I941" s="14"/>
      <c r="J941" s="14"/>
      <c r="K941" s="15"/>
    </row>
    <row r="942">
      <c r="I942" s="14"/>
      <c r="J942" s="14"/>
      <c r="K942" s="15"/>
    </row>
    <row r="943">
      <c r="I943" s="14"/>
      <c r="J943" s="14"/>
      <c r="K943" s="15"/>
    </row>
    <row r="944">
      <c r="I944" s="14"/>
      <c r="J944" s="14"/>
      <c r="K944" s="15"/>
    </row>
    <row r="945">
      <c r="I945" s="14"/>
      <c r="J945" s="14"/>
      <c r="K945" s="15"/>
    </row>
    <row r="946">
      <c r="I946" s="14"/>
      <c r="J946" s="14"/>
      <c r="K946" s="15"/>
    </row>
    <row r="947">
      <c r="I947" s="14"/>
      <c r="J947" s="14"/>
      <c r="K947" s="15"/>
    </row>
    <row r="948">
      <c r="I948" s="14"/>
      <c r="J948" s="14"/>
      <c r="K948" s="15"/>
    </row>
    <row r="949">
      <c r="I949" s="14"/>
      <c r="J949" s="14"/>
      <c r="K949" s="15"/>
    </row>
    <row r="950">
      <c r="I950" s="14"/>
      <c r="J950" s="14"/>
      <c r="K950" s="15"/>
    </row>
    <row r="951">
      <c r="I951" s="14"/>
      <c r="J951" s="14"/>
      <c r="K951" s="15"/>
    </row>
    <row r="952">
      <c r="I952" s="14"/>
      <c r="J952" s="14"/>
      <c r="K952" s="15"/>
    </row>
    <row r="953">
      <c r="I953" s="14"/>
      <c r="J953" s="14"/>
      <c r="K953" s="15"/>
    </row>
    <row r="954">
      <c r="I954" s="14"/>
      <c r="J954" s="14"/>
      <c r="K954" s="15"/>
    </row>
    <row r="955">
      <c r="I955" s="14"/>
      <c r="J955" s="14"/>
      <c r="K955" s="15"/>
    </row>
    <row r="956">
      <c r="I956" s="14"/>
      <c r="J956" s="14"/>
      <c r="K956" s="15"/>
    </row>
    <row r="957">
      <c r="I957" s="14"/>
      <c r="J957" s="14"/>
      <c r="K957" s="15"/>
    </row>
    <row r="958">
      <c r="I958" s="14"/>
      <c r="J958" s="14"/>
      <c r="K958" s="15"/>
    </row>
    <row r="959">
      <c r="I959" s="14"/>
      <c r="J959" s="14"/>
      <c r="K959" s="15"/>
    </row>
    <row r="960">
      <c r="I960" s="14"/>
      <c r="J960" s="14"/>
      <c r="K960" s="15"/>
    </row>
    <row r="961">
      <c r="I961" s="14"/>
      <c r="J961" s="14"/>
      <c r="K961" s="15"/>
    </row>
    <row r="962">
      <c r="I962" s="14"/>
      <c r="J962" s="14"/>
      <c r="K962" s="15"/>
    </row>
    <row r="963">
      <c r="I963" s="14"/>
      <c r="J963" s="14"/>
      <c r="K963" s="15"/>
    </row>
    <row r="964">
      <c r="I964" s="14"/>
      <c r="J964" s="14"/>
      <c r="K964" s="15"/>
    </row>
    <row r="965">
      <c r="I965" s="14"/>
      <c r="J965" s="14"/>
      <c r="K965" s="15"/>
    </row>
    <row r="966">
      <c r="I966" s="14"/>
      <c r="J966" s="14"/>
      <c r="K966" s="15"/>
    </row>
    <row r="967">
      <c r="I967" s="14"/>
      <c r="J967" s="14"/>
      <c r="K967" s="15"/>
    </row>
    <row r="968">
      <c r="I968" s="14"/>
      <c r="J968" s="14"/>
      <c r="K968" s="15"/>
    </row>
    <row r="969">
      <c r="I969" s="14"/>
      <c r="J969" s="14"/>
      <c r="K969" s="15"/>
    </row>
    <row r="970">
      <c r="I970" s="14"/>
      <c r="J970" s="14"/>
      <c r="K970" s="15"/>
    </row>
    <row r="971">
      <c r="I971" s="14"/>
      <c r="J971" s="14"/>
      <c r="K971" s="15"/>
    </row>
    <row r="972">
      <c r="I972" s="14"/>
      <c r="J972" s="14"/>
      <c r="K972" s="15"/>
    </row>
    <row r="973">
      <c r="I973" s="14"/>
      <c r="J973" s="14"/>
      <c r="K973" s="15"/>
    </row>
    <row r="974">
      <c r="I974" s="14"/>
      <c r="J974" s="14"/>
      <c r="K974" s="15"/>
    </row>
    <row r="975">
      <c r="I975" s="14"/>
      <c r="J975" s="14"/>
      <c r="K975" s="15"/>
    </row>
    <row r="976">
      <c r="I976" s="14"/>
      <c r="J976" s="14"/>
      <c r="K976" s="15"/>
    </row>
    <row r="977">
      <c r="I977" s="14"/>
      <c r="J977" s="14"/>
      <c r="K977" s="15"/>
    </row>
    <row r="978">
      <c r="I978" s="14"/>
      <c r="J978" s="14"/>
      <c r="K978" s="15"/>
    </row>
    <row r="979">
      <c r="I979" s="14"/>
      <c r="J979" s="14"/>
      <c r="K979" s="15"/>
    </row>
    <row r="980">
      <c r="I980" s="14"/>
      <c r="J980" s="14"/>
      <c r="K980" s="15"/>
    </row>
    <row r="981">
      <c r="I981" s="14"/>
      <c r="J981" s="14"/>
      <c r="K981" s="15"/>
    </row>
    <row r="982">
      <c r="I982" s="14"/>
      <c r="J982" s="14"/>
      <c r="K982" s="15"/>
    </row>
    <row r="983">
      <c r="I983" s="14"/>
      <c r="J983" s="14"/>
      <c r="K983" s="15"/>
    </row>
    <row r="984">
      <c r="I984" s="14"/>
      <c r="J984" s="14"/>
      <c r="K984" s="15"/>
    </row>
    <row r="985">
      <c r="I985" s="14"/>
      <c r="J985" s="14"/>
      <c r="K985" s="15"/>
    </row>
    <row r="986">
      <c r="I986" s="14"/>
      <c r="J986" s="14"/>
      <c r="K986" s="15"/>
    </row>
    <row r="987">
      <c r="I987" s="14"/>
      <c r="J987" s="14"/>
      <c r="K987" s="15"/>
    </row>
    <row r="988">
      <c r="I988" s="14"/>
      <c r="J988" s="14"/>
      <c r="K988" s="15"/>
    </row>
    <row r="989">
      <c r="I989" s="14"/>
      <c r="J989" s="14"/>
      <c r="K989" s="15"/>
    </row>
    <row r="990">
      <c r="I990" s="14"/>
      <c r="J990" s="14"/>
      <c r="K990" s="15"/>
    </row>
    <row r="991">
      <c r="I991" s="14"/>
      <c r="J991" s="14"/>
      <c r="K991" s="15"/>
    </row>
    <row r="992">
      <c r="I992" s="14"/>
      <c r="J992" s="14"/>
      <c r="K992" s="15"/>
    </row>
    <row r="993">
      <c r="I993" s="14"/>
      <c r="J993" s="14"/>
      <c r="K993" s="15"/>
    </row>
    <row r="994">
      <c r="I994" s="14"/>
      <c r="J994" s="14"/>
      <c r="K994" s="15"/>
    </row>
    <row r="995">
      <c r="I995" s="14"/>
      <c r="J995" s="14"/>
      <c r="K995" s="15"/>
    </row>
    <row r="996">
      <c r="I996" s="14"/>
      <c r="J996" s="14"/>
      <c r="K996" s="15"/>
    </row>
    <row r="997">
      <c r="I997" s="14"/>
      <c r="J997" s="14"/>
      <c r="K997" s="15"/>
    </row>
    <row r="998">
      <c r="I998" s="14"/>
      <c r="J998" s="14"/>
      <c r="K998" s="15"/>
    </row>
    <row r="999">
      <c r="I999" s="14"/>
      <c r="J999" s="14"/>
      <c r="K999" s="15"/>
    </row>
    <row r="1000">
      <c r="I1000" s="14"/>
      <c r="J1000" s="14"/>
      <c r="K1000" s="15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</hyperlinks>
  <drawing r:id="rId6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71"/>
    <col customWidth="1" min="2" max="2" width="18.43"/>
    <col customWidth="1" min="3" max="3" width="24.86"/>
    <col customWidth="1" min="4" max="4" width="23.71"/>
    <col customWidth="1" min="5" max="5" width="19.86"/>
    <col customWidth="1" min="6" max="6" width="12.29"/>
    <col customWidth="1" min="7" max="7" width="13.86"/>
    <col customWidth="1" min="8" max="8" width="12.0"/>
    <col customWidth="1" min="9" max="9" width="11.29"/>
    <col customWidth="1" min="12" max="12" width="7.71"/>
    <col customWidth="1" min="13" max="13" width="6.86"/>
    <col customWidth="1" min="14" max="14" width="5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  <c r="I1" s="4" t="s">
        <v>11</v>
      </c>
      <c r="J1" s="4" t="s">
        <v>8</v>
      </c>
      <c r="K1" s="4" t="s">
        <v>12</v>
      </c>
      <c r="L1" s="6" t="s">
        <v>13</v>
      </c>
      <c r="M1" s="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 t="s">
        <v>16</v>
      </c>
      <c r="B2" s="9" t="s">
        <v>17</v>
      </c>
      <c r="C2" s="12" t="str">
        <f>HYPERLINK("https://www.google.com/search?q=ARMENIAN-1+nuclear+power+plant+in+ARMENIA", "ARMENIAN-1")</f>
        <v>ARMENIAN-1</v>
      </c>
      <c r="D2" s="9" t="s">
        <v>23</v>
      </c>
      <c r="E2" s="9" t="s">
        <v>24</v>
      </c>
      <c r="F2" s="9">
        <v>408.0</v>
      </c>
      <c r="G2" s="9">
        <v>1375.0</v>
      </c>
      <c r="H2" s="9">
        <v>0.0</v>
      </c>
      <c r="I2" s="9">
        <v>0.0</v>
      </c>
      <c r="J2" s="9">
        <v>40.1808444</v>
      </c>
      <c r="K2" s="9">
        <v>44.1489083</v>
      </c>
      <c r="L2" s="13">
        <v>952.491577148438</v>
      </c>
      <c r="M2" s="12" t="str">
        <f>HYPERLINK("http://www.iaea.org/PRIS/CountryStatistics/ReactorDetails.aspx?current=1", "PRIS")</f>
        <v>PRIS</v>
      </c>
      <c r="N2" s="12" t="str">
        <f t="shared" ref="N2:N3" si="1">HYPERLINK("http://maps.google.com/?q=40.1808,44.1489&amp;t=k", "Map")</f>
        <v>Map</v>
      </c>
    </row>
    <row r="3" ht="14.25" customHeight="1">
      <c r="A3" s="9" t="s">
        <v>16</v>
      </c>
      <c r="B3" s="9" t="s">
        <v>17</v>
      </c>
      <c r="C3" s="12" t="str">
        <f>HYPERLINK("https://www.google.com/search?q=ARMENIAN-2+nuclear+power+plant+in+ARMENIA", "ARMENIAN-2")</f>
        <v>ARMENIAN-2</v>
      </c>
      <c r="D3" s="9" t="s">
        <v>23</v>
      </c>
      <c r="E3" s="9" t="s">
        <v>21</v>
      </c>
      <c r="F3" s="9">
        <v>408.0</v>
      </c>
      <c r="G3" s="9">
        <v>1375.0</v>
      </c>
      <c r="H3" s="9">
        <v>64.3</v>
      </c>
      <c r="I3" s="9">
        <v>66.0</v>
      </c>
      <c r="J3" s="9">
        <v>40.1808444</v>
      </c>
      <c r="K3" s="9">
        <v>44.1489083</v>
      </c>
      <c r="L3" s="13">
        <v>952.491577148438</v>
      </c>
      <c r="M3" s="12" t="str">
        <f>HYPERLINK("http://www.iaea.org/PRIS/CountryStatistics/ReactorDetails.aspx?current=2", "PRIS")</f>
        <v>PRIS</v>
      </c>
      <c r="N3" s="12" t="str">
        <f t="shared" si="1"/>
        <v>Map</v>
      </c>
    </row>
    <row r="4">
      <c r="A4" s="9" t="s">
        <v>15</v>
      </c>
      <c r="B4" s="9" t="s">
        <v>18</v>
      </c>
      <c r="C4" s="12" t="str">
        <f>HYPERLINK("https://www.google.com/search?q=ATUCHA-1+nuclear+power+plant+in+ARGENTINA", "ATUCHA-1")</f>
        <v>ATUCHA-1</v>
      </c>
      <c r="D4" s="9" t="s">
        <v>20</v>
      </c>
      <c r="E4" s="9" t="s">
        <v>21</v>
      </c>
      <c r="F4" s="9">
        <v>357.0</v>
      </c>
      <c r="G4" s="9">
        <v>1179.0</v>
      </c>
      <c r="H4" s="9">
        <v>71.1</v>
      </c>
      <c r="I4" s="9">
        <v>83.5</v>
      </c>
      <c r="J4" s="9">
        <v>-33.96333</v>
      </c>
      <c r="K4" s="9">
        <v>-59.18639</v>
      </c>
      <c r="L4" s="13">
        <v>22.0889835357666</v>
      </c>
      <c r="M4" s="12" t="str">
        <f>HYPERLINK("http://www.iaea.org/PRIS/CountryStatistics/ReactorDetails.aspx?current=3", "PRIS")</f>
        <v>PRIS</v>
      </c>
      <c r="N4" s="12" t="str">
        <f>HYPERLINK("http://maps.google.com/?q=-33.9633,-59.1864&amp;t=k", "Map")</f>
        <v>Map</v>
      </c>
    </row>
    <row r="5">
      <c r="A5" s="9" t="s">
        <v>15</v>
      </c>
      <c r="B5" s="9" t="s">
        <v>18</v>
      </c>
      <c r="C5" s="12" t="str">
        <f>HYPERLINK("https://www.google.com/search?q=EMBALSE+nuclear+power+plant+in+ARGENTINA", "EMBALSE")</f>
        <v>EMBALSE</v>
      </c>
      <c r="D5" s="9" t="s">
        <v>30</v>
      </c>
      <c r="E5" s="9" t="s">
        <v>21</v>
      </c>
      <c r="F5" s="9">
        <v>648.0</v>
      </c>
      <c r="G5" s="9">
        <v>2015.0</v>
      </c>
      <c r="H5" s="9">
        <v>82.6</v>
      </c>
      <c r="I5" s="9">
        <v>62.5</v>
      </c>
      <c r="J5" s="9">
        <v>-32.232</v>
      </c>
      <c r="K5" s="9">
        <v>-64.443</v>
      </c>
      <c r="L5" s="13">
        <v>596.137084960938</v>
      </c>
      <c r="M5" s="12" t="str">
        <f>HYPERLINK("http://www.iaea.org/PRIS/CountryStatistics/ReactorDetails.aspx?current=4", "PRIS")</f>
        <v>PRIS</v>
      </c>
      <c r="N5" s="12" t="str">
        <f>HYPERLINK("http://maps.google.com/?q=-32.232,-64.443&amp;t=k", "Map")</f>
        <v>Map</v>
      </c>
    </row>
    <row r="6">
      <c r="A6" s="9" t="s">
        <v>15</v>
      </c>
      <c r="B6" s="9" t="s">
        <v>18</v>
      </c>
      <c r="C6" s="12" t="str">
        <f>HYPERLINK("https://www.google.com/search?q=ATUCHA-2+nuclear+power+plant+in+ARGENTINA", "ATUCHA-2")</f>
        <v>ATUCHA-2</v>
      </c>
      <c r="D6" s="9" t="s">
        <v>20</v>
      </c>
      <c r="E6" s="9" t="s">
        <v>21</v>
      </c>
      <c r="F6" s="9">
        <v>745.0</v>
      </c>
      <c r="G6" s="9">
        <v>2160.0</v>
      </c>
      <c r="H6" s="9">
        <v>0.0</v>
      </c>
      <c r="I6" s="9">
        <v>0.0</v>
      </c>
      <c r="J6" s="9">
        <v>-33.9675194</v>
      </c>
      <c r="K6" s="9">
        <v>-59.2051194</v>
      </c>
      <c r="L6" s="13">
        <v>23.3317165374756</v>
      </c>
      <c r="M6" s="12" t="str">
        <f>HYPERLINK("http://www.iaea.org/PRIS/CountryStatistics/ReactorDetails.aspx?current=5", "PRIS")</f>
        <v>PRIS</v>
      </c>
      <c r="N6" s="12" t="str">
        <f>HYPERLINK("http://maps.google.com/?q=-33.9675,-59.2051&amp;t=k", "Map")</f>
        <v>Map</v>
      </c>
    </row>
    <row r="7">
      <c r="A7" s="9" t="s">
        <v>41</v>
      </c>
      <c r="B7" s="9" t="s">
        <v>42</v>
      </c>
      <c r="C7" s="12" t="str">
        <f>HYPERLINK("https://www.google.com/search?q=BR-3+nuclear+power+plant+in+BELGIUM", "BR-3")</f>
        <v>BR-3</v>
      </c>
      <c r="D7" s="9" t="s">
        <v>44</v>
      </c>
      <c r="E7" s="9" t="s">
        <v>24</v>
      </c>
      <c r="F7" s="9">
        <v>12.0</v>
      </c>
      <c r="G7" s="9">
        <v>41.0</v>
      </c>
      <c r="H7" s="9">
        <v>40.2</v>
      </c>
      <c r="I7" s="9">
        <v>0.0</v>
      </c>
      <c r="J7" s="9">
        <v>0.0</v>
      </c>
      <c r="K7" s="9">
        <v>0.0</v>
      </c>
      <c r="L7" s="13">
        <v>-4924.587890625</v>
      </c>
      <c r="M7" s="12" t="str">
        <f>HYPERLINK("http://www.iaea.org/PRIS/CountryStatistics/ReactorDetails.aspx?current=8", "PRIS")</f>
        <v>PRIS</v>
      </c>
      <c r="N7" s="12" t="str">
        <f>HYPERLINK("http://maps.google.com/?q=0,0&amp;t=k", "Map")</f>
        <v>Map</v>
      </c>
    </row>
    <row r="8">
      <c r="A8" s="9" t="s">
        <v>41</v>
      </c>
      <c r="B8" s="9" t="s">
        <v>42</v>
      </c>
      <c r="C8" s="12" t="str">
        <f>HYPERLINK("https://www.google.com/search?q=DOEL-1+nuclear+power+plant+in+BELGIUM", "DOEL-1")</f>
        <v>DOEL-1</v>
      </c>
      <c r="D8" s="9" t="s">
        <v>47</v>
      </c>
      <c r="E8" s="9" t="s">
        <v>21</v>
      </c>
      <c r="F8" s="9">
        <v>454.0</v>
      </c>
      <c r="G8" s="9">
        <v>1311.0</v>
      </c>
      <c r="H8" s="9">
        <v>86.1</v>
      </c>
      <c r="I8" s="9">
        <v>97.8</v>
      </c>
      <c r="J8" s="9">
        <v>51.32472</v>
      </c>
      <c r="K8" s="9">
        <v>4.25861</v>
      </c>
      <c r="L8" s="13">
        <v>46.8124809265137</v>
      </c>
      <c r="M8" s="12" t="str">
        <f>HYPERLINK("http://www.iaea.org/PRIS/CountryStatistics/ReactorDetails.aspx?current=9", "PRIS")</f>
        <v>PRIS</v>
      </c>
      <c r="N8" s="12" t="str">
        <f>HYPERLINK("http://maps.google.com/?q=51.3247,4.25861&amp;t=k", "Map")</f>
        <v>Map</v>
      </c>
    </row>
    <row r="9">
      <c r="A9" s="9" t="s">
        <v>41</v>
      </c>
      <c r="B9" s="9" t="s">
        <v>42</v>
      </c>
      <c r="C9" s="12" t="str">
        <f>HYPERLINK("https://www.google.com/search?q=TIHANGE-1+nuclear+power+plant+in+BELGIUM", "TIHANGE-1")</f>
        <v>TIHANGE-1</v>
      </c>
      <c r="D9" s="9" t="s">
        <v>55</v>
      </c>
      <c r="E9" s="9" t="s">
        <v>21</v>
      </c>
      <c r="F9" s="9">
        <v>1009.0</v>
      </c>
      <c r="G9" s="9">
        <v>2873.0</v>
      </c>
      <c r="H9" s="9">
        <v>83.5</v>
      </c>
      <c r="I9" s="9">
        <v>81.6</v>
      </c>
      <c r="J9" s="9">
        <v>50.5346278</v>
      </c>
      <c r="K9" s="9">
        <v>5.2725333</v>
      </c>
      <c r="L9" s="13">
        <v>126.161514282227</v>
      </c>
      <c r="M9" s="12" t="str">
        <f>HYPERLINK("http://www.iaea.org/PRIS/CountryStatistics/ReactorDetails.aspx?current=10", "PRIS")</f>
        <v>PRIS</v>
      </c>
      <c r="N9" s="12" t="str">
        <f>HYPERLINK("http://maps.google.com/?q=50.5346,5.27253&amp;t=k", "Map")</f>
        <v>Map</v>
      </c>
    </row>
    <row r="10">
      <c r="A10" s="9" t="s">
        <v>41</v>
      </c>
      <c r="B10" s="9" t="s">
        <v>42</v>
      </c>
      <c r="C10" s="12" t="str">
        <f>HYPERLINK("https://www.google.com/search?q=DOEL-2+nuclear+power+plant+in+BELGIUM", "DOEL-2")</f>
        <v>DOEL-2</v>
      </c>
      <c r="D10" s="9" t="s">
        <v>47</v>
      </c>
      <c r="E10" s="9" t="s">
        <v>21</v>
      </c>
      <c r="F10" s="9">
        <v>454.0</v>
      </c>
      <c r="G10" s="9">
        <v>1311.0</v>
      </c>
      <c r="H10" s="9">
        <v>83.1</v>
      </c>
      <c r="I10" s="9">
        <v>94.0</v>
      </c>
      <c r="J10" s="9">
        <v>51.32472</v>
      </c>
      <c r="K10" s="9">
        <v>4.25861</v>
      </c>
      <c r="L10" s="13">
        <v>46.8124809265137</v>
      </c>
      <c r="M10" s="12" t="str">
        <f>HYPERLINK("http://www.iaea.org/PRIS/CountryStatistics/ReactorDetails.aspx?current=11", "PRIS")</f>
        <v>PRIS</v>
      </c>
      <c r="N10" s="12" t="str">
        <f t="shared" ref="N10:N11" si="2">HYPERLINK("http://maps.google.com/?q=51.3247,4.25861&amp;t=k", "Map")</f>
        <v>Map</v>
      </c>
    </row>
    <row r="11">
      <c r="A11" s="9" t="s">
        <v>41</v>
      </c>
      <c r="B11" s="9" t="s">
        <v>42</v>
      </c>
      <c r="C11" s="12" t="str">
        <f>HYPERLINK("https://www.google.com/search?q=DOEL-3+nuclear+power+plant+in+BELGIUM", "DOEL-3")</f>
        <v>DOEL-3</v>
      </c>
      <c r="D11" s="9" t="s">
        <v>47</v>
      </c>
      <c r="E11" s="9" t="s">
        <v>21</v>
      </c>
      <c r="F11" s="9">
        <v>1056.0</v>
      </c>
      <c r="G11" s="9">
        <v>3054.0</v>
      </c>
      <c r="H11" s="9">
        <v>83.7</v>
      </c>
      <c r="I11" s="9">
        <v>56.7</v>
      </c>
      <c r="J11" s="9">
        <v>51.32472</v>
      </c>
      <c r="K11" s="9">
        <v>4.25861</v>
      </c>
      <c r="L11" s="13">
        <v>46.8124809265137</v>
      </c>
      <c r="M11" s="12" t="str">
        <f>HYPERLINK("http://www.iaea.org/PRIS/CountryStatistics/ReactorDetails.aspx?current=12", "PRIS")</f>
        <v>PRIS</v>
      </c>
      <c r="N11" s="12" t="str">
        <f t="shared" si="2"/>
        <v>Map</v>
      </c>
    </row>
    <row r="12">
      <c r="A12" s="9" t="s">
        <v>41</v>
      </c>
      <c r="B12" s="9" t="s">
        <v>42</v>
      </c>
      <c r="C12" s="12" t="str">
        <f>HYPERLINK("https://www.google.com/search?q=TIHANGE-2+nuclear+power+plant+in+BELGIUM", "TIHANGE-2")</f>
        <v>TIHANGE-2</v>
      </c>
      <c r="D12" s="9" t="s">
        <v>55</v>
      </c>
      <c r="E12" s="9" t="s">
        <v>21</v>
      </c>
      <c r="F12" s="9">
        <v>1055.0</v>
      </c>
      <c r="G12" s="9">
        <v>3064.0</v>
      </c>
      <c r="H12" s="9">
        <v>85.6</v>
      </c>
      <c r="I12" s="9">
        <v>55.9</v>
      </c>
      <c r="J12" s="9">
        <v>50.5346278</v>
      </c>
      <c r="K12" s="9">
        <v>5.2725333</v>
      </c>
      <c r="L12" s="13">
        <v>126.161514282227</v>
      </c>
      <c r="M12" s="12" t="str">
        <f>HYPERLINK("http://www.iaea.org/PRIS/CountryStatistics/ReactorDetails.aspx?current=13", "PRIS")</f>
        <v>PRIS</v>
      </c>
      <c r="N12" s="12" t="str">
        <f>HYPERLINK("http://maps.google.com/?q=50.5346,5.27253&amp;t=k", "Map")</f>
        <v>Map</v>
      </c>
    </row>
    <row r="13">
      <c r="A13" s="9" t="s">
        <v>41</v>
      </c>
      <c r="B13" s="9" t="s">
        <v>42</v>
      </c>
      <c r="C13" s="12" t="str">
        <f>HYPERLINK("https://www.google.com/search?q=DOEL-4+nuclear+power+plant+in+BELGIUM", "DOEL-4")</f>
        <v>DOEL-4</v>
      </c>
      <c r="D13" s="9" t="s">
        <v>47</v>
      </c>
      <c r="E13" s="9" t="s">
        <v>21</v>
      </c>
      <c r="F13" s="9">
        <v>1090.0</v>
      </c>
      <c r="G13" s="9">
        <v>2988.0</v>
      </c>
      <c r="H13" s="9">
        <v>84.0</v>
      </c>
      <c r="I13" s="9">
        <v>92.8</v>
      </c>
      <c r="J13" s="9">
        <v>51.32472</v>
      </c>
      <c r="K13" s="9">
        <v>4.25861</v>
      </c>
      <c r="L13" s="13">
        <v>46.8124809265137</v>
      </c>
      <c r="M13" s="12" t="str">
        <f>HYPERLINK("http://www.iaea.org/PRIS/CountryStatistics/ReactorDetails.aspx?current=14", "PRIS")</f>
        <v>PRIS</v>
      </c>
      <c r="N13" s="12" t="str">
        <f>HYPERLINK("http://maps.google.com/?q=51.3247,4.25861&amp;t=k", "Map")</f>
        <v>Map</v>
      </c>
    </row>
    <row r="14">
      <c r="A14" s="9" t="s">
        <v>41</v>
      </c>
      <c r="B14" s="9" t="s">
        <v>42</v>
      </c>
      <c r="C14" s="12" t="str">
        <f>HYPERLINK("https://www.google.com/search?q=TIHANGE-3+nuclear+power+plant+in+BELGIUM", "TIHANGE-3")</f>
        <v>TIHANGE-3</v>
      </c>
      <c r="D14" s="9" t="s">
        <v>55</v>
      </c>
      <c r="E14" s="9" t="s">
        <v>21</v>
      </c>
      <c r="F14" s="9">
        <v>1094.0</v>
      </c>
      <c r="G14" s="9">
        <v>3000.0</v>
      </c>
      <c r="H14" s="9">
        <v>87.6</v>
      </c>
      <c r="I14" s="9">
        <v>88.3</v>
      </c>
      <c r="J14" s="9">
        <v>50.5346278</v>
      </c>
      <c r="K14" s="9">
        <v>5.2725333</v>
      </c>
      <c r="L14" s="13">
        <v>126.161514282227</v>
      </c>
      <c r="M14" s="12" t="str">
        <f>HYPERLINK("http://www.iaea.org/PRIS/CountryStatistics/ReactorDetails.aspx?current=15", "PRIS")</f>
        <v>PRIS</v>
      </c>
      <c r="N14" s="12" t="str">
        <f>HYPERLINK("http://maps.google.com/?q=50.5346,5.27253&amp;t=k", "Map")</f>
        <v>Map</v>
      </c>
    </row>
    <row r="15">
      <c r="A15" s="9" t="s">
        <v>71</v>
      </c>
      <c r="B15" s="9" t="s">
        <v>72</v>
      </c>
      <c r="C15" s="12" t="str">
        <f>HYPERLINK("https://www.google.com/search?q=KOZLODUY-1+nuclear+power+plant+in+BULGARIA", "KOZLODUY-1")</f>
        <v>KOZLODUY-1</v>
      </c>
      <c r="D15" s="9" t="s">
        <v>74</v>
      </c>
      <c r="E15" s="9" t="s">
        <v>24</v>
      </c>
      <c r="F15" s="9">
        <v>440.0</v>
      </c>
      <c r="G15" s="9">
        <v>1375.0</v>
      </c>
      <c r="H15" s="9">
        <v>60.1</v>
      </c>
      <c r="I15" s="9">
        <v>0.0</v>
      </c>
      <c r="J15" s="9">
        <v>43.74611</v>
      </c>
      <c r="K15" s="9">
        <v>23.77056</v>
      </c>
      <c r="L15" s="13">
        <v>102.702102661133</v>
      </c>
      <c r="M15" s="12" t="str">
        <f>HYPERLINK("http://www.iaea.org/PRIS/CountryStatistics/ReactorDetails.aspx?current=16", "PRIS")</f>
        <v>PRIS</v>
      </c>
      <c r="N15" s="12" t="str">
        <f t="shared" ref="N15:N20" si="3">HYPERLINK("http://maps.google.com/?q=43.7461,23.7706&amp;t=k", "Map")</f>
        <v>Map</v>
      </c>
    </row>
    <row r="16">
      <c r="A16" s="9" t="s">
        <v>71</v>
      </c>
      <c r="B16" s="9" t="s">
        <v>72</v>
      </c>
      <c r="C16" s="12" t="str">
        <f>HYPERLINK("https://www.google.com/search?q=KOZLODUY-2+nuclear+power+plant+in+BULGARIA", "KOZLODUY-2")</f>
        <v>KOZLODUY-2</v>
      </c>
      <c r="D16" s="9" t="s">
        <v>74</v>
      </c>
      <c r="E16" s="9" t="s">
        <v>24</v>
      </c>
      <c r="F16" s="9">
        <v>440.0</v>
      </c>
      <c r="G16" s="9">
        <v>1375.0</v>
      </c>
      <c r="H16" s="9">
        <v>64.4</v>
      </c>
      <c r="I16" s="9">
        <v>0.0</v>
      </c>
      <c r="J16" s="9">
        <v>43.74611</v>
      </c>
      <c r="K16" s="9">
        <v>23.77056</v>
      </c>
      <c r="L16" s="13">
        <v>102.702102661133</v>
      </c>
      <c r="M16" s="12" t="str">
        <f>HYPERLINK("http://www.iaea.org/PRIS/CountryStatistics/ReactorDetails.aspx?current=17", "PRIS")</f>
        <v>PRIS</v>
      </c>
      <c r="N16" s="12" t="str">
        <f t="shared" si="3"/>
        <v>Map</v>
      </c>
    </row>
    <row r="17">
      <c r="A17" s="9" t="s">
        <v>71</v>
      </c>
      <c r="B17" s="9" t="s">
        <v>72</v>
      </c>
      <c r="C17" s="12" t="str">
        <f>HYPERLINK("https://www.google.com/search?q=KOZLODUY-3+nuclear+power+plant+in+BULGARIA", "KOZLODUY-3")</f>
        <v>KOZLODUY-3</v>
      </c>
      <c r="D17" s="9" t="s">
        <v>74</v>
      </c>
      <c r="E17" s="9" t="s">
        <v>24</v>
      </c>
      <c r="F17" s="9">
        <v>440.0</v>
      </c>
      <c r="G17" s="9">
        <v>1375.0</v>
      </c>
      <c r="H17" s="9">
        <v>67.4</v>
      </c>
      <c r="I17" s="9">
        <v>0.0</v>
      </c>
      <c r="J17" s="9">
        <v>43.74611</v>
      </c>
      <c r="K17" s="9">
        <v>23.77056</v>
      </c>
      <c r="L17" s="13">
        <v>102.702102661133</v>
      </c>
      <c r="M17" s="12" t="str">
        <f>HYPERLINK("http://www.iaea.org/PRIS/CountryStatistics/ReactorDetails.aspx?current=18", "PRIS")</f>
        <v>PRIS</v>
      </c>
      <c r="N17" s="12" t="str">
        <f t="shared" si="3"/>
        <v>Map</v>
      </c>
    </row>
    <row r="18">
      <c r="A18" s="9" t="s">
        <v>71</v>
      </c>
      <c r="B18" s="9" t="s">
        <v>72</v>
      </c>
      <c r="C18" s="12" t="str">
        <f>HYPERLINK("https://www.google.com/search?q=KOZLODUY-4+nuclear+power+plant+in+BULGARIA", "KOZLODUY-4")</f>
        <v>KOZLODUY-4</v>
      </c>
      <c r="D18" s="9" t="s">
        <v>74</v>
      </c>
      <c r="E18" s="9" t="s">
        <v>24</v>
      </c>
      <c r="F18" s="9">
        <v>440.0</v>
      </c>
      <c r="G18" s="9">
        <v>1375.0</v>
      </c>
      <c r="H18" s="9">
        <v>69.2</v>
      </c>
      <c r="I18" s="9">
        <v>0.0</v>
      </c>
      <c r="J18" s="9">
        <v>43.74611</v>
      </c>
      <c r="K18" s="9">
        <v>23.77056</v>
      </c>
      <c r="L18" s="13">
        <v>102.702102661133</v>
      </c>
      <c r="M18" s="12" t="str">
        <f>HYPERLINK("http://www.iaea.org/PRIS/CountryStatistics/ReactorDetails.aspx?current=19", "PRIS")</f>
        <v>PRIS</v>
      </c>
      <c r="N18" s="12" t="str">
        <f t="shared" si="3"/>
        <v>Map</v>
      </c>
    </row>
    <row r="19">
      <c r="A19" s="9" t="s">
        <v>71</v>
      </c>
      <c r="B19" s="9" t="s">
        <v>72</v>
      </c>
      <c r="C19" s="12" t="str">
        <f>HYPERLINK("https://www.google.com/search?q=KOZLODUY-5+nuclear+power+plant+in+BULGARIA", "KOZLODUY-5")</f>
        <v>KOZLODUY-5</v>
      </c>
      <c r="D19" s="9" t="s">
        <v>74</v>
      </c>
      <c r="E19" s="9" t="s">
        <v>21</v>
      </c>
      <c r="F19" s="9">
        <v>1000.0</v>
      </c>
      <c r="G19" s="9">
        <v>3000.0</v>
      </c>
      <c r="H19" s="9">
        <v>60.3</v>
      </c>
      <c r="I19" s="9">
        <v>78.7</v>
      </c>
      <c r="J19" s="9">
        <v>43.74611</v>
      </c>
      <c r="K19" s="9">
        <v>23.77056</v>
      </c>
      <c r="L19" s="13">
        <v>102.702102661133</v>
      </c>
      <c r="M19" s="12" t="str">
        <f>HYPERLINK("http://www.iaea.org/PRIS/CountryStatistics/ReactorDetails.aspx?current=20", "PRIS")</f>
        <v>PRIS</v>
      </c>
      <c r="N19" s="12" t="str">
        <f t="shared" si="3"/>
        <v>Map</v>
      </c>
    </row>
    <row r="20">
      <c r="A20" s="9" t="s">
        <v>71</v>
      </c>
      <c r="B20" s="9" t="s">
        <v>72</v>
      </c>
      <c r="C20" s="12" t="str">
        <f>HYPERLINK("https://www.google.com/search?q=KOZLODUY-6+nuclear+power+plant+in+BULGARIA", "KOZLODUY-6")</f>
        <v>KOZLODUY-6</v>
      </c>
      <c r="D20" s="9" t="s">
        <v>74</v>
      </c>
      <c r="E20" s="9" t="s">
        <v>21</v>
      </c>
      <c r="F20" s="9">
        <v>1000.0</v>
      </c>
      <c r="G20" s="9">
        <v>3000.0</v>
      </c>
      <c r="H20" s="9">
        <v>68.0</v>
      </c>
      <c r="I20" s="9">
        <v>80.8</v>
      </c>
      <c r="J20" s="9">
        <v>43.74611</v>
      </c>
      <c r="K20" s="9">
        <v>23.77056</v>
      </c>
      <c r="L20" s="13">
        <v>102.702102661133</v>
      </c>
      <c r="M20" s="12" t="str">
        <f>HYPERLINK("http://www.iaea.org/PRIS/CountryStatistics/ReactorDetails.aspx?current=21", "PRIS")</f>
        <v>PRIS</v>
      </c>
      <c r="N20" s="12" t="str">
        <f t="shared" si="3"/>
        <v>Map</v>
      </c>
    </row>
    <row r="21">
      <c r="A21" s="9" t="s">
        <v>62</v>
      </c>
      <c r="B21" s="9" t="s">
        <v>63</v>
      </c>
      <c r="C21" s="12" t="str">
        <f>HYPERLINK("https://www.google.com/search?q=ANGRA-1+nuclear+power+plant+in+BRAZIL", "ANGRA-1")</f>
        <v>ANGRA-1</v>
      </c>
      <c r="D21" s="9" t="s">
        <v>65</v>
      </c>
      <c r="E21" s="9" t="s">
        <v>21</v>
      </c>
      <c r="F21" s="9">
        <v>640.0</v>
      </c>
      <c r="G21" s="9">
        <v>1882.0</v>
      </c>
      <c r="H21" s="9">
        <v>48.9</v>
      </c>
      <c r="I21" s="9">
        <v>70.0</v>
      </c>
      <c r="J21" s="9">
        <v>-23.00833</v>
      </c>
      <c r="K21" s="9">
        <v>-44.45722</v>
      </c>
      <c r="L21" s="13">
        <v>97.9629974365234</v>
      </c>
      <c r="M21" s="12" t="str">
        <f>HYPERLINK("http://www.iaea.org/PRIS/CountryStatistics/ReactorDetails.aspx?current=24", "PRIS")</f>
        <v>PRIS</v>
      </c>
      <c r="N21" s="12" t="str">
        <f t="shared" ref="N21:N23" si="4">HYPERLINK("http://maps.google.com/?q=-23.0083,-44.4572&amp;t=k", "Map")</f>
        <v>Map</v>
      </c>
    </row>
    <row r="22">
      <c r="A22" s="9" t="s">
        <v>62</v>
      </c>
      <c r="B22" s="9" t="s">
        <v>63</v>
      </c>
      <c r="C22" s="12" t="str">
        <f>HYPERLINK("https://www.google.com/search?q=ANGRA-2+nuclear+power+plant+in+BRAZIL", "ANGRA-2")</f>
        <v>ANGRA-2</v>
      </c>
      <c r="D22" s="9" t="s">
        <v>65</v>
      </c>
      <c r="E22" s="9" t="s">
        <v>21</v>
      </c>
      <c r="F22" s="9">
        <v>1350.0</v>
      </c>
      <c r="G22" s="9">
        <v>3764.0</v>
      </c>
      <c r="H22" s="9">
        <v>82.1</v>
      </c>
      <c r="I22" s="9">
        <v>89.9</v>
      </c>
      <c r="J22" s="9">
        <v>-23.00833</v>
      </c>
      <c r="K22" s="9">
        <v>-44.45722</v>
      </c>
      <c r="L22" s="13">
        <v>97.9629974365234</v>
      </c>
      <c r="M22" s="12" t="str">
        <f>HYPERLINK("http://www.iaea.org/PRIS/CountryStatistics/ReactorDetails.aspx?current=25", "PRIS")</f>
        <v>PRIS</v>
      </c>
      <c r="N22" s="12" t="str">
        <f t="shared" si="4"/>
        <v>Map</v>
      </c>
    </row>
    <row r="23">
      <c r="A23" s="9" t="s">
        <v>62</v>
      </c>
      <c r="B23" s="9" t="s">
        <v>63</v>
      </c>
      <c r="C23" s="12" t="str">
        <f>HYPERLINK("https://www.google.com/search?q=ANGRA-3+nuclear+power+plant+in+BRAZIL", "ANGRA-3")</f>
        <v>ANGRA-3</v>
      </c>
      <c r="D23" s="9" t="s">
        <v>65</v>
      </c>
      <c r="E23" s="9" t="s">
        <v>26</v>
      </c>
      <c r="F23" s="9">
        <v>1350.0</v>
      </c>
      <c r="G23" s="9">
        <v>3765.0</v>
      </c>
      <c r="H23" s="9">
        <v>0.0</v>
      </c>
      <c r="I23" s="9">
        <v>0.0</v>
      </c>
      <c r="J23" s="9">
        <v>-23.00833</v>
      </c>
      <c r="K23" s="9">
        <v>-44.45722</v>
      </c>
      <c r="L23" s="13">
        <v>97.9629974365234</v>
      </c>
      <c r="M23" s="12" t="str">
        <f>HYPERLINK("http://www.iaea.org/PRIS/CountryStatistics/ReactorDetails.aspx?current=26", "PRIS")</f>
        <v>PRIS</v>
      </c>
      <c r="N23" s="12" t="str">
        <f t="shared" si="4"/>
        <v>Map</v>
      </c>
    </row>
    <row r="24">
      <c r="A24" s="9" t="s">
        <v>86</v>
      </c>
      <c r="B24" s="9" t="s">
        <v>87</v>
      </c>
      <c r="C24" s="12" t="str">
        <f>HYPERLINK("https://www.google.com/search?q=ROLPHTON+NPD+nuclear+power+plant+in+CANADA", "ROLPHTON NPD")</f>
        <v>ROLPHTON NPD</v>
      </c>
      <c r="D24" s="9" t="s">
        <v>141</v>
      </c>
      <c r="E24" s="9" t="s">
        <v>24</v>
      </c>
      <c r="F24" s="9">
        <v>25.0</v>
      </c>
      <c r="G24" s="9">
        <v>92.0</v>
      </c>
      <c r="H24" s="9">
        <v>67.1</v>
      </c>
      <c r="I24" s="9">
        <v>0.0</v>
      </c>
      <c r="J24" s="9">
        <v>46.18111</v>
      </c>
      <c r="K24" s="9">
        <v>-77.69583</v>
      </c>
      <c r="L24" s="13">
        <v>113.499488830566</v>
      </c>
      <c r="M24" s="12" t="str">
        <f>HYPERLINK("http://www.iaea.org/PRIS/CountryStatistics/ReactorDetails.aspx?current=29", "PRIS")</f>
        <v>PRIS</v>
      </c>
      <c r="N24" s="12" t="str">
        <f>HYPERLINK("http://maps.google.com/?q=46.1811,-77.6958&amp;t=k", "Map")</f>
        <v>Map</v>
      </c>
    </row>
    <row r="25">
      <c r="A25" s="9" t="s">
        <v>86</v>
      </c>
      <c r="B25" s="9" t="s">
        <v>87</v>
      </c>
      <c r="C25" s="12" t="str">
        <f>HYPERLINK("https://www.google.com/search?q=BRUCE-3+nuclear+power+plant+in+CANADA", "BRUCE-3")</f>
        <v>BRUCE-3</v>
      </c>
      <c r="D25" s="9" t="s">
        <v>89</v>
      </c>
      <c r="E25" s="9" t="s">
        <v>21</v>
      </c>
      <c r="F25" s="9">
        <v>805.0</v>
      </c>
      <c r="G25" s="9">
        <v>2832.0</v>
      </c>
      <c r="H25" s="9">
        <v>72.9</v>
      </c>
      <c r="I25" s="9">
        <v>86.3</v>
      </c>
      <c r="J25" s="9">
        <v>44.32528</v>
      </c>
      <c r="K25" s="9">
        <v>-81.59944</v>
      </c>
      <c r="L25" s="13">
        <v>130.152618408203</v>
      </c>
      <c r="M25" s="12" t="str">
        <f>HYPERLINK("http://www.iaea.org/PRIS/CountryStatistics/ReactorDetails.aspx?current=30", "PRIS")</f>
        <v>PRIS</v>
      </c>
      <c r="N25" s="12" t="str">
        <f t="shared" ref="N25:N26" si="5">HYPERLINK("http://maps.google.com/?q=44.3253,-81.5994&amp;t=k", "Map")</f>
        <v>Map</v>
      </c>
    </row>
    <row r="26">
      <c r="A26" s="9" t="s">
        <v>86</v>
      </c>
      <c r="B26" s="9" t="s">
        <v>87</v>
      </c>
      <c r="C26" s="12" t="str">
        <f>HYPERLINK("https://www.google.com/search?q=BRUCE-4+nuclear+power+plant+in+CANADA", "BRUCE-4")</f>
        <v>BRUCE-4</v>
      </c>
      <c r="D26" s="9" t="s">
        <v>89</v>
      </c>
      <c r="E26" s="9" t="s">
        <v>21</v>
      </c>
      <c r="F26" s="9">
        <v>805.0</v>
      </c>
      <c r="G26" s="9">
        <v>2832.0</v>
      </c>
      <c r="H26" s="9">
        <v>71.7</v>
      </c>
      <c r="I26" s="9">
        <v>64.6</v>
      </c>
      <c r="J26" s="9">
        <v>44.32528</v>
      </c>
      <c r="K26" s="9">
        <v>-81.59944</v>
      </c>
      <c r="L26" s="13">
        <v>130.152618408203</v>
      </c>
      <c r="M26" s="12" t="str">
        <f>HYPERLINK("http://www.iaea.org/PRIS/CountryStatistics/ReactorDetails.aspx?current=31", "PRIS")</f>
        <v>PRIS</v>
      </c>
      <c r="N26" s="12" t="str">
        <f t="shared" si="5"/>
        <v>Map</v>
      </c>
    </row>
    <row r="27">
      <c r="A27" s="9" t="s">
        <v>86</v>
      </c>
      <c r="B27" s="9" t="s">
        <v>87</v>
      </c>
      <c r="C27" s="12" t="str">
        <f>HYPERLINK("https://www.google.com/search?q=GENTILLY-2+nuclear+power+plant+in+CANADA", "GENTILLY-2")</f>
        <v>GENTILLY-2</v>
      </c>
      <c r="D27" s="9" t="s">
        <v>117</v>
      </c>
      <c r="E27" s="9" t="s">
        <v>24</v>
      </c>
      <c r="F27" s="9">
        <v>675.0</v>
      </c>
      <c r="G27" s="9">
        <v>2156.0</v>
      </c>
      <c r="H27" s="9">
        <v>76.2</v>
      </c>
      <c r="I27" s="9">
        <v>70.7</v>
      </c>
      <c r="J27" s="9">
        <v>46.39583</v>
      </c>
      <c r="K27" s="9">
        <v>-72.35694</v>
      </c>
      <c r="L27" s="13">
        <v>-21.0572319030762</v>
      </c>
      <c r="M27" s="12" t="str">
        <f>HYPERLINK("http://www.iaea.org/PRIS/CountryStatistics/ReactorDetails.aspx?current=32", "PRIS")</f>
        <v>PRIS</v>
      </c>
      <c r="N27" s="12" t="str">
        <f>HYPERLINK("http://maps.google.com/?q=46.3958,-72.3569&amp;t=k", "Map")</f>
        <v>Map</v>
      </c>
    </row>
    <row r="28">
      <c r="A28" s="9" t="s">
        <v>86</v>
      </c>
      <c r="B28" s="9" t="s">
        <v>87</v>
      </c>
      <c r="C28" s="12" t="str">
        <f>HYPERLINK("https://www.google.com/search?q=PICKERING-5+nuclear+power+plant+in+CANADA", "PICKERING-5")</f>
        <v>PICKERING-5</v>
      </c>
      <c r="D28" s="9" t="s">
        <v>122</v>
      </c>
      <c r="E28" s="9" t="s">
        <v>21</v>
      </c>
      <c r="F28" s="9">
        <v>540.0</v>
      </c>
      <c r="G28" s="9">
        <v>1744.0</v>
      </c>
      <c r="H28" s="9">
        <v>72.8</v>
      </c>
      <c r="I28" s="9">
        <v>57.6</v>
      </c>
      <c r="J28" s="9">
        <v>43.81167</v>
      </c>
      <c r="K28" s="9">
        <v>-79.06583</v>
      </c>
      <c r="L28" s="13">
        <v>46.642707824707</v>
      </c>
      <c r="M28" s="12" t="str">
        <f>HYPERLINK("http://www.iaea.org/PRIS/CountryStatistics/ReactorDetails.aspx?current=33", "PRIS")</f>
        <v>PRIS</v>
      </c>
      <c r="N28" s="12" t="str">
        <f t="shared" ref="N28:N31" si="6">HYPERLINK("http://maps.google.com/?q=43.8117,-79.0658&amp;t=k", "Map")</f>
        <v>Map</v>
      </c>
    </row>
    <row r="29">
      <c r="A29" s="9" t="s">
        <v>86</v>
      </c>
      <c r="B29" s="9" t="s">
        <v>87</v>
      </c>
      <c r="C29" s="12" t="str">
        <f>HYPERLINK("https://www.google.com/search?q=PICKERING-6+nuclear+power+plant+in+CANADA", "PICKERING-6")</f>
        <v>PICKERING-6</v>
      </c>
      <c r="D29" s="9" t="s">
        <v>122</v>
      </c>
      <c r="E29" s="9" t="s">
        <v>21</v>
      </c>
      <c r="F29" s="9">
        <v>540.0</v>
      </c>
      <c r="G29" s="9">
        <v>1744.0</v>
      </c>
      <c r="H29" s="9">
        <v>77.5</v>
      </c>
      <c r="I29" s="9">
        <v>67.0</v>
      </c>
      <c r="J29" s="9">
        <v>43.81167</v>
      </c>
      <c r="K29" s="9">
        <v>-79.06583</v>
      </c>
      <c r="L29" s="13">
        <v>46.642707824707</v>
      </c>
      <c r="M29" s="12" t="str">
        <f>HYPERLINK("http://www.iaea.org/PRIS/CountryStatistics/ReactorDetails.aspx?current=34", "PRIS")</f>
        <v>PRIS</v>
      </c>
      <c r="N29" s="12" t="str">
        <f t="shared" si="6"/>
        <v>Map</v>
      </c>
    </row>
    <row r="30">
      <c r="A30" s="9" t="s">
        <v>86</v>
      </c>
      <c r="B30" s="9" t="s">
        <v>87</v>
      </c>
      <c r="C30" s="12" t="str">
        <f>HYPERLINK("https://www.google.com/search?q=PICKERING-7+nuclear+power+plant+in+CANADA", "PICKERING-7")</f>
        <v>PICKERING-7</v>
      </c>
      <c r="D30" s="9" t="s">
        <v>122</v>
      </c>
      <c r="E30" s="9" t="s">
        <v>21</v>
      </c>
      <c r="F30" s="9">
        <v>540.0</v>
      </c>
      <c r="G30" s="9">
        <v>1744.0</v>
      </c>
      <c r="H30" s="9">
        <v>77.7</v>
      </c>
      <c r="I30" s="9">
        <v>94.4</v>
      </c>
      <c r="J30" s="9">
        <v>43.81167</v>
      </c>
      <c r="K30" s="9">
        <v>-79.06583</v>
      </c>
      <c r="L30" s="13">
        <v>46.642707824707</v>
      </c>
      <c r="M30" s="12" t="str">
        <f>HYPERLINK("http://www.iaea.org/PRIS/CountryStatistics/ReactorDetails.aspx?current=35", "PRIS")</f>
        <v>PRIS</v>
      </c>
      <c r="N30" s="12" t="str">
        <f t="shared" si="6"/>
        <v>Map</v>
      </c>
    </row>
    <row r="31">
      <c r="A31" s="9" t="s">
        <v>86</v>
      </c>
      <c r="B31" s="9" t="s">
        <v>87</v>
      </c>
      <c r="C31" s="12" t="str">
        <f>HYPERLINK("https://www.google.com/search?q=PICKERING-8+nuclear+power+plant+in+CANADA", "PICKERING-8")</f>
        <v>PICKERING-8</v>
      </c>
      <c r="D31" s="9" t="s">
        <v>122</v>
      </c>
      <c r="E31" s="9" t="s">
        <v>21</v>
      </c>
      <c r="F31" s="9">
        <v>540.0</v>
      </c>
      <c r="G31" s="9">
        <v>1744.0</v>
      </c>
      <c r="H31" s="9">
        <v>76.2</v>
      </c>
      <c r="I31" s="9">
        <v>85.8</v>
      </c>
      <c r="J31" s="9">
        <v>43.81167</v>
      </c>
      <c r="K31" s="9">
        <v>-79.06583</v>
      </c>
      <c r="L31" s="13">
        <v>46.642707824707</v>
      </c>
      <c r="M31" s="12" t="str">
        <f>HYPERLINK("http://www.iaea.org/PRIS/CountryStatistics/ReactorDetails.aspx?current=36", "PRIS")</f>
        <v>PRIS</v>
      </c>
      <c r="N31" s="12" t="str">
        <f t="shared" si="6"/>
        <v>Map</v>
      </c>
    </row>
    <row r="32">
      <c r="A32" s="9" t="s">
        <v>86</v>
      </c>
      <c r="B32" s="9" t="s">
        <v>87</v>
      </c>
      <c r="C32" s="12" t="str">
        <f>HYPERLINK("https://www.google.com/search?q=POINT+LEPREAU+nuclear+power+plant+in+CANADA", "POINT LEPREAU")</f>
        <v>POINT LEPREAU</v>
      </c>
      <c r="D32" s="9" t="s">
        <v>139</v>
      </c>
      <c r="E32" s="9" t="s">
        <v>21</v>
      </c>
      <c r="F32" s="9">
        <v>705.0</v>
      </c>
      <c r="G32" s="9">
        <v>2180.0</v>
      </c>
      <c r="H32" s="9">
        <v>69.1</v>
      </c>
      <c r="I32" s="9">
        <v>71.1</v>
      </c>
      <c r="J32" s="9">
        <v>45.06889</v>
      </c>
      <c r="K32" s="9">
        <v>-66.45472</v>
      </c>
      <c r="L32" s="13">
        <v>-18.2046051025391</v>
      </c>
      <c r="M32" s="12" t="str">
        <f>HYPERLINK("http://www.iaea.org/PRIS/CountryStatistics/ReactorDetails.aspx?current=37", "PRIS")</f>
        <v>PRIS</v>
      </c>
      <c r="N32" s="12" t="str">
        <f>HYPERLINK("http://maps.google.com/?q=45.0689,-66.4547&amp;t=k", "Map")</f>
        <v>Map</v>
      </c>
    </row>
    <row r="33">
      <c r="A33" s="9" t="s">
        <v>86</v>
      </c>
      <c r="B33" s="9" t="s">
        <v>87</v>
      </c>
      <c r="C33" s="12" t="str">
        <f>HYPERLINK("https://www.google.com/search?q=BRUCE-5+nuclear+power+plant+in+CANADA", "BRUCE-5")</f>
        <v>BRUCE-5</v>
      </c>
      <c r="D33" s="9" t="s">
        <v>89</v>
      </c>
      <c r="E33" s="9" t="s">
        <v>21</v>
      </c>
      <c r="F33" s="9">
        <v>872.0</v>
      </c>
      <c r="G33" s="9">
        <v>2832.0</v>
      </c>
      <c r="H33" s="9">
        <v>84.8</v>
      </c>
      <c r="I33" s="9">
        <v>89.7</v>
      </c>
      <c r="J33" s="9">
        <v>44.32528</v>
      </c>
      <c r="K33" s="9">
        <v>-81.59944</v>
      </c>
      <c r="L33" s="13">
        <v>130.152618408203</v>
      </c>
      <c r="M33" s="12" t="str">
        <f>HYPERLINK("http://www.iaea.org/PRIS/CountryStatistics/ReactorDetails.aspx?current=38", "PRIS")</f>
        <v>PRIS</v>
      </c>
      <c r="N33" s="12" t="str">
        <f t="shared" ref="N33:N34" si="7">HYPERLINK("http://maps.google.com/?q=44.3253,-81.5994&amp;t=k", "Map")</f>
        <v>Map</v>
      </c>
    </row>
    <row r="34">
      <c r="A34" s="9" t="s">
        <v>86</v>
      </c>
      <c r="B34" s="9" t="s">
        <v>87</v>
      </c>
      <c r="C34" s="12" t="str">
        <f>HYPERLINK("https://www.google.com/search?q=BRUCE-6+nuclear+power+plant+in+CANADA", "BRUCE-6")</f>
        <v>BRUCE-6</v>
      </c>
      <c r="D34" s="9" t="s">
        <v>89</v>
      </c>
      <c r="E34" s="9" t="s">
        <v>21</v>
      </c>
      <c r="F34" s="9">
        <v>891.0</v>
      </c>
      <c r="G34" s="9">
        <v>2690.0</v>
      </c>
      <c r="H34" s="9">
        <v>81.3</v>
      </c>
      <c r="I34" s="9">
        <v>79.4</v>
      </c>
      <c r="J34" s="9">
        <v>44.32528</v>
      </c>
      <c r="K34" s="9">
        <v>-81.59944</v>
      </c>
      <c r="L34" s="13">
        <v>130.152618408203</v>
      </c>
      <c r="M34" s="12" t="str">
        <f>HYPERLINK("http://www.iaea.org/PRIS/CountryStatistics/ReactorDetails.aspx?current=39", "PRIS")</f>
        <v>PRIS</v>
      </c>
      <c r="N34" s="12" t="str">
        <f t="shared" si="7"/>
        <v>Map</v>
      </c>
    </row>
    <row r="35">
      <c r="A35" s="9" t="s">
        <v>86</v>
      </c>
      <c r="B35" s="9" t="s">
        <v>87</v>
      </c>
      <c r="C35" s="12" t="str">
        <f>HYPERLINK("https://www.google.com/search?q=DOUGLAS+POINT+nuclear+power+plant+in+CANADA", "DOUGLAS POINT")</f>
        <v>DOUGLAS POINT</v>
      </c>
      <c r="D35" s="9" t="s">
        <v>89</v>
      </c>
      <c r="E35" s="9" t="s">
        <v>24</v>
      </c>
      <c r="F35" s="9">
        <v>218.0</v>
      </c>
      <c r="G35" s="9">
        <v>704.0</v>
      </c>
      <c r="H35" s="9">
        <v>55.6</v>
      </c>
      <c r="I35" s="9">
        <v>0.0</v>
      </c>
      <c r="J35" s="9">
        <v>44.32667</v>
      </c>
      <c r="K35" s="9">
        <v>-81.6</v>
      </c>
      <c r="L35" s="13">
        <v>129.033279418945</v>
      </c>
      <c r="M35" s="12" t="str">
        <f>HYPERLINK("http://www.iaea.org/PRIS/CountryStatistics/ReactorDetails.aspx?current=40", "PRIS")</f>
        <v>PRIS</v>
      </c>
      <c r="N35" s="12" t="str">
        <f>HYPERLINK("http://maps.google.com/?q=44.3267,-81.6&amp;t=k", "Map")</f>
        <v>Map</v>
      </c>
    </row>
    <row r="36">
      <c r="A36" s="9" t="s">
        <v>86</v>
      </c>
      <c r="B36" s="9" t="s">
        <v>87</v>
      </c>
      <c r="C36" s="12" t="str">
        <f>HYPERLINK("https://www.google.com/search?q=BRUCE-7+nuclear+power+plant+in+CANADA", "BRUCE-7")</f>
        <v>BRUCE-7</v>
      </c>
      <c r="D36" s="9" t="s">
        <v>89</v>
      </c>
      <c r="E36" s="9" t="s">
        <v>21</v>
      </c>
      <c r="F36" s="9">
        <v>872.0</v>
      </c>
      <c r="G36" s="9">
        <v>2832.0</v>
      </c>
      <c r="H36" s="9">
        <v>84.9</v>
      </c>
      <c r="I36" s="9">
        <v>97.9</v>
      </c>
      <c r="J36" s="9">
        <v>44.32528</v>
      </c>
      <c r="K36" s="9">
        <v>-81.59944</v>
      </c>
      <c r="L36" s="13">
        <v>130.152618408203</v>
      </c>
      <c r="M36" s="12" t="str">
        <f>HYPERLINK("http://www.iaea.org/PRIS/CountryStatistics/ReactorDetails.aspx?current=41", "PRIS")</f>
        <v>PRIS</v>
      </c>
      <c r="N36" s="12" t="str">
        <f t="shared" ref="N36:N37" si="8">HYPERLINK("http://maps.google.com/?q=44.3253,-81.5994&amp;t=k", "Map")</f>
        <v>Map</v>
      </c>
    </row>
    <row r="37">
      <c r="A37" s="9" t="s">
        <v>86</v>
      </c>
      <c r="B37" s="9" t="s">
        <v>87</v>
      </c>
      <c r="C37" s="12" t="str">
        <f>HYPERLINK("https://www.google.com/search?q=BRUCE-8+nuclear+power+plant+in+CANADA", "BRUCE-8")</f>
        <v>BRUCE-8</v>
      </c>
      <c r="D37" s="9" t="s">
        <v>89</v>
      </c>
      <c r="E37" s="9" t="s">
        <v>21</v>
      </c>
      <c r="F37" s="9">
        <v>845.0</v>
      </c>
      <c r="G37" s="9">
        <v>2690.0</v>
      </c>
      <c r="H37" s="9">
        <v>82.5</v>
      </c>
      <c r="I37" s="9">
        <v>79.0</v>
      </c>
      <c r="J37" s="9">
        <v>44.32528</v>
      </c>
      <c r="K37" s="9">
        <v>-81.59944</v>
      </c>
      <c r="L37" s="13">
        <v>130.152618408203</v>
      </c>
      <c r="M37" s="12" t="str">
        <f>HYPERLINK("http://www.iaea.org/PRIS/CountryStatistics/ReactorDetails.aspx?current=42", "PRIS")</f>
        <v>PRIS</v>
      </c>
      <c r="N37" s="12" t="str">
        <f t="shared" si="8"/>
        <v>Map</v>
      </c>
    </row>
    <row r="38">
      <c r="A38" s="9" t="s">
        <v>86</v>
      </c>
      <c r="B38" s="9" t="s">
        <v>87</v>
      </c>
      <c r="C38" s="12" t="str">
        <f>HYPERLINK("https://www.google.com/search?q=DARLINGTON-1+nuclear+power+plant+in+CANADA", "DARLINGTON-1")</f>
        <v>DARLINGTON-1</v>
      </c>
      <c r="D38" s="9" t="s">
        <v>106</v>
      </c>
      <c r="E38" s="9" t="s">
        <v>21</v>
      </c>
      <c r="F38" s="9">
        <v>934.0</v>
      </c>
      <c r="G38" s="9">
        <v>2776.0</v>
      </c>
      <c r="H38" s="9">
        <v>84.9</v>
      </c>
      <c r="I38" s="9">
        <v>96.9</v>
      </c>
      <c r="J38" s="9">
        <v>43.87278</v>
      </c>
      <c r="K38" s="9">
        <v>-78.71972</v>
      </c>
      <c r="L38" s="13">
        <v>57.5369338989258</v>
      </c>
      <c r="M38" s="12" t="str">
        <f>HYPERLINK("http://www.iaea.org/PRIS/CountryStatistics/ReactorDetails.aspx?current=43", "PRIS")</f>
        <v>PRIS</v>
      </c>
      <c r="N38" s="12" t="str">
        <f t="shared" ref="N38:N41" si="9">HYPERLINK("http://maps.google.com/?q=43.8728,-78.7197&amp;t=k", "Map")</f>
        <v>Map</v>
      </c>
    </row>
    <row r="39">
      <c r="A39" s="9" t="s">
        <v>86</v>
      </c>
      <c r="B39" s="9" t="s">
        <v>87</v>
      </c>
      <c r="C39" s="12" t="str">
        <f>HYPERLINK("https://www.google.com/search?q=DARLINGTON-2+nuclear+power+plant+in+CANADA", "DARLINGTON-2")</f>
        <v>DARLINGTON-2</v>
      </c>
      <c r="D39" s="9" t="s">
        <v>106</v>
      </c>
      <c r="E39" s="9" t="s">
        <v>21</v>
      </c>
      <c r="F39" s="9">
        <v>934.0</v>
      </c>
      <c r="G39" s="9">
        <v>2776.0</v>
      </c>
      <c r="H39" s="9">
        <v>78.2</v>
      </c>
      <c r="I39" s="9">
        <v>66.8</v>
      </c>
      <c r="J39" s="9">
        <v>43.87278</v>
      </c>
      <c r="K39" s="9">
        <v>-78.71972</v>
      </c>
      <c r="L39" s="13">
        <v>57.5369338989258</v>
      </c>
      <c r="M39" s="12" t="str">
        <f>HYPERLINK("http://www.iaea.org/PRIS/CountryStatistics/ReactorDetails.aspx?current=44", "PRIS")</f>
        <v>PRIS</v>
      </c>
      <c r="N39" s="12" t="str">
        <f t="shared" si="9"/>
        <v>Map</v>
      </c>
    </row>
    <row r="40">
      <c r="A40" s="9" t="s">
        <v>86</v>
      </c>
      <c r="B40" s="9" t="s">
        <v>87</v>
      </c>
      <c r="C40" s="12" t="str">
        <f>HYPERLINK("https://www.google.com/search?q=DARLINGTON-3+nuclear+power+plant+in+CANADA", "DARLINGTON-3")</f>
        <v>DARLINGTON-3</v>
      </c>
      <c r="D40" s="9" t="s">
        <v>106</v>
      </c>
      <c r="E40" s="9" t="s">
        <v>21</v>
      </c>
      <c r="F40" s="9">
        <v>934.0</v>
      </c>
      <c r="G40" s="9">
        <v>2776.0</v>
      </c>
      <c r="H40" s="9">
        <v>86.3</v>
      </c>
      <c r="I40" s="9">
        <v>95.4</v>
      </c>
      <c r="J40" s="9">
        <v>43.87278</v>
      </c>
      <c r="K40" s="9">
        <v>-78.71972</v>
      </c>
      <c r="L40" s="13">
        <v>57.5369338989258</v>
      </c>
      <c r="M40" s="12" t="str">
        <f>HYPERLINK("http://www.iaea.org/PRIS/CountryStatistics/ReactorDetails.aspx?current=45", "PRIS")</f>
        <v>PRIS</v>
      </c>
      <c r="N40" s="12" t="str">
        <f t="shared" si="9"/>
        <v>Map</v>
      </c>
    </row>
    <row r="41">
      <c r="A41" s="9" t="s">
        <v>86</v>
      </c>
      <c r="B41" s="9" t="s">
        <v>87</v>
      </c>
      <c r="C41" s="12" t="str">
        <f>HYPERLINK("https://www.google.com/search?q=DARLINGTON-4+nuclear+power+plant+in+CANADA", "DARLINGTON-4")</f>
        <v>DARLINGTON-4</v>
      </c>
      <c r="D41" s="9" t="s">
        <v>106</v>
      </c>
      <c r="E41" s="9" t="s">
        <v>21</v>
      </c>
      <c r="F41" s="9">
        <v>934.0</v>
      </c>
      <c r="G41" s="9">
        <v>2776.0</v>
      </c>
      <c r="H41" s="9">
        <v>85.3</v>
      </c>
      <c r="I41" s="9">
        <v>68.1</v>
      </c>
      <c r="J41" s="9">
        <v>43.87278</v>
      </c>
      <c r="K41" s="9">
        <v>-78.71972</v>
      </c>
      <c r="L41" s="13">
        <v>57.5369338989258</v>
      </c>
      <c r="M41" s="12" t="str">
        <f>HYPERLINK("http://www.iaea.org/PRIS/CountryStatistics/ReactorDetails.aspx?current=46", "PRIS")</f>
        <v>PRIS</v>
      </c>
      <c r="N41" s="12" t="str">
        <f t="shared" si="9"/>
        <v>Map</v>
      </c>
    </row>
    <row r="42">
      <c r="A42" s="9" t="s">
        <v>86</v>
      </c>
      <c r="B42" s="9" t="s">
        <v>87</v>
      </c>
      <c r="C42" s="12" t="str">
        <f>HYPERLINK("https://www.google.com/search?q=GENTILLY-1+nuclear+power+plant+in+CANADA", "GENTILLY-1")</f>
        <v>GENTILLY-1</v>
      </c>
      <c r="D42" s="9" t="s">
        <v>117</v>
      </c>
      <c r="E42" s="9" t="s">
        <v>24</v>
      </c>
      <c r="F42" s="9">
        <v>266.0</v>
      </c>
      <c r="G42" s="9">
        <v>792.0</v>
      </c>
      <c r="H42" s="9">
        <v>5.7</v>
      </c>
      <c r="I42" s="9">
        <v>0.0</v>
      </c>
      <c r="J42" s="9">
        <v>46.39583</v>
      </c>
      <c r="K42" s="9">
        <v>-72.35694</v>
      </c>
      <c r="L42" s="13">
        <v>-21.0572319030762</v>
      </c>
      <c r="M42" s="12" t="str">
        <f>HYPERLINK("http://www.iaea.org/PRIS/CountryStatistics/ReactorDetails.aspx?current=47", "PRIS")</f>
        <v>PRIS</v>
      </c>
      <c r="N42" s="12" t="str">
        <f>HYPERLINK("http://maps.google.com/?q=46.3958,-72.3569&amp;t=k", "Map")</f>
        <v>Map</v>
      </c>
    </row>
    <row r="43">
      <c r="A43" s="9" t="s">
        <v>86</v>
      </c>
      <c r="B43" s="9" t="s">
        <v>87</v>
      </c>
      <c r="C43" s="12" t="str">
        <f>HYPERLINK("https://www.google.com/search?q=PICKERING-1+nuclear+power+plant+in+CANADA", "PICKERING-1")</f>
        <v>PICKERING-1</v>
      </c>
      <c r="D43" s="9" t="s">
        <v>122</v>
      </c>
      <c r="E43" s="9" t="s">
        <v>21</v>
      </c>
      <c r="F43" s="9">
        <v>542.0</v>
      </c>
      <c r="G43" s="9">
        <v>1744.0</v>
      </c>
      <c r="H43" s="9">
        <v>63.2</v>
      </c>
      <c r="I43" s="9">
        <v>46.0</v>
      </c>
      <c r="J43" s="9">
        <v>43.81167</v>
      </c>
      <c r="K43" s="9">
        <v>-79.06583</v>
      </c>
      <c r="L43" s="13">
        <v>46.642707824707</v>
      </c>
      <c r="M43" s="12" t="str">
        <f>HYPERLINK("http://www.iaea.org/PRIS/CountryStatistics/ReactorDetails.aspx?current=49", "PRIS")</f>
        <v>PRIS</v>
      </c>
      <c r="N43" s="12" t="str">
        <f t="shared" ref="N43:N46" si="10">HYPERLINK("http://maps.google.com/?q=43.8117,-79.0658&amp;t=k", "Map")</f>
        <v>Map</v>
      </c>
    </row>
    <row r="44">
      <c r="A44" s="9" t="s">
        <v>86</v>
      </c>
      <c r="B44" s="9" t="s">
        <v>87</v>
      </c>
      <c r="C44" s="12" t="str">
        <f>HYPERLINK("https://www.google.com/search?q=PICKERING-2+nuclear+power+plant+in+CANADA", "PICKERING-2")</f>
        <v>PICKERING-2</v>
      </c>
      <c r="D44" s="9" t="s">
        <v>122</v>
      </c>
      <c r="E44" s="9" t="s">
        <v>24</v>
      </c>
      <c r="F44" s="9">
        <v>542.0</v>
      </c>
      <c r="G44" s="9">
        <v>1744.0</v>
      </c>
      <c r="H44" s="9">
        <v>60.3</v>
      </c>
      <c r="I44" s="9">
        <v>0.0</v>
      </c>
      <c r="J44" s="9">
        <v>43.81167</v>
      </c>
      <c r="K44" s="9">
        <v>-79.06583</v>
      </c>
      <c r="L44" s="13">
        <v>46.642707824707</v>
      </c>
      <c r="M44" s="12" t="str">
        <f>HYPERLINK("http://www.iaea.org/PRIS/CountryStatistics/ReactorDetails.aspx?current=50", "PRIS")</f>
        <v>PRIS</v>
      </c>
      <c r="N44" s="12" t="str">
        <f t="shared" si="10"/>
        <v>Map</v>
      </c>
    </row>
    <row r="45">
      <c r="A45" s="9" t="s">
        <v>86</v>
      </c>
      <c r="B45" s="9" t="s">
        <v>87</v>
      </c>
      <c r="C45" s="12" t="str">
        <f>HYPERLINK("https://www.google.com/search?q=PICKERING-3+nuclear+power+plant+in+CANADA", "PICKERING-3")</f>
        <v>PICKERING-3</v>
      </c>
      <c r="D45" s="9" t="s">
        <v>122</v>
      </c>
      <c r="E45" s="9" t="s">
        <v>24</v>
      </c>
      <c r="F45" s="9">
        <v>542.0</v>
      </c>
      <c r="G45" s="9">
        <v>1744.0</v>
      </c>
      <c r="H45" s="9">
        <v>69.0</v>
      </c>
      <c r="I45" s="9">
        <v>0.0</v>
      </c>
      <c r="J45" s="9">
        <v>43.81167</v>
      </c>
      <c r="K45" s="9">
        <v>-79.06583</v>
      </c>
      <c r="L45" s="13">
        <v>46.642707824707</v>
      </c>
      <c r="M45" s="12" t="str">
        <f>HYPERLINK("http://www.iaea.org/PRIS/CountryStatistics/ReactorDetails.aspx?current=51", "PRIS")</f>
        <v>PRIS</v>
      </c>
      <c r="N45" s="12" t="str">
        <f t="shared" si="10"/>
        <v>Map</v>
      </c>
    </row>
    <row r="46">
      <c r="A46" s="9" t="s">
        <v>86</v>
      </c>
      <c r="B46" s="9" t="s">
        <v>87</v>
      </c>
      <c r="C46" s="12" t="str">
        <f>HYPERLINK("https://www.google.com/search?q=PICKERING-4+nuclear+power+plant+in+CANADA", "PICKERING-4")</f>
        <v>PICKERING-4</v>
      </c>
      <c r="D46" s="9" t="s">
        <v>122</v>
      </c>
      <c r="E46" s="9" t="s">
        <v>21</v>
      </c>
      <c r="F46" s="9">
        <v>542.0</v>
      </c>
      <c r="G46" s="9">
        <v>1744.0</v>
      </c>
      <c r="H46" s="9">
        <v>66.0</v>
      </c>
      <c r="I46" s="9">
        <v>86.1</v>
      </c>
      <c r="J46" s="9">
        <v>43.81167</v>
      </c>
      <c r="K46" s="9">
        <v>-79.06583</v>
      </c>
      <c r="L46" s="13">
        <v>46.642707824707</v>
      </c>
      <c r="M46" s="12" t="str">
        <f>HYPERLINK("http://www.iaea.org/PRIS/CountryStatistics/ReactorDetails.aspx?current=52", "PRIS")</f>
        <v>PRIS</v>
      </c>
      <c r="N46" s="12" t="str">
        <f t="shared" si="10"/>
        <v>Map</v>
      </c>
    </row>
    <row r="47">
      <c r="A47" s="9" t="s">
        <v>86</v>
      </c>
      <c r="B47" s="9" t="s">
        <v>87</v>
      </c>
      <c r="C47" s="12" t="str">
        <f>HYPERLINK("https://www.google.com/search?q=BRUCE-1+nuclear+power+plant+in+CANADA", "BRUCE-1")</f>
        <v>BRUCE-1</v>
      </c>
      <c r="D47" s="9" t="s">
        <v>89</v>
      </c>
      <c r="E47" s="9" t="s">
        <v>21</v>
      </c>
      <c r="F47" s="9">
        <v>824.0</v>
      </c>
      <c r="G47" s="9">
        <v>2575.0</v>
      </c>
      <c r="H47" s="9">
        <v>65.1</v>
      </c>
      <c r="I47" s="9">
        <v>77.7</v>
      </c>
      <c r="J47" s="9">
        <v>44.32528</v>
      </c>
      <c r="K47" s="9">
        <v>-81.59944</v>
      </c>
      <c r="L47" s="13">
        <v>130.152618408203</v>
      </c>
      <c r="M47" s="12" t="str">
        <f>HYPERLINK("http://www.iaea.org/PRIS/CountryStatistics/ReactorDetails.aspx?current=53", "PRIS")</f>
        <v>PRIS</v>
      </c>
      <c r="N47" s="12" t="str">
        <f t="shared" ref="N47:N48" si="11">HYPERLINK("http://maps.google.com/?q=44.3253,-81.5994&amp;t=k", "Map")</f>
        <v>Map</v>
      </c>
    </row>
    <row r="48">
      <c r="A48" s="9" t="s">
        <v>86</v>
      </c>
      <c r="B48" s="9" t="s">
        <v>87</v>
      </c>
      <c r="C48" s="12" t="str">
        <f>HYPERLINK("https://www.google.com/search?q=BRUCE-2+nuclear+power+plant+in+CANADA", "BRUCE-2")</f>
        <v>BRUCE-2</v>
      </c>
      <c r="D48" s="9" t="s">
        <v>89</v>
      </c>
      <c r="E48" s="9" t="s">
        <v>21</v>
      </c>
      <c r="F48" s="9">
        <v>786.0</v>
      </c>
      <c r="G48" s="9">
        <v>2456.0</v>
      </c>
      <c r="H48" s="9">
        <v>61.2</v>
      </c>
      <c r="I48" s="9">
        <v>87.2</v>
      </c>
      <c r="J48" s="9">
        <v>44.32528</v>
      </c>
      <c r="K48" s="9">
        <v>-81.59944</v>
      </c>
      <c r="L48" s="13">
        <v>130.152618408203</v>
      </c>
      <c r="M48" s="12" t="str">
        <f>HYPERLINK("http://www.iaea.org/PRIS/CountryStatistics/ReactorDetails.aspx?current=54", "PRIS")</f>
        <v>PRIS</v>
      </c>
      <c r="N48" s="12" t="str">
        <f t="shared" si="11"/>
        <v>Map</v>
      </c>
    </row>
    <row r="49">
      <c r="A49" s="9" t="s">
        <v>298</v>
      </c>
      <c r="B49" s="9" t="s">
        <v>299</v>
      </c>
      <c r="C49" s="12" t="str">
        <f>HYPERLINK("https://www.google.com/search?q=BEZNAU-1+nuclear+power+plant+in+SWITZERLAND", "BEZNAU-1")</f>
        <v>BEZNAU-1</v>
      </c>
      <c r="D49" s="9" t="s">
        <v>301</v>
      </c>
      <c r="E49" s="9" t="s">
        <v>21</v>
      </c>
      <c r="F49" s="9">
        <v>380.0</v>
      </c>
      <c r="G49" s="9">
        <v>1130.0</v>
      </c>
      <c r="H49" s="9">
        <v>84.4</v>
      </c>
      <c r="I49" s="9">
        <v>96.3</v>
      </c>
      <c r="J49" s="9">
        <v>47.552107</v>
      </c>
      <c r="K49" s="9">
        <v>8.228492</v>
      </c>
      <c r="L49" s="13">
        <v>486.542724609375</v>
      </c>
      <c r="M49" s="12" t="str">
        <f>HYPERLINK("http://www.iaea.org/PRIS/CountryStatistics/ReactorDetails.aspx?current=55", "PRIS")</f>
        <v>PRIS</v>
      </c>
      <c r="N49" s="12" t="str">
        <f>HYPERLINK("http://maps.google.com/?q=47.5521,8.22849&amp;t=k", "Map")</f>
        <v>Map</v>
      </c>
    </row>
    <row r="50">
      <c r="A50" s="9" t="s">
        <v>298</v>
      </c>
      <c r="B50" s="9" t="s">
        <v>299</v>
      </c>
      <c r="C50" s="12" t="str">
        <f>HYPERLINK("https://www.google.com/search?q=MUEHLEBERG+nuclear+power+plant+in+SWITZERLAND", "MUEHLEBERG")</f>
        <v>MUEHLEBERG</v>
      </c>
      <c r="D50" s="9" t="s">
        <v>307</v>
      </c>
      <c r="E50" s="9" t="s">
        <v>21</v>
      </c>
      <c r="F50" s="9">
        <v>390.0</v>
      </c>
      <c r="G50" s="9">
        <v>1097.0</v>
      </c>
      <c r="H50" s="9">
        <v>87.1</v>
      </c>
      <c r="I50" s="9">
        <v>89.4</v>
      </c>
      <c r="J50" s="9">
        <v>47.47034</v>
      </c>
      <c r="K50" s="9">
        <v>8.31098</v>
      </c>
      <c r="L50" s="13">
        <v>503.340728759766</v>
      </c>
      <c r="M50" s="12" t="str">
        <f>HYPERLINK("http://www.iaea.org/PRIS/CountryStatistics/ReactorDetails.aspx?current=56", "PRIS")</f>
        <v>PRIS</v>
      </c>
      <c r="N50" s="12" t="str">
        <f>HYPERLINK("http://maps.google.com/?q=47.4703,8.31098&amp;t=k", "Map")</f>
        <v>Map</v>
      </c>
    </row>
    <row r="51">
      <c r="A51" s="9" t="s">
        <v>298</v>
      </c>
      <c r="B51" s="9" t="s">
        <v>299</v>
      </c>
      <c r="C51" s="12" t="str">
        <f>HYPERLINK("https://www.google.com/search?q=BEZNAU-2+nuclear+power+plant+in+SWITZERLAND", "BEZNAU-2")</f>
        <v>BEZNAU-2</v>
      </c>
      <c r="D51" s="9" t="s">
        <v>301</v>
      </c>
      <c r="E51" s="9" t="s">
        <v>21</v>
      </c>
      <c r="F51" s="9">
        <v>380.0</v>
      </c>
      <c r="G51" s="9">
        <v>1130.0</v>
      </c>
      <c r="H51" s="9">
        <v>87.6</v>
      </c>
      <c r="I51" s="9">
        <v>90.4</v>
      </c>
      <c r="J51" s="9">
        <v>47.552107</v>
      </c>
      <c r="K51" s="9">
        <v>8.228492</v>
      </c>
      <c r="L51" s="13">
        <v>486.542724609375</v>
      </c>
      <c r="M51" s="12" t="str">
        <f>HYPERLINK("http://www.iaea.org/PRIS/CountryStatistics/ReactorDetails.aspx?current=57", "PRIS")</f>
        <v>PRIS</v>
      </c>
      <c r="N51" s="12" t="str">
        <f>HYPERLINK("http://maps.google.com/?q=47.5521,8.22849&amp;t=k", "Map")</f>
        <v>Map</v>
      </c>
    </row>
    <row r="52">
      <c r="A52" s="9" t="s">
        <v>298</v>
      </c>
      <c r="B52" s="9" t="s">
        <v>299</v>
      </c>
      <c r="C52" s="12" t="str">
        <f>HYPERLINK("https://www.google.com/search?q=GOESGEN+nuclear+power+plant+in+SWITZERLAND", "GOESGEN")</f>
        <v>GOESGEN</v>
      </c>
      <c r="D52" s="9" t="s">
        <v>317</v>
      </c>
      <c r="E52" s="9" t="s">
        <v>21</v>
      </c>
      <c r="F52" s="9">
        <v>1035.0</v>
      </c>
      <c r="G52" s="9">
        <v>3002.0</v>
      </c>
      <c r="H52" s="9">
        <v>88.9</v>
      </c>
      <c r="I52" s="9">
        <v>74.3</v>
      </c>
      <c r="J52" s="9">
        <v>47.36611</v>
      </c>
      <c r="K52" s="9">
        <v>7.96667</v>
      </c>
      <c r="L52" s="13">
        <v>470.167449951172</v>
      </c>
      <c r="M52" s="12" t="str">
        <f>HYPERLINK("http://www.iaea.org/PRIS/CountryStatistics/ReactorDetails.aspx?current=58", "PRIS")</f>
        <v>PRIS</v>
      </c>
      <c r="N52" s="12" t="str">
        <f>HYPERLINK("http://maps.google.com/?q=47.3661,7.96667&amp;t=k", "Map")</f>
        <v>Map</v>
      </c>
    </row>
    <row r="53">
      <c r="A53" s="9" t="s">
        <v>298</v>
      </c>
      <c r="B53" s="9" t="s">
        <v>299</v>
      </c>
      <c r="C53" s="12" t="str">
        <f>HYPERLINK("https://www.google.com/search?q=LEIBSTADT+nuclear+power+plant+in+SWITZERLAND", "LEIBSTADT")</f>
        <v>LEIBSTADT</v>
      </c>
      <c r="D53" s="9" t="s">
        <v>325</v>
      </c>
      <c r="E53" s="9" t="s">
        <v>21</v>
      </c>
      <c r="F53" s="9">
        <v>1275.0</v>
      </c>
      <c r="G53" s="9">
        <v>3600.0</v>
      </c>
      <c r="H53" s="9">
        <v>85.7</v>
      </c>
      <c r="I53" s="9">
        <v>90.7</v>
      </c>
      <c r="J53" s="9">
        <v>47.60306</v>
      </c>
      <c r="K53" s="9">
        <v>8.18472</v>
      </c>
      <c r="L53" s="13">
        <v>429.998748779297</v>
      </c>
      <c r="M53" s="12" t="str">
        <f>HYPERLINK("http://www.iaea.org/PRIS/CountryStatistics/ReactorDetails.aspx?current=59", "PRIS")</f>
        <v>PRIS</v>
      </c>
      <c r="N53" s="12" t="str">
        <f>HYPERLINK("http://maps.google.com/?q=47.6031,8.18472&amp;t=k", "Map")</f>
        <v>Map</v>
      </c>
    </row>
    <row r="54">
      <c r="A54" s="9" t="s">
        <v>144</v>
      </c>
      <c r="B54" s="9" t="s">
        <v>145</v>
      </c>
      <c r="C54" s="12" t="str">
        <f>HYPERLINK("https://www.google.com/search?q=QINSHAN-1+nuclear+power+plant+in+CHINA", "QINSHAN-1")</f>
        <v>QINSHAN-1</v>
      </c>
      <c r="D54" s="9" t="s">
        <v>165</v>
      </c>
      <c r="E54" s="9" t="s">
        <v>21</v>
      </c>
      <c r="F54" s="9">
        <v>310.0</v>
      </c>
      <c r="G54" s="9">
        <v>966.0</v>
      </c>
      <c r="H54" s="9">
        <v>81.1</v>
      </c>
      <c r="I54" s="9">
        <v>82.7</v>
      </c>
      <c r="J54" s="9">
        <v>30.43306</v>
      </c>
      <c r="K54" s="9">
        <v>120.95</v>
      </c>
      <c r="L54" s="13">
        <v>13.104531288147</v>
      </c>
      <c r="M54" s="12" t="str">
        <f>HYPERLINK("http://www.iaea.org/PRIS/CountryStatistics/ReactorDetails.aspx?current=62", "PRIS")</f>
        <v>PRIS</v>
      </c>
      <c r="N54" s="12" t="str">
        <f>HYPERLINK("http://maps.google.com/?q=30.4331,120.95&amp;t=k", "Map")</f>
        <v>Map</v>
      </c>
    </row>
    <row r="55">
      <c r="A55" s="9" t="s">
        <v>144</v>
      </c>
      <c r="B55" s="9" t="s">
        <v>145</v>
      </c>
      <c r="C55" s="12" t="str">
        <f>HYPERLINK("https://www.google.com/search?q=DAYA+BAY-1+nuclear+power+plant+in+CHINA", "DAYA BAY-1")</f>
        <v>DAYA BAY-1</v>
      </c>
      <c r="D55" s="9" t="s">
        <v>155</v>
      </c>
      <c r="E55" s="9" t="s">
        <v>21</v>
      </c>
      <c r="F55" s="9">
        <v>984.0</v>
      </c>
      <c r="G55" s="9">
        <v>2905.0</v>
      </c>
      <c r="H55" s="9">
        <v>84.4</v>
      </c>
      <c r="I55" s="9">
        <v>86.5</v>
      </c>
      <c r="J55" s="9">
        <v>22.59722</v>
      </c>
      <c r="K55" s="9">
        <v>114.54444</v>
      </c>
      <c r="L55" s="13">
        <v>81.7171859741211</v>
      </c>
      <c r="M55" s="12" t="str">
        <f>HYPERLINK("http://www.iaea.org/PRIS/CountryStatistics/ReactorDetails.aspx?current=63", "PRIS")</f>
        <v>PRIS</v>
      </c>
      <c r="N55" s="12" t="str">
        <f t="shared" ref="N55:N56" si="12">HYPERLINK("http://maps.google.com/?q=22.5972,114.544&amp;t=k", "Map")</f>
        <v>Map</v>
      </c>
    </row>
    <row r="56">
      <c r="A56" s="9" t="s">
        <v>144</v>
      </c>
      <c r="B56" s="9" t="s">
        <v>145</v>
      </c>
      <c r="C56" s="12" t="str">
        <f>HYPERLINK("https://www.google.com/search?q=DAYA+BAY-2+nuclear+power+plant+in+CHINA", "DAYA BAY-2")</f>
        <v>DAYA BAY-2</v>
      </c>
      <c r="D56" s="9" t="s">
        <v>155</v>
      </c>
      <c r="E56" s="9" t="s">
        <v>21</v>
      </c>
      <c r="F56" s="9">
        <v>984.0</v>
      </c>
      <c r="G56" s="9">
        <v>2905.0</v>
      </c>
      <c r="H56" s="9">
        <v>84.6</v>
      </c>
      <c r="I56" s="9">
        <v>85.8</v>
      </c>
      <c r="J56" s="9">
        <v>22.59722</v>
      </c>
      <c r="K56" s="9">
        <v>114.54444</v>
      </c>
      <c r="L56" s="13">
        <v>81.7171859741211</v>
      </c>
      <c r="M56" s="12" t="str">
        <f>HYPERLINK("http://www.iaea.org/PRIS/CountryStatistics/ReactorDetails.aspx?current=64", "PRIS")</f>
        <v>PRIS</v>
      </c>
      <c r="N56" s="12" t="str">
        <f t="shared" si="12"/>
        <v>Map</v>
      </c>
    </row>
    <row r="57">
      <c r="A57" s="9" t="s">
        <v>144</v>
      </c>
      <c r="B57" s="9" t="s">
        <v>145</v>
      </c>
      <c r="C57" s="12" t="str">
        <f>HYPERLINK("https://www.google.com/search?q=QINSHAN+2-1+nuclear+power+plant+in+CHINA", "QINSHAN 2-1")</f>
        <v>QINSHAN 2-1</v>
      </c>
      <c r="D57" s="9" t="s">
        <v>165</v>
      </c>
      <c r="E57" s="9" t="s">
        <v>21</v>
      </c>
      <c r="F57" s="9">
        <v>650.0</v>
      </c>
      <c r="G57" s="9">
        <v>1930.0</v>
      </c>
      <c r="H57" s="9">
        <v>80.3</v>
      </c>
      <c r="I57" s="9">
        <v>87.6</v>
      </c>
      <c r="J57" s="9">
        <v>30.43306</v>
      </c>
      <c r="K57" s="9">
        <v>120.95</v>
      </c>
      <c r="L57" s="13">
        <v>13.104531288147</v>
      </c>
      <c r="M57" s="12" t="str">
        <f>HYPERLINK("http://www.iaea.org/PRIS/CountryStatistics/ReactorDetails.aspx?current=65", "PRIS")</f>
        <v>PRIS</v>
      </c>
      <c r="N57" s="12" t="str">
        <f t="shared" ref="N57:N58" si="13">HYPERLINK("http://maps.google.com/?q=30.4331,120.95&amp;t=k", "Map")</f>
        <v>Map</v>
      </c>
    </row>
    <row r="58">
      <c r="A58" s="9" t="s">
        <v>144</v>
      </c>
      <c r="B58" s="9" t="s">
        <v>145</v>
      </c>
      <c r="C58" s="12" t="str">
        <f>HYPERLINK("https://www.google.com/search?q=QINSHAN+2-2+nuclear+power+plant+in+CHINA", "QINSHAN 2-2")</f>
        <v>QINSHAN 2-2</v>
      </c>
      <c r="D58" s="9" t="s">
        <v>165</v>
      </c>
      <c r="E58" s="9" t="s">
        <v>21</v>
      </c>
      <c r="F58" s="9">
        <v>650.0</v>
      </c>
      <c r="G58" s="9">
        <v>1930.0</v>
      </c>
      <c r="H58" s="9">
        <v>88.8</v>
      </c>
      <c r="I58" s="9">
        <v>90.2</v>
      </c>
      <c r="J58" s="9">
        <v>30.43306</v>
      </c>
      <c r="K58" s="9">
        <v>120.95</v>
      </c>
      <c r="L58" s="13">
        <v>13.104531288147</v>
      </c>
      <c r="M58" s="12" t="str">
        <f>HYPERLINK("http://www.iaea.org/PRIS/CountryStatistics/ReactorDetails.aspx?current=66", "PRIS")</f>
        <v>PRIS</v>
      </c>
      <c r="N58" s="12" t="str">
        <f t="shared" si="13"/>
        <v>Map</v>
      </c>
    </row>
    <row r="59">
      <c r="A59" s="9" t="s">
        <v>144</v>
      </c>
      <c r="B59" s="9" t="s">
        <v>145</v>
      </c>
      <c r="C59" s="12" t="str">
        <f>HYPERLINK("https://www.google.com/search?q=LING+AO-1+nuclear+power+plant+in+CHINA", "LING AO-1")</f>
        <v>LING AO-1</v>
      </c>
      <c r="D59" s="9" t="s">
        <v>193</v>
      </c>
      <c r="E59" s="9" t="s">
        <v>21</v>
      </c>
      <c r="F59" s="9">
        <v>990.0</v>
      </c>
      <c r="G59" s="9">
        <v>2905.0</v>
      </c>
      <c r="H59" s="9">
        <v>87.8</v>
      </c>
      <c r="I59" s="9">
        <v>82.3</v>
      </c>
      <c r="J59" s="9">
        <v>22.6047889</v>
      </c>
      <c r="K59" s="9">
        <v>114.5514889</v>
      </c>
      <c r="L59" s="13">
        <v>98.2266693115234</v>
      </c>
      <c r="M59" s="12" t="str">
        <f>HYPERLINK("http://www.iaea.org/PRIS/CountryStatistics/ReactorDetails.aspx?current=67", "PRIS")</f>
        <v>PRIS</v>
      </c>
      <c r="N59" s="12" t="str">
        <f t="shared" ref="N59:N60" si="14">HYPERLINK("http://maps.google.com/?q=22.6048,114.551&amp;t=k", "Map")</f>
        <v>Map</v>
      </c>
    </row>
    <row r="60">
      <c r="A60" s="9" t="s">
        <v>144</v>
      </c>
      <c r="B60" s="9" t="s">
        <v>145</v>
      </c>
      <c r="C60" s="12" t="str">
        <f>HYPERLINK("https://www.google.com/search?q=LING+AO-2+nuclear+power+plant+in+CHINA", "LING AO-2")</f>
        <v>LING AO-2</v>
      </c>
      <c r="D60" s="9" t="s">
        <v>193</v>
      </c>
      <c r="E60" s="9" t="s">
        <v>21</v>
      </c>
      <c r="F60" s="9">
        <v>990.0</v>
      </c>
      <c r="G60" s="9">
        <v>2905.0</v>
      </c>
      <c r="H60" s="9">
        <v>88.9</v>
      </c>
      <c r="I60" s="9">
        <v>87.2</v>
      </c>
      <c r="J60" s="9">
        <v>22.6047889</v>
      </c>
      <c r="K60" s="9">
        <v>114.5514889</v>
      </c>
      <c r="L60" s="13">
        <v>98.2266693115234</v>
      </c>
      <c r="M60" s="12" t="str">
        <f>HYPERLINK("http://www.iaea.org/PRIS/CountryStatistics/ReactorDetails.aspx?current=68", "PRIS")</f>
        <v>PRIS</v>
      </c>
      <c r="N60" s="12" t="str">
        <f t="shared" si="14"/>
        <v>Map</v>
      </c>
    </row>
    <row r="61">
      <c r="A61" s="9" t="s">
        <v>144</v>
      </c>
      <c r="B61" s="9" t="s">
        <v>145</v>
      </c>
      <c r="C61" s="12" t="str">
        <f>HYPERLINK("https://www.google.com/search?q=QINSHAN+3-1+nuclear+power+plant+in+CHINA", "QINSHAN 3-1")</f>
        <v>QINSHAN 3-1</v>
      </c>
      <c r="D61" s="9" t="s">
        <v>165</v>
      </c>
      <c r="E61" s="9" t="s">
        <v>21</v>
      </c>
      <c r="F61" s="9">
        <v>728.0</v>
      </c>
      <c r="G61" s="9">
        <v>2064.0</v>
      </c>
      <c r="H61" s="9">
        <v>90.9</v>
      </c>
      <c r="I61" s="9">
        <v>92.0</v>
      </c>
      <c r="J61" s="9">
        <v>30.43306</v>
      </c>
      <c r="K61" s="9">
        <v>120.95</v>
      </c>
      <c r="L61" s="13">
        <v>13.104531288147</v>
      </c>
      <c r="M61" s="12" t="str">
        <f>HYPERLINK("http://www.iaea.org/PRIS/CountryStatistics/ReactorDetails.aspx?current=69", "PRIS")</f>
        <v>PRIS</v>
      </c>
      <c r="N61" s="12" t="str">
        <f>HYPERLINK("http://maps.google.com/?q=30.4331,120.95&amp;t=k", "Map")</f>
        <v>Map</v>
      </c>
    </row>
    <row r="62">
      <c r="A62" s="9" t="s">
        <v>259</v>
      </c>
      <c r="B62" s="9" t="s">
        <v>260</v>
      </c>
      <c r="C62" s="12" t="str">
        <f>HYPERLINK("https://www.google.com/search?q=TEMELIN-1+nuclear+power+plant+in+CZECH+REPUBLIC", "TEMELIN-1")</f>
        <v>TEMELIN-1</v>
      </c>
      <c r="D62" s="9" t="s">
        <v>271</v>
      </c>
      <c r="E62" s="9" t="s">
        <v>21</v>
      </c>
      <c r="F62" s="9">
        <v>1056.0</v>
      </c>
      <c r="G62" s="9">
        <v>3120.0</v>
      </c>
      <c r="H62" s="9">
        <v>72.0</v>
      </c>
      <c r="I62" s="9">
        <v>82.1</v>
      </c>
      <c r="J62" s="9">
        <v>49.18</v>
      </c>
      <c r="K62" s="9">
        <v>14.37611</v>
      </c>
      <c r="L62" s="13">
        <v>528.805786132813</v>
      </c>
      <c r="M62" s="12" t="str">
        <f>HYPERLINK("http://www.iaea.org/PRIS/CountryStatistics/ReactorDetails.aspx?current=74", "PRIS")</f>
        <v>PRIS</v>
      </c>
      <c r="N62" s="12" t="str">
        <f t="shared" ref="N62:N63" si="15">HYPERLINK("http://maps.google.com/?q=49.18,14.3761&amp;t=k", "Map")</f>
        <v>Map</v>
      </c>
    </row>
    <row r="63">
      <c r="A63" s="9" t="s">
        <v>259</v>
      </c>
      <c r="B63" s="9" t="s">
        <v>260</v>
      </c>
      <c r="C63" s="12" t="str">
        <f>HYPERLINK("https://www.google.com/search?q=TEMELIN-2+nuclear+power+plant+in+CZECH+REPUBLIC", "TEMELIN-2")</f>
        <v>TEMELIN-2</v>
      </c>
      <c r="D63" s="9" t="s">
        <v>271</v>
      </c>
      <c r="E63" s="9" t="s">
        <v>21</v>
      </c>
      <c r="F63" s="9">
        <v>1056.0</v>
      </c>
      <c r="G63" s="9">
        <v>3120.0</v>
      </c>
      <c r="H63" s="9">
        <v>78.0</v>
      </c>
      <c r="I63" s="9">
        <v>84.4</v>
      </c>
      <c r="J63" s="9">
        <v>49.18</v>
      </c>
      <c r="K63" s="9">
        <v>14.37611</v>
      </c>
      <c r="L63" s="13">
        <v>528.805786132813</v>
      </c>
      <c r="M63" s="12" t="str">
        <f>HYPERLINK("http://www.iaea.org/PRIS/CountryStatistics/ReactorDetails.aspx?current=75", "PRIS")</f>
        <v>PRIS</v>
      </c>
      <c r="N63" s="12" t="str">
        <f t="shared" si="15"/>
        <v>Map</v>
      </c>
    </row>
    <row r="64">
      <c r="A64" s="9" t="s">
        <v>259</v>
      </c>
      <c r="B64" s="9" t="s">
        <v>260</v>
      </c>
      <c r="C64" s="12" t="str">
        <f>HYPERLINK("https://www.google.com/search?q=DUKOVANY-1+nuclear+power+plant+in+CZECH+REPUBLIC", "DUKOVANY-1")</f>
        <v>DUKOVANY-1</v>
      </c>
      <c r="D64" s="9" t="s">
        <v>262</v>
      </c>
      <c r="E64" s="9" t="s">
        <v>21</v>
      </c>
      <c r="F64" s="9">
        <v>500.0</v>
      </c>
      <c r="G64" s="9">
        <v>1444.0</v>
      </c>
      <c r="H64" s="9">
        <v>84.9</v>
      </c>
      <c r="I64" s="9">
        <v>92.2</v>
      </c>
      <c r="J64" s="9">
        <v>49.085</v>
      </c>
      <c r="K64" s="9">
        <v>16.14889</v>
      </c>
      <c r="L64" s="13">
        <v>419.65576171875</v>
      </c>
      <c r="M64" s="12" t="str">
        <f>HYPERLINK("http://www.iaea.org/PRIS/CountryStatistics/ReactorDetails.aspx?current=78", "PRIS")</f>
        <v>PRIS</v>
      </c>
      <c r="N64" s="12" t="str">
        <f t="shared" ref="N64:N67" si="16">HYPERLINK("http://maps.google.com/?q=49.085,16.1489&amp;t=k", "Map")</f>
        <v>Map</v>
      </c>
    </row>
    <row r="65">
      <c r="A65" s="9" t="s">
        <v>259</v>
      </c>
      <c r="B65" s="9" t="s">
        <v>260</v>
      </c>
      <c r="C65" s="12" t="str">
        <f>HYPERLINK("https://www.google.com/search?q=DUKOVANY-2+nuclear+power+plant+in+CZECH+REPUBLIC", "DUKOVANY-2")</f>
        <v>DUKOVANY-2</v>
      </c>
      <c r="D65" s="9" t="s">
        <v>262</v>
      </c>
      <c r="E65" s="9" t="s">
        <v>21</v>
      </c>
      <c r="F65" s="9">
        <v>500.0</v>
      </c>
      <c r="G65" s="9">
        <v>1444.0</v>
      </c>
      <c r="H65" s="9">
        <v>85.1</v>
      </c>
      <c r="I65" s="9">
        <v>89.4</v>
      </c>
      <c r="J65" s="9">
        <v>49.085</v>
      </c>
      <c r="K65" s="9">
        <v>16.14889</v>
      </c>
      <c r="L65" s="13">
        <v>419.65576171875</v>
      </c>
      <c r="M65" s="12" t="str">
        <f>HYPERLINK("http://www.iaea.org/PRIS/CountryStatistics/ReactorDetails.aspx?current=79", "PRIS")</f>
        <v>PRIS</v>
      </c>
      <c r="N65" s="12" t="str">
        <f t="shared" si="16"/>
        <v>Map</v>
      </c>
    </row>
    <row r="66">
      <c r="A66" s="9" t="s">
        <v>259</v>
      </c>
      <c r="B66" s="9" t="s">
        <v>260</v>
      </c>
      <c r="C66" s="12" t="str">
        <f>HYPERLINK("https://www.google.com/search?q=DUKOVANY-3+nuclear+power+plant+in+CZECH+REPUBLIC", "DUKOVANY-3")</f>
        <v>DUKOVANY-3</v>
      </c>
      <c r="D66" s="9" t="s">
        <v>262</v>
      </c>
      <c r="E66" s="9" t="s">
        <v>21</v>
      </c>
      <c r="F66" s="9">
        <v>500.0</v>
      </c>
      <c r="G66" s="9">
        <v>1444.0</v>
      </c>
      <c r="H66" s="9">
        <v>84.3</v>
      </c>
      <c r="I66" s="9">
        <v>86.4</v>
      </c>
      <c r="J66" s="9">
        <v>49.085</v>
      </c>
      <c r="K66" s="9">
        <v>16.14889</v>
      </c>
      <c r="L66" s="13">
        <v>419.65576171875</v>
      </c>
      <c r="M66" s="12" t="str">
        <f>HYPERLINK("http://www.iaea.org/PRIS/CountryStatistics/ReactorDetails.aspx?current=80", "PRIS")</f>
        <v>PRIS</v>
      </c>
      <c r="N66" s="12" t="str">
        <f t="shared" si="16"/>
        <v>Map</v>
      </c>
    </row>
    <row r="67">
      <c r="A67" s="9" t="s">
        <v>259</v>
      </c>
      <c r="B67" s="9" t="s">
        <v>260</v>
      </c>
      <c r="C67" s="12" t="str">
        <f>HYPERLINK("https://www.google.com/search?q=DUKOVANY-4+nuclear+power+plant+in+CZECH+REPUBLIC", "DUKOVANY-4")</f>
        <v>DUKOVANY-4</v>
      </c>
      <c r="D67" s="9" t="s">
        <v>262</v>
      </c>
      <c r="E67" s="9" t="s">
        <v>21</v>
      </c>
      <c r="F67" s="9">
        <v>500.0</v>
      </c>
      <c r="G67" s="9">
        <v>1444.0</v>
      </c>
      <c r="H67" s="9">
        <v>85.5</v>
      </c>
      <c r="I67" s="9">
        <v>90.4</v>
      </c>
      <c r="J67" s="9">
        <v>49.085</v>
      </c>
      <c r="K67" s="9">
        <v>16.14889</v>
      </c>
      <c r="L67" s="13">
        <v>419.65576171875</v>
      </c>
      <c r="M67" s="12" t="str">
        <f>HYPERLINK("http://www.iaea.org/PRIS/CountryStatistics/ReactorDetails.aspx?current=81", "PRIS")</f>
        <v>PRIS</v>
      </c>
      <c r="N67" s="12" t="str">
        <f t="shared" si="16"/>
        <v>Map</v>
      </c>
    </row>
    <row r="68">
      <c r="A68" s="9" t="s">
        <v>423</v>
      </c>
      <c r="B68" s="9" t="s">
        <v>425</v>
      </c>
      <c r="C68" s="12" t="str">
        <f>HYPERLINK("https://www.google.com/search?q=VAK+KAHL+nuclear+power+plant+in+GERMANY", "VAK KAHL")</f>
        <v>VAK KAHL</v>
      </c>
      <c r="D68" s="9" t="s">
        <v>427</v>
      </c>
      <c r="E68" s="9" t="s">
        <v>24</v>
      </c>
      <c r="F68" s="9">
        <v>16.0</v>
      </c>
      <c r="G68" s="9">
        <v>60.0</v>
      </c>
      <c r="H68" s="9">
        <v>58.3</v>
      </c>
      <c r="I68" s="9">
        <v>0.0</v>
      </c>
      <c r="J68" s="9">
        <v>50.0591194</v>
      </c>
      <c r="K68" s="9">
        <v>8.987278</v>
      </c>
      <c r="L68" s="13">
        <v>164.268096923828</v>
      </c>
      <c r="M68" s="12" t="str">
        <f>HYPERLINK("http://www.iaea.org/PRIS/CountryStatistics/ReactorDetails.aspx?current=82", "PRIS")</f>
        <v>PRIS</v>
      </c>
      <c r="N68" s="12" t="str">
        <f>HYPERLINK("http://maps.google.com/?q=50.0591,8.98728&amp;t=k", "Map")</f>
        <v>Map</v>
      </c>
    </row>
    <row r="69">
      <c r="A69" s="9" t="s">
        <v>423</v>
      </c>
      <c r="B69" s="9" t="s">
        <v>425</v>
      </c>
      <c r="C69" s="12" t="str">
        <f>HYPERLINK("https://www.google.com/search?q=STADE+nuclear+power+plant+in+GERMANY", "STADE")</f>
        <v>STADE</v>
      </c>
      <c r="D69" s="9" t="s">
        <v>434</v>
      </c>
      <c r="E69" s="9" t="s">
        <v>24</v>
      </c>
      <c r="F69" s="9">
        <v>672.0</v>
      </c>
      <c r="G69" s="9">
        <v>1900.0</v>
      </c>
      <c r="H69" s="9">
        <v>82.7</v>
      </c>
      <c r="I69" s="9">
        <v>0.0</v>
      </c>
      <c r="J69" s="9">
        <v>53.62</v>
      </c>
      <c r="K69" s="9">
        <v>9.53083</v>
      </c>
      <c r="L69" s="13">
        <v>39.5756034851074</v>
      </c>
      <c r="M69" s="12" t="str">
        <f>HYPERLINK("http://www.iaea.org/PRIS/CountryStatistics/ReactorDetails.aspx?current=83", "PRIS")</f>
        <v>PRIS</v>
      </c>
      <c r="N69" s="12" t="str">
        <f>HYPERLINK("http://maps.google.com/?q=53.62,9.53083&amp;t=k", "Map")</f>
        <v>Map</v>
      </c>
    </row>
    <row r="70">
      <c r="A70" s="9" t="s">
        <v>423</v>
      </c>
      <c r="B70" s="9" t="s">
        <v>425</v>
      </c>
      <c r="C70" s="12" t="str">
        <f>HYPERLINK("https://www.google.com/search?q=NIEDERAICHBACH+nuclear+power+plant+in+GERMANY", "NIEDERAICHBACH")</f>
        <v>NIEDERAICHBACH</v>
      </c>
      <c r="D70" s="9" t="s">
        <v>437</v>
      </c>
      <c r="E70" s="9" t="s">
        <v>24</v>
      </c>
      <c r="F70" s="9">
        <v>106.0</v>
      </c>
      <c r="G70" s="9">
        <v>321.0</v>
      </c>
      <c r="H70" s="9">
        <v>1.1</v>
      </c>
      <c r="I70" s="9">
        <v>0.0</v>
      </c>
      <c r="J70" s="9">
        <v>48.605802</v>
      </c>
      <c r="K70" s="9">
        <v>12.300085</v>
      </c>
      <c r="L70" s="13">
        <v>425.680938720703</v>
      </c>
      <c r="M70" s="12" t="str">
        <f>HYPERLINK("http://www.iaea.org/PRIS/CountryStatistics/ReactorDetails.aspx?current=84", "PRIS")</f>
        <v>PRIS</v>
      </c>
      <c r="N70" s="12" t="str">
        <f>HYPERLINK("http://maps.google.com/?q=48.6058,12.3001&amp;t=k", "Map")</f>
        <v>Map</v>
      </c>
    </row>
    <row r="71">
      <c r="A71" s="9" t="s">
        <v>423</v>
      </c>
      <c r="B71" s="9" t="s">
        <v>425</v>
      </c>
      <c r="C71" s="12" t="str">
        <f>HYPERLINK("https://www.google.com/search?q=BIBLIS-A+nuclear+power+plant+in+GERMANY", "BIBLIS-A")</f>
        <v>BIBLIS-A</v>
      </c>
      <c r="D71" s="9" t="s">
        <v>444</v>
      </c>
      <c r="E71" s="9" t="s">
        <v>24</v>
      </c>
      <c r="F71" s="9">
        <v>1225.0</v>
      </c>
      <c r="G71" s="9">
        <v>3517.0</v>
      </c>
      <c r="H71" s="9">
        <v>63.1</v>
      </c>
      <c r="I71" s="9">
        <v>0.0</v>
      </c>
      <c r="J71" s="9">
        <v>49.71</v>
      </c>
      <c r="K71" s="9">
        <v>8.41528</v>
      </c>
      <c r="L71" s="13">
        <v>141.527862548828</v>
      </c>
      <c r="M71" s="12" t="str">
        <f>HYPERLINK("http://www.iaea.org/PRIS/CountryStatistics/ReactorDetails.aspx?current=85", "PRIS")</f>
        <v>PRIS</v>
      </c>
      <c r="N71" s="12" t="str">
        <f>HYPERLINK("http://maps.google.com/?q=49.71,8.41528&amp;t=k", "Map")</f>
        <v>Map</v>
      </c>
    </row>
    <row r="72">
      <c r="A72" s="9" t="s">
        <v>423</v>
      </c>
      <c r="B72" s="9" t="s">
        <v>425</v>
      </c>
      <c r="C72" s="12" t="str">
        <f>HYPERLINK("https://www.google.com/search?q=BRUNSBUETTEL+nuclear+power+plant+in+GERMANY", "BRUNSBUETTEL")</f>
        <v>BRUNSBUETTEL</v>
      </c>
      <c r="D72" s="9" t="s">
        <v>446</v>
      </c>
      <c r="E72" s="9" t="s">
        <v>24</v>
      </c>
      <c r="F72" s="9">
        <v>806.0</v>
      </c>
      <c r="G72" s="9">
        <v>2292.0</v>
      </c>
      <c r="H72" s="9">
        <v>51.1</v>
      </c>
      <c r="I72" s="9">
        <v>0.0</v>
      </c>
      <c r="J72" s="9">
        <v>53.89167</v>
      </c>
      <c r="K72" s="9">
        <v>9.20167</v>
      </c>
      <c r="L72" s="13">
        <v>39.5104637145996</v>
      </c>
      <c r="M72" s="12" t="str">
        <f>HYPERLINK("http://www.iaea.org/PRIS/CountryStatistics/ReactorDetails.aspx?current=86", "PRIS")</f>
        <v>PRIS</v>
      </c>
      <c r="N72" s="12" t="str">
        <f>HYPERLINK("http://maps.google.com/?q=53.8917,9.20167&amp;t=k", "Map")</f>
        <v>Map</v>
      </c>
    </row>
    <row r="73">
      <c r="A73" s="9" t="s">
        <v>423</v>
      </c>
      <c r="B73" s="9" t="s">
        <v>425</v>
      </c>
      <c r="C73" s="12" t="str">
        <f>HYPERLINK("https://www.google.com/search?q=PHILIPPSBURG-1+nuclear+power+plant+in+GERMANY", "PHILIPPSBURG-1")</f>
        <v>PHILIPPSBURG-1</v>
      </c>
      <c r="D73" s="9" t="s">
        <v>450</v>
      </c>
      <c r="E73" s="9" t="s">
        <v>24</v>
      </c>
      <c r="F73" s="9">
        <v>926.0</v>
      </c>
      <c r="G73" s="9">
        <v>2575.0</v>
      </c>
      <c r="H73" s="9">
        <v>76.8</v>
      </c>
      <c r="I73" s="9">
        <v>0.0</v>
      </c>
      <c r="J73" s="9">
        <v>49.2525</v>
      </c>
      <c r="K73" s="9">
        <v>8.43639</v>
      </c>
      <c r="L73" s="13">
        <v>142.128692626953</v>
      </c>
      <c r="M73" s="12" t="str">
        <f>HYPERLINK("http://www.iaea.org/PRIS/CountryStatistics/ReactorDetails.aspx?current=87", "PRIS")</f>
        <v>PRIS</v>
      </c>
      <c r="N73" s="12" t="str">
        <f>HYPERLINK("http://maps.google.com/?q=49.2525,8.43639&amp;t=k", "Map")</f>
        <v>Map</v>
      </c>
    </row>
    <row r="74">
      <c r="A74" s="9" t="s">
        <v>423</v>
      </c>
      <c r="B74" s="9" t="s">
        <v>425</v>
      </c>
      <c r="C74" s="12" t="str">
        <f>HYPERLINK("https://www.google.com/search?q=NECKARWESTHEIM-1+nuclear+power+plant+in+GERMANY", "NECKARWESTHEIM-1")</f>
        <v>NECKARWESTHEIM-1</v>
      </c>
      <c r="D74" s="9" t="s">
        <v>454</v>
      </c>
      <c r="E74" s="9" t="s">
        <v>24</v>
      </c>
      <c r="F74" s="9">
        <v>840.0</v>
      </c>
      <c r="G74" s="9">
        <v>2497.0</v>
      </c>
      <c r="H74" s="9">
        <v>76.8</v>
      </c>
      <c r="I74" s="9">
        <v>0.0</v>
      </c>
      <c r="J74" s="9">
        <v>49.04167</v>
      </c>
      <c r="K74" s="9">
        <v>9.175</v>
      </c>
      <c r="L74" s="13">
        <v>253.6708984375</v>
      </c>
      <c r="M74" s="12" t="str">
        <f>HYPERLINK("http://www.iaea.org/PRIS/CountryStatistics/ReactorDetails.aspx?current=88", "PRIS")</f>
        <v>PRIS</v>
      </c>
      <c r="N74" s="12" t="str">
        <f>HYPERLINK("http://maps.google.com/?q=49.0417,9.175&amp;t=k", "Map")</f>
        <v>Map</v>
      </c>
    </row>
    <row r="75">
      <c r="A75" s="9" t="s">
        <v>423</v>
      </c>
      <c r="B75" s="9" t="s">
        <v>425</v>
      </c>
      <c r="C75" s="12" t="str">
        <f>HYPERLINK("https://www.google.com/search?q=ISAR-1+nuclear+power+plant+in+GERMANY", "ISAR-1")</f>
        <v>ISAR-1</v>
      </c>
      <c r="D75" s="9" t="s">
        <v>461</v>
      </c>
      <c r="E75" s="9" t="s">
        <v>24</v>
      </c>
      <c r="F75" s="9">
        <v>912.0</v>
      </c>
      <c r="G75" s="9">
        <v>2575.0</v>
      </c>
      <c r="H75" s="9">
        <v>78.7</v>
      </c>
      <c r="I75" s="9">
        <v>0.0</v>
      </c>
      <c r="J75" s="9">
        <v>48.6056056</v>
      </c>
      <c r="K75" s="9">
        <v>12.29315</v>
      </c>
      <c r="L75" s="13">
        <v>424.906768798828</v>
      </c>
      <c r="M75" s="12" t="str">
        <f>HYPERLINK("http://www.iaea.org/PRIS/CountryStatistics/ReactorDetails.aspx?current=89", "PRIS")</f>
        <v>PRIS</v>
      </c>
      <c r="N75" s="12" t="str">
        <f>HYPERLINK("http://maps.google.com/?q=48.6056,12.2932&amp;t=k", "Map")</f>
        <v>Map</v>
      </c>
    </row>
    <row r="76">
      <c r="A76" s="9" t="s">
        <v>423</v>
      </c>
      <c r="B76" s="9" t="s">
        <v>425</v>
      </c>
      <c r="C76" s="12" t="str">
        <f>HYPERLINK("https://www.google.com/search?q=UNTERWESER+nuclear+power+plant+in+GERMANY", "UNTERWESER")</f>
        <v>UNTERWESER</v>
      </c>
      <c r="D76" s="9" t="s">
        <v>467</v>
      </c>
      <c r="E76" s="9" t="s">
        <v>24</v>
      </c>
      <c r="F76" s="9">
        <v>1410.0</v>
      </c>
      <c r="G76" s="9">
        <v>3900.0</v>
      </c>
      <c r="H76" s="9">
        <v>79.4</v>
      </c>
      <c r="I76" s="9">
        <v>0.0</v>
      </c>
      <c r="J76" s="9">
        <v>53.4277</v>
      </c>
      <c r="K76" s="9">
        <v>8.4801972</v>
      </c>
      <c r="L76" s="13">
        <v>39.9050064086914</v>
      </c>
      <c r="M76" s="12" t="str">
        <f>HYPERLINK("http://www.iaea.org/PRIS/CountryStatistics/ReactorDetails.aspx?current=90", "PRIS")</f>
        <v>PRIS</v>
      </c>
      <c r="N76" s="12" t="str">
        <f>HYPERLINK("http://maps.google.com/?q=53.4277,8.4802&amp;t=k", "Map")</f>
        <v>Map</v>
      </c>
    </row>
    <row r="77">
      <c r="A77" s="9" t="s">
        <v>423</v>
      </c>
      <c r="B77" s="9" t="s">
        <v>425</v>
      </c>
      <c r="C77" s="12" t="str">
        <f>HYPERLINK("https://www.google.com/search?q=BIBLIS-B+nuclear+power+plant+in+GERMANY", "BIBLIS-B")</f>
        <v>BIBLIS-B</v>
      </c>
      <c r="D77" s="9" t="s">
        <v>444</v>
      </c>
      <c r="E77" s="9" t="s">
        <v>24</v>
      </c>
      <c r="F77" s="9">
        <v>1300.0</v>
      </c>
      <c r="G77" s="9">
        <v>3733.0</v>
      </c>
      <c r="H77" s="9">
        <v>66.0</v>
      </c>
      <c r="I77" s="9">
        <v>0.0</v>
      </c>
      <c r="J77" s="9">
        <v>49.71</v>
      </c>
      <c r="K77" s="9">
        <v>8.41528</v>
      </c>
      <c r="L77" s="13">
        <v>141.527862548828</v>
      </c>
      <c r="M77" s="12" t="str">
        <f>HYPERLINK("http://www.iaea.org/PRIS/CountryStatistics/ReactorDetails.aspx?current=91", "PRIS")</f>
        <v>PRIS</v>
      </c>
      <c r="N77" s="12" t="str">
        <f>HYPERLINK("http://maps.google.com/?q=49.71,8.41528&amp;t=k", "Map")</f>
        <v>Map</v>
      </c>
    </row>
    <row r="78">
      <c r="A78" s="9" t="s">
        <v>423</v>
      </c>
      <c r="B78" s="9" t="s">
        <v>425</v>
      </c>
      <c r="C78" s="12" t="str">
        <f>HYPERLINK("https://www.google.com/search?q=THTR-300+nuclear+power+plant+in+GERMANY", "THTR-300")</f>
        <v>THTR-300</v>
      </c>
      <c r="D78" s="9" t="s">
        <v>477</v>
      </c>
      <c r="E78" s="9" t="s">
        <v>24</v>
      </c>
      <c r="F78" s="9">
        <v>308.0</v>
      </c>
      <c r="G78" s="9">
        <v>760.0</v>
      </c>
      <c r="H78" s="9">
        <v>41.3</v>
      </c>
      <c r="I78" s="9">
        <v>0.0</v>
      </c>
      <c r="J78" s="9">
        <v>51.67917</v>
      </c>
      <c r="K78" s="9">
        <v>7.97167</v>
      </c>
      <c r="L78" s="13">
        <v>120.355346679688</v>
      </c>
      <c r="M78" s="12" t="str">
        <f>HYPERLINK("http://www.iaea.org/PRIS/CountryStatistics/ReactorDetails.aspx?current=92", "PRIS")</f>
        <v>PRIS</v>
      </c>
      <c r="N78" s="12" t="str">
        <f>HYPERLINK("http://maps.google.com/?q=51.6792,7.97167&amp;t=k", "Map")</f>
        <v>Map</v>
      </c>
    </row>
    <row r="79">
      <c r="A79" s="9" t="s">
        <v>423</v>
      </c>
      <c r="B79" s="9" t="s">
        <v>425</v>
      </c>
      <c r="C79" s="12" t="str">
        <f>HYPERLINK("https://www.google.com/search?q=MZFR+nuclear+power+plant+in+GERMANY", "MZFR")</f>
        <v>MZFR</v>
      </c>
      <c r="D79" s="9" t="s">
        <v>483</v>
      </c>
      <c r="E79" s="9" t="s">
        <v>24</v>
      </c>
      <c r="F79" s="9">
        <v>57.0</v>
      </c>
      <c r="G79" s="9">
        <v>200.0</v>
      </c>
      <c r="H79" s="9">
        <v>70.6</v>
      </c>
      <c r="I79" s="9">
        <v>0.0</v>
      </c>
      <c r="J79" s="9">
        <v>49.10431</v>
      </c>
      <c r="K79" s="9">
        <v>8.432586</v>
      </c>
      <c r="L79" s="13">
        <v>167.483749389648</v>
      </c>
      <c r="M79" s="12" t="str">
        <f>HYPERLINK("http://www.iaea.org/PRIS/CountryStatistics/ReactorDetails.aspx?current=93", "PRIS")</f>
        <v>PRIS</v>
      </c>
      <c r="N79" s="12" t="str">
        <f>HYPERLINK("http://maps.google.com/?q=49.1043,8.43259&amp;t=k", "Map")</f>
        <v>Map</v>
      </c>
    </row>
    <row r="80">
      <c r="A80" s="9" t="s">
        <v>423</v>
      </c>
      <c r="B80" s="9" t="s">
        <v>425</v>
      </c>
      <c r="C80" s="12" t="str">
        <f>HYPERLINK("https://www.google.com/search?q=KRUEMMEL+nuclear+power+plant+in+GERMANY", "KRUEMMEL")</f>
        <v>KRUEMMEL</v>
      </c>
      <c r="D80" s="9" t="s">
        <v>490</v>
      </c>
      <c r="E80" s="9" t="s">
        <v>24</v>
      </c>
      <c r="F80" s="9">
        <v>1402.0</v>
      </c>
      <c r="G80" s="9">
        <v>3690.0</v>
      </c>
      <c r="H80" s="9">
        <v>65.2</v>
      </c>
      <c r="I80" s="9">
        <v>0.0</v>
      </c>
      <c r="J80" s="9">
        <v>53.41</v>
      </c>
      <c r="K80" s="9">
        <v>10.40889</v>
      </c>
      <c r="L80" s="13">
        <v>70.1258239746094</v>
      </c>
      <c r="M80" s="12" t="str">
        <f>HYPERLINK("http://www.iaea.org/PRIS/CountryStatistics/ReactorDetails.aspx?current=94", "PRIS")</f>
        <v>PRIS</v>
      </c>
      <c r="N80" s="12" t="str">
        <f>HYPERLINK("http://maps.google.com/?q=53.41,10.4089&amp;t=k", "Map")</f>
        <v>Map</v>
      </c>
    </row>
    <row r="81">
      <c r="A81" s="9" t="s">
        <v>423</v>
      </c>
      <c r="B81" s="9" t="s">
        <v>425</v>
      </c>
      <c r="C81" s="12" t="str">
        <f>HYPERLINK("https://www.google.com/search?q=MUELHEIM-KAERLICH+nuclear+power+plant+in+GERMANY", "MUELHEIM-KAERLICH")</f>
        <v>MUELHEIM-KAERLICH</v>
      </c>
      <c r="D81" s="9" t="s">
        <v>498</v>
      </c>
      <c r="E81" s="9" t="s">
        <v>24</v>
      </c>
      <c r="F81" s="9">
        <v>1302.0</v>
      </c>
      <c r="G81" s="9">
        <v>3760.0</v>
      </c>
      <c r="H81" s="9">
        <v>76.4</v>
      </c>
      <c r="I81" s="9">
        <v>0.0</v>
      </c>
      <c r="J81" s="9">
        <v>50.40806</v>
      </c>
      <c r="K81" s="9">
        <v>7.49</v>
      </c>
      <c r="L81" s="13">
        <v>116.858283996582</v>
      </c>
      <c r="M81" s="12" t="str">
        <f>HYPERLINK("http://www.iaea.org/PRIS/CountryStatistics/ReactorDetails.aspx?current=96", "PRIS")</f>
        <v>PRIS</v>
      </c>
      <c r="N81" s="12" t="str">
        <f>HYPERLINK("http://maps.google.com/?q=50.4081,7.49&amp;t=k", "Map")</f>
        <v>Map</v>
      </c>
    </row>
    <row r="82">
      <c r="A82" s="9" t="s">
        <v>423</v>
      </c>
      <c r="B82" s="9" t="s">
        <v>425</v>
      </c>
      <c r="C82" s="12" t="str">
        <f>HYPERLINK("https://www.google.com/search?q=GRAFENRHEINFELD+nuclear+power+plant+in+GERMANY", "GRAFENRHEINFELD")</f>
        <v>GRAFENRHEINFELD</v>
      </c>
      <c r="D82" s="9" t="s">
        <v>489</v>
      </c>
      <c r="E82" s="9" t="s">
        <v>21</v>
      </c>
      <c r="F82" s="9">
        <v>1345.0</v>
      </c>
      <c r="G82" s="9">
        <v>3765.0</v>
      </c>
      <c r="H82" s="9">
        <v>85.8</v>
      </c>
      <c r="I82" s="9">
        <v>86.5</v>
      </c>
      <c r="J82" s="9">
        <v>49.9840861</v>
      </c>
      <c r="K82" s="9">
        <v>10.1846694</v>
      </c>
      <c r="L82" s="13">
        <v>259.144226074219</v>
      </c>
      <c r="M82" s="12" t="str">
        <f>HYPERLINK("http://www.iaea.org/PRIS/CountryStatistics/ReactorDetails.aspx?current=97", "PRIS")</f>
        <v>PRIS</v>
      </c>
      <c r="N82" s="12" t="str">
        <f>HYPERLINK("http://maps.google.com/?q=49.9841,10.1847&amp;t=k", "Map")</f>
        <v>Map</v>
      </c>
    </row>
    <row r="83">
      <c r="A83" s="9" t="s">
        <v>423</v>
      </c>
      <c r="B83" s="9" t="s">
        <v>425</v>
      </c>
      <c r="C83" s="12" t="str">
        <f>HYPERLINK("https://www.google.com/search?q=PHILIPPSBURG-2+nuclear+power+plant+in+GERMANY", "PHILIPPSBURG-2")</f>
        <v>PHILIPPSBURG-2</v>
      </c>
      <c r="D83" s="9" t="s">
        <v>450</v>
      </c>
      <c r="E83" s="9" t="s">
        <v>21</v>
      </c>
      <c r="F83" s="9">
        <v>1468.0</v>
      </c>
      <c r="G83" s="9">
        <v>3950.0</v>
      </c>
      <c r="H83" s="9">
        <v>87.7</v>
      </c>
      <c r="I83" s="9">
        <v>71.0</v>
      </c>
      <c r="J83" s="9">
        <v>49.2525</v>
      </c>
      <c r="K83" s="9">
        <v>8.43639</v>
      </c>
      <c r="L83" s="13">
        <v>142.128692626953</v>
      </c>
      <c r="M83" s="12" t="str">
        <f>HYPERLINK("http://www.iaea.org/PRIS/CountryStatistics/ReactorDetails.aspx?current=98", "PRIS")</f>
        <v>PRIS</v>
      </c>
      <c r="N83" s="12" t="str">
        <f>HYPERLINK("http://maps.google.com/?q=49.2525,8.43639&amp;t=k", "Map")</f>
        <v>Map</v>
      </c>
    </row>
    <row r="84">
      <c r="A84" s="9" t="s">
        <v>423</v>
      </c>
      <c r="B84" s="9" t="s">
        <v>425</v>
      </c>
      <c r="C84" s="12" t="str">
        <f>HYPERLINK("https://www.google.com/search?q=GUNDREMMINGEN-B+nuclear+power+plant+in+GERMANY", "GUNDREMMINGEN-B")</f>
        <v>GUNDREMMINGEN-B</v>
      </c>
      <c r="D84" s="9" t="s">
        <v>507</v>
      </c>
      <c r="E84" s="9" t="s">
        <v>21</v>
      </c>
      <c r="F84" s="9">
        <v>1344.0</v>
      </c>
      <c r="G84" s="9">
        <v>3840.0</v>
      </c>
      <c r="H84" s="9">
        <v>83.7</v>
      </c>
      <c r="I84" s="9">
        <v>85.8</v>
      </c>
      <c r="J84" s="9">
        <v>48.51472</v>
      </c>
      <c r="K84" s="9">
        <v>10.40222</v>
      </c>
      <c r="L84" s="13">
        <v>478.531646728516</v>
      </c>
      <c r="M84" s="12" t="str">
        <f>HYPERLINK("http://www.iaea.org/PRIS/CountryStatistics/ReactorDetails.aspx?current=100", "PRIS")</f>
        <v>PRIS</v>
      </c>
      <c r="N84" s="12" t="str">
        <f>HYPERLINK("http://maps.google.com/?q=48.5147,10.4022&amp;t=k", "Map")</f>
        <v>Map</v>
      </c>
    </row>
    <row r="85">
      <c r="A85" s="9" t="s">
        <v>423</v>
      </c>
      <c r="B85" s="9" t="s">
        <v>425</v>
      </c>
      <c r="C85" s="12" t="str">
        <f>HYPERLINK("https://www.google.com/search?q=GROHNDE+nuclear+power+plant+in+GERMANY", "GROHNDE")</f>
        <v>GROHNDE</v>
      </c>
      <c r="D85" s="9" t="s">
        <v>504</v>
      </c>
      <c r="E85" s="9" t="s">
        <v>21</v>
      </c>
      <c r="F85" s="9">
        <v>1430.0</v>
      </c>
      <c r="G85" s="9">
        <v>3900.0</v>
      </c>
      <c r="H85" s="9">
        <v>90.4</v>
      </c>
      <c r="I85" s="9">
        <v>87.5</v>
      </c>
      <c r="J85" s="9">
        <v>52.03528</v>
      </c>
      <c r="K85" s="9">
        <v>9.41333</v>
      </c>
      <c r="L85" s="13">
        <v>121.612731933594</v>
      </c>
      <c r="M85" s="12" t="str">
        <f>HYPERLINK("http://www.iaea.org/PRIS/CountryStatistics/ReactorDetails.aspx?current=101", "PRIS")</f>
        <v>PRIS</v>
      </c>
      <c r="N85" s="12" t="str">
        <f>HYPERLINK("http://maps.google.com/?q=52.0353,9.41333&amp;t=k", "Map")</f>
        <v>Map</v>
      </c>
    </row>
    <row r="86">
      <c r="A86" s="9" t="s">
        <v>423</v>
      </c>
      <c r="B86" s="9" t="s">
        <v>425</v>
      </c>
      <c r="C86" s="12" t="str">
        <f>HYPERLINK("https://www.google.com/search?q=GUNDREMMINGEN-C+nuclear+power+plant+in+GERMANY", "GUNDREMMINGEN-C")</f>
        <v>GUNDREMMINGEN-C</v>
      </c>
      <c r="D86" s="9" t="s">
        <v>507</v>
      </c>
      <c r="E86" s="9" t="s">
        <v>21</v>
      </c>
      <c r="F86" s="9">
        <v>1344.0</v>
      </c>
      <c r="G86" s="9">
        <v>3840.0</v>
      </c>
      <c r="H86" s="9">
        <v>82.0</v>
      </c>
      <c r="I86" s="9">
        <v>88.8</v>
      </c>
      <c r="J86" s="9">
        <v>48.51472</v>
      </c>
      <c r="K86" s="9">
        <v>10.40222</v>
      </c>
      <c r="L86" s="13">
        <v>478.531646728516</v>
      </c>
      <c r="M86" s="12" t="str">
        <f>HYPERLINK("http://www.iaea.org/PRIS/CountryStatistics/ReactorDetails.aspx?current=102", "PRIS")</f>
        <v>PRIS</v>
      </c>
      <c r="N86" s="12" t="str">
        <f t="shared" ref="N86:N87" si="17">HYPERLINK("http://maps.google.com/?q=48.5147,10.4022&amp;t=k", "Map")</f>
        <v>Map</v>
      </c>
    </row>
    <row r="87">
      <c r="A87" s="9" t="s">
        <v>423</v>
      </c>
      <c r="B87" s="9" t="s">
        <v>425</v>
      </c>
      <c r="C87" s="12" t="str">
        <f>HYPERLINK("https://www.google.com/search?q=GUNDREMMINGEN-A+nuclear+power+plant+in+GERMANY", "GUNDREMMINGEN-A")</f>
        <v>GUNDREMMINGEN-A</v>
      </c>
      <c r="D87" s="9" t="s">
        <v>507</v>
      </c>
      <c r="E87" s="9" t="s">
        <v>24</v>
      </c>
      <c r="F87" s="9">
        <v>250.0</v>
      </c>
      <c r="G87" s="9">
        <v>801.0</v>
      </c>
      <c r="H87" s="9">
        <v>80.6</v>
      </c>
      <c r="I87" s="9">
        <v>0.0</v>
      </c>
      <c r="J87" s="9">
        <v>48.51472</v>
      </c>
      <c r="K87" s="9">
        <v>10.40222</v>
      </c>
      <c r="L87" s="13">
        <v>478.531646728516</v>
      </c>
      <c r="M87" s="12" t="str">
        <f>HYPERLINK("http://www.iaea.org/PRIS/CountryStatistics/ReactorDetails.aspx?current=104", "PRIS")</f>
        <v>PRIS</v>
      </c>
      <c r="N87" s="12" t="str">
        <f t="shared" si="17"/>
        <v>Map</v>
      </c>
    </row>
    <row r="88">
      <c r="A88" s="9" t="s">
        <v>423</v>
      </c>
      <c r="B88" s="9" t="s">
        <v>425</v>
      </c>
      <c r="C88" s="12" t="str">
        <f>HYPERLINK("https://www.google.com/search?q=ISAR-2+nuclear+power+plant+in+GERMANY", "ISAR-2")</f>
        <v>ISAR-2</v>
      </c>
      <c r="D88" s="9" t="s">
        <v>461</v>
      </c>
      <c r="E88" s="9" t="s">
        <v>21</v>
      </c>
      <c r="F88" s="9">
        <v>1485.0</v>
      </c>
      <c r="G88" s="9">
        <v>3950.0</v>
      </c>
      <c r="H88" s="9">
        <v>89.6</v>
      </c>
      <c r="I88" s="9">
        <v>92.3</v>
      </c>
      <c r="J88" s="9">
        <v>48.6056056</v>
      </c>
      <c r="K88" s="9">
        <v>12.29315</v>
      </c>
      <c r="L88" s="13">
        <v>424.906768798828</v>
      </c>
      <c r="M88" s="12" t="str">
        <f>HYPERLINK("http://www.iaea.org/PRIS/CountryStatistics/ReactorDetails.aspx?current=106", "PRIS")</f>
        <v>PRIS</v>
      </c>
      <c r="N88" s="12" t="str">
        <f>HYPERLINK("http://maps.google.com/?q=48.6056,12.2932&amp;t=k", "Map")</f>
        <v>Map</v>
      </c>
    </row>
    <row r="89">
      <c r="A89" s="9" t="s">
        <v>423</v>
      </c>
      <c r="B89" s="9" t="s">
        <v>425</v>
      </c>
      <c r="C89" s="12" t="str">
        <f>HYPERLINK("https://www.google.com/search?q=BROKDORF+nuclear+power+plant+in+GERMANY", "BROKDORF")</f>
        <v>BROKDORF</v>
      </c>
      <c r="D89" s="9" t="s">
        <v>481</v>
      </c>
      <c r="E89" s="9" t="s">
        <v>21</v>
      </c>
      <c r="F89" s="9">
        <v>1480.0</v>
      </c>
      <c r="G89" s="9">
        <v>3900.0</v>
      </c>
      <c r="H89" s="9">
        <v>88.2</v>
      </c>
      <c r="I89" s="9">
        <v>90.2</v>
      </c>
      <c r="J89" s="9">
        <v>53.85083</v>
      </c>
      <c r="K89" s="9">
        <v>9.34472</v>
      </c>
      <c r="L89" s="13">
        <v>37.5588645935059</v>
      </c>
      <c r="M89" s="12" t="str">
        <f>HYPERLINK("http://www.iaea.org/PRIS/CountryStatistics/ReactorDetails.aspx?current=107", "PRIS")</f>
        <v>PRIS</v>
      </c>
      <c r="N89" s="12" t="str">
        <f>HYPERLINK("http://maps.google.com/?q=53.8508,9.34472&amp;t=k", "Map")</f>
        <v>Map</v>
      </c>
    </row>
    <row r="90">
      <c r="A90" s="9" t="s">
        <v>423</v>
      </c>
      <c r="B90" s="9" t="s">
        <v>425</v>
      </c>
      <c r="C90" s="12" t="str">
        <f>HYPERLINK("https://www.google.com/search?q=EMSLAND+nuclear+power+plant+in+GERMANY", "EMSLAND")</f>
        <v>EMSLAND</v>
      </c>
      <c r="D90" s="9" t="s">
        <v>486</v>
      </c>
      <c r="E90" s="9" t="s">
        <v>21</v>
      </c>
      <c r="F90" s="9">
        <v>1400.0</v>
      </c>
      <c r="G90" s="9">
        <v>3850.0</v>
      </c>
      <c r="H90" s="9">
        <v>93.5</v>
      </c>
      <c r="I90" s="9">
        <v>93.7</v>
      </c>
      <c r="J90" s="9">
        <v>52.4742306</v>
      </c>
      <c r="K90" s="9">
        <v>7.3178583</v>
      </c>
      <c r="L90" s="13">
        <v>77.9527587890625</v>
      </c>
      <c r="M90" s="12" t="str">
        <f>HYPERLINK("http://www.iaea.org/PRIS/CountryStatistics/ReactorDetails.aspx?current=108", "PRIS")</f>
        <v>PRIS</v>
      </c>
      <c r="N90" s="12" t="str">
        <f>HYPERLINK("http://maps.google.com/?q=52.4742,7.31786&amp;t=k", "Map")</f>
        <v>Map</v>
      </c>
    </row>
    <row r="91">
      <c r="A91" s="9" t="s">
        <v>423</v>
      </c>
      <c r="B91" s="9" t="s">
        <v>425</v>
      </c>
      <c r="C91" s="12" t="str">
        <f>HYPERLINK("https://www.google.com/search?q=AVR+JUELICH+nuclear+power+plant+in+GERMANY", "AVR JUELICH")</f>
        <v>AVR JUELICH</v>
      </c>
      <c r="D91" s="9" t="s">
        <v>473</v>
      </c>
      <c r="E91" s="9" t="s">
        <v>24</v>
      </c>
      <c r="F91" s="9">
        <v>15.0</v>
      </c>
      <c r="G91" s="9">
        <v>46.0</v>
      </c>
      <c r="H91" s="9">
        <v>62.0</v>
      </c>
      <c r="I91" s="9">
        <v>0.0</v>
      </c>
      <c r="J91" s="9">
        <v>50.90306</v>
      </c>
      <c r="K91" s="9">
        <v>6.42111</v>
      </c>
      <c r="L91" s="13">
        <v>146.473281860352</v>
      </c>
      <c r="M91" s="12" t="str">
        <f>HYPERLINK("http://www.iaea.org/PRIS/CountryStatistics/ReactorDetails.aspx?current=114", "PRIS")</f>
        <v>PRIS</v>
      </c>
      <c r="N91" s="12" t="str">
        <f>HYPERLINK("http://maps.google.com/?q=50.9031,6.42111&amp;t=k", "Map")</f>
        <v>Map</v>
      </c>
    </row>
    <row r="92">
      <c r="A92" s="9" t="s">
        <v>423</v>
      </c>
      <c r="B92" s="9" t="s">
        <v>425</v>
      </c>
      <c r="C92" s="12" t="str">
        <f>HYPERLINK("https://www.google.com/search?q=NECKARWESTHEIM-2+nuclear+power+plant+in+GERMANY", "NECKARWESTHEIM-2")</f>
        <v>NECKARWESTHEIM-2</v>
      </c>
      <c r="D92" s="9" t="s">
        <v>454</v>
      </c>
      <c r="E92" s="9" t="s">
        <v>21</v>
      </c>
      <c r="F92" s="9">
        <v>1400.0</v>
      </c>
      <c r="G92" s="9">
        <v>3850.0</v>
      </c>
      <c r="H92" s="9">
        <v>92.1</v>
      </c>
      <c r="I92" s="9">
        <v>89.0</v>
      </c>
      <c r="J92" s="9">
        <v>49.04167</v>
      </c>
      <c r="K92" s="9">
        <v>9.175</v>
      </c>
      <c r="L92" s="13">
        <v>253.6708984375</v>
      </c>
      <c r="M92" s="12" t="str">
        <f>HYPERLINK("http://www.iaea.org/PRIS/CountryStatistics/ReactorDetails.aspx?current=119", "PRIS")</f>
        <v>PRIS</v>
      </c>
      <c r="N92" s="12" t="str">
        <f>HYPERLINK("http://maps.google.com/?q=49.0417,9.175&amp;t=k", "Map")</f>
        <v>Map</v>
      </c>
    </row>
    <row r="93">
      <c r="A93" s="9" t="s">
        <v>423</v>
      </c>
      <c r="B93" s="9" t="s">
        <v>425</v>
      </c>
      <c r="C93" s="12" t="str">
        <f>HYPERLINK("https://www.google.com/search?q=OBRIGHEIM+nuclear+power+plant+in+GERMANY", "OBRIGHEIM")</f>
        <v>OBRIGHEIM</v>
      </c>
      <c r="D93" s="9" t="s">
        <v>536</v>
      </c>
      <c r="E93" s="9" t="s">
        <v>24</v>
      </c>
      <c r="F93" s="9">
        <v>357.0</v>
      </c>
      <c r="G93" s="9">
        <v>1050.0</v>
      </c>
      <c r="H93" s="9">
        <v>81.3</v>
      </c>
      <c r="I93" s="9">
        <v>0.0</v>
      </c>
      <c r="J93" s="9">
        <v>49.36444</v>
      </c>
      <c r="K93" s="9">
        <v>9.07639</v>
      </c>
      <c r="L93" s="13">
        <v>274.890625</v>
      </c>
      <c r="M93" s="12" t="str">
        <f>HYPERLINK("http://www.iaea.org/PRIS/CountryStatistics/ReactorDetails.aspx?current=121", "PRIS")</f>
        <v>PRIS</v>
      </c>
      <c r="N93" s="12" t="str">
        <f>HYPERLINK("http://maps.google.com/?q=49.3644,9.07639&amp;t=k", "Map")</f>
        <v>Map</v>
      </c>
    </row>
    <row r="94">
      <c r="A94" s="9" t="s">
        <v>423</v>
      </c>
      <c r="B94" s="9" t="s">
        <v>425</v>
      </c>
      <c r="C94" s="12" t="str">
        <f>HYPERLINK("https://www.google.com/search?q=RHEINSBERG+nuclear+power+plant+in+GERMANY", "RHEINSBERG")</f>
        <v>RHEINSBERG</v>
      </c>
      <c r="D94" s="9" t="s">
        <v>543</v>
      </c>
      <c r="E94" s="9" t="s">
        <v>24</v>
      </c>
      <c r="F94" s="9">
        <v>70.0</v>
      </c>
      <c r="G94" s="9">
        <v>265.0</v>
      </c>
      <c r="H94" s="9">
        <v>0.0</v>
      </c>
      <c r="I94" s="9">
        <v>0.0</v>
      </c>
      <c r="J94" s="9">
        <v>53.1469917</v>
      </c>
      <c r="K94" s="9">
        <v>12.99015</v>
      </c>
      <c r="L94" s="13">
        <v>122.303344726563</v>
      </c>
      <c r="M94" s="12" t="str">
        <f>HYPERLINK("http://www.iaea.org/PRIS/CountryStatistics/ReactorDetails.aspx?current=122", "PRIS")</f>
        <v>PRIS</v>
      </c>
      <c r="N94" s="12" t="str">
        <f>HYPERLINK("http://maps.google.com/?q=53.147,12.9901&amp;t=k", "Map")</f>
        <v>Map</v>
      </c>
    </row>
    <row r="95">
      <c r="A95" s="9" t="s">
        <v>423</v>
      </c>
      <c r="B95" s="9" t="s">
        <v>425</v>
      </c>
      <c r="C95" s="12" t="str">
        <f>HYPERLINK("https://www.google.com/search?q=GREIFSWALD-1+nuclear+power+plant+in+GERMANY", "GREIFSWALD-1")</f>
        <v>GREIFSWALD-1</v>
      </c>
      <c r="D95" s="9" t="s">
        <v>493</v>
      </c>
      <c r="E95" s="9" t="s">
        <v>24</v>
      </c>
      <c r="F95" s="9">
        <v>440.0</v>
      </c>
      <c r="G95" s="9">
        <v>1375.0</v>
      </c>
      <c r="H95" s="9">
        <v>0.0</v>
      </c>
      <c r="I95" s="9">
        <v>0.0</v>
      </c>
      <c r="J95" s="9">
        <v>54.1405861</v>
      </c>
      <c r="K95" s="9">
        <v>13.6644222</v>
      </c>
      <c r="L95" s="13">
        <v>49.2066154479981</v>
      </c>
      <c r="M95" s="12" t="str">
        <f>HYPERLINK("http://www.iaea.org/PRIS/CountryStatistics/ReactorDetails.aspx?current=123", "PRIS")</f>
        <v>PRIS</v>
      </c>
      <c r="N95" s="12" t="str">
        <f t="shared" ref="N95:N99" si="18">HYPERLINK("http://maps.google.com/?q=54.1406,13.6644&amp;t=k", "Map")</f>
        <v>Map</v>
      </c>
    </row>
    <row r="96">
      <c r="A96" s="9" t="s">
        <v>423</v>
      </c>
      <c r="B96" s="9" t="s">
        <v>425</v>
      </c>
      <c r="C96" s="12" t="str">
        <f>HYPERLINK("https://www.google.com/search?q=GREIFSWALD-2+nuclear+power+plant+in+GERMANY", "GREIFSWALD-2")</f>
        <v>GREIFSWALD-2</v>
      </c>
      <c r="D96" s="9" t="s">
        <v>493</v>
      </c>
      <c r="E96" s="9" t="s">
        <v>24</v>
      </c>
      <c r="F96" s="9">
        <v>440.0</v>
      </c>
      <c r="G96" s="9">
        <v>1375.0</v>
      </c>
      <c r="H96" s="9">
        <v>0.0</v>
      </c>
      <c r="I96" s="9">
        <v>0.0</v>
      </c>
      <c r="J96" s="9">
        <v>54.1405861</v>
      </c>
      <c r="K96" s="9">
        <v>13.6644222</v>
      </c>
      <c r="L96" s="13">
        <v>49.2066154479981</v>
      </c>
      <c r="M96" s="12" t="str">
        <f>HYPERLINK("http://www.iaea.org/PRIS/CountryStatistics/ReactorDetails.aspx?current=124", "PRIS")</f>
        <v>PRIS</v>
      </c>
      <c r="N96" s="12" t="str">
        <f t="shared" si="18"/>
        <v>Map</v>
      </c>
    </row>
    <row r="97">
      <c r="A97" s="9" t="s">
        <v>423</v>
      </c>
      <c r="B97" s="9" t="s">
        <v>425</v>
      </c>
      <c r="C97" s="12" t="str">
        <f>HYPERLINK("https://www.google.com/search?q=GREIFSWALD-3+nuclear+power+plant+in+GERMANY", "GREIFSWALD-3")</f>
        <v>GREIFSWALD-3</v>
      </c>
      <c r="D97" s="9" t="s">
        <v>493</v>
      </c>
      <c r="E97" s="9" t="s">
        <v>24</v>
      </c>
      <c r="F97" s="9">
        <v>440.0</v>
      </c>
      <c r="G97" s="9">
        <v>1375.0</v>
      </c>
      <c r="H97" s="9">
        <v>0.0</v>
      </c>
      <c r="I97" s="9">
        <v>0.0</v>
      </c>
      <c r="J97" s="9">
        <v>54.1405861</v>
      </c>
      <c r="K97" s="9">
        <v>13.6644222</v>
      </c>
      <c r="L97" s="13">
        <v>49.2066154479981</v>
      </c>
      <c r="M97" s="12" t="str">
        <f>HYPERLINK("http://www.iaea.org/PRIS/CountryStatistics/ReactorDetails.aspx?current=125", "PRIS")</f>
        <v>PRIS</v>
      </c>
      <c r="N97" s="12" t="str">
        <f t="shared" si="18"/>
        <v>Map</v>
      </c>
    </row>
    <row r="98">
      <c r="A98" s="9" t="s">
        <v>423</v>
      </c>
      <c r="B98" s="9" t="s">
        <v>425</v>
      </c>
      <c r="C98" s="12" t="str">
        <f>HYPERLINK("https://www.google.com/search?q=GREIFSWALD-4+nuclear+power+plant+in+GERMANY", "GREIFSWALD-4")</f>
        <v>GREIFSWALD-4</v>
      </c>
      <c r="D98" s="9" t="s">
        <v>493</v>
      </c>
      <c r="E98" s="9" t="s">
        <v>24</v>
      </c>
      <c r="F98" s="9">
        <v>440.0</v>
      </c>
      <c r="G98" s="9">
        <v>1375.0</v>
      </c>
      <c r="H98" s="9">
        <v>0.0</v>
      </c>
      <c r="I98" s="9">
        <v>0.0</v>
      </c>
      <c r="J98" s="9">
        <v>54.1405861</v>
      </c>
      <c r="K98" s="9">
        <v>13.6644222</v>
      </c>
      <c r="L98" s="13">
        <v>50.1595726013184</v>
      </c>
      <c r="M98" s="12" t="str">
        <f>HYPERLINK("http://www.iaea.org/PRIS/CountryStatistics/ReactorDetails.aspx?current=126", "PRIS")</f>
        <v>PRIS</v>
      </c>
      <c r="N98" s="12" t="str">
        <f t="shared" si="18"/>
        <v>Map</v>
      </c>
    </row>
    <row r="99">
      <c r="A99" s="9" t="s">
        <v>423</v>
      </c>
      <c r="B99" s="9" t="s">
        <v>425</v>
      </c>
      <c r="C99" s="12" t="str">
        <f>HYPERLINK("https://www.google.com/search?q=GREIFSWALD-5+nuclear+power+plant+in+GERMANY", "GREIFSWALD-5")</f>
        <v>GREIFSWALD-5</v>
      </c>
      <c r="D99" s="9" t="s">
        <v>493</v>
      </c>
      <c r="E99" s="9" t="s">
        <v>24</v>
      </c>
      <c r="F99" s="9">
        <v>440.0</v>
      </c>
      <c r="G99" s="9">
        <v>1375.0</v>
      </c>
      <c r="H99" s="9">
        <v>0.0</v>
      </c>
      <c r="I99" s="9">
        <v>0.0</v>
      </c>
      <c r="J99" s="9">
        <v>54.1405861</v>
      </c>
      <c r="K99" s="9">
        <v>13.6644222</v>
      </c>
      <c r="L99" s="13">
        <v>50.1595726013184</v>
      </c>
      <c r="M99" s="12" t="str">
        <f>HYPERLINK("http://www.iaea.org/PRIS/CountryStatistics/ReactorDetails.aspx?current=127", "PRIS")</f>
        <v>PRIS</v>
      </c>
      <c r="N99" s="12" t="str">
        <f t="shared" si="18"/>
        <v>Map</v>
      </c>
    </row>
    <row r="100">
      <c r="A100" s="9" t="s">
        <v>423</v>
      </c>
      <c r="B100" s="9" t="s">
        <v>425</v>
      </c>
      <c r="C100" s="12" t="str">
        <f>HYPERLINK("https://www.google.com/search?q=LINGEN+nuclear+power+plant+in+GERMANY", "LINGEN")</f>
        <v>LINGEN</v>
      </c>
      <c r="D100" s="9" t="s">
        <v>525</v>
      </c>
      <c r="E100" s="9" t="s">
        <v>24</v>
      </c>
      <c r="F100" s="9">
        <v>268.0</v>
      </c>
      <c r="G100" s="9">
        <v>520.0</v>
      </c>
      <c r="H100" s="9">
        <v>41.5</v>
      </c>
      <c r="I100" s="9">
        <v>0.0</v>
      </c>
      <c r="J100" s="9">
        <v>52.48278</v>
      </c>
      <c r="K100" s="9">
        <v>7.30694</v>
      </c>
      <c r="L100" s="13">
        <v>75.5877685546875</v>
      </c>
      <c r="M100" s="12" t="str">
        <f>HYPERLINK("http://www.iaea.org/PRIS/CountryStatistics/ReactorDetails.aspx?current=133", "PRIS")</f>
        <v>PRIS</v>
      </c>
      <c r="N100" s="12" t="str">
        <f>HYPERLINK("http://maps.google.com/?q=52.4828,7.30694&amp;t=k", "Map")</f>
        <v>Map</v>
      </c>
    </row>
    <row r="101">
      <c r="A101" s="9" t="s">
        <v>423</v>
      </c>
      <c r="B101" s="9" t="s">
        <v>425</v>
      </c>
      <c r="C101" s="12" t="str">
        <f>HYPERLINK("https://www.google.com/search?q=HDR+GROSSWELZHEIM+nuclear+power+plant+in+GERMANY", "HDR GROSSWELZHEIM")</f>
        <v>HDR GROSSWELZHEIM</v>
      </c>
      <c r="D101" s="9" t="s">
        <v>514</v>
      </c>
      <c r="E101" s="9" t="s">
        <v>24</v>
      </c>
      <c r="F101" s="9">
        <v>27.0</v>
      </c>
      <c r="G101" s="9">
        <v>100.0</v>
      </c>
      <c r="H101" s="9">
        <v>0.0</v>
      </c>
      <c r="I101" s="9">
        <v>0.0</v>
      </c>
      <c r="J101" s="9">
        <v>50.055145</v>
      </c>
      <c r="K101" s="9">
        <v>8.984869</v>
      </c>
      <c r="L101" s="13">
        <v>158.004974365234</v>
      </c>
      <c r="M101" s="12" t="str">
        <f>HYPERLINK("http://www.iaea.org/PRIS/CountryStatistics/ReactorDetails.aspx?current=134", "PRIS")</f>
        <v>PRIS</v>
      </c>
      <c r="N101" s="12" t="str">
        <f>HYPERLINK("http://maps.google.com/?q=50.0551,8.98487&amp;t=k", "Map")</f>
        <v>Map</v>
      </c>
    </row>
    <row r="102">
      <c r="A102" s="9" t="s">
        <v>423</v>
      </c>
      <c r="B102" s="9" t="s">
        <v>425</v>
      </c>
      <c r="C102" s="12" t="str">
        <f>HYPERLINK("https://www.google.com/search?q=KNK+II+nuclear+power+plant+in+GERMANY", "KNK II")</f>
        <v>KNK II</v>
      </c>
      <c r="D102" s="9" t="s">
        <v>521</v>
      </c>
      <c r="E102" s="9" t="s">
        <v>24</v>
      </c>
      <c r="F102" s="9">
        <v>21.0</v>
      </c>
      <c r="G102" s="9">
        <v>58.0</v>
      </c>
      <c r="H102" s="9">
        <v>17.1</v>
      </c>
      <c r="I102" s="9">
        <v>0.0</v>
      </c>
      <c r="J102" s="9">
        <v>0.0</v>
      </c>
      <c r="K102" s="9">
        <v>0.0</v>
      </c>
      <c r="L102" s="13">
        <v>-4924.587890625</v>
      </c>
      <c r="M102" s="12" t="str">
        <f>HYPERLINK("http://www.iaea.org/PRIS/CountryStatistics/ReactorDetails.aspx?current=135", "PRIS")</f>
        <v>PRIS</v>
      </c>
      <c r="N102" s="12" t="str">
        <f>HYPERLINK("http://maps.google.com/?q=0,0&amp;t=k", "Map")</f>
        <v>Map</v>
      </c>
    </row>
    <row r="103">
      <c r="A103" s="9" t="s">
        <v>423</v>
      </c>
      <c r="B103" s="9" t="s">
        <v>425</v>
      </c>
      <c r="C103" s="12" t="str">
        <f>HYPERLINK("https://www.google.com/search?q=WUERGASSEN+nuclear+power+plant+in+GERMANY", "WUERGASSEN")</f>
        <v>WUERGASSEN</v>
      </c>
      <c r="D103" s="9" t="s">
        <v>552</v>
      </c>
      <c r="E103" s="9" t="s">
        <v>24</v>
      </c>
      <c r="F103" s="9">
        <v>670.0</v>
      </c>
      <c r="G103" s="9">
        <v>1912.0</v>
      </c>
      <c r="H103" s="9">
        <v>62.2</v>
      </c>
      <c r="I103" s="9">
        <v>0.0</v>
      </c>
      <c r="J103" s="9">
        <v>53.41</v>
      </c>
      <c r="K103" s="9">
        <v>10.40889</v>
      </c>
      <c r="L103" s="13">
        <v>78.3539428710938</v>
      </c>
      <c r="M103" s="12" t="str">
        <f>HYPERLINK("http://www.iaea.org/PRIS/CountryStatistics/ReactorDetails.aspx?current=136", "PRIS")</f>
        <v>PRIS</v>
      </c>
      <c r="N103" s="12" t="str">
        <f>HYPERLINK("http://maps.google.com/?q=53.41,10.4089&amp;t=k", "Map")</f>
        <v>Map</v>
      </c>
    </row>
    <row r="104">
      <c r="A104" s="9" t="s">
        <v>619</v>
      </c>
      <c r="B104" s="9" t="s">
        <v>620</v>
      </c>
      <c r="C104" s="12" t="str">
        <f>HYPERLINK("https://www.google.com/search?q=JOSE+CABRERA-1+nuclear+power+plant+in+SPAIN", "JOSE CABRERA-1")</f>
        <v>JOSE CABRERA-1</v>
      </c>
      <c r="D104" s="9" t="s">
        <v>623</v>
      </c>
      <c r="E104" s="9" t="s">
        <v>24</v>
      </c>
      <c r="F104" s="9">
        <v>150.0</v>
      </c>
      <c r="G104" s="9">
        <v>510.0</v>
      </c>
      <c r="H104" s="9">
        <v>69.6</v>
      </c>
      <c r="I104" s="9">
        <v>0.0</v>
      </c>
      <c r="J104" s="9">
        <v>40.34917</v>
      </c>
      <c r="K104" s="9">
        <v>-2.88444</v>
      </c>
      <c r="L104" s="13">
        <v>681.249389648438</v>
      </c>
      <c r="M104" s="12" t="str">
        <f>HYPERLINK("http://www.iaea.org/PRIS/CountryStatistics/ReactorDetails.aspx?current=139", "PRIS")</f>
        <v>PRIS</v>
      </c>
      <c r="N104" s="12" t="str">
        <f>HYPERLINK("http://maps.google.com/?q=40.3492,-2.88444&amp;t=k", "Map")</f>
        <v>Map</v>
      </c>
    </row>
    <row r="105">
      <c r="A105" s="9" t="s">
        <v>619</v>
      </c>
      <c r="B105" s="9" t="s">
        <v>620</v>
      </c>
      <c r="C105" s="12" t="str">
        <f>HYPERLINK("https://www.google.com/search?q=COFRENTES+nuclear+power+plant+in+SPAIN", "COFRENTES")</f>
        <v>COFRENTES</v>
      </c>
      <c r="D105" s="9" t="s">
        <v>629</v>
      </c>
      <c r="E105" s="9" t="s">
        <v>21</v>
      </c>
      <c r="F105" s="9">
        <v>1102.0</v>
      </c>
      <c r="G105" s="9">
        <v>3237.0</v>
      </c>
      <c r="H105" s="9">
        <v>86.7</v>
      </c>
      <c r="I105" s="9">
        <v>86.0</v>
      </c>
      <c r="J105" s="9">
        <v>39.21667</v>
      </c>
      <c r="K105" s="9">
        <v>-1.05</v>
      </c>
      <c r="L105" s="13">
        <v>435.604248046875</v>
      </c>
      <c r="M105" s="12" t="str">
        <f>HYPERLINK("http://www.iaea.org/PRIS/CountryStatistics/ReactorDetails.aspx?current=140", "PRIS")</f>
        <v>PRIS</v>
      </c>
      <c r="N105" s="12" t="str">
        <f>HYPERLINK("http://maps.google.com/?q=39.2167,-1.05&amp;t=k", "Map")</f>
        <v>Map</v>
      </c>
    </row>
    <row r="106">
      <c r="A106" s="9" t="s">
        <v>619</v>
      </c>
      <c r="B106" s="9" t="s">
        <v>620</v>
      </c>
      <c r="C106" s="12" t="str">
        <f>HYPERLINK("https://www.google.com/search?q=TRILLO-1+nuclear+power+plant+in+SPAIN", "TRILLO-1")</f>
        <v>TRILLO-1</v>
      </c>
      <c r="D106" s="9" t="s">
        <v>639</v>
      </c>
      <c r="E106" s="9" t="s">
        <v>21</v>
      </c>
      <c r="F106" s="9">
        <v>1066.0</v>
      </c>
      <c r="G106" s="9">
        <v>3010.0</v>
      </c>
      <c r="H106" s="9">
        <v>86.2</v>
      </c>
      <c r="I106" s="9">
        <v>85.2</v>
      </c>
      <c r="J106" s="9">
        <v>40.70111</v>
      </c>
      <c r="K106" s="9">
        <v>-2.62194</v>
      </c>
      <c r="L106" s="13">
        <v>876.474487304688</v>
      </c>
      <c r="M106" s="12" t="str">
        <f>HYPERLINK("http://www.iaea.org/PRIS/CountryStatistics/ReactorDetails.aspx?current=141", "PRIS")</f>
        <v>PRIS</v>
      </c>
      <c r="N106" s="12" t="str">
        <f>HYPERLINK("http://maps.google.com/?q=40.7011,-2.62194&amp;t=k", "Map")</f>
        <v>Map</v>
      </c>
    </row>
    <row r="107">
      <c r="A107" s="9" t="s">
        <v>619</v>
      </c>
      <c r="B107" s="9" t="s">
        <v>620</v>
      </c>
      <c r="C107" s="12" t="str">
        <f>HYPERLINK("https://www.google.com/search?q=VANDELLOS-2+nuclear+power+plant+in+SPAIN", "VANDELLOS-2")</f>
        <v>VANDELLOS-2</v>
      </c>
      <c r="D107" s="9" t="s">
        <v>647</v>
      </c>
      <c r="E107" s="9" t="s">
        <v>21</v>
      </c>
      <c r="F107" s="9">
        <v>1087.0</v>
      </c>
      <c r="G107" s="9">
        <v>2941.0</v>
      </c>
      <c r="H107" s="9">
        <v>81.6</v>
      </c>
      <c r="I107" s="9">
        <v>84.6</v>
      </c>
      <c r="J107" s="9">
        <v>40.95139</v>
      </c>
      <c r="K107" s="9">
        <v>0.86667</v>
      </c>
      <c r="L107" s="13">
        <v>90.5118942260742</v>
      </c>
      <c r="M107" s="12" t="str">
        <f>HYPERLINK("http://www.iaea.org/PRIS/CountryStatistics/ReactorDetails.aspx?current=146", "PRIS")</f>
        <v>PRIS</v>
      </c>
      <c r="N107" s="12" t="str">
        <f>HYPERLINK("http://maps.google.com/?q=40.9514,0.86667&amp;t=k", "Map")</f>
        <v>Map</v>
      </c>
    </row>
    <row r="108">
      <c r="A108" s="9" t="s">
        <v>619</v>
      </c>
      <c r="B108" s="9" t="s">
        <v>620</v>
      </c>
      <c r="C108" s="12" t="str">
        <f>HYPERLINK("https://www.google.com/search?q=SANTA+MARIA+DE+GARONA+nuclear+power+plant+in+SPAIN", "SANTA MARIA DE GARONA")</f>
        <v>SANTA MARIA DE GARONA</v>
      </c>
      <c r="D108" s="9" t="s">
        <v>659</v>
      </c>
      <c r="E108" s="9" t="s">
        <v>660</v>
      </c>
      <c r="F108" s="9">
        <v>466.0</v>
      </c>
      <c r="G108" s="9">
        <v>1381.0</v>
      </c>
      <c r="H108" s="9">
        <v>77.5</v>
      </c>
      <c r="I108" s="9">
        <v>0.0</v>
      </c>
      <c r="J108" s="9">
        <v>42.7753</v>
      </c>
      <c r="K108" s="9">
        <v>-3.2072917</v>
      </c>
      <c r="L108" s="13">
        <v>571.837036132813</v>
      </c>
      <c r="M108" s="12" t="str">
        <f>HYPERLINK("http://www.iaea.org/PRIS/CountryStatistics/ReactorDetails.aspx?current=149", "PRIS")</f>
        <v>PRIS</v>
      </c>
      <c r="N108" s="12" t="str">
        <f>HYPERLINK("http://maps.google.com/?q=42.7753,-3.20729&amp;t=k", "Map")</f>
        <v>Map</v>
      </c>
    </row>
    <row r="109">
      <c r="A109" s="9" t="s">
        <v>619</v>
      </c>
      <c r="B109" s="9" t="s">
        <v>620</v>
      </c>
      <c r="C109" s="12" t="str">
        <f>HYPERLINK("https://www.google.com/search?q=VANDELLOS-1+nuclear+power+plant+in+SPAIN", "VANDELLOS-1")</f>
        <v>VANDELLOS-1</v>
      </c>
      <c r="D109" s="9" t="s">
        <v>647</v>
      </c>
      <c r="E109" s="9" t="s">
        <v>24</v>
      </c>
      <c r="F109" s="9">
        <v>500.0</v>
      </c>
      <c r="G109" s="9">
        <v>1670.0</v>
      </c>
      <c r="H109" s="9">
        <v>70.4</v>
      </c>
      <c r="I109" s="9">
        <v>0.0</v>
      </c>
      <c r="J109" s="9">
        <v>40.95139</v>
      </c>
      <c r="K109" s="9">
        <v>0.86667</v>
      </c>
      <c r="L109" s="13">
        <v>90.5118942260742</v>
      </c>
      <c r="M109" s="12" t="str">
        <f>HYPERLINK("http://www.iaea.org/PRIS/CountryStatistics/ReactorDetails.aspx?current=150", "PRIS")</f>
        <v>PRIS</v>
      </c>
      <c r="N109" s="12" t="str">
        <f>HYPERLINK("http://maps.google.com/?q=40.9514,0.86667&amp;t=k", "Map")</f>
        <v>Map</v>
      </c>
    </row>
    <row r="110">
      <c r="A110" s="9" t="s">
        <v>619</v>
      </c>
      <c r="B110" s="9" t="s">
        <v>620</v>
      </c>
      <c r="C110" s="12" t="str">
        <f>HYPERLINK("https://www.google.com/search?q=ALMARAZ-1+nuclear+power+plant+in+SPAIN", "ALMARAZ-1")</f>
        <v>ALMARAZ-1</v>
      </c>
      <c r="D110" s="9" t="s">
        <v>671</v>
      </c>
      <c r="E110" s="9" t="s">
        <v>21</v>
      </c>
      <c r="F110" s="9">
        <v>1049.0</v>
      </c>
      <c r="G110" s="9">
        <v>2947.0</v>
      </c>
      <c r="H110" s="9">
        <v>85.6</v>
      </c>
      <c r="I110" s="9">
        <v>86.9</v>
      </c>
      <c r="J110" s="9">
        <v>39.80806</v>
      </c>
      <c r="K110" s="9">
        <v>-5.69694</v>
      </c>
      <c r="L110" s="13">
        <v>315.360412597656</v>
      </c>
      <c r="M110" s="12" t="str">
        <f>HYPERLINK("http://www.iaea.org/PRIS/CountryStatistics/ReactorDetails.aspx?current=153", "PRIS")</f>
        <v>PRIS</v>
      </c>
      <c r="N110" s="12" t="str">
        <f t="shared" ref="N110:N111" si="19">HYPERLINK("http://maps.google.com/?q=39.8081,-5.69694&amp;t=k", "Map")</f>
        <v>Map</v>
      </c>
    </row>
    <row r="111">
      <c r="A111" s="9" t="s">
        <v>619</v>
      </c>
      <c r="B111" s="9" t="s">
        <v>620</v>
      </c>
      <c r="C111" s="12" t="str">
        <f>HYPERLINK("https://www.google.com/search?q=ALMARAZ-2+nuclear+power+plant+in+SPAIN", "ALMARAZ-2")</f>
        <v>ALMARAZ-2</v>
      </c>
      <c r="D111" s="9" t="s">
        <v>671</v>
      </c>
      <c r="E111" s="9" t="s">
        <v>21</v>
      </c>
      <c r="F111" s="9">
        <v>1044.0</v>
      </c>
      <c r="G111" s="9">
        <v>2947.0</v>
      </c>
      <c r="H111" s="9">
        <v>87.1</v>
      </c>
      <c r="I111" s="9">
        <v>84.1</v>
      </c>
      <c r="J111" s="9">
        <v>39.80806</v>
      </c>
      <c r="K111" s="9">
        <v>-5.69694</v>
      </c>
      <c r="L111" s="13">
        <v>315.360412597656</v>
      </c>
      <c r="M111" s="12" t="str">
        <f>HYPERLINK("http://www.iaea.org/PRIS/CountryStatistics/ReactorDetails.aspx?current=154", "PRIS")</f>
        <v>PRIS</v>
      </c>
      <c r="N111" s="12" t="str">
        <f t="shared" si="19"/>
        <v>Map</v>
      </c>
    </row>
    <row r="112">
      <c r="A112" s="9" t="s">
        <v>619</v>
      </c>
      <c r="B112" s="9" t="s">
        <v>620</v>
      </c>
      <c r="C112" s="12" t="str">
        <f>HYPERLINK("https://www.google.com/search?q=ASCO-1+nuclear+power+plant+in+SPAIN", "ASCO-1")</f>
        <v>ASCO-1</v>
      </c>
      <c r="D112" s="9" t="s">
        <v>682</v>
      </c>
      <c r="E112" s="9" t="s">
        <v>21</v>
      </c>
      <c r="F112" s="9">
        <v>1033.0</v>
      </c>
      <c r="G112" s="9">
        <v>2954.0</v>
      </c>
      <c r="H112" s="9">
        <v>84.0</v>
      </c>
      <c r="I112" s="9">
        <v>99.7</v>
      </c>
      <c r="J112" s="9">
        <v>41.2</v>
      </c>
      <c r="K112" s="9">
        <v>0.56944</v>
      </c>
      <c r="L112" s="13">
        <v>96.5181274414063</v>
      </c>
      <c r="M112" s="12" t="str">
        <f>HYPERLINK("http://www.iaea.org/PRIS/CountryStatistics/ReactorDetails.aspx?current=155", "PRIS")</f>
        <v>PRIS</v>
      </c>
      <c r="N112" s="12" t="str">
        <f t="shared" ref="N112:N113" si="20">HYPERLINK("http://maps.google.com/?q=41.2,0.56944&amp;t=k", "Map")</f>
        <v>Map</v>
      </c>
    </row>
    <row r="113">
      <c r="A113" s="9" t="s">
        <v>619</v>
      </c>
      <c r="B113" s="9" t="s">
        <v>620</v>
      </c>
      <c r="C113" s="12" t="str">
        <f>HYPERLINK("https://www.google.com/search?q=ASCO-2+nuclear+power+plant+in+SPAIN", "ASCO-2")</f>
        <v>ASCO-2</v>
      </c>
      <c r="D113" s="9" t="s">
        <v>682</v>
      </c>
      <c r="E113" s="9" t="s">
        <v>21</v>
      </c>
      <c r="F113" s="9">
        <v>1035.0</v>
      </c>
      <c r="G113" s="9">
        <v>2941.0</v>
      </c>
      <c r="H113" s="9">
        <v>86.0</v>
      </c>
      <c r="I113" s="9">
        <v>83.3</v>
      </c>
      <c r="J113" s="9">
        <v>41.2</v>
      </c>
      <c r="K113" s="9">
        <v>0.56944</v>
      </c>
      <c r="L113" s="13">
        <v>96.5181274414063</v>
      </c>
      <c r="M113" s="12" t="str">
        <f>HYPERLINK("http://www.iaea.org/PRIS/CountryStatistics/ReactorDetails.aspx?current=156", "PRIS")</f>
        <v>PRIS</v>
      </c>
      <c r="N113" s="12" t="str">
        <f t="shared" si="20"/>
        <v>Map</v>
      </c>
    </row>
    <row r="114">
      <c r="A114" s="9" t="s">
        <v>275</v>
      </c>
      <c r="B114" s="9" t="s">
        <v>276</v>
      </c>
      <c r="C114" s="12" t="str">
        <f>HYPERLINK("https://www.google.com/search?q=LOVIISA-1+nuclear+power+plant+in+FINLAND", "LOVIISA-1")</f>
        <v>LOVIISA-1</v>
      </c>
      <c r="D114" s="9" t="s">
        <v>278</v>
      </c>
      <c r="E114" s="9" t="s">
        <v>21</v>
      </c>
      <c r="F114" s="9">
        <v>520.0</v>
      </c>
      <c r="G114" s="9">
        <v>1500.0</v>
      </c>
      <c r="H114" s="9">
        <v>87.1</v>
      </c>
      <c r="I114" s="9">
        <v>92.1</v>
      </c>
      <c r="J114" s="9">
        <v>60.37222</v>
      </c>
      <c r="K114" s="9">
        <v>26.34722</v>
      </c>
      <c r="L114" s="13">
        <v>15.7416915893555</v>
      </c>
      <c r="M114" s="12" t="str">
        <f>HYPERLINK("http://www.iaea.org/PRIS/CountryStatistics/ReactorDetails.aspx?current=157", "PRIS")</f>
        <v>PRIS</v>
      </c>
      <c r="N114" s="12" t="str">
        <f t="shared" ref="N114:N115" si="21">HYPERLINK("http://maps.google.com/?q=60.3722,26.3472&amp;t=k", "Map")</f>
        <v>Map</v>
      </c>
    </row>
    <row r="115">
      <c r="A115" s="9" t="s">
        <v>275</v>
      </c>
      <c r="B115" s="9" t="s">
        <v>276</v>
      </c>
      <c r="C115" s="12" t="str">
        <f>HYPERLINK("https://www.google.com/search?q=LOVIISA-2+nuclear+power+plant+in+FINLAND", "LOVIISA-2")</f>
        <v>LOVIISA-2</v>
      </c>
      <c r="D115" s="9" t="s">
        <v>278</v>
      </c>
      <c r="E115" s="9" t="s">
        <v>21</v>
      </c>
      <c r="F115" s="9">
        <v>520.0</v>
      </c>
      <c r="G115" s="9">
        <v>1500.0</v>
      </c>
      <c r="H115" s="9">
        <v>89.0</v>
      </c>
      <c r="I115" s="9">
        <v>93.0</v>
      </c>
      <c r="J115" s="9">
        <v>60.37222</v>
      </c>
      <c r="K115" s="9">
        <v>26.34722</v>
      </c>
      <c r="L115" s="13">
        <v>15.7416915893555</v>
      </c>
      <c r="M115" s="12" t="str">
        <f>HYPERLINK("http://www.iaea.org/PRIS/CountryStatistics/ReactorDetails.aspx?current=158", "PRIS")</f>
        <v>PRIS</v>
      </c>
      <c r="N115" s="12" t="str">
        <f t="shared" si="21"/>
        <v>Map</v>
      </c>
    </row>
    <row r="116">
      <c r="A116" s="9" t="s">
        <v>275</v>
      </c>
      <c r="B116" s="9" t="s">
        <v>276</v>
      </c>
      <c r="C116" s="12" t="str">
        <f>HYPERLINK("https://www.google.com/search?q=OLKILUOTO-1+nuclear+power+plant+in+FINLAND", "OLKILUOTO-1")</f>
        <v>OLKILUOTO-1</v>
      </c>
      <c r="D116" s="9" t="s">
        <v>283</v>
      </c>
      <c r="E116" s="9" t="s">
        <v>21</v>
      </c>
      <c r="F116" s="9">
        <v>910.0</v>
      </c>
      <c r="G116" s="9">
        <v>2500.0</v>
      </c>
      <c r="H116" s="9">
        <v>92.4</v>
      </c>
      <c r="I116" s="9">
        <v>96.9</v>
      </c>
      <c r="J116" s="9">
        <v>61.23694</v>
      </c>
      <c r="K116" s="9">
        <v>21.44083</v>
      </c>
      <c r="L116" s="13">
        <v>21.2226276397705</v>
      </c>
      <c r="M116" s="12" t="str">
        <f>HYPERLINK("http://www.iaea.org/PRIS/CountryStatistics/ReactorDetails.aspx?current=159", "PRIS")</f>
        <v>PRIS</v>
      </c>
      <c r="N116" s="12" t="str">
        <f t="shared" ref="N116:N117" si="22">HYPERLINK("http://maps.google.com/?q=61.2369,21.4408&amp;t=k", "Map")</f>
        <v>Map</v>
      </c>
    </row>
    <row r="117">
      <c r="A117" s="9" t="s">
        <v>275</v>
      </c>
      <c r="B117" s="9" t="s">
        <v>276</v>
      </c>
      <c r="C117" s="12" t="str">
        <f>HYPERLINK("https://www.google.com/search?q=OLKILUOTO-2+nuclear+power+plant+in+FINLAND", "OLKILUOTO-2")</f>
        <v>OLKILUOTO-2</v>
      </c>
      <c r="D117" s="9" t="s">
        <v>283</v>
      </c>
      <c r="E117" s="9" t="s">
        <v>21</v>
      </c>
      <c r="F117" s="9">
        <v>910.0</v>
      </c>
      <c r="G117" s="9">
        <v>2500.0</v>
      </c>
      <c r="H117" s="9">
        <v>93.3</v>
      </c>
      <c r="I117" s="9">
        <v>92.9</v>
      </c>
      <c r="J117" s="9">
        <v>61.23694</v>
      </c>
      <c r="K117" s="9">
        <v>21.44083</v>
      </c>
      <c r="L117" s="13">
        <v>21.2226276397705</v>
      </c>
      <c r="M117" s="12" t="str">
        <f>HYPERLINK("http://www.iaea.org/PRIS/CountryStatistics/ReactorDetails.aspx?current=160", "PRIS")</f>
        <v>PRIS</v>
      </c>
      <c r="N117" s="12" t="str">
        <f t="shared" si="22"/>
        <v>Map</v>
      </c>
    </row>
    <row r="118">
      <c r="A118" s="9" t="s">
        <v>289</v>
      </c>
      <c r="B118" s="9" t="s">
        <v>290</v>
      </c>
      <c r="C118" s="12" t="str">
        <f>HYPERLINK("https://www.google.com/search?q=G-3+(MARCOULE)+nuclear+power+plant+in+FRANCE", "G-3 (MARCOULE)")</f>
        <v>G-3 (MARCOULE)</v>
      </c>
      <c r="D118" s="9" t="s">
        <v>392</v>
      </c>
      <c r="E118" s="9" t="s">
        <v>24</v>
      </c>
      <c r="F118" s="9">
        <v>43.0</v>
      </c>
      <c r="G118" s="9">
        <v>260.0</v>
      </c>
      <c r="H118" s="9">
        <v>75.1</v>
      </c>
      <c r="I118" s="9">
        <v>0.0</v>
      </c>
      <c r="J118" s="9">
        <v>44.14333</v>
      </c>
      <c r="K118" s="9">
        <v>4.70944</v>
      </c>
      <c r="L118" s="13">
        <v>99.4540634155273</v>
      </c>
      <c r="M118" s="12" t="str">
        <f>HYPERLINK("http://www.iaea.org/PRIS/CountryStatistics/ReactorDetails.aspx?current=161", "PRIS")</f>
        <v>PRIS</v>
      </c>
      <c r="N118" s="12" t="str">
        <f>HYPERLINK("http://maps.google.com/?q=44.1433,4.70944&amp;t=k", "Map")</f>
        <v>Map</v>
      </c>
    </row>
    <row r="119">
      <c r="A119" s="9" t="s">
        <v>289</v>
      </c>
      <c r="B119" s="9" t="s">
        <v>290</v>
      </c>
      <c r="C119" s="12" t="str">
        <f>HYPERLINK("https://www.google.com/search?q=PHENIX+nuclear+power+plant+in+FRANCE", "PHENIX")</f>
        <v>PHENIX</v>
      </c>
      <c r="D119" s="9" t="s">
        <v>392</v>
      </c>
      <c r="E119" s="9" t="s">
        <v>24</v>
      </c>
      <c r="F119" s="9">
        <v>142.0</v>
      </c>
      <c r="G119" s="9">
        <v>345.0</v>
      </c>
      <c r="H119" s="9">
        <v>40.5</v>
      </c>
      <c r="I119" s="9">
        <v>0.0</v>
      </c>
      <c r="J119" s="9">
        <v>0.0</v>
      </c>
      <c r="K119" s="9">
        <v>0.0</v>
      </c>
      <c r="L119" s="13">
        <v>-4924.587890625</v>
      </c>
      <c r="M119" s="12" t="str">
        <f>HYPERLINK("http://www.iaea.org/PRIS/CountryStatistics/ReactorDetails.aspx?current=162", "PRIS")</f>
        <v>PRIS</v>
      </c>
      <c r="N119" s="12" t="str">
        <f>HYPERLINK("http://maps.google.com/?q=0,0&amp;t=k", "Map")</f>
        <v>Map</v>
      </c>
    </row>
    <row r="120">
      <c r="A120" s="9" t="s">
        <v>289</v>
      </c>
      <c r="B120" s="9" t="s">
        <v>290</v>
      </c>
      <c r="C120" s="12" t="str">
        <f>HYPERLINK("https://www.google.com/search?q=FESSENHEIM-1+nuclear+power+plant+in+FRANCE", "FESSENHEIM-1")</f>
        <v>FESSENHEIM-1</v>
      </c>
      <c r="D120" s="9" t="s">
        <v>380</v>
      </c>
      <c r="E120" s="9" t="s">
        <v>21</v>
      </c>
      <c r="F120" s="9">
        <v>920.0</v>
      </c>
      <c r="G120" s="9">
        <v>2785.0</v>
      </c>
      <c r="H120" s="9">
        <v>67.8</v>
      </c>
      <c r="I120" s="9">
        <v>57.8</v>
      </c>
      <c r="J120" s="9">
        <v>47.9031083</v>
      </c>
      <c r="K120" s="9">
        <v>7.5630444</v>
      </c>
      <c r="L120" s="13">
        <v>252.071762084961</v>
      </c>
      <c r="M120" s="12" t="str">
        <f>HYPERLINK("http://www.iaea.org/PRIS/CountryStatistics/ReactorDetails.aspx?current=163", "PRIS")</f>
        <v>PRIS</v>
      </c>
      <c r="N120" s="12" t="str">
        <f t="shared" ref="N120:N121" si="23">HYPERLINK("http://maps.google.com/?q=47.9031,7.56304&amp;t=k", "Map")</f>
        <v>Map</v>
      </c>
    </row>
    <row r="121">
      <c r="A121" s="9" t="s">
        <v>289</v>
      </c>
      <c r="B121" s="9" t="s">
        <v>290</v>
      </c>
      <c r="C121" s="12" t="str">
        <f>HYPERLINK("https://www.google.com/search?q=FESSENHEIM-2+nuclear+power+plant+in+FRANCE", "FESSENHEIM-2")</f>
        <v>FESSENHEIM-2</v>
      </c>
      <c r="D121" s="9" t="s">
        <v>380</v>
      </c>
      <c r="E121" s="9" t="s">
        <v>21</v>
      </c>
      <c r="F121" s="9">
        <v>920.0</v>
      </c>
      <c r="G121" s="9">
        <v>2785.0</v>
      </c>
      <c r="H121" s="9">
        <v>68.4</v>
      </c>
      <c r="I121" s="9">
        <v>62.5</v>
      </c>
      <c r="J121" s="9">
        <v>47.9031083</v>
      </c>
      <c r="K121" s="9">
        <v>7.5630444</v>
      </c>
      <c r="L121" s="13">
        <v>252.071762084961</v>
      </c>
      <c r="M121" s="12" t="str">
        <f>HYPERLINK("http://www.iaea.org/PRIS/CountryStatistics/ReactorDetails.aspx?current=164", "PRIS")</f>
        <v>PRIS</v>
      </c>
      <c r="N121" s="12" t="str">
        <f t="shared" si="23"/>
        <v>Map</v>
      </c>
    </row>
    <row r="122">
      <c r="A122" s="9" t="s">
        <v>289</v>
      </c>
      <c r="B122" s="9" t="s">
        <v>290</v>
      </c>
      <c r="C122" s="12" t="str">
        <f>HYPERLINK("https://www.google.com/search?q=BUGEY-2+nuclear+power+plant+in+FRANCE", "BUGEY-2")</f>
        <v>BUGEY-2</v>
      </c>
      <c r="D122" s="9" t="s">
        <v>310</v>
      </c>
      <c r="E122" s="9" t="s">
        <v>21</v>
      </c>
      <c r="F122" s="9">
        <v>945.0</v>
      </c>
      <c r="G122" s="9">
        <v>2785.0</v>
      </c>
      <c r="H122" s="9">
        <v>67.8</v>
      </c>
      <c r="I122" s="9">
        <v>58.7</v>
      </c>
      <c r="J122" s="9">
        <v>45.79833</v>
      </c>
      <c r="K122" s="9">
        <v>5.27083</v>
      </c>
      <c r="L122" s="13">
        <v>249.712219238281</v>
      </c>
      <c r="M122" s="12" t="str">
        <f>HYPERLINK("http://www.iaea.org/PRIS/CountryStatistics/ReactorDetails.aspx?current=165", "PRIS")</f>
        <v>PRIS</v>
      </c>
      <c r="N122" s="12" t="str">
        <f t="shared" ref="N122:N125" si="24">HYPERLINK("http://maps.google.com/?q=45.7983,5.27083&amp;t=k", "Map")</f>
        <v>Map</v>
      </c>
    </row>
    <row r="123">
      <c r="A123" s="9" t="s">
        <v>289</v>
      </c>
      <c r="B123" s="9" t="s">
        <v>290</v>
      </c>
      <c r="C123" s="12" t="str">
        <f>HYPERLINK("https://www.google.com/search?q=BUGEY-3+nuclear+power+plant+in+FRANCE", "BUGEY-3")</f>
        <v>BUGEY-3</v>
      </c>
      <c r="D123" s="9" t="s">
        <v>310</v>
      </c>
      <c r="E123" s="9" t="s">
        <v>21</v>
      </c>
      <c r="F123" s="9">
        <v>945.0</v>
      </c>
      <c r="G123" s="9">
        <v>2785.0</v>
      </c>
      <c r="H123" s="9">
        <v>64.8</v>
      </c>
      <c r="I123" s="9">
        <v>54.2</v>
      </c>
      <c r="J123" s="9">
        <v>45.79833</v>
      </c>
      <c r="K123" s="9">
        <v>5.27083</v>
      </c>
      <c r="L123" s="13">
        <v>249.712219238281</v>
      </c>
      <c r="M123" s="12" t="str">
        <f>HYPERLINK("http://www.iaea.org/PRIS/CountryStatistics/ReactorDetails.aspx?current=166", "PRIS")</f>
        <v>PRIS</v>
      </c>
      <c r="N123" s="12" t="str">
        <f t="shared" si="24"/>
        <v>Map</v>
      </c>
    </row>
    <row r="124">
      <c r="A124" s="9" t="s">
        <v>289</v>
      </c>
      <c r="B124" s="9" t="s">
        <v>290</v>
      </c>
      <c r="C124" s="12" t="str">
        <f>HYPERLINK("https://www.google.com/search?q=BUGEY-4+nuclear+power+plant+in+FRANCE", "BUGEY-4")</f>
        <v>BUGEY-4</v>
      </c>
      <c r="D124" s="9" t="s">
        <v>310</v>
      </c>
      <c r="E124" s="9" t="s">
        <v>21</v>
      </c>
      <c r="F124" s="9">
        <v>917.0</v>
      </c>
      <c r="G124" s="9">
        <v>2785.0</v>
      </c>
      <c r="H124" s="9">
        <v>69.1</v>
      </c>
      <c r="I124" s="9">
        <v>92.4</v>
      </c>
      <c r="J124" s="9">
        <v>45.79833</v>
      </c>
      <c r="K124" s="9">
        <v>5.27083</v>
      </c>
      <c r="L124" s="13">
        <v>249.712219238281</v>
      </c>
      <c r="M124" s="12" t="str">
        <f>HYPERLINK("http://www.iaea.org/PRIS/CountryStatistics/ReactorDetails.aspx?current=167", "PRIS")</f>
        <v>PRIS</v>
      </c>
      <c r="N124" s="12" t="str">
        <f t="shared" si="24"/>
        <v>Map</v>
      </c>
    </row>
    <row r="125">
      <c r="A125" s="9" t="s">
        <v>289</v>
      </c>
      <c r="B125" s="9" t="s">
        <v>290</v>
      </c>
      <c r="C125" s="12" t="str">
        <f>HYPERLINK("https://www.google.com/search?q=BUGEY-5+nuclear+power+plant+in+FRANCE", "BUGEY-5")</f>
        <v>BUGEY-5</v>
      </c>
      <c r="D125" s="9" t="s">
        <v>310</v>
      </c>
      <c r="E125" s="9" t="s">
        <v>21</v>
      </c>
      <c r="F125" s="9">
        <v>917.0</v>
      </c>
      <c r="G125" s="9">
        <v>2785.0</v>
      </c>
      <c r="H125" s="9">
        <v>70.2</v>
      </c>
      <c r="I125" s="9">
        <v>65.9</v>
      </c>
      <c r="J125" s="9">
        <v>45.79833</v>
      </c>
      <c r="K125" s="9">
        <v>5.27083</v>
      </c>
      <c r="L125" s="13">
        <v>249.712219238281</v>
      </c>
      <c r="M125" s="12" t="str">
        <f>HYPERLINK("http://www.iaea.org/PRIS/CountryStatistics/ReactorDetails.aspx?current=168", "PRIS")</f>
        <v>PRIS</v>
      </c>
      <c r="N125" s="12" t="str">
        <f t="shared" si="24"/>
        <v>Map</v>
      </c>
    </row>
    <row r="126">
      <c r="A126" s="9" t="s">
        <v>289</v>
      </c>
      <c r="B126" s="9" t="s">
        <v>290</v>
      </c>
      <c r="C126" s="12" t="str">
        <f>HYPERLINK("https://www.google.com/search?q=ST.+LAURENT+B-1+nuclear+power+plant+in+FRANCE", "ST. LAURENT B-1")</f>
        <v>ST. LAURENT B-1</v>
      </c>
      <c r="D126" s="9" t="s">
        <v>448</v>
      </c>
      <c r="E126" s="9" t="s">
        <v>21</v>
      </c>
      <c r="F126" s="9">
        <v>956.0</v>
      </c>
      <c r="G126" s="9">
        <v>2785.0</v>
      </c>
      <c r="H126" s="9">
        <v>73.0</v>
      </c>
      <c r="I126" s="9">
        <v>60.2</v>
      </c>
      <c r="J126" s="9">
        <v>47.72</v>
      </c>
      <c r="K126" s="9">
        <v>1.5775</v>
      </c>
      <c r="L126" s="13">
        <v>130.437652587891</v>
      </c>
      <c r="M126" s="12" t="str">
        <f>HYPERLINK("http://www.iaea.org/PRIS/CountryStatistics/ReactorDetails.aspx?current=169", "PRIS")</f>
        <v>PRIS</v>
      </c>
      <c r="N126" s="12" t="str">
        <f>HYPERLINK("http://maps.google.com/?q=47.72,1.5775&amp;t=k", "Map")</f>
        <v>Map</v>
      </c>
    </row>
    <row r="127">
      <c r="A127" s="9" t="s">
        <v>289</v>
      </c>
      <c r="B127" s="9" t="s">
        <v>290</v>
      </c>
      <c r="C127" s="12" t="str">
        <f>HYPERLINK("https://www.google.com/search?q=TRICASTIN-1+nuclear+power+plant+in+FRANCE", "TRICASTIN-1")</f>
        <v>TRICASTIN-1</v>
      </c>
      <c r="D127" s="9" t="s">
        <v>463</v>
      </c>
      <c r="E127" s="9" t="s">
        <v>21</v>
      </c>
      <c r="F127" s="9">
        <v>955.0</v>
      </c>
      <c r="G127" s="9">
        <v>2785.0</v>
      </c>
      <c r="H127" s="9">
        <v>72.9</v>
      </c>
      <c r="I127" s="9">
        <v>73.2</v>
      </c>
      <c r="J127" s="9">
        <v>44.32972</v>
      </c>
      <c r="K127" s="9">
        <v>4.73222</v>
      </c>
      <c r="L127" s="13">
        <v>105.106010437012</v>
      </c>
      <c r="M127" s="12" t="str">
        <f>HYPERLINK("http://www.iaea.org/PRIS/CountryStatistics/ReactorDetails.aspx?current=170", "PRIS")</f>
        <v>PRIS</v>
      </c>
      <c r="N127" s="12" t="str">
        <f t="shared" ref="N127:N128" si="25">HYPERLINK("http://maps.google.com/?q=44.3297,4.73222&amp;t=k", "Map")</f>
        <v>Map</v>
      </c>
    </row>
    <row r="128">
      <c r="A128" s="9" t="s">
        <v>289</v>
      </c>
      <c r="B128" s="9" t="s">
        <v>290</v>
      </c>
      <c r="C128" s="12" t="str">
        <f>HYPERLINK("https://www.google.com/search?q=TRICASTIN-2+nuclear+power+plant+in+FRANCE", "TRICASTIN-2")</f>
        <v>TRICASTIN-2</v>
      </c>
      <c r="D128" s="9" t="s">
        <v>463</v>
      </c>
      <c r="E128" s="9" t="s">
        <v>21</v>
      </c>
      <c r="F128" s="9">
        <v>955.0</v>
      </c>
      <c r="G128" s="9">
        <v>2785.0</v>
      </c>
      <c r="H128" s="9">
        <v>72.3</v>
      </c>
      <c r="I128" s="9">
        <v>70.7</v>
      </c>
      <c r="J128" s="9">
        <v>44.32972</v>
      </c>
      <c r="K128" s="9">
        <v>4.73222</v>
      </c>
      <c r="L128" s="13">
        <v>105.106010437012</v>
      </c>
      <c r="M128" s="12" t="str">
        <f>HYPERLINK("http://www.iaea.org/PRIS/CountryStatistics/ReactorDetails.aspx?current=171", "PRIS")</f>
        <v>PRIS</v>
      </c>
      <c r="N128" s="12" t="str">
        <f t="shared" si="25"/>
        <v>Map</v>
      </c>
    </row>
    <row r="129">
      <c r="A129" s="9" t="s">
        <v>289</v>
      </c>
      <c r="B129" s="9" t="s">
        <v>290</v>
      </c>
      <c r="C129" s="12" t="str">
        <f>HYPERLINK("https://www.google.com/search?q=G-2+(MARCOULE)+nuclear+power+plant+in+FRANCE", "G-2 (MARCOULE)")</f>
        <v>G-2 (MARCOULE)</v>
      </c>
      <c r="D129" s="9" t="s">
        <v>392</v>
      </c>
      <c r="E129" s="9" t="s">
        <v>24</v>
      </c>
      <c r="F129" s="9">
        <v>43.0</v>
      </c>
      <c r="G129" s="9">
        <v>260.0</v>
      </c>
      <c r="H129" s="9">
        <v>0.0</v>
      </c>
      <c r="I129" s="9">
        <v>0.0</v>
      </c>
      <c r="J129" s="9">
        <v>44.14333</v>
      </c>
      <c r="K129" s="9">
        <v>4.70944</v>
      </c>
      <c r="L129" s="13">
        <v>99.4540634155273</v>
      </c>
      <c r="M129" s="12" t="str">
        <f>HYPERLINK("http://www.iaea.org/PRIS/CountryStatistics/ReactorDetails.aspx?current=172", "PRIS")</f>
        <v>PRIS</v>
      </c>
      <c r="N129" s="12" t="str">
        <f>HYPERLINK("http://maps.google.com/?q=44.1433,4.70944&amp;t=k", "Map")</f>
        <v>Map</v>
      </c>
    </row>
    <row r="130">
      <c r="A130" s="9" t="s">
        <v>289</v>
      </c>
      <c r="B130" s="9" t="s">
        <v>290</v>
      </c>
      <c r="C130" s="12" t="str">
        <f>HYPERLINK("https://www.google.com/search?q=CHINON+A-1+nuclear+power+plant+in+FRANCE", "CHINON A-1")</f>
        <v>CHINON A-1</v>
      </c>
      <c r="D130" s="9" t="s">
        <v>332</v>
      </c>
      <c r="E130" s="9" t="s">
        <v>24</v>
      </c>
      <c r="F130" s="9">
        <v>80.0</v>
      </c>
      <c r="G130" s="9">
        <v>300.0</v>
      </c>
      <c r="H130" s="9">
        <v>0.0</v>
      </c>
      <c r="I130" s="9">
        <v>0.0</v>
      </c>
      <c r="J130" s="9">
        <v>47.2325</v>
      </c>
      <c r="K130" s="9">
        <v>0.1703</v>
      </c>
      <c r="L130" s="13">
        <v>80.3708114624023</v>
      </c>
      <c r="M130" s="12" t="str">
        <f>HYPERLINK("http://www.iaea.org/PRIS/CountryStatistics/ReactorDetails.aspx?current=173", "PRIS")</f>
        <v>PRIS</v>
      </c>
      <c r="N130" s="12" t="str">
        <f>HYPERLINK("http://maps.google.com/?q=47.2325,0.1703&amp;t=k", "Map")</f>
        <v>Map</v>
      </c>
    </row>
    <row r="131">
      <c r="A131" s="9" t="s">
        <v>289</v>
      </c>
      <c r="B131" s="9" t="s">
        <v>290</v>
      </c>
      <c r="C131" s="12" t="str">
        <f>HYPERLINK("https://www.google.com/search?q=GRAVELINES-1+nuclear+power+plant+in+FRANCE", "GRAVELINES-1")</f>
        <v>GRAVELINES-1</v>
      </c>
      <c r="D131" s="9" t="s">
        <v>402</v>
      </c>
      <c r="E131" s="9" t="s">
        <v>21</v>
      </c>
      <c r="F131" s="9">
        <v>951.0</v>
      </c>
      <c r="G131" s="9">
        <v>2785.0</v>
      </c>
      <c r="H131" s="9">
        <v>69.9</v>
      </c>
      <c r="I131" s="9">
        <v>68.5</v>
      </c>
      <c r="J131" s="9">
        <v>51.01528</v>
      </c>
      <c r="K131" s="9">
        <v>2.13611</v>
      </c>
      <c r="L131" s="13">
        <v>45.0313720703125</v>
      </c>
      <c r="M131" s="12" t="str">
        <f>HYPERLINK("http://www.iaea.org/PRIS/CountryStatistics/ReactorDetails.aspx?current=174", "PRIS")</f>
        <v>PRIS</v>
      </c>
      <c r="N131" s="12" t="str">
        <f t="shared" ref="N131:N132" si="26">HYPERLINK("http://maps.google.com/?q=51.0153,2.13611&amp;t=k", "Map")</f>
        <v>Map</v>
      </c>
    </row>
    <row r="132">
      <c r="A132" s="9" t="s">
        <v>289</v>
      </c>
      <c r="B132" s="9" t="s">
        <v>290</v>
      </c>
      <c r="C132" s="12" t="str">
        <f>HYPERLINK("https://www.google.com/search?q=GRAVELINES-2+nuclear+power+plant+in+FRANCE", "GRAVELINES-2")</f>
        <v>GRAVELINES-2</v>
      </c>
      <c r="D132" s="9" t="s">
        <v>402</v>
      </c>
      <c r="E132" s="9" t="s">
        <v>21</v>
      </c>
      <c r="F132" s="9">
        <v>951.0</v>
      </c>
      <c r="G132" s="9">
        <v>2785.0</v>
      </c>
      <c r="H132" s="9">
        <v>73.2</v>
      </c>
      <c r="I132" s="9">
        <v>48.9</v>
      </c>
      <c r="J132" s="9">
        <v>51.01528</v>
      </c>
      <c r="K132" s="9">
        <v>2.13611</v>
      </c>
      <c r="L132" s="13">
        <v>45.0313720703125</v>
      </c>
      <c r="M132" s="12" t="str">
        <f>HYPERLINK("http://www.iaea.org/PRIS/CountryStatistics/ReactorDetails.aspx?current=175", "PRIS")</f>
        <v>PRIS</v>
      </c>
      <c r="N132" s="12" t="str">
        <f t="shared" si="26"/>
        <v>Map</v>
      </c>
    </row>
    <row r="133">
      <c r="A133" s="9" t="s">
        <v>289</v>
      </c>
      <c r="B133" s="9" t="s">
        <v>290</v>
      </c>
      <c r="C133" s="12" t="str">
        <f>HYPERLINK("https://www.google.com/search?q=DAMPIERRE-1+nuclear+power+plant+in+FRANCE", "DAMPIERRE-1")</f>
        <v>DAMPIERRE-1</v>
      </c>
      <c r="D133" s="9" t="s">
        <v>368</v>
      </c>
      <c r="E133" s="9" t="s">
        <v>21</v>
      </c>
      <c r="F133" s="9">
        <v>937.0</v>
      </c>
      <c r="G133" s="9">
        <v>2785.0</v>
      </c>
      <c r="H133" s="9">
        <v>71.6</v>
      </c>
      <c r="I133" s="9">
        <v>65.1</v>
      </c>
      <c r="J133" s="9">
        <v>47.73306</v>
      </c>
      <c r="K133" s="9">
        <v>2.51667</v>
      </c>
      <c r="L133" s="13">
        <v>177.635101318359</v>
      </c>
      <c r="M133" s="12" t="str">
        <f>HYPERLINK("http://www.iaea.org/PRIS/CountryStatistics/ReactorDetails.aspx?current=176", "PRIS")</f>
        <v>PRIS</v>
      </c>
      <c r="N133" s="12" t="str">
        <f>HYPERLINK("http://maps.google.com/?q=47.7331,2.51667&amp;t=k", "Map")</f>
        <v>Map</v>
      </c>
    </row>
    <row r="134">
      <c r="A134" s="9" t="s">
        <v>289</v>
      </c>
      <c r="B134" s="9" t="s">
        <v>290</v>
      </c>
      <c r="C134" s="12" t="str">
        <f>HYPERLINK("https://www.google.com/search?q=ST.+LAURENT+B-2+nuclear+power+plant+in+FRANCE", "ST. LAURENT B-2")</f>
        <v>ST. LAURENT B-2</v>
      </c>
      <c r="D134" s="9" t="s">
        <v>448</v>
      </c>
      <c r="E134" s="9" t="s">
        <v>21</v>
      </c>
      <c r="F134" s="9">
        <v>956.0</v>
      </c>
      <c r="G134" s="9">
        <v>2785.0</v>
      </c>
      <c r="H134" s="9">
        <v>70.6</v>
      </c>
      <c r="I134" s="9">
        <v>42.2</v>
      </c>
      <c r="J134" s="9">
        <v>47.72</v>
      </c>
      <c r="K134" s="9">
        <v>1.5775</v>
      </c>
      <c r="L134" s="13">
        <v>130.437652587891</v>
      </c>
      <c r="M134" s="12" t="str">
        <f>HYPERLINK("http://www.iaea.org/PRIS/CountryStatistics/ReactorDetails.aspx?current=177", "PRIS")</f>
        <v>PRIS</v>
      </c>
      <c r="N134" s="12" t="str">
        <f>HYPERLINK("http://maps.google.com/?q=47.72,1.5775&amp;t=k", "Map")</f>
        <v>Map</v>
      </c>
    </row>
    <row r="135">
      <c r="A135" s="9" t="s">
        <v>289</v>
      </c>
      <c r="B135" s="9" t="s">
        <v>290</v>
      </c>
      <c r="C135" s="12" t="str">
        <f>HYPERLINK("https://www.google.com/search?q=SUPER-PHENIX+nuclear+power+plant+in+FRANCE", "SUPER-PHENIX")</f>
        <v>SUPER-PHENIX</v>
      </c>
      <c r="D135" s="9" t="s">
        <v>459</v>
      </c>
      <c r="E135" s="9" t="s">
        <v>24</v>
      </c>
      <c r="F135" s="9">
        <v>1242.0</v>
      </c>
      <c r="G135" s="9">
        <v>3000.0</v>
      </c>
      <c r="H135" s="9">
        <v>7.9</v>
      </c>
      <c r="I135" s="9">
        <v>0.0</v>
      </c>
      <c r="J135" s="9">
        <v>45.75833</v>
      </c>
      <c r="K135" s="9">
        <v>5.47222</v>
      </c>
      <c r="L135" s="13">
        <v>270.807434082031</v>
      </c>
      <c r="M135" s="12" t="str">
        <f>HYPERLINK("http://www.iaea.org/PRIS/CountryStatistics/ReactorDetails.aspx?current=178", "PRIS")</f>
        <v>PRIS</v>
      </c>
      <c r="N135" s="12" t="str">
        <f>HYPERLINK("http://maps.google.com/?q=45.7583,5.47222&amp;t=k", "Map")</f>
        <v>Map</v>
      </c>
    </row>
    <row r="136">
      <c r="A136" s="9" t="s">
        <v>289</v>
      </c>
      <c r="B136" s="9" t="s">
        <v>290</v>
      </c>
      <c r="C136" s="12" t="str">
        <f>HYPERLINK("https://www.google.com/search?q=TRICASTIN-3+nuclear+power+plant+in+FRANCE", "TRICASTIN-3")</f>
        <v>TRICASTIN-3</v>
      </c>
      <c r="D136" s="9" t="s">
        <v>463</v>
      </c>
      <c r="E136" s="9" t="s">
        <v>21</v>
      </c>
      <c r="F136" s="9">
        <v>955.0</v>
      </c>
      <c r="G136" s="9">
        <v>2785.0</v>
      </c>
      <c r="H136" s="9">
        <v>75.3</v>
      </c>
      <c r="I136" s="9">
        <v>86.2</v>
      </c>
      <c r="J136" s="9">
        <v>44.32972</v>
      </c>
      <c r="K136" s="9">
        <v>4.73222</v>
      </c>
      <c r="L136" s="13">
        <v>105.106010437012</v>
      </c>
      <c r="M136" s="12" t="str">
        <f>HYPERLINK("http://www.iaea.org/PRIS/CountryStatistics/ReactorDetails.aspx?current=179", "PRIS")</f>
        <v>PRIS</v>
      </c>
      <c r="N136" s="12" t="str">
        <f t="shared" ref="N136:N137" si="27">HYPERLINK("http://maps.google.com/?q=44.3297,4.73222&amp;t=k", "Map")</f>
        <v>Map</v>
      </c>
    </row>
    <row r="137">
      <c r="A137" s="9" t="s">
        <v>289</v>
      </c>
      <c r="B137" s="9" t="s">
        <v>290</v>
      </c>
      <c r="C137" s="12" t="str">
        <f>HYPERLINK("https://www.google.com/search?q=TRICASTIN-4+nuclear+power+plant+in+FRANCE", "TRICASTIN-4")</f>
        <v>TRICASTIN-4</v>
      </c>
      <c r="D137" s="9" t="s">
        <v>463</v>
      </c>
      <c r="E137" s="9" t="s">
        <v>21</v>
      </c>
      <c r="F137" s="9">
        <v>955.0</v>
      </c>
      <c r="G137" s="9">
        <v>2785.0</v>
      </c>
      <c r="H137" s="9">
        <v>74.6</v>
      </c>
      <c r="I137" s="9">
        <v>81.8</v>
      </c>
      <c r="J137" s="9">
        <v>44.32972</v>
      </c>
      <c r="K137" s="9">
        <v>4.73222</v>
      </c>
      <c r="L137" s="13">
        <v>105.106010437012</v>
      </c>
      <c r="M137" s="12" t="str">
        <f>HYPERLINK("http://www.iaea.org/PRIS/CountryStatistics/ReactorDetails.aspx?current=180", "PRIS")</f>
        <v>PRIS</v>
      </c>
      <c r="N137" s="12" t="str">
        <f t="shared" si="27"/>
        <v>Map</v>
      </c>
    </row>
    <row r="138">
      <c r="A138" s="9" t="s">
        <v>289</v>
      </c>
      <c r="B138" s="9" t="s">
        <v>290</v>
      </c>
      <c r="C138" s="12" t="str">
        <f>HYPERLINK("https://www.google.com/search?q=GRAVELINES-3+nuclear+power+plant+in+FRANCE", "GRAVELINES-3")</f>
        <v>GRAVELINES-3</v>
      </c>
      <c r="D138" s="9" t="s">
        <v>402</v>
      </c>
      <c r="E138" s="9" t="s">
        <v>21</v>
      </c>
      <c r="F138" s="9">
        <v>951.0</v>
      </c>
      <c r="G138" s="9">
        <v>2785.0</v>
      </c>
      <c r="H138" s="9">
        <v>73.4</v>
      </c>
      <c r="I138" s="9">
        <v>80.4</v>
      </c>
      <c r="J138" s="9">
        <v>51.01528</v>
      </c>
      <c r="K138" s="9">
        <v>2.13611</v>
      </c>
      <c r="L138" s="13">
        <v>45.0313720703125</v>
      </c>
      <c r="M138" s="12" t="str">
        <f>HYPERLINK("http://www.iaea.org/PRIS/CountryStatistics/ReactorDetails.aspx?current=181", "PRIS")</f>
        <v>PRIS</v>
      </c>
      <c r="N138" s="12" t="str">
        <f t="shared" ref="N138:N139" si="28">HYPERLINK("http://maps.google.com/?q=51.0153,2.13611&amp;t=k", "Map")</f>
        <v>Map</v>
      </c>
    </row>
    <row r="139">
      <c r="A139" s="9" t="s">
        <v>289</v>
      </c>
      <c r="B139" s="9" t="s">
        <v>290</v>
      </c>
      <c r="C139" s="12" t="str">
        <f>HYPERLINK("https://www.google.com/search?q=GRAVELINES-4+nuclear+power+plant+in+FRANCE", "GRAVELINES-4")</f>
        <v>GRAVELINES-4</v>
      </c>
      <c r="D139" s="9" t="s">
        <v>402</v>
      </c>
      <c r="E139" s="9" t="s">
        <v>21</v>
      </c>
      <c r="F139" s="9">
        <v>951.0</v>
      </c>
      <c r="G139" s="9">
        <v>2785.0</v>
      </c>
      <c r="H139" s="9">
        <v>75.6</v>
      </c>
      <c r="I139" s="9">
        <v>76.8</v>
      </c>
      <c r="J139" s="9">
        <v>51.01528</v>
      </c>
      <c r="K139" s="9">
        <v>2.13611</v>
      </c>
      <c r="L139" s="13">
        <v>45.0313720703125</v>
      </c>
      <c r="M139" s="12" t="str">
        <f>HYPERLINK("http://www.iaea.org/PRIS/CountryStatistics/ReactorDetails.aspx?current=182", "PRIS")</f>
        <v>PRIS</v>
      </c>
      <c r="N139" s="12" t="str">
        <f t="shared" si="28"/>
        <v>Map</v>
      </c>
    </row>
    <row r="140">
      <c r="A140" s="9" t="s">
        <v>289</v>
      </c>
      <c r="B140" s="9" t="s">
        <v>290</v>
      </c>
      <c r="C140" s="12" t="str">
        <f>HYPERLINK("https://www.google.com/search?q=DAMPIERRE-2+nuclear+power+plant+in+FRANCE", "DAMPIERRE-2")</f>
        <v>DAMPIERRE-2</v>
      </c>
      <c r="D140" s="9" t="s">
        <v>368</v>
      </c>
      <c r="E140" s="9" t="s">
        <v>21</v>
      </c>
      <c r="F140" s="9">
        <v>937.0</v>
      </c>
      <c r="G140" s="9">
        <v>2785.0</v>
      </c>
      <c r="H140" s="9">
        <v>70.4</v>
      </c>
      <c r="I140" s="9">
        <v>83.5</v>
      </c>
      <c r="J140" s="9">
        <v>47.73306</v>
      </c>
      <c r="K140" s="9">
        <v>2.51667</v>
      </c>
      <c r="L140" s="13">
        <v>177.635101318359</v>
      </c>
      <c r="M140" s="12" t="str">
        <f>HYPERLINK("http://www.iaea.org/PRIS/CountryStatistics/ReactorDetails.aspx?current=183", "PRIS")</f>
        <v>PRIS</v>
      </c>
      <c r="N140" s="12" t="str">
        <f>HYPERLINK("http://maps.google.com/?q=47.7331,2.51667&amp;t=k", "Map")</f>
        <v>Map</v>
      </c>
    </row>
    <row r="141">
      <c r="A141" s="9" t="s">
        <v>289</v>
      </c>
      <c r="B141" s="9" t="s">
        <v>290</v>
      </c>
      <c r="C141" s="12" t="str">
        <f>HYPERLINK("https://www.google.com/search?q=CHINON+A-2+nuclear+power+plant+in+FRANCE", "CHINON A-2")</f>
        <v>CHINON A-2</v>
      </c>
      <c r="D141" s="9" t="s">
        <v>332</v>
      </c>
      <c r="E141" s="9" t="s">
        <v>24</v>
      </c>
      <c r="F141" s="9">
        <v>230.0</v>
      </c>
      <c r="G141" s="9">
        <v>800.0</v>
      </c>
      <c r="H141" s="9">
        <v>71.1</v>
      </c>
      <c r="I141" s="9">
        <v>0.0</v>
      </c>
      <c r="J141" s="9">
        <v>47.2325</v>
      </c>
      <c r="K141" s="9">
        <v>0.1703</v>
      </c>
      <c r="L141" s="13">
        <v>80.3708114624023</v>
      </c>
      <c r="M141" s="12" t="str">
        <f>HYPERLINK("http://www.iaea.org/PRIS/CountryStatistics/ReactorDetails.aspx?current=184", "PRIS")</f>
        <v>PRIS</v>
      </c>
      <c r="N141" s="12" t="str">
        <f>HYPERLINK("http://maps.google.com/?q=47.2325,0.1703&amp;t=k", "Map")</f>
        <v>Map</v>
      </c>
    </row>
    <row r="142">
      <c r="A142" s="9" t="s">
        <v>289</v>
      </c>
      <c r="B142" s="9" t="s">
        <v>290</v>
      </c>
      <c r="C142" s="12" t="str">
        <f>HYPERLINK("https://www.google.com/search?q=DAMPIERRE-3+nuclear+power+plant+in+FRANCE", "DAMPIERRE-3")</f>
        <v>DAMPIERRE-3</v>
      </c>
      <c r="D142" s="9" t="s">
        <v>368</v>
      </c>
      <c r="E142" s="9" t="s">
        <v>21</v>
      </c>
      <c r="F142" s="9">
        <v>937.0</v>
      </c>
      <c r="G142" s="9">
        <v>2785.0</v>
      </c>
      <c r="H142" s="9">
        <v>73.2</v>
      </c>
      <c r="I142" s="9">
        <v>60.9</v>
      </c>
      <c r="J142" s="9">
        <v>47.73306</v>
      </c>
      <c r="K142" s="9">
        <v>2.51667</v>
      </c>
      <c r="L142" s="13">
        <v>177.635101318359</v>
      </c>
      <c r="M142" s="12" t="str">
        <f>HYPERLINK("http://www.iaea.org/PRIS/CountryStatistics/ReactorDetails.aspx?current=185", "PRIS")</f>
        <v>PRIS</v>
      </c>
      <c r="N142" s="12" t="str">
        <f t="shared" ref="N142:N143" si="29">HYPERLINK("http://maps.google.com/?q=47.7331,2.51667&amp;t=k", "Map")</f>
        <v>Map</v>
      </c>
    </row>
    <row r="143">
      <c r="A143" s="9" t="s">
        <v>289</v>
      </c>
      <c r="B143" s="9" t="s">
        <v>290</v>
      </c>
      <c r="C143" s="12" t="str">
        <f>HYPERLINK("https://www.google.com/search?q=DAMPIERRE-4+nuclear+power+plant+in+FRANCE", "DAMPIERRE-4")</f>
        <v>DAMPIERRE-4</v>
      </c>
      <c r="D143" s="9" t="s">
        <v>368</v>
      </c>
      <c r="E143" s="9" t="s">
        <v>21</v>
      </c>
      <c r="F143" s="9">
        <v>937.0</v>
      </c>
      <c r="G143" s="9">
        <v>2785.0</v>
      </c>
      <c r="H143" s="9">
        <v>72.1</v>
      </c>
      <c r="I143" s="9">
        <v>90.8</v>
      </c>
      <c r="J143" s="9">
        <v>47.73306</v>
      </c>
      <c r="K143" s="9">
        <v>2.51667</v>
      </c>
      <c r="L143" s="13">
        <v>177.635101318359</v>
      </c>
      <c r="M143" s="12" t="str">
        <f>HYPERLINK("http://www.iaea.org/PRIS/CountryStatistics/ReactorDetails.aspx?current=186", "PRIS")</f>
        <v>PRIS</v>
      </c>
      <c r="N143" s="12" t="str">
        <f t="shared" si="29"/>
        <v>Map</v>
      </c>
    </row>
    <row r="144">
      <c r="A144" s="9" t="s">
        <v>289</v>
      </c>
      <c r="B144" s="9" t="s">
        <v>290</v>
      </c>
      <c r="C144" s="12" t="str">
        <f>HYPERLINK("https://www.google.com/search?q=BLAYAIS-1+nuclear+power+plant+in+FRANCE", "BLAYAIS-1")</f>
        <v>BLAYAIS-1</v>
      </c>
      <c r="D144" s="9" t="s">
        <v>297</v>
      </c>
      <c r="E144" s="9" t="s">
        <v>21</v>
      </c>
      <c r="F144" s="9">
        <v>951.0</v>
      </c>
      <c r="G144" s="9">
        <v>2785.0</v>
      </c>
      <c r="H144" s="9">
        <v>72.1</v>
      </c>
      <c r="I144" s="9">
        <v>85.4</v>
      </c>
      <c r="J144" s="9">
        <v>45.25583</v>
      </c>
      <c r="K144" s="9">
        <v>-0.69306</v>
      </c>
      <c r="L144" s="13">
        <v>47.2376098632813</v>
      </c>
      <c r="M144" s="12" t="str">
        <f>HYPERLINK("http://www.iaea.org/PRIS/CountryStatistics/ReactorDetails.aspx?current=187", "PRIS")</f>
        <v>PRIS</v>
      </c>
      <c r="N144" s="12" t="str">
        <f t="shared" ref="N144:N147" si="30">HYPERLINK("http://maps.google.com/?q=45.2558,-0.69306&amp;t=k", "Map")</f>
        <v>Map</v>
      </c>
    </row>
    <row r="145">
      <c r="A145" s="9" t="s">
        <v>289</v>
      </c>
      <c r="B145" s="9" t="s">
        <v>290</v>
      </c>
      <c r="C145" s="12" t="str">
        <f>HYPERLINK("https://www.google.com/search?q=BLAYAIS-2+nuclear+power+plant+in+FRANCE", "BLAYAIS-2")</f>
        <v>BLAYAIS-2</v>
      </c>
      <c r="D145" s="9" t="s">
        <v>297</v>
      </c>
      <c r="E145" s="9" t="s">
        <v>21</v>
      </c>
      <c r="F145" s="9">
        <v>951.0</v>
      </c>
      <c r="G145" s="9">
        <v>2785.0</v>
      </c>
      <c r="H145" s="9">
        <v>76.3</v>
      </c>
      <c r="I145" s="9">
        <v>61.4</v>
      </c>
      <c r="J145" s="9">
        <v>45.25583</v>
      </c>
      <c r="K145" s="9">
        <v>-0.69306</v>
      </c>
      <c r="L145" s="13">
        <v>47.2376098632813</v>
      </c>
      <c r="M145" s="12" t="str">
        <f>HYPERLINK("http://www.iaea.org/PRIS/CountryStatistics/ReactorDetails.aspx?current=188", "PRIS")</f>
        <v>PRIS</v>
      </c>
      <c r="N145" s="12" t="str">
        <f t="shared" si="30"/>
        <v>Map</v>
      </c>
    </row>
    <row r="146">
      <c r="A146" s="9" t="s">
        <v>289</v>
      </c>
      <c r="B146" s="9" t="s">
        <v>290</v>
      </c>
      <c r="C146" s="12" t="str">
        <f>HYPERLINK("https://www.google.com/search?q=BLAYAIS-3+nuclear+power+plant+in+FRANCE", "BLAYAIS-3")</f>
        <v>BLAYAIS-3</v>
      </c>
      <c r="D146" s="9" t="s">
        <v>297</v>
      </c>
      <c r="E146" s="9" t="s">
        <v>21</v>
      </c>
      <c r="F146" s="9">
        <v>951.0</v>
      </c>
      <c r="G146" s="9">
        <v>2785.0</v>
      </c>
      <c r="H146" s="9">
        <v>78.0</v>
      </c>
      <c r="I146" s="9">
        <v>87.1</v>
      </c>
      <c r="J146" s="9">
        <v>45.25583</v>
      </c>
      <c r="K146" s="9">
        <v>-0.69306</v>
      </c>
      <c r="L146" s="13">
        <v>47.2376098632813</v>
      </c>
      <c r="M146" s="12" t="str">
        <f>HYPERLINK("http://www.iaea.org/PRIS/CountryStatistics/ReactorDetails.aspx?current=189", "PRIS")</f>
        <v>PRIS</v>
      </c>
      <c r="N146" s="12" t="str">
        <f t="shared" si="30"/>
        <v>Map</v>
      </c>
    </row>
    <row r="147">
      <c r="A147" s="9" t="s">
        <v>289</v>
      </c>
      <c r="B147" s="9" t="s">
        <v>290</v>
      </c>
      <c r="C147" s="12" t="str">
        <f>HYPERLINK("https://www.google.com/search?q=BLAYAIS-4+nuclear+power+plant+in+FRANCE", "BLAYAIS-4")</f>
        <v>BLAYAIS-4</v>
      </c>
      <c r="D147" s="9" t="s">
        <v>297</v>
      </c>
      <c r="E147" s="9" t="s">
        <v>21</v>
      </c>
      <c r="F147" s="9">
        <v>951.0</v>
      </c>
      <c r="G147" s="9">
        <v>2785.0</v>
      </c>
      <c r="H147" s="9">
        <v>75.1</v>
      </c>
      <c r="I147" s="9">
        <v>64.6</v>
      </c>
      <c r="J147" s="9">
        <v>45.25583</v>
      </c>
      <c r="K147" s="9">
        <v>-0.69306</v>
      </c>
      <c r="L147" s="13">
        <v>47.2376098632813</v>
      </c>
      <c r="M147" s="12" t="str">
        <f>HYPERLINK("http://www.iaea.org/PRIS/CountryStatistics/ReactorDetails.aspx?current=190", "PRIS")</f>
        <v>PRIS</v>
      </c>
      <c r="N147" s="12" t="str">
        <f t="shared" si="30"/>
        <v>Map</v>
      </c>
    </row>
    <row r="148">
      <c r="A148" s="9" t="s">
        <v>289</v>
      </c>
      <c r="B148" s="9" t="s">
        <v>290</v>
      </c>
      <c r="C148" s="12" t="str">
        <f>HYPERLINK("https://www.google.com/search?q=PALUEL-1+nuclear+power+plant+in+FRANCE", "PALUEL-1")</f>
        <v>PALUEL-1</v>
      </c>
      <c r="D148" s="9" t="s">
        <v>420</v>
      </c>
      <c r="E148" s="9" t="s">
        <v>21</v>
      </c>
      <c r="F148" s="9">
        <v>1382.0</v>
      </c>
      <c r="G148" s="9">
        <v>3817.0</v>
      </c>
      <c r="H148" s="9">
        <v>71.1</v>
      </c>
      <c r="I148" s="9">
        <v>67.7</v>
      </c>
      <c r="J148" s="9">
        <v>49.85806</v>
      </c>
      <c r="K148" s="9">
        <v>0.63556</v>
      </c>
      <c r="L148" s="13">
        <v>87.1560897827148</v>
      </c>
      <c r="M148" s="12" t="str">
        <f>HYPERLINK("http://www.iaea.org/PRIS/CountryStatistics/ReactorDetails.aspx?current=191", "PRIS")</f>
        <v>PRIS</v>
      </c>
      <c r="N148" s="12" t="str">
        <f t="shared" ref="N148:N151" si="31">HYPERLINK("http://maps.google.com/?q=49.8581,0.63556&amp;t=k", "Map")</f>
        <v>Map</v>
      </c>
    </row>
    <row r="149">
      <c r="A149" s="9" t="s">
        <v>289</v>
      </c>
      <c r="B149" s="9" t="s">
        <v>290</v>
      </c>
      <c r="C149" s="12" t="str">
        <f>HYPERLINK("https://www.google.com/search?q=PALUEL-2+nuclear+power+plant+in+FRANCE", "PALUEL-2")</f>
        <v>PALUEL-2</v>
      </c>
      <c r="D149" s="9" t="s">
        <v>420</v>
      </c>
      <c r="E149" s="9" t="s">
        <v>21</v>
      </c>
      <c r="F149" s="9">
        <v>1382.0</v>
      </c>
      <c r="G149" s="9">
        <v>3817.0</v>
      </c>
      <c r="H149" s="9">
        <v>70.1</v>
      </c>
      <c r="I149" s="9">
        <v>92.5</v>
      </c>
      <c r="J149" s="9">
        <v>49.85806</v>
      </c>
      <c r="K149" s="9">
        <v>0.63556</v>
      </c>
      <c r="L149" s="13">
        <v>87.1560897827148</v>
      </c>
      <c r="M149" s="12" t="str">
        <f>HYPERLINK("http://www.iaea.org/PRIS/CountryStatistics/ReactorDetails.aspx?current=192", "PRIS")</f>
        <v>PRIS</v>
      </c>
      <c r="N149" s="12" t="str">
        <f t="shared" si="31"/>
        <v>Map</v>
      </c>
    </row>
    <row r="150">
      <c r="A150" s="9" t="s">
        <v>289</v>
      </c>
      <c r="B150" s="9" t="s">
        <v>290</v>
      </c>
      <c r="C150" s="12" t="str">
        <f>HYPERLINK("https://www.google.com/search?q=PALUEL-3+nuclear+power+plant+in+FRANCE", "PALUEL-3")</f>
        <v>PALUEL-3</v>
      </c>
      <c r="D150" s="9" t="s">
        <v>420</v>
      </c>
      <c r="E150" s="9" t="s">
        <v>21</v>
      </c>
      <c r="F150" s="9">
        <v>1382.0</v>
      </c>
      <c r="G150" s="9">
        <v>3817.0</v>
      </c>
      <c r="H150" s="9">
        <v>67.9</v>
      </c>
      <c r="I150" s="9">
        <v>78.6</v>
      </c>
      <c r="J150" s="9">
        <v>49.85806</v>
      </c>
      <c r="K150" s="9">
        <v>0.63556</v>
      </c>
      <c r="L150" s="13">
        <v>87.1560897827148</v>
      </c>
      <c r="M150" s="12" t="str">
        <f>HYPERLINK("http://www.iaea.org/PRIS/CountryStatistics/ReactorDetails.aspx?current=193", "PRIS")</f>
        <v>PRIS</v>
      </c>
      <c r="N150" s="12" t="str">
        <f t="shared" si="31"/>
        <v>Map</v>
      </c>
    </row>
    <row r="151">
      <c r="A151" s="9" t="s">
        <v>289</v>
      </c>
      <c r="B151" s="9" t="s">
        <v>290</v>
      </c>
      <c r="C151" s="12" t="str">
        <f>HYPERLINK("https://www.google.com/search?q=PALUEL-4+nuclear+power+plant+in+FRANCE", "PALUEL-4")</f>
        <v>PALUEL-4</v>
      </c>
      <c r="D151" s="9" t="s">
        <v>420</v>
      </c>
      <c r="E151" s="9" t="s">
        <v>21</v>
      </c>
      <c r="F151" s="9">
        <v>1382.0</v>
      </c>
      <c r="G151" s="9">
        <v>3817.0</v>
      </c>
      <c r="H151" s="9">
        <v>71.1</v>
      </c>
      <c r="I151" s="9">
        <v>60.4</v>
      </c>
      <c r="J151" s="9">
        <v>49.85806</v>
      </c>
      <c r="K151" s="9">
        <v>0.63556</v>
      </c>
      <c r="L151" s="13">
        <v>87.1560897827148</v>
      </c>
      <c r="M151" s="12" t="str">
        <f>HYPERLINK("http://www.iaea.org/PRIS/CountryStatistics/ReactorDetails.aspx?current=194", "PRIS")</f>
        <v>PRIS</v>
      </c>
      <c r="N151" s="12" t="str">
        <f t="shared" si="31"/>
        <v>Map</v>
      </c>
    </row>
    <row r="152">
      <c r="A152" s="9" t="s">
        <v>289</v>
      </c>
      <c r="B152" s="9" t="s">
        <v>290</v>
      </c>
      <c r="C152" s="12" t="str">
        <f>HYPERLINK("https://www.google.com/search?q=CHINON+A-3+nuclear+power+plant+in+FRANCE", "CHINON A-3")</f>
        <v>CHINON A-3</v>
      </c>
      <c r="D152" s="9" t="s">
        <v>332</v>
      </c>
      <c r="E152" s="9" t="s">
        <v>24</v>
      </c>
      <c r="F152" s="9">
        <v>480.0</v>
      </c>
      <c r="G152" s="9">
        <v>1170.0</v>
      </c>
      <c r="H152" s="9">
        <v>40.5</v>
      </c>
      <c r="I152" s="9">
        <v>0.0</v>
      </c>
      <c r="J152" s="9">
        <v>47.2325</v>
      </c>
      <c r="K152" s="9">
        <v>0.1703</v>
      </c>
      <c r="L152" s="13">
        <v>80.3708114624023</v>
      </c>
      <c r="M152" s="12" t="str">
        <f>HYPERLINK("http://www.iaea.org/PRIS/CountryStatistics/ReactorDetails.aspx?current=195", "PRIS")</f>
        <v>PRIS</v>
      </c>
      <c r="N152" s="12" t="str">
        <f t="shared" ref="N152:N154" si="32">HYPERLINK("http://maps.google.com/?q=47.2325,0.1703&amp;t=k", "Map")</f>
        <v>Map</v>
      </c>
    </row>
    <row r="153">
      <c r="A153" s="9" t="s">
        <v>289</v>
      </c>
      <c r="B153" s="9" t="s">
        <v>290</v>
      </c>
      <c r="C153" s="12" t="str">
        <f>HYPERLINK("https://www.google.com/search?q=CHINON+B-1+nuclear+power+plant+in+FRANCE", "CHINON B-1")</f>
        <v>CHINON B-1</v>
      </c>
      <c r="D153" s="9" t="s">
        <v>332</v>
      </c>
      <c r="E153" s="9" t="s">
        <v>21</v>
      </c>
      <c r="F153" s="9">
        <v>954.0</v>
      </c>
      <c r="G153" s="9">
        <v>2785.0</v>
      </c>
      <c r="H153" s="9">
        <v>72.4</v>
      </c>
      <c r="I153" s="9">
        <v>51.4</v>
      </c>
      <c r="J153" s="9">
        <v>47.2325</v>
      </c>
      <c r="K153" s="9">
        <v>0.1703</v>
      </c>
      <c r="L153" s="13">
        <v>80.3708114624023</v>
      </c>
      <c r="M153" s="12" t="str">
        <f>HYPERLINK("http://www.iaea.org/PRIS/CountryStatistics/ReactorDetails.aspx?current=196", "PRIS")</f>
        <v>PRIS</v>
      </c>
      <c r="N153" s="12" t="str">
        <f t="shared" si="32"/>
        <v>Map</v>
      </c>
    </row>
    <row r="154">
      <c r="A154" s="9" t="s">
        <v>289</v>
      </c>
      <c r="B154" s="9" t="s">
        <v>290</v>
      </c>
      <c r="C154" s="12" t="str">
        <f>HYPERLINK("https://www.google.com/search?q=CHINON+B-2+nuclear+power+plant+in+FRANCE", "CHINON B-2")</f>
        <v>CHINON B-2</v>
      </c>
      <c r="D154" s="9" t="s">
        <v>332</v>
      </c>
      <c r="E154" s="9" t="s">
        <v>21</v>
      </c>
      <c r="F154" s="9">
        <v>954.0</v>
      </c>
      <c r="G154" s="9">
        <v>2785.0</v>
      </c>
      <c r="H154" s="9">
        <v>73.6</v>
      </c>
      <c r="I154" s="9">
        <v>57.2</v>
      </c>
      <c r="J154" s="9">
        <v>47.2325</v>
      </c>
      <c r="K154" s="9">
        <v>0.1703</v>
      </c>
      <c r="L154" s="13">
        <v>80.3708114624023</v>
      </c>
      <c r="M154" s="12" t="str">
        <f>HYPERLINK("http://www.iaea.org/PRIS/CountryStatistics/ReactorDetails.aspx?current=197", "PRIS")</f>
        <v>PRIS</v>
      </c>
      <c r="N154" s="12" t="str">
        <f t="shared" si="32"/>
        <v>Map</v>
      </c>
    </row>
    <row r="155">
      <c r="A155" s="9" t="s">
        <v>289</v>
      </c>
      <c r="B155" s="9" t="s">
        <v>290</v>
      </c>
      <c r="C155" s="12" t="str">
        <f>HYPERLINK("https://www.google.com/search?q=CRUAS-1+nuclear+power+plant+in+FRANCE", "CRUAS-1")</f>
        <v>CRUAS-1</v>
      </c>
      <c r="D155" s="9" t="s">
        <v>359</v>
      </c>
      <c r="E155" s="9" t="s">
        <v>21</v>
      </c>
      <c r="F155" s="9">
        <v>956.0</v>
      </c>
      <c r="G155" s="9">
        <v>2785.0</v>
      </c>
      <c r="H155" s="9">
        <v>71.9</v>
      </c>
      <c r="I155" s="9">
        <v>78.9</v>
      </c>
      <c r="J155" s="9">
        <v>44.63306</v>
      </c>
      <c r="K155" s="9">
        <v>4.75667</v>
      </c>
      <c r="L155" s="13">
        <v>176.877731323242</v>
      </c>
      <c r="M155" s="12" t="str">
        <f>HYPERLINK("http://www.iaea.org/PRIS/CountryStatistics/ReactorDetails.aspx?current=198", "PRIS")</f>
        <v>PRIS</v>
      </c>
      <c r="N155" s="12" t="str">
        <f t="shared" ref="N155:N158" si="33">HYPERLINK("http://maps.google.com/?q=44.6331,4.75667&amp;t=k", "Map")</f>
        <v>Map</v>
      </c>
    </row>
    <row r="156">
      <c r="A156" s="9" t="s">
        <v>289</v>
      </c>
      <c r="B156" s="9" t="s">
        <v>290</v>
      </c>
      <c r="C156" s="12" t="str">
        <f>HYPERLINK("https://www.google.com/search?q=CRUAS-2+nuclear+power+plant+in+FRANCE", "CRUAS-2")</f>
        <v>CRUAS-2</v>
      </c>
      <c r="D156" s="9" t="s">
        <v>359</v>
      </c>
      <c r="E156" s="9" t="s">
        <v>21</v>
      </c>
      <c r="F156" s="9">
        <v>956.0</v>
      </c>
      <c r="G156" s="9">
        <v>2785.0</v>
      </c>
      <c r="H156" s="9">
        <v>73.0</v>
      </c>
      <c r="I156" s="9">
        <v>71.5</v>
      </c>
      <c r="J156" s="9">
        <v>44.63306</v>
      </c>
      <c r="K156" s="9">
        <v>4.75667</v>
      </c>
      <c r="L156" s="13">
        <v>176.877731323242</v>
      </c>
      <c r="M156" s="12" t="str">
        <f>HYPERLINK("http://www.iaea.org/PRIS/CountryStatistics/ReactorDetails.aspx?current=199", "PRIS")</f>
        <v>PRIS</v>
      </c>
      <c r="N156" s="12" t="str">
        <f t="shared" si="33"/>
        <v>Map</v>
      </c>
    </row>
    <row r="157">
      <c r="A157" s="9" t="s">
        <v>289</v>
      </c>
      <c r="B157" s="9" t="s">
        <v>290</v>
      </c>
      <c r="C157" s="12" t="str">
        <f>HYPERLINK("https://www.google.com/search?q=CRUAS-3+nuclear+power+plant+in+FRANCE", "CRUAS-3")</f>
        <v>CRUAS-3</v>
      </c>
      <c r="D157" s="9" t="s">
        <v>359</v>
      </c>
      <c r="E157" s="9" t="s">
        <v>21</v>
      </c>
      <c r="F157" s="9">
        <v>956.0</v>
      </c>
      <c r="G157" s="9">
        <v>2785.0</v>
      </c>
      <c r="H157" s="9">
        <v>72.7</v>
      </c>
      <c r="I157" s="9">
        <v>85.7</v>
      </c>
      <c r="J157" s="9">
        <v>44.63306</v>
      </c>
      <c r="K157" s="9">
        <v>4.75667</v>
      </c>
      <c r="L157" s="13">
        <v>176.877731323242</v>
      </c>
      <c r="M157" s="12" t="str">
        <f>HYPERLINK("http://www.iaea.org/PRIS/CountryStatistics/ReactorDetails.aspx?current=200", "PRIS")</f>
        <v>PRIS</v>
      </c>
      <c r="N157" s="12" t="str">
        <f t="shared" si="33"/>
        <v>Map</v>
      </c>
    </row>
    <row r="158">
      <c r="A158" s="9" t="s">
        <v>289</v>
      </c>
      <c r="B158" s="9" t="s">
        <v>290</v>
      </c>
      <c r="C158" s="12" t="str">
        <f>HYPERLINK("https://www.google.com/search?q=CRUAS-4+nuclear+power+plant+in+FRANCE", "CRUAS-4")</f>
        <v>CRUAS-4</v>
      </c>
      <c r="D158" s="9" t="s">
        <v>359</v>
      </c>
      <c r="E158" s="9" t="s">
        <v>21</v>
      </c>
      <c r="F158" s="9">
        <v>956.0</v>
      </c>
      <c r="G158" s="9">
        <v>2785.0</v>
      </c>
      <c r="H158" s="9">
        <v>72.1</v>
      </c>
      <c r="I158" s="9">
        <v>86.3</v>
      </c>
      <c r="J158" s="9">
        <v>44.63306</v>
      </c>
      <c r="K158" s="9">
        <v>4.75667</v>
      </c>
      <c r="L158" s="13">
        <v>176.877731323242</v>
      </c>
      <c r="M158" s="12" t="str">
        <f>HYPERLINK("http://www.iaea.org/PRIS/CountryStatistics/ReactorDetails.aspx?current=201", "PRIS")</f>
        <v>PRIS</v>
      </c>
      <c r="N158" s="12" t="str">
        <f t="shared" si="33"/>
        <v>Map</v>
      </c>
    </row>
    <row r="159">
      <c r="A159" s="9" t="s">
        <v>289</v>
      </c>
      <c r="B159" s="9" t="s">
        <v>290</v>
      </c>
      <c r="C159" s="12" t="str">
        <f>HYPERLINK("https://www.google.com/search?q=FLAMANVILLE-1+nuclear+power+plant+in+FRANCE", "FLAMANVILLE-1")</f>
        <v>FLAMANVILLE-1</v>
      </c>
      <c r="D159" s="9" t="s">
        <v>385</v>
      </c>
      <c r="E159" s="9" t="s">
        <v>21</v>
      </c>
      <c r="F159" s="9">
        <v>1382.0</v>
      </c>
      <c r="G159" s="9">
        <v>3817.0</v>
      </c>
      <c r="H159" s="9">
        <v>69.3</v>
      </c>
      <c r="I159" s="9">
        <v>89.5</v>
      </c>
      <c r="J159" s="9">
        <v>49.53639</v>
      </c>
      <c r="K159" s="9">
        <v>-1.88167</v>
      </c>
      <c r="L159" s="13">
        <v>64.4415740966797</v>
      </c>
      <c r="M159" s="12" t="str">
        <f>HYPERLINK("http://www.iaea.org/PRIS/CountryStatistics/ReactorDetails.aspx?current=202", "PRIS")</f>
        <v>PRIS</v>
      </c>
      <c r="N159" s="12" t="str">
        <f t="shared" ref="N159:N160" si="34">HYPERLINK("http://maps.google.com/?q=49.5364,-1.88167&amp;t=k", "Map")</f>
        <v>Map</v>
      </c>
    </row>
    <row r="160">
      <c r="A160" s="9" t="s">
        <v>289</v>
      </c>
      <c r="B160" s="9" t="s">
        <v>290</v>
      </c>
      <c r="C160" s="12" t="str">
        <f>HYPERLINK("https://www.google.com/search?q=FLAMANVILLE-2+nuclear+power+plant+in+FRANCE", "FLAMANVILLE-2")</f>
        <v>FLAMANVILLE-2</v>
      </c>
      <c r="D160" s="9" t="s">
        <v>385</v>
      </c>
      <c r="E160" s="9" t="s">
        <v>21</v>
      </c>
      <c r="F160" s="9">
        <v>1382.0</v>
      </c>
      <c r="G160" s="9">
        <v>3817.0</v>
      </c>
      <c r="H160" s="9">
        <v>70.8</v>
      </c>
      <c r="I160" s="9">
        <v>65.5</v>
      </c>
      <c r="J160" s="9">
        <v>49.53639</v>
      </c>
      <c r="K160" s="9">
        <v>-1.88167</v>
      </c>
      <c r="L160" s="13">
        <v>64.4415740966797</v>
      </c>
      <c r="M160" s="12" t="str">
        <f>HYPERLINK("http://www.iaea.org/PRIS/CountryStatistics/ReactorDetails.aspx?current=203", "PRIS")</f>
        <v>PRIS</v>
      </c>
      <c r="N160" s="12" t="str">
        <f t="shared" si="34"/>
        <v>Map</v>
      </c>
    </row>
    <row r="161">
      <c r="A161" s="9" t="s">
        <v>289</v>
      </c>
      <c r="B161" s="9" t="s">
        <v>290</v>
      </c>
      <c r="C161" s="12" t="str">
        <f>HYPERLINK("https://www.google.com/search?q=ST.+ALBAN-1+nuclear+power+plant+in+FRANCE", "ST. ALBAN-1")</f>
        <v>ST. ALBAN-1</v>
      </c>
      <c r="D161" s="9" t="s">
        <v>441</v>
      </c>
      <c r="E161" s="9" t="s">
        <v>21</v>
      </c>
      <c r="F161" s="9">
        <v>1381.0</v>
      </c>
      <c r="G161" s="9">
        <v>3817.0</v>
      </c>
      <c r="H161" s="9">
        <v>67.5</v>
      </c>
      <c r="I161" s="9">
        <v>86.1</v>
      </c>
      <c r="J161" s="9">
        <v>45.40444</v>
      </c>
      <c r="K161" s="9">
        <v>4.75528</v>
      </c>
      <c r="L161" s="13">
        <v>193.006210327148</v>
      </c>
      <c r="M161" s="12" t="str">
        <f>HYPERLINK("http://www.iaea.org/PRIS/CountryStatistics/ReactorDetails.aspx?current=204", "PRIS")</f>
        <v>PRIS</v>
      </c>
      <c r="N161" s="12" t="str">
        <f t="shared" ref="N161:N162" si="35">HYPERLINK("http://maps.google.com/?q=45.4044,4.75528&amp;t=k", "Map")</f>
        <v>Map</v>
      </c>
    </row>
    <row r="162">
      <c r="A162" s="9" t="s">
        <v>289</v>
      </c>
      <c r="B162" s="9" t="s">
        <v>290</v>
      </c>
      <c r="C162" s="12" t="str">
        <f>HYPERLINK("https://www.google.com/search?q=ST.+ALBAN-2+nuclear+power+plant+in+FRANCE", "ST. ALBAN-2")</f>
        <v>ST. ALBAN-2</v>
      </c>
      <c r="D162" s="9" t="s">
        <v>441</v>
      </c>
      <c r="E162" s="9" t="s">
        <v>21</v>
      </c>
      <c r="F162" s="9">
        <v>1381.0</v>
      </c>
      <c r="G162" s="9">
        <v>3817.0</v>
      </c>
      <c r="H162" s="9">
        <v>67.2</v>
      </c>
      <c r="I162" s="9">
        <v>62.3</v>
      </c>
      <c r="J162" s="9">
        <v>45.40444</v>
      </c>
      <c r="K162" s="9">
        <v>4.75528</v>
      </c>
      <c r="L162" s="13">
        <v>193.006210327148</v>
      </c>
      <c r="M162" s="12" t="str">
        <f>HYPERLINK("http://www.iaea.org/PRIS/CountryStatistics/ReactorDetails.aspx?current=205", "PRIS")</f>
        <v>PRIS</v>
      </c>
      <c r="N162" s="12" t="str">
        <f t="shared" si="35"/>
        <v>Map</v>
      </c>
    </row>
    <row r="163">
      <c r="A163" s="9" t="s">
        <v>289</v>
      </c>
      <c r="B163" s="9" t="s">
        <v>290</v>
      </c>
      <c r="C163" s="12" t="str">
        <f>HYPERLINK("https://www.google.com/search?q=CHOOZ-A+(ARDENNES)+nuclear+power+plant+in+FRANCE", "CHOOZ-A (ARDENNES)")</f>
        <v>CHOOZ-A (ARDENNES)</v>
      </c>
      <c r="D163" s="9" t="s">
        <v>347</v>
      </c>
      <c r="E163" s="9" t="s">
        <v>24</v>
      </c>
      <c r="F163" s="9">
        <v>320.0</v>
      </c>
      <c r="G163" s="9">
        <v>1040.0</v>
      </c>
      <c r="H163" s="9">
        <v>66.2</v>
      </c>
      <c r="I163" s="9">
        <v>0.0</v>
      </c>
      <c r="J163" s="9">
        <v>50.09</v>
      </c>
      <c r="K163" s="9">
        <v>4.78944</v>
      </c>
      <c r="L163" s="13">
        <v>262.644989013672</v>
      </c>
      <c r="M163" s="12" t="str">
        <f>HYPERLINK("http://www.iaea.org/PRIS/CountryStatistics/ReactorDetails.aspx?current=206", "PRIS")</f>
        <v>PRIS</v>
      </c>
      <c r="N163" s="12" t="str">
        <f>HYPERLINK("http://maps.google.com/?q=50.09,4.78944&amp;t=k", "Map")</f>
        <v>Map</v>
      </c>
    </row>
    <row r="164">
      <c r="A164" s="9" t="s">
        <v>289</v>
      </c>
      <c r="B164" s="9" t="s">
        <v>290</v>
      </c>
      <c r="C164" s="12" t="str">
        <f>HYPERLINK("https://www.google.com/search?q=CATTENOM-1+nuclear+power+plant+in+FRANCE", "CATTENOM-1")</f>
        <v>CATTENOM-1</v>
      </c>
      <c r="D164" s="9" t="s">
        <v>322</v>
      </c>
      <c r="E164" s="9" t="s">
        <v>21</v>
      </c>
      <c r="F164" s="9">
        <v>1362.0</v>
      </c>
      <c r="G164" s="9">
        <v>3817.0</v>
      </c>
      <c r="H164" s="9">
        <v>69.4</v>
      </c>
      <c r="I164" s="9">
        <v>58.2</v>
      </c>
      <c r="J164" s="9">
        <v>49.41583</v>
      </c>
      <c r="K164" s="9">
        <v>6.21806</v>
      </c>
      <c r="L164" s="13">
        <v>218.325332641602</v>
      </c>
      <c r="M164" s="12" t="str">
        <f>HYPERLINK("http://www.iaea.org/PRIS/CountryStatistics/ReactorDetails.aspx?current=207", "PRIS")</f>
        <v>PRIS</v>
      </c>
      <c r="N164" s="12" t="str">
        <f>HYPERLINK("http://maps.google.com/?q=49.4158,6.21806&amp;t=k", "Map")</f>
        <v>Map</v>
      </c>
    </row>
    <row r="165">
      <c r="A165" s="9" t="s">
        <v>289</v>
      </c>
      <c r="B165" s="9" t="s">
        <v>290</v>
      </c>
      <c r="C165" s="12" t="str">
        <f>HYPERLINK("https://www.google.com/search?q=GRAVELINES-5+nuclear+power+plant+in+FRANCE", "GRAVELINES-5")</f>
        <v>GRAVELINES-5</v>
      </c>
      <c r="D165" s="9" t="s">
        <v>402</v>
      </c>
      <c r="E165" s="9" t="s">
        <v>21</v>
      </c>
      <c r="F165" s="9">
        <v>951.0</v>
      </c>
      <c r="G165" s="9">
        <v>2785.0</v>
      </c>
      <c r="H165" s="9">
        <v>75.7</v>
      </c>
      <c r="I165" s="9">
        <v>83.2</v>
      </c>
      <c r="J165" s="9">
        <v>51.01528</v>
      </c>
      <c r="K165" s="9">
        <v>2.13611</v>
      </c>
      <c r="L165" s="13">
        <v>45.0313720703125</v>
      </c>
      <c r="M165" s="12" t="str">
        <f>HYPERLINK("http://www.iaea.org/PRIS/CountryStatistics/ReactorDetails.aspx?current=208", "PRIS")</f>
        <v>PRIS</v>
      </c>
      <c r="N165" s="12" t="str">
        <f t="shared" ref="N165:N166" si="36">HYPERLINK("http://maps.google.com/?q=51.0153,2.13611&amp;t=k", "Map")</f>
        <v>Map</v>
      </c>
    </row>
    <row r="166">
      <c r="A166" s="9" t="s">
        <v>289</v>
      </c>
      <c r="B166" s="9" t="s">
        <v>290</v>
      </c>
      <c r="C166" s="12" t="str">
        <f>HYPERLINK("https://www.google.com/search?q=GRAVELINES-6+nuclear+power+plant+in+FRANCE", "GRAVELINES-6")</f>
        <v>GRAVELINES-6</v>
      </c>
      <c r="D166" s="9" t="s">
        <v>402</v>
      </c>
      <c r="E166" s="9" t="s">
        <v>21</v>
      </c>
      <c r="F166" s="9">
        <v>951.0</v>
      </c>
      <c r="G166" s="9">
        <v>2785.0</v>
      </c>
      <c r="H166" s="9">
        <v>77.6</v>
      </c>
      <c r="I166" s="9">
        <v>85.0</v>
      </c>
      <c r="J166" s="9">
        <v>51.01528</v>
      </c>
      <c r="K166" s="9">
        <v>2.13611</v>
      </c>
      <c r="L166" s="13">
        <v>45.0313720703125</v>
      </c>
      <c r="M166" s="12" t="str">
        <f>HYPERLINK("http://www.iaea.org/PRIS/CountryStatistics/ReactorDetails.aspx?current=209", "PRIS")</f>
        <v>PRIS</v>
      </c>
      <c r="N166" s="12" t="str">
        <f t="shared" si="36"/>
        <v>Map</v>
      </c>
    </row>
    <row r="167">
      <c r="A167" s="9" t="s">
        <v>289</v>
      </c>
      <c r="B167" s="9" t="s">
        <v>290</v>
      </c>
      <c r="C167" s="12" t="str">
        <f>HYPERLINK("https://www.google.com/search?q=CATTENOM-2+nuclear+power+plant+in+FRANCE", "CATTENOM-2")</f>
        <v>CATTENOM-2</v>
      </c>
      <c r="D167" s="9" t="s">
        <v>322</v>
      </c>
      <c r="E167" s="9" t="s">
        <v>21</v>
      </c>
      <c r="F167" s="9">
        <v>1362.0</v>
      </c>
      <c r="G167" s="9">
        <v>3817.0</v>
      </c>
      <c r="H167" s="9">
        <v>72.9</v>
      </c>
      <c r="I167" s="9">
        <v>85.8</v>
      </c>
      <c r="J167" s="9">
        <v>49.41583</v>
      </c>
      <c r="K167" s="9">
        <v>6.21806</v>
      </c>
      <c r="L167" s="13">
        <v>218.325332641602</v>
      </c>
      <c r="M167" s="12" t="str">
        <f>HYPERLINK("http://www.iaea.org/PRIS/CountryStatistics/ReactorDetails.aspx?current=210", "PRIS")</f>
        <v>PRIS</v>
      </c>
      <c r="N167" s="12" t="str">
        <f>HYPERLINK("http://maps.google.com/?q=49.4158,6.21806&amp;t=k", "Map")</f>
        <v>Map</v>
      </c>
    </row>
    <row r="168">
      <c r="A168" s="9" t="s">
        <v>289</v>
      </c>
      <c r="B168" s="9" t="s">
        <v>290</v>
      </c>
      <c r="C168" s="12" t="str">
        <f>HYPERLINK("https://www.google.com/search?q=BELLEVILLE-1+nuclear+power+plant+in+FRANCE", "BELLEVILLE-1")</f>
        <v>BELLEVILLE-1</v>
      </c>
      <c r="D168" s="9" t="s">
        <v>292</v>
      </c>
      <c r="E168" s="9" t="s">
        <v>21</v>
      </c>
      <c r="F168" s="9">
        <v>1363.0</v>
      </c>
      <c r="G168" s="9">
        <v>3817.0</v>
      </c>
      <c r="H168" s="9">
        <v>70.6</v>
      </c>
      <c r="I168" s="9">
        <v>75.4</v>
      </c>
      <c r="J168" s="9">
        <v>47.50972</v>
      </c>
      <c r="K168" s="9">
        <v>2.875</v>
      </c>
      <c r="L168" s="13">
        <v>189.721084594727</v>
      </c>
      <c r="M168" s="12" t="str">
        <f>HYPERLINK("http://www.iaea.org/PRIS/CountryStatistics/ReactorDetails.aspx?current=211", "PRIS")</f>
        <v>PRIS</v>
      </c>
      <c r="N168" s="12" t="str">
        <f t="shared" ref="N168:N169" si="37">HYPERLINK("http://maps.google.com/?q=47.5097,2.875&amp;t=k", "Map")</f>
        <v>Map</v>
      </c>
    </row>
    <row r="169">
      <c r="A169" s="9" t="s">
        <v>289</v>
      </c>
      <c r="B169" s="9" t="s">
        <v>290</v>
      </c>
      <c r="C169" s="12" t="str">
        <f>HYPERLINK("https://www.google.com/search?q=BELLEVILLE-2+nuclear+power+plant+in+FRANCE", "BELLEVILLE-2")</f>
        <v>BELLEVILLE-2</v>
      </c>
      <c r="D169" s="9" t="s">
        <v>292</v>
      </c>
      <c r="E169" s="9" t="s">
        <v>21</v>
      </c>
      <c r="F169" s="9">
        <v>1363.0</v>
      </c>
      <c r="G169" s="9">
        <v>3817.0</v>
      </c>
      <c r="H169" s="9">
        <v>72.0</v>
      </c>
      <c r="I169" s="9">
        <v>65.2</v>
      </c>
      <c r="J169" s="9">
        <v>47.50972</v>
      </c>
      <c r="K169" s="9">
        <v>2.875</v>
      </c>
      <c r="L169" s="13">
        <v>189.721084594727</v>
      </c>
      <c r="M169" s="12" t="str">
        <f>HYPERLINK("http://www.iaea.org/PRIS/CountryStatistics/ReactorDetails.aspx?current=212", "PRIS")</f>
        <v>PRIS</v>
      </c>
      <c r="N169" s="12" t="str">
        <f t="shared" si="37"/>
        <v>Map</v>
      </c>
    </row>
    <row r="170">
      <c r="A170" s="9" t="s">
        <v>289</v>
      </c>
      <c r="B170" s="9" t="s">
        <v>290</v>
      </c>
      <c r="C170" s="12" t="str">
        <f>HYPERLINK("https://www.google.com/search?q=CHINON+B-3+nuclear+power+plant+in+FRANCE", "CHINON B-3")</f>
        <v>CHINON B-3</v>
      </c>
      <c r="D170" s="9" t="s">
        <v>332</v>
      </c>
      <c r="E170" s="9" t="s">
        <v>21</v>
      </c>
      <c r="F170" s="9">
        <v>954.0</v>
      </c>
      <c r="G170" s="9">
        <v>2785.0</v>
      </c>
      <c r="H170" s="9">
        <v>73.4</v>
      </c>
      <c r="I170" s="9">
        <v>74.8</v>
      </c>
      <c r="J170" s="9">
        <v>47.2325</v>
      </c>
      <c r="K170" s="9">
        <v>0.1703</v>
      </c>
      <c r="L170" s="13">
        <v>80.3708114624023</v>
      </c>
      <c r="M170" s="12" t="str">
        <f>HYPERLINK("http://www.iaea.org/PRIS/CountryStatistics/ReactorDetails.aspx?current=213", "PRIS")</f>
        <v>PRIS</v>
      </c>
      <c r="N170" s="12" t="str">
        <f t="shared" ref="N170:N171" si="38">HYPERLINK("http://maps.google.com/?q=47.2325,0.1703&amp;t=k", "Map")</f>
        <v>Map</v>
      </c>
    </row>
    <row r="171">
      <c r="A171" s="9" t="s">
        <v>289</v>
      </c>
      <c r="B171" s="9" t="s">
        <v>290</v>
      </c>
      <c r="C171" s="12" t="str">
        <f>HYPERLINK("https://www.google.com/search?q=CHINON+B-4+nuclear+power+plant+in+FRANCE", "CHINON B-4")</f>
        <v>CHINON B-4</v>
      </c>
      <c r="D171" s="9" t="s">
        <v>332</v>
      </c>
      <c r="E171" s="9" t="s">
        <v>21</v>
      </c>
      <c r="F171" s="9">
        <v>954.0</v>
      </c>
      <c r="G171" s="9">
        <v>2785.0</v>
      </c>
      <c r="H171" s="9">
        <v>74.5</v>
      </c>
      <c r="I171" s="9">
        <v>84.0</v>
      </c>
      <c r="J171" s="9">
        <v>47.2325</v>
      </c>
      <c r="K171" s="9">
        <v>0.1703</v>
      </c>
      <c r="L171" s="13">
        <v>80.3708114624023</v>
      </c>
      <c r="M171" s="12" t="str">
        <f>HYPERLINK("http://www.iaea.org/PRIS/CountryStatistics/ReactorDetails.aspx?current=214", "PRIS")</f>
        <v>PRIS</v>
      </c>
      <c r="N171" s="12" t="str">
        <f t="shared" si="38"/>
        <v>Map</v>
      </c>
    </row>
    <row r="172">
      <c r="A172" s="9" t="s">
        <v>289</v>
      </c>
      <c r="B172" s="9" t="s">
        <v>290</v>
      </c>
      <c r="C172" s="12" t="str">
        <f>HYPERLINK("https://www.google.com/search?q=NOGENT-1+nuclear+power+plant+in+FRANCE", "NOGENT-1")</f>
        <v>NOGENT-1</v>
      </c>
      <c r="D172" s="9" t="s">
        <v>415</v>
      </c>
      <c r="E172" s="9" t="s">
        <v>21</v>
      </c>
      <c r="F172" s="9">
        <v>1363.0</v>
      </c>
      <c r="G172" s="9">
        <v>3817.0</v>
      </c>
      <c r="H172" s="9">
        <v>71.7</v>
      </c>
      <c r="I172" s="9">
        <v>82.7</v>
      </c>
      <c r="J172" s="9">
        <v>48.51528</v>
      </c>
      <c r="K172" s="9">
        <v>3.51778</v>
      </c>
      <c r="L172" s="13">
        <v>114.930793762207</v>
      </c>
      <c r="M172" s="12" t="str">
        <f>HYPERLINK("http://www.iaea.org/PRIS/CountryStatistics/ReactorDetails.aspx?current=215", "PRIS")</f>
        <v>PRIS</v>
      </c>
      <c r="N172" s="12" t="str">
        <f t="shared" ref="N172:N173" si="39">HYPERLINK("http://maps.google.com/?q=48.5153,3.51778&amp;t=k", "Map")</f>
        <v>Map</v>
      </c>
    </row>
    <row r="173">
      <c r="A173" s="9" t="s">
        <v>289</v>
      </c>
      <c r="B173" s="9" t="s">
        <v>290</v>
      </c>
      <c r="C173" s="12" t="str">
        <f>HYPERLINK("https://www.google.com/search?q=NOGENT-2+nuclear+power+plant+in+FRANCE", "NOGENT-2")</f>
        <v>NOGENT-2</v>
      </c>
      <c r="D173" s="9" t="s">
        <v>415</v>
      </c>
      <c r="E173" s="9" t="s">
        <v>21</v>
      </c>
      <c r="F173" s="9">
        <v>1363.0</v>
      </c>
      <c r="G173" s="9">
        <v>3817.0</v>
      </c>
      <c r="H173" s="9">
        <v>74.7</v>
      </c>
      <c r="I173" s="9">
        <v>79.8</v>
      </c>
      <c r="J173" s="9">
        <v>48.51528</v>
      </c>
      <c r="K173" s="9">
        <v>3.51778</v>
      </c>
      <c r="L173" s="13">
        <v>114.930793762207</v>
      </c>
      <c r="M173" s="12" t="str">
        <f>HYPERLINK("http://www.iaea.org/PRIS/CountryStatistics/ReactorDetails.aspx?current=216", "PRIS")</f>
        <v>PRIS</v>
      </c>
      <c r="N173" s="12" t="str">
        <f t="shared" si="39"/>
        <v>Map</v>
      </c>
    </row>
    <row r="174">
      <c r="A174" s="9" t="s">
        <v>289</v>
      </c>
      <c r="B174" s="9" t="s">
        <v>290</v>
      </c>
      <c r="C174" s="12" t="str">
        <f>HYPERLINK("https://www.google.com/search?q=EL-4+(MONTS+DARREE)+nuclear+power+plant+in+FRANCE", "EL-4 (MONTS DARREE)")</f>
        <v>EL-4 (MONTS DARREE)</v>
      </c>
      <c r="D174" s="9" t="s">
        <v>377</v>
      </c>
      <c r="E174" s="9" t="s">
        <v>24</v>
      </c>
      <c r="F174" s="9">
        <v>75.0</v>
      </c>
      <c r="G174" s="9">
        <v>250.0</v>
      </c>
      <c r="H174" s="9">
        <v>68.7</v>
      </c>
      <c r="I174" s="9">
        <v>0.0</v>
      </c>
      <c r="J174" s="9">
        <v>48.3533</v>
      </c>
      <c r="K174" s="9">
        <v>-3.8722028</v>
      </c>
      <c r="L174" s="13">
        <v>285.756622314453</v>
      </c>
      <c r="M174" s="12" t="str">
        <f>HYPERLINK("http://www.iaea.org/PRIS/CountryStatistics/ReactorDetails.aspx?current=217", "PRIS")</f>
        <v>PRIS</v>
      </c>
      <c r="N174" s="12" t="str">
        <f>HYPERLINK("http://maps.google.com/?q=48.3533,-3.8722&amp;t=k", "Map")</f>
        <v>Map</v>
      </c>
    </row>
    <row r="175">
      <c r="A175" s="9" t="s">
        <v>289</v>
      </c>
      <c r="B175" s="9" t="s">
        <v>290</v>
      </c>
      <c r="C175" s="12" t="str">
        <f>HYPERLINK("https://www.google.com/search?q=CATTENOM-3+nuclear+power+plant+in+FRANCE", "CATTENOM-3")</f>
        <v>CATTENOM-3</v>
      </c>
      <c r="D175" s="9" t="s">
        <v>322</v>
      </c>
      <c r="E175" s="9" t="s">
        <v>21</v>
      </c>
      <c r="F175" s="9">
        <v>1362.0</v>
      </c>
      <c r="G175" s="9">
        <v>3817.0</v>
      </c>
      <c r="H175" s="9">
        <v>73.7</v>
      </c>
      <c r="I175" s="9">
        <v>68.9</v>
      </c>
      <c r="J175" s="9">
        <v>49.41583</v>
      </c>
      <c r="K175" s="9">
        <v>6.21806</v>
      </c>
      <c r="L175" s="13">
        <v>218.325332641602</v>
      </c>
      <c r="M175" s="12" t="str">
        <f>HYPERLINK("http://www.iaea.org/PRIS/CountryStatistics/ReactorDetails.aspx?current=218", "PRIS")</f>
        <v>PRIS</v>
      </c>
      <c r="N175" s="12" t="str">
        <f>HYPERLINK("http://maps.google.com/?q=49.4158,6.21806&amp;t=k", "Map")</f>
        <v>Map</v>
      </c>
    </row>
    <row r="176">
      <c r="A176" s="9" t="s">
        <v>289</v>
      </c>
      <c r="B176" s="9" t="s">
        <v>290</v>
      </c>
      <c r="C176" s="12" t="str">
        <f>HYPERLINK("https://www.google.com/search?q=GOLFECH-1+nuclear+power+plant+in+FRANCE", "GOLFECH-1")</f>
        <v>GOLFECH-1</v>
      </c>
      <c r="D176" s="9" t="s">
        <v>397</v>
      </c>
      <c r="E176" s="9" t="s">
        <v>21</v>
      </c>
      <c r="F176" s="9">
        <v>1363.0</v>
      </c>
      <c r="G176" s="9">
        <v>3817.0</v>
      </c>
      <c r="H176" s="9">
        <v>76.2</v>
      </c>
      <c r="I176" s="9">
        <v>84.5</v>
      </c>
      <c r="J176" s="9">
        <v>44.10667</v>
      </c>
      <c r="K176" s="9">
        <v>0.84528</v>
      </c>
      <c r="L176" s="13">
        <v>104.656242370605</v>
      </c>
      <c r="M176" s="12" t="str">
        <f>HYPERLINK("http://www.iaea.org/PRIS/CountryStatistics/ReactorDetails.aspx?current=219", "PRIS")</f>
        <v>PRIS</v>
      </c>
      <c r="N176" s="12" t="str">
        <f>HYPERLINK("http://maps.google.com/?q=44.1067,0.84528&amp;t=k", "Map")</f>
        <v>Map</v>
      </c>
    </row>
    <row r="177">
      <c r="A177" s="9" t="s">
        <v>289</v>
      </c>
      <c r="B177" s="9" t="s">
        <v>290</v>
      </c>
      <c r="C177" s="12" t="str">
        <f>HYPERLINK("https://www.google.com/search?q=CHOOZ+B-1+nuclear+power+plant+in+FRANCE", "CHOOZ B-1")</f>
        <v>CHOOZ B-1</v>
      </c>
      <c r="D177" s="9" t="s">
        <v>347</v>
      </c>
      <c r="E177" s="9" t="s">
        <v>21</v>
      </c>
      <c r="F177" s="9">
        <v>1560.0</v>
      </c>
      <c r="G177" s="9">
        <v>4270.0</v>
      </c>
      <c r="H177" s="9">
        <v>78.3</v>
      </c>
      <c r="I177" s="9">
        <v>76.4</v>
      </c>
      <c r="J177" s="9">
        <v>50.09</v>
      </c>
      <c r="K177" s="9">
        <v>4.78944</v>
      </c>
      <c r="L177" s="13">
        <v>262.644989013672</v>
      </c>
      <c r="M177" s="12" t="str">
        <f>HYPERLINK("http://www.iaea.org/PRIS/CountryStatistics/ReactorDetails.aspx?current=220", "PRIS")</f>
        <v>PRIS</v>
      </c>
      <c r="N177" s="12" t="str">
        <f>HYPERLINK("http://maps.google.com/?q=50.09,4.78944&amp;t=k", "Map")</f>
        <v>Map</v>
      </c>
    </row>
    <row r="178">
      <c r="A178" s="9" t="s">
        <v>289</v>
      </c>
      <c r="B178" s="9" t="s">
        <v>290</v>
      </c>
      <c r="C178" s="12" t="str">
        <f>HYPERLINK("https://www.google.com/search?q=PENLY-1+nuclear+power+plant+in+FRANCE", "PENLY-1")</f>
        <v>PENLY-1</v>
      </c>
      <c r="D178" s="9" t="s">
        <v>432</v>
      </c>
      <c r="E178" s="9" t="s">
        <v>21</v>
      </c>
      <c r="F178" s="9">
        <v>1382.0</v>
      </c>
      <c r="G178" s="9">
        <v>3817.0</v>
      </c>
      <c r="H178" s="9">
        <v>75.9</v>
      </c>
      <c r="I178" s="9">
        <v>77.3</v>
      </c>
      <c r="J178" s="9">
        <v>49.97667</v>
      </c>
      <c r="K178" s="9">
        <v>1.21194</v>
      </c>
      <c r="L178" s="13">
        <v>84.0830383300781</v>
      </c>
      <c r="M178" s="12" t="str">
        <f>HYPERLINK("http://www.iaea.org/PRIS/CountryStatistics/ReactorDetails.aspx?current=221", "PRIS")</f>
        <v>PRIS</v>
      </c>
      <c r="N178" s="12" t="str">
        <f t="shared" ref="N178:N179" si="40">HYPERLINK("http://maps.google.com/?q=49.9767,1.21194&amp;t=k", "Map")</f>
        <v>Map</v>
      </c>
    </row>
    <row r="179">
      <c r="A179" s="9" t="s">
        <v>289</v>
      </c>
      <c r="B179" s="9" t="s">
        <v>290</v>
      </c>
      <c r="C179" s="12" t="str">
        <f>HYPERLINK("https://www.google.com/search?q=PENLY-2+nuclear+power+plant+in+FRANCE", "PENLY-2")</f>
        <v>PENLY-2</v>
      </c>
      <c r="D179" s="9" t="s">
        <v>432</v>
      </c>
      <c r="E179" s="9" t="s">
        <v>21</v>
      </c>
      <c r="F179" s="9">
        <v>1382.0</v>
      </c>
      <c r="G179" s="9">
        <v>3817.0</v>
      </c>
      <c r="H179" s="9">
        <v>77.2</v>
      </c>
      <c r="I179" s="9">
        <v>88.0</v>
      </c>
      <c r="J179" s="9">
        <v>49.97667</v>
      </c>
      <c r="K179" s="9">
        <v>1.21194</v>
      </c>
      <c r="L179" s="13">
        <v>84.0830383300781</v>
      </c>
      <c r="M179" s="12" t="str">
        <f>HYPERLINK("http://www.iaea.org/PRIS/CountryStatistics/ReactorDetails.aspx?current=222", "PRIS")</f>
        <v>PRIS</v>
      </c>
      <c r="N179" s="12" t="str">
        <f t="shared" si="40"/>
        <v>Map</v>
      </c>
    </row>
    <row r="180">
      <c r="A180" s="9" t="s">
        <v>289</v>
      </c>
      <c r="B180" s="9" t="s">
        <v>290</v>
      </c>
      <c r="C180" s="12" t="str">
        <f>HYPERLINK("https://www.google.com/search?q=CATTENOM-4+nuclear+power+plant+in+FRANCE", "CATTENOM-4")</f>
        <v>CATTENOM-4</v>
      </c>
      <c r="D180" s="9" t="s">
        <v>322</v>
      </c>
      <c r="E180" s="9" t="s">
        <v>21</v>
      </c>
      <c r="F180" s="9">
        <v>1362.0</v>
      </c>
      <c r="G180" s="9">
        <v>3817.0</v>
      </c>
      <c r="H180" s="9">
        <v>76.8</v>
      </c>
      <c r="I180" s="9">
        <v>52.7</v>
      </c>
      <c r="J180" s="9">
        <v>49.41583</v>
      </c>
      <c r="K180" s="9">
        <v>6.21806</v>
      </c>
      <c r="L180" s="13">
        <v>218.325332641602</v>
      </c>
      <c r="M180" s="12" t="str">
        <f>HYPERLINK("http://www.iaea.org/PRIS/CountryStatistics/ReactorDetails.aspx?current=223", "PRIS")</f>
        <v>PRIS</v>
      </c>
      <c r="N180" s="12" t="str">
        <f>HYPERLINK("http://maps.google.com/?q=49.4158,6.21806&amp;t=k", "Map")</f>
        <v>Map</v>
      </c>
    </row>
    <row r="181">
      <c r="A181" s="9" t="s">
        <v>289</v>
      </c>
      <c r="B181" s="9" t="s">
        <v>290</v>
      </c>
      <c r="C181" s="12" t="str">
        <f>HYPERLINK("https://www.google.com/search?q=GOLFECH-2+nuclear+power+plant+in+FRANCE", "GOLFECH-2")</f>
        <v>GOLFECH-2</v>
      </c>
      <c r="D181" s="9" t="s">
        <v>397</v>
      </c>
      <c r="E181" s="9" t="s">
        <v>21</v>
      </c>
      <c r="F181" s="9">
        <v>1363.0</v>
      </c>
      <c r="G181" s="9">
        <v>3817.0</v>
      </c>
      <c r="H181" s="9">
        <v>76.5</v>
      </c>
      <c r="I181" s="9">
        <v>82.8</v>
      </c>
      <c r="J181" s="9">
        <v>44.10667</v>
      </c>
      <c r="K181" s="9">
        <v>0.84528</v>
      </c>
      <c r="L181" s="13">
        <v>104.656242370605</v>
      </c>
      <c r="M181" s="12" t="str">
        <f>HYPERLINK("http://www.iaea.org/PRIS/CountryStatistics/ReactorDetails.aspx?current=224", "PRIS")</f>
        <v>PRIS</v>
      </c>
      <c r="N181" s="12" t="str">
        <f>HYPERLINK("http://maps.google.com/?q=44.1067,0.84528&amp;t=k", "Map")</f>
        <v>Map</v>
      </c>
    </row>
    <row r="182">
      <c r="A182" s="9" t="s">
        <v>289</v>
      </c>
      <c r="B182" s="9" t="s">
        <v>290</v>
      </c>
      <c r="C182" s="12" t="str">
        <f>HYPERLINK("https://www.google.com/search?q=ST.+LAURENT+A-1+nuclear+power+plant+in+FRANCE", "ST. LAURENT A-1")</f>
        <v>ST. LAURENT A-1</v>
      </c>
      <c r="D182" s="9" t="s">
        <v>448</v>
      </c>
      <c r="E182" s="9" t="s">
        <v>24</v>
      </c>
      <c r="F182" s="9">
        <v>500.0</v>
      </c>
      <c r="G182" s="9">
        <v>1650.0</v>
      </c>
      <c r="H182" s="9">
        <v>58.6</v>
      </c>
      <c r="I182" s="9">
        <v>0.0</v>
      </c>
      <c r="J182" s="9">
        <v>47.72</v>
      </c>
      <c r="K182" s="9">
        <v>1.5775</v>
      </c>
      <c r="L182" s="13">
        <v>130.437652587891</v>
      </c>
      <c r="M182" s="12" t="str">
        <f>HYPERLINK("http://www.iaea.org/PRIS/CountryStatistics/ReactorDetails.aspx?current=225", "PRIS")</f>
        <v>PRIS</v>
      </c>
      <c r="N182" s="12" t="str">
        <f>HYPERLINK("http://maps.google.com/?q=47.72,1.5775&amp;t=k", "Map")</f>
        <v>Map</v>
      </c>
    </row>
    <row r="183">
      <c r="A183" s="9" t="s">
        <v>289</v>
      </c>
      <c r="B183" s="9" t="s">
        <v>290</v>
      </c>
      <c r="C183" s="12" t="str">
        <f>HYPERLINK("https://www.google.com/search?q=CHOOZ+B-2+nuclear+power+plant+in+FRANCE", "CHOOZ B-2")</f>
        <v>CHOOZ B-2</v>
      </c>
      <c r="D183" s="9" t="s">
        <v>347</v>
      </c>
      <c r="E183" s="9" t="s">
        <v>21</v>
      </c>
      <c r="F183" s="9">
        <v>1560.0</v>
      </c>
      <c r="G183" s="9">
        <v>4270.0</v>
      </c>
      <c r="H183" s="9">
        <v>76.0</v>
      </c>
      <c r="I183" s="9">
        <v>81.2</v>
      </c>
      <c r="J183" s="9">
        <v>50.09</v>
      </c>
      <c r="K183" s="9">
        <v>4.78944</v>
      </c>
      <c r="L183" s="13">
        <v>262.644989013672</v>
      </c>
      <c r="M183" s="12" t="str">
        <f>HYPERLINK("http://www.iaea.org/PRIS/CountryStatistics/ReactorDetails.aspx?current=226", "PRIS")</f>
        <v>PRIS</v>
      </c>
      <c r="N183" s="12" t="str">
        <f>HYPERLINK("http://maps.google.com/?q=50.09,4.78944&amp;t=k", "Map")</f>
        <v>Map</v>
      </c>
    </row>
    <row r="184">
      <c r="A184" s="9" t="s">
        <v>289</v>
      </c>
      <c r="B184" s="9" t="s">
        <v>290</v>
      </c>
      <c r="C184" s="12" t="str">
        <f>HYPERLINK("https://www.google.com/search?q=CIVAUX-1+nuclear+power+plant+in+FRANCE", "CIVAUX-1")</f>
        <v>CIVAUX-1</v>
      </c>
      <c r="D184" s="9" t="s">
        <v>354</v>
      </c>
      <c r="E184" s="9" t="s">
        <v>21</v>
      </c>
      <c r="F184" s="9">
        <v>1561.0</v>
      </c>
      <c r="G184" s="9">
        <v>4270.0</v>
      </c>
      <c r="H184" s="9">
        <v>75.6</v>
      </c>
      <c r="I184" s="9">
        <v>58.3</v>
      </c>
      <c r="J184" s="9">
        <v>46.45667</v>
      </c>
      <c r="K184" s="9">
        <v>0.65278</v>
      </c>
      <c r="L184" s="13">
        <v>135.765930175781</v>
      </c>
      <c r="M184" s="12" t="str">
        <f>HYPERLINK("http://www.iaea.org/PRIS/CountryStatistics/ReactorDetails.aspx?current=227", "PRIS")</f>
        <v>PRIS</v>
      </c>
      <c r="N184" s="12" t="str">
        <f t="shared" ref="N184:N185" si="41">HYPERLINK("http://maps.google.com/?q=46.4567,0.65278&amp;t=k", "Map")</f>
        <v>Map</v>
      </c>
    </row>
    <row r="185">
      <c r="A185" s="9" t="s">
        <v>289</v>
      </c>
      <c r="B185" s="9" t="s">
        <v>290</v>
      </c>
      <c r="C185" s="12" t="str">
        <f>HYPERLINK("https://www.google.com/search?q=CIVAUX-2+nuclear+power+plant+in+FRANCE", "CIVAUX-2")</f>
        <v>CIVAUX-2</v>
      </c>
      <c r="D185" s="9" t="s">
        <v>354</v>
      </c>
      <c r="E185" s="9" t="s">
        <v>21</v>
      </c>
      <c r="F185" s="9">
        <v>1561.0</v>
      </c>
      <c r="G185" s="9">
        <v>4270.0</v>
      </c>
      <c r="H185" s="9">
        <v>76.0</v>
      </c>
      <c r="I185" s="9">
        <v>80.8</v>
      </c>
      <c r="J185" s="9">
        <v>46.45667</v>
      </c>
      <c r="K185" s="9">
        <v>0.65278</v>
      </c>
      <c r="L185" s="13">
        <v>135.765930175781</v>
      </c>
      <c r="M185" s="12" t="str">
        <f>HYPERLINK("http://www.iaea.org/PRIS/CountryStatistics/ReactorDetails.aspx?current=228", "PRIS")</f>
        <v>PRIS</v>
      </c>
      <c r="N185" s="12" t="str">
        <f t="shared" si="41"/>
        <v>Map</v>
      </c>
    </row>
    <row r="186">
      <c r="A186" s="9" t="s">
        <v>289</v>
      </c>
      <c r="B186" s="9" t="s">
        <v>290</v>
      </c>
      <c r="C186" s="12" t="str">
        <f>HYPERLINK("https://www.google.com/search?q=ST.+LAURENT+A-2+nuclear+power+plant+in+FRANCE", "ST. LAURENT A-2")</f>
        <v>ST. LAURENT A-2</v>
      </c>
      <c r="D186" s="9" t="s">
        <v>448</v>
      </c>
      <c r="E186" s="9" t="s">
        <v>24</v>
      </c>
      <c r="F186" s="9">
        <v>530.0</v>
      </c>
      <c r="G186" s="9">
        <v>1475.0</v>
      </c>
      <c r="H186" s="9">
        <v>54.1</v>
      </c>
      <c r="I186" s="9">
        <v>0.0</v>
      </c>
      <c r="J186" s="9">
        <v>47.72</v>
      </c>
      <c r="K186" s="9">
        <v>1.5775</v>
      </c>
      <c r="L186" s="13">
        <v>130.437652587891</v>
      </c>
      <c r="M186" s="12" t="str">
        <f>HYPERLINK("http://www.iaea.org/PRIS/CountryStatistics/ReactorDetails.aspx?current=229", "PRIS")</f>
        <v>PRIS</v>
      </c>
      <c r="N186" s="12" t="str">
        <f>HYPERLINK("http://maps.google.com/?q=47.72,1.5775&amp;t=k", "Map")</f>
        <v>Map</v>
      </c>
    </row>
    <row r="187">
      <c r="A187" s="9" t="s">
        <v>289</v>
      </c>
      <c r="B187" s="9" t="s">
        <v>290</v>
      </c>
      <c r="C187" s="12" t="str">
        <f>HYPERLINK("https://www.google.com/search?q=BUGEY-1+nuclear+power+plant+in+FRANCE", "BUGEY-1")</f>
        <v>BUGEY-1</v>
      </c>
      <c r="D187" s="9" t="s">
        <v>310</v>
      </c>
      <c r="E187" s="9" t="s">
        <v>24</v>
      </c>
      <c r="F187" s="9">
        <v>555.0</v>
      </c>
      <c r="G187" s="9">
        <v>1954.0</v>
      </c>
      <c r="H187" s="9">
        <v>53.2</v>
      </c>
      <c r="I187" s="9">
        <v>0.0</v>
      </c>
      <c r="J187" s="9">
        <v>45.79833</v>
      </c>
      <c r="K187" s="9">
        <v>5.27083</v>
      </c>
      <c r="L187" s="13">
        <v>249.712219238281</v>
      </c>
      <c r="M187" s="12" t="str">
        <f>HYPERLINK("http://www.iaea.org/PRIS/CountryStatistics/ReactorDetails.aspx?current=230", "PRIS")</f>
        <v>PRIS</v>
      </c>
      <c r="N187" s="12" t="str">
        <f>HYPERLINK("http://maps.google.com/?q=45.7983,5.27083&amp;t=k", "Map")</f>
        <v>Map</v>
      </c>
    </row>
    <row r="188">
      <c r="A188" s="9" t="s">
        <v>1116</v>
      </c>
      <c r="B188" s="9" t="s">
        <v>1117</v>
      </c>
      <c r="C188" s="12" t="str">
        <f>HYPERLINK("https://www.google.com/search?q=CALDER+HALL-1+nuclear+power+plant+in+UNITED+KINGDOM", "CALDER HALL-1")</f>
        <v>CALDER HALL-1</v>
      </c>
      <c r="D188" s="9" t="s">
        <v>1119</v>
      </c>
      <c r="E188" s="9" t="s">
        <v>24</v>
      </c>
      <c r="F188" s="9">
        <v>60.0</v>
      </c>
      <c r="G188" s="9">
        <v>268.0</v>
      </c>
      <c r="H188" s="9">
        <v>76.9</v>
      </c>
      <c r="I188" s="9">
        <v>0.0</v>
      </c>
      <c r="J188" s="9">
        <v>54.4205</v>
      </c>
      <c r="K188" s="9">
        <v>-3.4975</v>
      </c>
      <c r="L188" s="13">
        <v>83.0303421020508</v>
      </c>
      <c r="M188" s="12" t="str">
        <f>HYPERLINK("http://www.iaea.org/PRIS/CountryStatistics/ReactorDetails.aspx?current=231", "PRIS")</f>
        <v>PRIS</v>
      </c>
      <c r="N188" s="12" t="str">
        <f t="shared" ref="N188:N191" si="42">HYPERLINK("http://maps.google.com/?q=54.4205,-3.4975&amp;t=k", "Map")</f>
        <v>Map</v>
      </c>
    </row>
    <row r="189">
      <c r="A189" s="9" t="s">
        <v>1116</v>
      </c>
      <c r="B189" s="9" t="s">
        <v>1117</v>
      </c>
      <c r="C189" s="12" t="str">
        <f>HYPERLINK("https://www.google.com/search?q=CALDER+HALL-2+nuclear+power+plant+in+UNITED+KINGDOM", "CALDER HALL-2")</f>
        <v>CALDER HALL-2</v>
      </c>
      <c r="D189" s="9" t="s">
        <v>1119</v>
      </c>
      <c r="E189" s="9" t="s">
        <v>24</v>
      </c>
      <c r="F189" s="9">
        <v>60.0</v>
      </c>
      <c r="G189" s="9">
        <v>268.0</v>
      </c>
      <c r="H189" s="9">
        <v>76.9</v>
      </c>
      <c r="I189" s="9">
        <v>0.0</v>
      </c>
      <c r="J189" s="9">
        <v>54.4205</v>
      </c>
      <c r="K189" s="9">
        <v>-3.4975</v>
      </c>
      <c r="L189" s="13">
        <v>83.0303421020508</v>
      </c>
      <c r="M189" s="12" t="str">
        <f>HYPERLINK("http://www.iaea.org/PRIS/CountryStatistics/ReactorDetails.aspx?current=232", "PRIS")</f>
        <v>PRIS</v>
      </c>
      <c r="N189" s="12" t="str">
        <f t="shared" si="42"/>
        <v>Map</v>
      </c>
    </row>
    <row r="190">
      <c r="A190" s="9" t="s">
        <v>1116</v>
      </c>
      <c r="B190" s="9" t="s">
        <v>1117</v>
      </c>
      <c r="C190" s="12" t="str">
        <f>HYPERLINK("https://www.google.com/search?q=CALDER+HALL-3+nuclear+power+plant+in+UNITED+KINGDOM", "CALDER HALL-3")</f>
        <v>CALDER HALL-3</v>
      </c>
      <c r="D190" s="9" t="s">
        <v>1119</v>
      </c>
      <c r="E190" s="9" t="s">
        <v>24</v>
      </c>
      <c r="F190" s="9">
        <v>60.0</v>
      </c>
      <c r="G190" s="9">
        <v>268.0</v>
      </c>
      <c r="H190" s="9">
        <v>76.9</v>
      </c>
      <c r="I190" s="9">
        <v>0.0</v>
      </c>
      <c r="J190" s="9">
        <v>54.4205</v>
      </c>
      <c r="K190" s="9">
        <v>-3.4975</v>
      </c>
      <c r="L190" s="13">
        <v>83.0303421020508</v>
      </c>
      <c r="M190" s="12" t="str">
        <f>HYPERLINK("http://www.iaea.org/PRIS/CountryStatistics/ReactorDetails.aspx?current=233", "PRIS")</f>
        <v>PRIS</v>
      </c>
      <c r="N190" s="12" t="str">
        <f t="shared" si="42"/>
        <v>Map</v>
      </c>
    </row>
    <row r="191">
      <c r="A191" s="9" t="s">
        <v>1116</v>
      </c>
      <c r="B191" s="9" t="s">
        <v>1117</v>
      </c>
      <c r="C191" s="12" t="str">
        <f>HYPERLINK("https://www.google.com/search?q=CALDER+HALL-4+nuclear+power+plant+in+UNITED+KINGDOM", "CALDER HALL-4")</f>
        <v>CALDER HALL-4</v>
      </c>
      <c r="D191" s="9" t="s">
        <v>1119</v>
      </c>
      <c r="E191" s="9" t="s">
        <v>24</v>
      </c>
      <c r="F191" s="9">
        <v>60.0</v>
      </c>
      <c r="G191" s="9">
        <v>268.0</v>
      </c>
      <c r="H191" s="9">
        <v>76.9</v>
      </c>
      <c r="I191" s="9">
        <v>0.0</v>
      </c>
      <c r="J191" s="9">
        <v>54.4205</v>
      </c>
      <c r="K191" s="9">
        <v>-3.4975</v>
      </c>
      <c r="L191" s="13">
        <v>83.0303421020508</v>
      </c>
      <c r="M191" s="12" t="str">
        <f>HYPERLINK("http://www.iaea.org/PRIS/CountryStatistics/ReactorDetails.aspx?current=234", "PRIS")</f>
        <v>PRIS</v>
      </c>
      <c r="N191" s="12" t="str">
        <f t="shared" si="42"/>
        <v>Map</v>
      </c>
    </row>
    <row r="192">
      <c r="A192" s="9" t="s">
        <v>1116</v>
      </c>
      <c r="B192" s="9" t="s">
        <v>1117</v>
      </c>
      <c r="C192" s="12" t="str">
        <f>HYPERLINK("https://www.google.com/search?q=SIZEWELL+A-1+nuclear+power+plant+in+UNITED+KINGDOM", "SIZEWELL A-1")</f>
        <v>SIZEWELL A-1</v>
      </c>
      <c r="D192" s="9" t="s">
        <v>1142</v>
      </c>
      <c r="E192" s="9" t="s">
        <v>24</v>
      </c>
      <c r="F192" s="9">
        <v>245.0</v>
      </c>
      <c r="G192" s="9">
        <v>1010.0</v>
      </c>
      <c r="H192" s="9">
        <v>74.7</v>
      </c>
      <c r="I192" s="9">
        <v>0.0</v>
      </c>
      <c r="J192" s="9">
        <v>52.215</v>
      </c>
      <c r="K192" s="9">
        <v>1.61972</v>
      </c>
      <c r="L192" s="13">
        <v>48.3986968994141</v>
      </c>
      <c r="M192" s="12" t="str">
        <f>HYPERLINK("http://www.iaea.org/PRIS/CountryStatistics/ReactorDetails.aspx?current=235", "PRIS")</f>
        <v>PRIS</v>
      </c>
      <c r="N192" s="12" t="str">
        <f t="shared" ref="N192:N193" si="43">HYPERLINK("http://maps.google.com/?q=52.215,1.61972&amp;t=k", "Map")</f>
        <v>Map</v>
      </c>
    </row>
    <row r="193">
      <c r="A193" s="9" t="s">
        <v>1116</v>
      </c>
      <c r="B193" s="9" t="s">
        <v>1117</v>
      </c>
      <c r="C193" s="12" t="str">
        <f>HYPERLINK("https://www.google.com/search?q=SIZEWELL+A-2+nuclear+power+plant+in+UNITED+KINGDOM", "SIZEWELL A-2")</f>
        <v>SIZEWELL A-2</v>
      </c>
      <c r="D193" s="9" t="s">
        <v>1142</v>
      </c>
      <c r="E193" s="9" t="s">
        <v>24</v>
      </c>
      <c r="F193" s="9">
        <v>245.0</v>
      </c>
      <c r="G193" s="9">
        <v>1010.0</v>
      </c>
      <c r="H193" s="9">
        <v>71.3</v>
      </c>
      <c r="I193" s="9">
        <v>0.0</v>
      </c>
      <c r="J193" s="9">
        <v>52.215</v>
      </c>
      <c r="K193" s="9">
        <v>1.61972</v>
      </c>
      <c r="L193" s="13">
        <v>48.3986968994141</v>
      </c>
      <c r="M193" s="12" t="str">
        <f>HYPERLINK("http://www.iaea.org/PRIS/CountryStatistics/ReactorDetails.aspx?current=236", "PRIS")</f>
        <v>PRIS</v>
      </c>
      <c r="N193" s="12" t="str">
        <f t="shared" si="43"/>
        <v>Map</v>
      </c>
    </row>
    <row r="194">
      <c r="A194" s="9" t="s">
        <v>1116</v>
      </c>
      <c r="B194" s="9" t="s">
        <v>1117</v>
      </c>
      <c r="C194" s="12" t="str">
        <f>HYPERLINK("https://www.google.com/search?q=OLDBURY+A-1+nuclear+power+plant+in+UNITED+KINGDOM", "OLDBURY A-1")</f>
        <v>OLDBURY A-1</v>
      </c>
      <c r="D194" s="9" t="s">
        <v>1156</v>
      </c>
      <c r="E194" s="9" t="s">
        <v>24</v>
      </c>
      <c r="F194" s="9">
        <v>230.0</v>
      </c>
      <c r="G194" s="9">
        <v>730.0</v>
      </c>
      <c r="H194" s="9">
        <v>76.2</v>
      </c>
      <c r="I194" s="9">
        <v>71.8</v>
      </c>
      <c r="J194" s="9">
        <v>51.648889</v>
      </c>
      <c r="K194" s="9">
        <v>-2.570833</v>
      </c>
      <c r="L194" s="13">
        <v>52.5331726074219</v>
      </c>
      <c r="M194" s="12" t="str">
        <f>HYPERLINK("http://www.iaea.org/PRIS/CountryStatistics/ReactorDetails.aspx?current=237", "PRIS")</f>
        <v>PRIS</v>
      </c>
      <c r="N194" s="12" t="str">
        <f t="shared" ref="N194:N195" si="44">HYPERLINK("http://maps.google.com/?q=51.6489,-2.57083&amp;t=k", "Map")</f>
        <v>Map</v>
      </c>
    </row>
    <row r="195">
      <c r="A195" s="9" t="s">
        <v>1116</v>
      </c>
      <c r="B195" s="9" t="s">
        <v>1117</v>
      </c>
      <c r="C195" s="12" t="str">
        <f>HYPERLINK("https://www.google.com/search?q=OLDBURY+A-2+nuclear+power+plant+in+UNITED+KINGDOM", "OLDBURY A-2")</f>
        <v>OLDBURY A-2</v>
      </c>
      <c r="D195" s="9" t="s">
        <v>1156</v>
      </c>
      <c r="E195" s="9" t="s">
        <v>24</v>
      </c>
      <c r="F195" s="9">
        <v>230.0</v>
      </c>
      <c r="G195" s="9">
        <v>660.0</v>
      </c>
      <c r="H195" s="9">
        <v>81.3</v>
      </c>
      <c r="I195" s="9">
        <v>0.0</v>
      </c>
      <c r="J195" s="9">
        <v>51.648889</v>
      </c>
      <c r="K195" s="9">
        <v>-2.570833</v>
      </c>
      <c r="L195" s="13">
        <v>52.5331726074219</v>
      </c>
      <c r="M195" s="12" t="str">
        <f>HYPERLINK("http://www.iaea.org/PRIS/CountryStatistics/ReactorDetails.aspx?current=238", "PRIS")</f>
        <v>PRIS</v>
      </c>
      <c r="N195" s="12" t="str">
        <f t="shared" si="44"/>
        <v>Map</v>
      </c>
    </row>
    <row r="196">
      <c r="A196" s="9" t="s">
        <v>1116</v>
      </c>
      <c r="B196" s="9" t="s">
        <v>1117</v>
      </c>
      <c r="C196" s="12" t="str">
        <f>HYPERLINK("https://www.google.com/search?q=WINFRITH+SGHWR+nuclear+power+plant+in+UNITED+KINGDOM", "WINFRITH SGHWR")</f>
        <v>WINFRITH SGHWR</v>
      </c>
      <c r="D196" s="9" t="s">
        <v>1166</v>
      </c>
      <c r="E196" s="9" t="s">
        <v>24</v>
      </c>
      <c r="F196" s="9">
        <v>100.0</v>
      </c>
      <c r="G196" s="9">
        <v>318.0</v>
      </c>
      <c r="H196" s="9">
        <v>60.7</v>
      </c>
      <c r="I196" s="9">
        <v>0.0</v>
      </c>
      <c r="J196" s="9">
        <v>50.682</v>
      </c>
      <c r="K196" s="9">
        <v>-2.261</v>
      </c>
      <c r="L196" s="13">
        <v>73.74609375</v>
      </c>
      <c r="M196" s="12" t="str">
        <f>HYPERLINK("http://www.iaea.org/PRIS/CountryStatistics/ReactorDetails.aspx?current=239", "PRIS")</f>
        <v>PRIS</v>
      </c>
      <c r="N196" s="12" t="str">
        <f>HYPERLINK("http://maps.google.com/?q=50.682,-2.261&amp;t=k", "Map")</f>
        <v>Map</v>
      </c>
    </row>
    <row r="197">
      <c r="A197" s="9" t="s">
        <v>1116</v>
      </c>
      <c r="B197" s="9" t="s">
        <v>1117</v>
      </c>
      <c r="C197" s="12" t="str">
        <f>HYPERLINK("https://www.google.com/search?q=WYLFA-1+nuclear+power+plant+in+UNITED+KINGDOM", "WYLFA-1")</f>
        <v>WYLFA-1</v>
      </c>
      <c r="D197" s="9" t="s">
        <v>1173</v>
      </c>
      <c r="E197" s="9" t="s">
        <v>21</v>
      </c>
      <c r="F197" s="9">
        <v>540.0</v>
      </c>
      <c r="G197" s="9">
        <v>1920.0</v>
      </c>
      <c r="H197" s="9">
        <v>70.9</v>
      </c>
      <c r="I197" s="9">
        <v>85.0</v>
      </c>
      <c r="J197" s="9">
        <v>53.417</v>
      </c>
      <c r="K197" s="9">
        <v>-4.483</v>
      </c>
      <c r="L197" s="13">
        <v>70.7859878540039</v>
      </c>
      <c r="M197" s="12" t="str">
        <f>HYPERLINK("http://www.iaea.org/PRIS/CountryStatistics/ReactorDetails.aspx?current=240", "PRIS")</f>
        <v>PRIS</v>
      </c>
      <c r="N197" s="12" t="str">
        <f t="shared" ref="N197:N198" si="45">HYPERLINK("http://maps.google.com/?q=53.417,-4.483&amp;t=k", "Map")</f>
        <v>Map</v>
      </c>
    </row>
    <row r="198">
      <c r="A198" s="9" t="s">
        <v>1116</v>
      </c>
      <c r="B198" s="9" t="s">
        <v>1117</v>
      </c>
      <c r="C198" s="12" t="str">
        <f>HYPERLINK("https://www.google.com/search?q=WYLFA-2+nuclear+power+plant+in+UNITED+KINGDOM", "WYLFA-2")</f>
        <v>WYLFA-2</v>
      </c>
      <c r="D198" s="9" t="s">
        <v>1173</v>
      </c>
      <c r="E198" s="9" t="s">
        <v>24</v>
      </c>
      <c r="F198" s="9">
        <v>540.0</v>
      </c>
      <c r="G198" s="9">
        <v>1920.0</v>
      </c>
      <c r="H198" s="9">
        <v>69.8</v>
      </c>
      <c r="I198" s="9">
        <v>83.6</v>
      </c>
      <c r="J198" s="9">
        <v>53.417</v>
      </c>
      <c r="K198" s="9">
        <v>-4.483</v>
      </c>
      <c r="L198" s="13">
        <v>70.7859878540039</v>
      </c>
      <c r="M198" s="12" t="str">
        <f>HYPERLINK("http://www.iaea.org/PRIS/CountryStatistics/ReactorDetails.aspx?current=241", "PRIS")</f>
        <v>PRIS</v>
      </c>
      <c r="N198" s="12" t="str">
        <f t="shared" si="45"/>
        <v>Map</v>
      </c>
    </row>
    <row r="199">
      <c r="A199" s="9" t="s">
        <v>1116</v>
      </c>
      <c r="B199" s="9" t="s">
        <v>1117</v>
      </c>
      <c r="C199" s="12" t="str">
        <f>HYPERLINK("https://www.google.com/search?q=DOUNREAY+DFR+nuclear+power+plant+in+UNITED+KINGDOM", "DOUNREAY DFR")</f>
        <v>DOUNREAY DFR</v>
      </c>
      <c r="D199" s="9" t="s">
        <v>1185</v>
      </c>
      <c r="E199" s="9" t="s">
        <v>24</v>
      </c>
      <c r="F199" s="9">
        <v>15.0</v>
      </c>
      <c r="G199" s="9">
        <v>60.0</v>
      </c>
      <c r="H199" s="9">
        <v>0.0</v>
      </c>
      <c r="I199" s="9">
        <v>0.0</v>
      </c>
      <c r="J199" s="9">
        <v>58.57814</v>
      </c>
      <c r="K199" s="9">
        <v>-3.75233</v>
      </c>
      <c r="L199" s="13">
        <v>60.7113494873047</v>
      </c>
      <c r="M199" s="12" t="str">
        <f>HYPERLINK("http://www.iaea.org/PRIS/CountryStatistics/ReactorDetails.aspx?current=242", "PRIS")</f>
        <v>PRIS</v>
      </c>
      <c r="N199" s="12" t="str">
        <f t="shared" ref="N199:N200" si="46">HYPERLINK("http://maps.google.com/?q=58.5781,-3.75233&amp;t=k", "Map")</f>
        <v>Map</v>
      </c>
    </row>
    <row r="200">
      <c r="A200" s="9" t="s">
        <v>1116</v>
      </c>
      <c r="B200" s="9" t="s">
        <v>1117</v>
      </c>
      <c r="C200" s="12" t="str">
        <f>HYPERLINK("https://www.google.com/search?q=DOUNREAY+PFR+nuclear+power+plant+in+UNITED+KINGDOM", "DOUNREAY PFR")</f>
        <v>DOUNREAY PFR</v>
      </c>
      <c r="D200" s="9" t="s">
        <v>1191</v>
      </c>
      <c r="E200" s="9" t="s">
        <v>24</v>
      </c>
      <c r="F200" s="9">
        <v>250.0</v>
      </c>
      <c r="G200" s="9">
        <v>600.0</v>
      </c>
      <c r="H200" s="9">
        <v>26.9</v>
      </c>
      <c r="I200" s="9">
        <v>0.0</v>
      </c>
      <c r="J200" s="9">
        <v>58.57814</v>
      </c>
      <c r="K200" s="9">
        <v>-3.75233</v>
      </c>
      <c r="L200" s="13">
        <v>60.7113494873047</v>
      </c>
      <c r="M200" s="12" t="str">
        <f>HYPERLINK("http://www.iaea.org/PRIS/CountryStatistics/ReactorDetails.aspx?current=243", "PRIS")</f>
        <v>PRIS</v>
      </c>
      <c r="N200" s="12" t="str">
        <f t="shared" si="46"/>
        <v>Map</v>
      </c>
    </row>
    <row r="201">
      <c r="A201" s="9" t="s">
        <v>1116</v>
      </c>
      <c r="B201" s="9" t="s">
        <v>1117</v>
      </c>
      <c r="C201" s="12" t="str">
        <f>HYPERLINK("https://www.google.com/search?q=HINKLEY+POINT+B-1+nuclear+power+plant+in+UNITED+KINGDOM", "HINKLEY POINT B-1")</f>
        <v>HINKLEY POINT B-1</v>
      </c>
      <c r="D201" s="9" t="s">
        <v>1196</v>
      </c>
      <c r="E201" s="9" t="s">
        <v>21</v>
      </c>
      <c r="F201" s="9">
        <v>655.0</v>
      </c>
      <c r="G201" s="9">
        <v>1494.0</v>
      </c>
      <c r="H201" s="9">
        <v>76.8</v>
      </c>
      <c r="I201" s="9">
        <v>100.7</v>
      </c>
      <c r="J201" s="9">
        <v>51.209034</v>
      </c>
      <c r="K201" s="9">
        <v>-3.127477</v>
      </c>
      <c r="L201" s="13">
        <v>57.2839508056641</v>
      </c>
      <c r="M201" s="12" t="str">
        <f>HYPERLINK("http://www.iaea.org/PRIS/CountryStatistics/ReactorDetails.aspx?current=244", "PRIS")</f>
        <v>PRIS</v>
      </c>
      <c r="N201" s="12" t="str">
        <f t="shared" ref="N201:N202" si="47">HYPERLINK("http://maps.google.com/?q=51.209,-3.12748&amp;t=k", "Map")</f>
        <v>Map</v>
      </c>
    </row>
    <row r="202">
      <c r="A202" s="9" t="s">
        <v>1116</v>
      </c>
      <c r="B202" s="9" t="s">
        <v>1117</v>
      </c>
      <c r="C202" s="12" t="str">
        <f>HYPERLINK("https://www.google.com/search?q=HINKLEY+POINT+B-2+nuclear+power+plant+in+UNITED+KINGDOM", "HINKLEY POINT B-2")</f>
        <v>HINKLEY POINT B-2</v>
      </c>
      <c r="D202" s="9" t="s">
        <v>1196</v>
      </c>
      <c r="E202" s="9" t="s">
        <v>21</v>
      </c>
      <c r="F202" s="9">
        <v>655.0</v>
      </c>
      <c r="G202" s="9">
        <v>1494.0</v>
      </c>
      <c r="H202" s="9">
        <v>72.9</v>
      </c>
      <c r="I202" s="9">
        <v>94.7</v>
      </c>
      <c r="J202" s="9">
        <v>51.209034</v>
      </c>
      <c r="K202" s="9">
        <v>-3.127477</v>
      </c>
      <c r="L202" s="13">
        <v>57.2839508056641</v>
      </c>
      <c r="M202" s="12" t="str">
        <f>HYPERLINK("http://www.iaea.org/PRIS/CountryStatistics/ReactorDetails.aspx?current=245", "PRIS")</f>
        <v>PRIS</v>
      </c>
      <c r="N202" s="12" t="str">
        <f t="shared" si="47"/>
        <v>Map</v>
      </c>
    </row>
    <row r="203">
      <c r="A203" s="9" t="s">
        <v>1116</v>
      </c>
      <c r="B203" s="9" t="s">
        <v>1117</v>
      </c>
      <c r="C203" s="12" t="str">
        <f>HYPERLINK("https://www.google.com/search?q=HUNTERSTON+B-1+nuclear+power+plant+in+UNITED+KINGDOM", "HUNTERSTON B-1")</f>
        <v>HUNTERSTON B-1</v>
      </c>
      <c r="D203" s="9" t="s">
        <v>1210</v>
      </c>
      <c r="E203" s="9" t="s">
        <v>21</v>
      </c>
      <c r="F203" s="9">
        <v>644.0</v>
      </c>
      <c r="G203" s="9">
        <v>1496.0</v>
      </c>
      <c r="H203" s="9">
        <v>70.5</v>
      </c>
      <c r="I203" s="9">
        <v>100.7</v>
      </c>
      <c r="J203" s="9">
        <v>55.72209</v>
      </c>
      <c r="K203" s="9">
        <v>-4.89009</v>
      </c>
      <c r="L203" s="13">
        <v>64.9330291748047</v>
      </c>
      <c r="M203" s="12" t="str">
        <f>HYPERLINK("http://www.iaea.org/PRIS/CountryStatistics/ReactorDetails.aspx?current=246", "PRIS")</f>
        <v>PRIS</v>
      </c>
      <c r="N203" s="12" t="str">
        <f t="shared" ref="N203:N204" si="48">HYPERLINK("http://maps.google.com/?q=55.7221,-4.89009&amp;t=k", "Map")</f>
        <v>Map</v>
      </c>
    </row>
    <row r="204">
      <c r="A204" s="9" t="s">
        <v>1116</v>
      </c>
      <c r="B204" s="9" t="s">
        <v>1117</v>
      </c>
      <c r="C204" s="12" t="str">
        <f>HYPERLINK("https://www.google.com/search?q=HUNTERSTON+B-2+nuclear+power+plant+in+UNITED+KINGDOM", "HUNTERSTON B-2")</f>
        <v>HUNTERSTON B-2</v>
      </c>
      <c r="D204" s="9" t="s">
        <v>1210</v>
      </c>
      <c r="E204" s="9" t="s">
        <v>21</v>
      </c>
      <c r="F204" s="9">
        <v>644.0</v>
      </c>
      <c r="G204" s="9">
        <v>1496.0</v>
      </c>
      <c r="H204" s="9">
        <v>70.3</v>
      </c>
      <c r="I204" s="9">
        <v>91.1</v>
      </c>
      <c r="J204" s="9">
        <v>55.72209</v>
      </c>
      <c r="K204" s="9">
        <v>-4.89009</v>
      </c>
      <c r="L204" s="13">
        <v>64.9330291748047</v>
      </c>
      <c r="M204" s="12" t="str">
        <f>HYPERLINK("http://www.iaea.org/PRIS/CountryStatistics/ReactorDetails.aspx?current=247", "PRIS")</f>
        <v>PRIS</v>
      </c>
      <c r="N204" s="12" t="str">
        <f t="shared" si="48"/>
        <v>Map</v>
      </c>
    </row>
    <row r="205">
      <c r="A205" s="9" t="s">
        <v>1116</v>
      </c>
      <c r="B205" s="9" t="s">
        <v>1117</v>
      </c>
      <c r="C205" s="12" t="str">
        <f>HYPERLINK("https://www.google.com/search?q=DUNGENESS+B-1+nuclear+power+plant+in+UNITED+KINGDOM", "DUNGENESS B-1")</f>
        <v>DUNGENESS B-1</v>
      </c>
      <c r="D205" s="9" t="s">
        <v>1221</v>
      </c>
      <c r="E205" s="9" t="s">
        <v>21</v>
      </c>
      <c r="F205" s="9">
        <v>615.0</v>
      </c>
      <c r="G205" s="9">
        <v>1500.0</v>
      </c>
      <c r="H205" s="9">
        <v>42.1</v>
      </c>
      <c r="I205" s="9">
        <v>63.5</v>
      </c>
      <c r="J205" s="9">
        <v>50.913889</v>
      </c>
      <c r="K205" s="9">
        <v>0.963889</v>
      </c>
      <c r="L205" s="13">
        <v>41.1498870849609</v>
      </c>
      <c r="M205" s="12" t="str">
        <f>HYPERLINK("http://www.iaea.org/PRIS/CountryStatistics/ReactorDetails.aspx?current=248", "PRIS")</f>
        <v>PRIS</v>
      </c>
      <c r="N205" s="12" t="str">
        <f t="shared" ref="N205:N206" si="49">HYPERLINK("http://maps.google.com/?q=50.9139,0.963889&amp;t=k", "Map")</f>
        <v>Map</v>
      </c>
    </row>
    <row r="206">
      <c r="A206" s="9" t="s">
        <v>1116</v>
      </c>
      <c r="B206" s="9" t="s">
        <v>1117</v>
      </c>
      <c r="C206" s="12" t="str">
        <f>HYPERLINK("https://www.google.com/search?q=DUNGENESS+B-2+nuclear+power+plant+in+UNITED+KINGDOM", "DUNGENESS B-2")</f>
        <v>DUNGENESS B-2</v>
      </c>
      <c r="D206" s="9" t="s">
        <v>1221</v>
      </c>
      <c r="E206" s="9" t="s">
        <v>21</v>
      </c>
      <c r="F206" s="9">
        <v>615.0</v>
      </c>
      <c r="G206" s="9">
        <v>1500.0</v>
      </c>
      <c r="H206" s="9">
        <v>48.9</v>
      </c>
      <c r="I206" s="9">
        <v>41.0</v>
      </c>
      <c r="J206" s="9">
        <v>50.913889</v>
      </c>
      <c r="K206" s="9">
        <v>0.963889</v>
      </c>
      <c r="L206" s="13">
        <v>41.1498870849609</v>
      </c>
      <c r="M206" s="12" t="str">
        <f>HYPERLINK("http://www.iaea.org/PRIS/CountryStatistics/ReactorDetails.aspx?current=249", "PRIS")</f>
        <v>PRIS</v>
      </c>
      <c r="N206" s="12" t="str">
        <f t="shared" si="49"/>
        <v>Map</v>
      </c>
    </row>
    <row r="207">
      <c r="A207" s="9" t="s">
        <v>1116</v>
      </c>
      <c r="B207" s="9" t="s">
        <v>1117</v>
      </c>
      <c r="C207" s="12" t="str">
        <f>HYPERLINK("https://www.google.com/search?q=HARTLEPOOL+A-1+nuclear+power+plant+in+UNITED+KINGDOM", "HARTLEPOOL A-1")</f>
        <v>HARTLEPOOL A-1</v>
      </c>
      <c r="D207" s="9" t="s">
        <v>1233</v>
      </c>
      <c r="E207" s="9" t="s">
        <v>21</v>
      </c>
      <c r="F207" s="9">
        <v>655.0</v>
      </c>
      <c r="G207" s="9">
        <v>1500.0</v>
      </c>
      <c r="H207" s="9">
        <v>67.9</v>
      </c>
      <c r="I207" s="9">
        <v>76.6</v>
      </c>
      <c r="J207" s="9">
        <v>54.635</v>
      </c>
      <c r="K207" s="9">
        <v>-1.18083</v>
      </c>
      <c r="L207" s="13">
        <v>50.400749206543</v>
      </c>
      <c r="M207" s="12" t="str">
        <f>HYPERLINK("http://www.iaea.org/PRIS/CountryStatistics/ReactorDetails.aspx?current=250", "PRIS")</f>
        <v>PRIS</v>
      </c>
      <c r="N207" s="12" t="str">
        <f t="shared" ref="N207:N208" si="50">HYPERLINK("http://maps.google.com/?q=54.635,-1.18083&amp;t=k", "Map")</f>
        <v>Map</v>
      </c>
    </row>
    <row r="208">
      <c r="A208" s="9" t="s">
        <v>1116</v>
      </c>
      <c r="B208" s="9" t="s">
        <v>1117</v>
      </c>
      <c r="C208" s="12" t="str">
        <f>HYPERLINK("https://www.google.com/search?q=HARTLEPOOL+A-2+nuclear+power+plant+in+UNITED+KINGDOM", "HARTLEPOOL A-2")</f>
        <v>HARTLEPOOL A-2</v>
      </c>
      <c r="D208" s="9" t="s">
        <v>1233</v>
      </c>
      <c r="E208" s="9" t="s">
        <v>21</v>
      </c>
      <c r="F208" s="9">
        <v>655.0</v>
      </c>
      <c r="G208" s="9">
        <v>1500.0</v>
      </c>
      <c r="H208" s="9">
        <v>70.1</v>
      </c>
      <c r="I208" s="9">
        <v>58.8</v>
      </c>
      <c r="J208" s="9">
        <v>54.635</v>
      </c>
      <c r="K208" s="9">
        <v>-1.18083</v>
      </c>
      <c r="L208" s="13">
        <v>50.400749206543</v>
      </c>
      <c r="M208" s="12" t="str">
        <f>HYPERLINK("http://www.iaea.org/PRIS/CountryStatistics/ReactorDetails.aspx?current=251", "PRIS")</f>
        <v>PRIS</v>
      </c>
      <c r="N208" s="12" t="str">
        <f t="shared" si="50"/>
        <v>Map</v>
      </c>
    </row>
    <row r="209">
      <c r="A209" s="9" t="s">
        <v>1116</v>
      </c>
      <c r="B209" s="9" t="s">
        <v>1117</v>
      </c>
      <c r="C209" s="12" t="str">
        <f>HYPERLINK("https://www.google.com/search?q=CHAPELCROSS-1+nuclear+power+plant+in+UNITED+KINGDOM", "CHAPELCROSS-1")</f>
        <v>CHAPELCROSS-1</v>
      </c>
      <c r="D209" s="9" t="s">
        <v>1226</v>
      </c>
      <c r="E209" s="9" t="s">
        <v>24</v>
      </c>
      <c r="F209" s="9">
        <v>60.0</v>
      </c>
      <c r="G209" s="9">
        <v>260.0</v>
      </c>
      <c r="H209" s="9">
        <v>85.5</v>
      </c>
      <c r="I209" s="9">
        <v>0.0</v>
      </c>
      <c r="J209" s="9">
        <v>55.01566</v>
      </c>
      <c r="K209" s="9">
        <v>-3.22605</v>
      </c>
      <c r="L209" s="13">
        <v>129.775497436523</v>
      </c>
      <c r="M209" s="12" t="str">
        <f>HYPERLINK("http://www.iaea.org/PRIS/CountryStatistics/ReactorDetails.aspx?current=252", "PRIS")</f>
        <v>PRIS</v>
      </c>
      <c r="N209" s="12" t="str">
        <f t="shared" ref="N209:N212" si="51">HYPERLINK("http://maps.google.com/?q=55.0157,-3.22605&amp;t=k", "Map")</f>
        <v>Map</v>
      </c>
    </row>
    <row r="210">
      <c r="A210" s="9" t="s">
        <v>1116</v>
      </c>
      <c r="B210" s="9" t="s">
        <v>1117</v>
      </c>
      <c r="C210" s="12" t="str">
        <f>HYPERLINK("https://www.google.com/search?q=CHAPELCROSS-2+nuclear+power+plant+in+UNITED+KINGDOM", "CHAPELCROSS-2")</f>
        <v>CHAPELCROSS-2</v>
      </c>
      <c r="D210" s="9" t="s">
        <v>1226</v>
      </c>
      <c r="E210" s="9" t="s">
        <v>24</v>
      </c>
      <c r="F210" s="9">
        <v>60.0</v>
      </c>
      <c r="G210" s="9">
        <v>260.0</v>
      </c>
      <c r="H210" s="9">
        <v>85.5</v>
      </c>
      <c r="I210" s="9">
        <v>0.0</v>
      </c>
      <c r="J210" s="9">
        <v>55.01566</v>
      </c>
      <c r="K210" s="9">
        <v>-3.22605</v>
      </c>
      <c r="L210" s="13">
        <v>129.775497436523</v>
      </c>
      <c r="M210" s="12" t="str">
        <f>HYPERLINK("http://www.iaea.org/PRIS/CountryStatistics/ReactorDetails.aspx?current=253", "PRIS")</f>
        <v>PRIS</v>
      </c>
      <c r="N210" s="12" t="str">
        <f t="shared" si="51"/>
        <v>Map</v>
      </c>
    </row>
    <row r="211">
      <c r="A211" s="9" t="s">
        <v>1116</v>
      </c>
      <c r="B211" s="9" t="s">
        <v>1117</v>
      </c>
      <c r="C211" s="12" t="str">
        <f>HYPERLINK("https://www.google.com/search?q=CHAPELCROSS-3+nuclear+power+plant+in+UNITED+KINGDOM", "CHAPELCROSS-3")</f>
        <v>CHAPELCROSS-3</v>
      </c>
      <c r="D211" s="9" t="s">
        <v>1226</v>
      </c>
      <c r="E211" s="9" t="s">
        <v>24</v>
      </c>
      <c r="F211" s="9">
        <v>60.0</v>
      </c>
      <c r="G211" s="9">
        <v>260.0</v>
      </c>
      <c r="H211" s="9">
        <v>85.5</v>
      </c>
      <c r="I211" s="9">
        <v>0.0</v>
      </c>
      <c r="J211" s="9">
        <v>55.01566</v>
      </c>
      <c r="K211" s="9">
        <v>-3.22605</v>
      </c>
      <c r="L211" s="13">
        <v>129.775497436523</v>
      </c>
      <c r="M211" s="12" t="str">
        <f>HYPERLINK("http://www.iaea.org/PRIS/CountryStatistics/ReactorDetails.aspx?current=254", "PRIS")</f>
        <v>PRIS</v>
      </c>
      <c r="N211" s="12" t="str">
        <f t="shared" si="51"/>
        <v>Map</v>
      </c>
    </row>
    <row r="212">
      <c r="A212" s="9" t="s">
        <v>1116</v>
      </c>
      <c r="B212" s="9" t="s">
        <v>1117</v>
      </c>
      <c r="C212" s="12" t="str">
        <f>HYPERLINK("https://www.google.com/search?q=CHAPELCROSS-4+nuclear+power+plant+in+UNITED+KINGDOM", "CHAPELCROSS-4")</f>
        <v>CHAPELCROSS-4</v>
      </c>
      <c r="D212" s="9" t="s">
        <v>1226</v>
      </c>
      <c r="E212" s="9" t="s">
        <v>24</v>
      </c>
      <c r="F212" s="9">
        <v>60.0</v>
      </c>
      <c r="G212" s="9">
        <v>260.0</v>
      </c>
      <c r="H212" s="9">
        <v>85.5</v>
      </c>
      <c r="I212" s="9">
        <v>0.0</v>
      </c>
      <c r="J212" s="9">
        <v>55.01566</v>
      </c>
      <c r="K212" s="9">
        <v>-3.22605</v>
      </c>
      <c r="L212" s="13">
        <v>129.775497436523</v>
      </c>
      <c r="M212" s="12" t="str">
        <f>HYPERLINK("http://www.iaea.org/PRIS/CountryStatistics/ReactorDetails.aspx?current=255", "PRIS")</f>
        <v>PRIS</v>
      </c>
      <c r="N212" s="12" t="str">
        <f t="shared" si="51"/>
        <v>Map</v>
      </c>
    </row>
    <row r="213">
      <c r="A213" s="9" t="s">
        <v>1116</v>
      </c>
      <c r="B213" s="9" t="s">
        <v>1117</v>
      </c>
      <c r="C213" s="12" t="str">
        <f>HYPERLINK("https://www.google.com/search?q=HEYSHAM+A-1+nuclear+power+plant+in+UNITED+KINGDOM", "HEYSHAM A-1")</f>
        <v>HEYSHAM A-1</v>
      </c>
      <c r="D213" s="9" t="s">
        <v>1253</v>
      </c>
      <c r="E213" s="9" t="s">
        <v>21</v>
      </c>
      <c r="F213" s="9">
        <v>625.0</v>
      </c>
      <c r="G213" s="9">
        <v>1500.0</v>
      </c>
      <c r="H213" s="9">
        <v>69.3</v>
      </c>
      <c r="I213" s="9">
        <v>55.3</v>
      </c>
      <c r="J213" s="9">
        <v>54.02889</v>
      </c>
      <c r="K213" s="9">
        <v>-2.91611</v>
      </c>
      <c r="L213" s="13">
        <v>56.672061920166</v>
      </c>
      <c r="M213" s="12" t="str">
        <f>HYPERLINK("http://www.iaea.org/PRIS/CountryStatistics/ReactorDetails.aspx?current=256", "PRIS")</f>
        <v>PRIS</v>
      </c>
      <c r="N213" s="12" t="str">
        <f t="shared" ref="N213:N216" si="52">HYPERLINK("http://maps.google.com/?q=54.0289,-2.91611&amp;t=k", "Map")</f>
        <v>Map</v>
      </c>
    </row>
    <row r="214">
      <c r="A214" s="9" t="s">
        <v>1116</v>
      </c>
      <c r="B214" s="9" t="s">
        <v>1117</v>
      </c>
      <c r="C214" s="12" t="str">
        <f>HYPERLINK("https://www.google.com/search?q=HEYSHAM+A-2+nuclear+power+plant+in+UNITED+KINGDOM", "HEYSHAM A-2")</f>
        <v>HEYSHAM A-2</v>
      </c>
      <c r="D214" s="9" t="s">
        <v>1253</v>
      </c>
      <c r="E214" s="9" t="s">
        <v>21</v>
      </c>
      <c r="F214" s="9">
        <v>625.0</v>
      </c>
      <c r="G214" s="9">
        <v>1500.0</v>
      </c>
      <c r="H214" s="9">
        <v>67.0</v>
      </c>
      <c r="I214" s="9">
        <v>79.9</v>
      </c>
      <c r="J214" s="9">
        <v>54.02889</v>
      </c>
      <c r="K214" s="9">
        <v>-2.91611</v>
      </c>
      <c r="L214" s="13">
        <v>56.672061920166</v>
      </c>
      <c r="M214" s="12" t="str">
        <f>HYPERLINK("http://www.iaea.org/PRIS/CountryStatistics/ReactorDetails.aspx?current=257", "PRIS")</f>
        <v>PRIS</v>
      </c>
      <c r="N214" s="12" t="str">
        <f t="shared" si="52"/>
        <v>Map</v>
      </c>
    </row>
    <row r="215">
      <c r="A215" s="9" t="s">
        <v>1116</v>
      </c>
      <c r="B215" s="9" t="s">
        <v>1117</v>
      </c>
      <c r="C215" s="12" t="str">
        <f>HYPERLINK("https://www.google.com/search?q=HEYSHAM+B-1+nuclear+power+plant+in+UNITED+KINGDOM", "HEYSHAM B-1")</f>
        <v>HEYSHAM B-1</v>
      </c>
      <c r="D215" s="9" t="s">
        <v>1253</v>
      </c>
      <c r="E215" s="9" t="s">
        <v>21</v>
      </c>
      <c r="F215" s="9">
        <v>680.0</v>
      </c>
      <c r="G215" s="9">
        <v>1550.0</v>
      </c>
      <c r="H215" s="9">
        <v>76.6</v>
      </c>
      <c r="I215" s="9">
        <v>89.0</v>
      </c>
      <c r="J215" s="9">
        <v>54.02889</v>
      </c>
      <c r="K215" s="9">
        <v>-2.91611</v>
      </c>
      <c r="L215" s="13">
        <v>56.672061920166</v>
      </c>
      <c r="M215" s="12" t="str">
        <f>HYPERLINK("http://www.iaea.org/PRIS/CountryStatistics/ReactorDetails.aspx?current=259", "PRIS")</f>
        <v>PRIS</v>
      </c>
      <c r="N215" s="12" t="str">
        <f t="shared" si="52"/>
        <v>Map</v>
      </c>
    </row>
    <row r="216">
      <c r="A216" s="9" t="s">
        <v>1116</v>
      </c>
      <c r="B216" s="9" t="s">
        <v>1117</v>
      </c>
      <c r="C216" s="12" t="str">
        <f>HYPERLINK("https://www.google.com/search?q=HEYSHAM+B-2+nuclear+power+plant+in+UNITED+KINGDOM", "HEYSHAM B-2")</f>
        <v>HEYSHAM B-2</v>
      </c>
      <c r="D216" s="9" t="s">
        <v>1253</v>
      </c>
      <c r="E216" s="9" t="s">
        <v>21</v>
      </c>
      <c r="F216" s="9">
        <v>680.0</v>
      </c>
      <c r="G216" s="9">
        <v>1550.0</v>
      </c>
      <c r="H216" s="9">
        <v>74.2</v>
      </c>
      <c r="I216" s="9">
        <v>75.9</v>
      </c>
      <c r="J216" s="9">
        <v>54.02889</v>
      </c>
      <c r="K216" s="9">
        <v>-2.91611</v>
      </c>
      <c r="L216" s="13">
        <v>56.672061920166</v>
      </c>
      <c r="M216" s="12" t="str">
        <f>HYPERLINK("http://www.iaea.org/PRIS/CountryStatistics/ReactorDetails.aspx?current=260", "PRIS")</f>
        <v>PRIS</v>
      </c>
      <c r="N216" s="12" t="str">
        <f t="shared" si="52"/>
        <v>Map</v>
      </c>
    </row>
    <row r="217">
      <c r="A217" s="9" t="s">
        <v>1116</v>
      </c>
      <c r="B217" s="9" t="s">
        <v>1117</v>
      </c>
      <c r="C217" s="12" t="str">
        <f>HYPERLINK("https://www.google.com/search?q=TORNESS-1+nuclear+power+plant+in+UNITED+KINGDOM", "TORNESS-1")</f>
        <v>TORNESS-1</v>
      </c>
      <c r="D217" s="9" t="s">
        <v>1284</v>
      </c>
      <c r="E217" s="9" t="s">
        <v>21</v>
      </c>
      <c r="F217" s="9">
        <v>682.0</v>
      </c>
      <c r="G217" s="9">
        <v>1623.0</v>
      </c>
      <c r="H217" s="9">
        <v>71.5</v>
      </c>
      <c r="I217" s="9">
        <v>89.7</v>
      </c>
      <c r="J217" s="9">
        <v>55.96799</v>
      </c>
      <c r="K217" s="9">
        <v>-2.40908</v>
      </c>
      <c r="L217" s="13">
        <v>63.9530868530273</v>
      </c>
      <c r="M217" s="12" t="str">
        <f>HYPERLINK("http://www.iaea.org/PRIS/CountryStatistics/ReactorDetails.aspx?current=261", "PRIS")</f>
        <v>PRIS</v>
      </c>
      <c r="N217" s="12" t="str">
        <f t="shared" ref="N217:N218" si="53">HYPERLINK("http://maps.google.com/?q=55.968,-2.40908&amp;t=k", "Map")</f>
        <v>Map</v>
      </c>
    </row>
    <row r="218">
      <c r="A218" s="9" t="s">
        <v>1116</v>
      </c>
      <c r="B218" s="9" t="s">
        <v>1117</v>
      </c>
      <c r="C218" s="12" t="str">
        <f>HYPERLINK("https://www.google.com/search?q=TORNESS-2+nuclear+power+plant+in+UNITED+KINGDOM", "TORNESS-2")</f>
        <v>TORNESS-2</v>
      </c>
      <c r="D218" s="9" t="s">
        <v>1284</v>
      </c>
      <c r="E218" s="9" t="s">
        <v>21</v>
      </c>
      <c r="F218" s="9">
        <v>682.0</v>
      </c>
      <c r="G218" s="9">
        <v>1623.0</v>
      </c>
      <c r="H218" s="9">
        <v>71.6</v>
      </c>
      <c r="I218" s="9">
        <v>89.6</v>
      </c>
      <c r="J218" s="9">
        <v>55.96799</v>
      </c>
      <c r="K218" s="9">
        <v>-2.40908</v>
      </c>
      <c r="L218" s="13">
        <v>63.9530868530273</v>
      </c>
      <c r="M218" s="12" t="str">
        <f>HYPERLINK("http://www.iaea.org/PRIS/CountryStatistics/ReactorDetails.aspx?current=262", "PRIS")</f>
        <v>PRIS</v>
      </c>
      <c r="N218" s="12" t="str">
        <f t="shared" si="53"/>
        <v>Map</v>
      </c>
    </row>
    <row r="219">
      <c r="A219" s="9" t="s">
        <v>1116</v>
      </c>
      <c r="B219" s="9" t="s">
        <v>1117</v>
      </c>
      <c r="C219" s="12" t="str">
        <f>HYPERLINK("https://www.google.com/search?q=SIZEWELL+B+nuclear+power+plant+in+UNITED+KINGDOM", "SIZEWELL B")</f>
        <v>SIZEWELL B</v>
      </c>
      <c r="D219" s="9" t="s">
        <v>1288</v>
      </c>
      <c r="E219" s="9" t="s">
        <v>21</v>
      </c>
      <c r="F219" s="9">
        <v>1250.0</v>
      </c>
      <c r="G219" s="9">
        <v>3425.0</v>
      </c>
      <c r="H219" s="9">
        <v>82.9</v>
      </c>
      <c r="I219" s="9">
        <v>83.0</v>
      </c>
      <c r="J219" s="9">
        <v>52.215</v>
      </c>
      <c r="K219" s="9">
        <v>1.61972</v>
      </c>
      <c r="L219" s="13">
        <v>46.2632637023926</v>
      </c>
      <c r="M219" s="12" t="str">
        <f>HYPERLINK("http://www.iaea.org/PRIS/CountryStatistics/ReactorDetails.aspx?current=263", "PRIS")</f>
        <v>PRIS</v>
      </c>
      <c r="N219" s="12" t="str">
        <f>HYPERLINK("http://maps.google.com/?q=52.215,1.61972&amp;t=k", "Map")</f>
        <v>Map</v>
      </c>
    </row>
    <row r="220">
      <c r="A220" s="9" t="s">
        <v>1116</v>
      </c>
      <c r="B220" s="9" t="s">
        <v>1117</v>
      </c>
      <c r="C220" s="12" t="str">
        <f>HYPERLINK("https://www.google.com/search?q=BERKELEY-1+nuclear+power+plant+in+UNITED+KINGDOM", "BERKELEY-1")</f>
        <v>BERKELEY-1</v>
      </c>
      <c r="D220" s="9" t="s">
        <v>1206</v>
      </c>
      <c r="E220" s="9" t="s">
        <v>24</v>
      </c>
      <c r="F220" s="9">
        <v>166.0</v>
      </c>
      <c r="G220" s="9">
        <v>620.0</v>
      </c>
      <c r="H220" s="9">
        <v>58.2</v>
      </c>
      <c r="I220" s="9">
        <v>0.0</v>
      </c>
      <c r="J220" s="9">
        <v>51.6925</v>
      </c>
      <c r="K220" s="9">
        <v>-2.493611</v>
      </c>
      <c r="L220" s="13">
        <v>55.2865180969238</v>
      </c>
      <c r="M220" s="12" t="str">
        <f>HYPERLINK("http://www.iaea.org/PRIS/CountryStatistics/ReactorDetails.aspx?current=264", "PRIS")</f>
        <v>PRIS</v>
      </c>
      <c r="N220" s="12" t="str">
        <f t="shared" ref="N220:N221" si="54">HYPERLINK("http://maps.google.com/?q=51.6925,-2.49361&amp;t=k", "Map")</f>
        <v>Map</v>
      </c>
    </row>
    <row r="221">
      <c r="A221" s="9" t="s">
        <v>1116</v>
      </c>
      <c r="B221" s="9" t="s">
        <v>1117</v>
      </c>
      <c r="C221" s="12" t="str">
        <f>HYPERLINK("https://www.google.com/search?q=BERKELEY-2+nuclear+power+plant+in+UNITED+KINGDOM", "BERKELEY-2")</f>
        <v>BERKELEY-2</v>
      </c>
      <c r="D221" s="9" t="s">
        <v>1206</v>
      </c>
      <c r="E221" s="9" t="s">
        <v>24</v>
      </c>
      <c r="F221" s="9">
        <v>166.0</v>
      </c>
      <c r="G221" s="9">
        <v>620.0</v>
      </c>
      <c r="H221" s="9">
        <v>58.0</v>
      </c>
      <c r="I221" s="9">
        <v>0.0</v>
      </c>
      <c r="J221" s="9">
        <v>51.6925</v>
      </c>
      <c r="K221" s="9">
        <v>-2.493611</v>
      </c>
      <c r="L221" s="13">
        <v>55.2865180969238</v>
      </c>
      <c r="M221" s="12" t="str">
        <f>HYPERLINK("http://www.iaea.org/PRIS/CountryStatistics/ReactorDetails.aspx?current=265", "PRIS")</f>
        <v>PRIS</v>
      </c>
      <c r="N221" s="12" t="str">
        <f t="shared" si="54"/>
        <v>Map</v>
      </c>
    </row>
    <row r="222">
      <c r="A222" s="9" t="s">
        <v>1116</v>
      </c>
      <c r="B222" s="9" t="s">
        <v>1117</v>
      </c>
      <c r="C222" s="12" t="str">
        <f>HYPERLINK("https://www.google.com/search?q=BRADWELL-1+nuclear+power+plant+in+UNITED+KINGDOM", "BRADWELL-1")</f>
        <v>BRADWELL-1</v>
      </c>
      <c r="D222" s="9" t="s">
        <v>1212</v>
      </c>
      <c r="E222" s="9" t="s">
        <v>24</v>
      </c>
      <c r="F222" s="9">
        <v>146.0</v>
      </c>
      <c r="G222" s="9">
        <v>481.0</v>
      </c>
      <c r="H222" s="9">
        <v>65.5</v>
      </c>
      <c r="I222" s="9">
        <v>0.0</v>
      </c>
      <c r="J222" s="9">
        <v>51.74139</v>
      </c>
      <c r="K222" s="9">
        <v>0.89694</v>
      </c>
      <c r="L222" s="13">
        <v>51.2071685791016</v>
      </c>
      <c r="M222" s="12" t="str">
        <f>HYPERLINK("http://www.iaea.org/PRIS/CountryStatistics/ReactorDetails.aspx?current=266", "PRIS")</f>
        <v>PRIS</v>
      </c>
      <c r="N222" s="12" t="str">
        <f t="shared" ref="N222:N223" si="55">HYPERLINK("http://maps.google.com/?q=51.7414,0.89694&amp;t=k", "Map")</f>
        <v>Map</v>
      </c>
    </row>
    <row r="223">
      <c r="A223" s="9" t="s">
        <v>1116</v>
      </c>
      <c r="B223" s="9" t="s">
        <v>1117</v>
      </c>
      <c r="C223" s="12" t="str">
        <f>HYPERLINK("https://www.google.com/search?q=BRADWELL-2+nuclear+power+plant+in+UNITED+KINGDOM", "BRADWELL-2")</f>
        <v>BRADWELL-2</v>
      </c>
      <c r="D223" s="9" t="s">
        <v>1212</v>
      </c>
      <c r="E223" s="9" t="s">
        <v>24</v>
      </c>
      <c r="F223" s="9">
        <v>146.0</v>
      </c>
      <c r="G223" s="9">
        <v>481.0</v>
      </c>
      <c r="H223" s="9">
        <v>65.5</v>
      </c>
      <c r="I223" s="9">
        <v>0.0</v>
      </c>
      <c r="J223" s="9">
        <v>51.74139</v>
      </c>
      <c r="K223" s="9">
        <v>0.89694</v>
      </c>
      <c r="L223" s="13">
        <v>51.2071685791016</v>
      </c>
      <c r="M223" s="12" t="str">
        <f>HYPERLINK("http://www.iaea.org/PRIS/CountryStatistics/ReactorDetails.aspx?current=267", "PRIS")</f>
        <v>PRIS</v>
      </c>
      <c r="N223" s="12" t="str">
        <f t="shared" si="55"/>
        <v>Map</v>
      </c>
    </row>
    <row r="224">
      <c r="A224" s="9" t="s">
        <v>1116</v>
      </c>
      <c r="B224" s="9" t="s">
        <v>1117</v>
      </c>
      <c r="C224" s="12" t="str">
        <f>HYPERLINK("https://www.google.com/search?q=WINDSCALE+AGR+nuclear+power+plant+in+UNITED+KINGDOM", "WINDSCALE AGR")</f>
        <v>WINDSCALE AGR</v>
      </c>
      <c r="D224" s="9" t="s">
        <v>1300</v>
      </c>
      <c r="E224" s="9" t="s">
        <v>24</v>
      </c>
      <c r="F224" s="9">
        <v>36.0</v>
      </c>
      <c r="G224" s="9">
        <v>120.0</v>
      </c>
      <c r="H224" s="9">
        <v>59.8</v>
      </c>
      <c r="I224" s="9">
        <v>0.0</v>
      </c>
      <c r="J224" s="9">
        <v>0.0</v>
      </c>
      <c r="K224" s="9">
        <v>0.0</v>
      </c>
      <c r="L224" s="13">
        <v>-4924.587890625</v>
      </c>
      <c r="M224" s="12" t="str">
        <f>HYPERLINK("http://www.iaea.org/PRIS/CountryStatistics/ReactorDetails.aspx?current=268", "PRIS")</f>
        <v>PRIS</v>
      </c>
      <c r="N224" s="12" t="str">
        <f>HYPERLINK("http://maps.google.com/?q=0,0&amp;t=k", "Map")</f>
        <v>Map</v>
      </c>
    </row>
    <row r="225">
      <c r="A225" s="9" t="s">
        <v>1116</v>
      </c>
      <c r="B225" s="9" t="s">
        <v>1117</v>
      </c>
      <c r="C225" s="12" t="str">
        <f>HYPERLINK("https://www.google.com/search?q=HUNTERSTON+A-1+nuclear+power+plant+in+UNITED+KINGDOM", "HUNTERSTON A-1")</f>
        <v>HUNTERSTON A-1</v>
      </c>
      <c r="D225" s="9" t="s">
        <v>1210</v>
      </c>
      <c r="E225" s="9" t="s">
        <v>24</v>
      </c>
      <c r="F225" s="9">
        <v>173.0</v>
      </c>
      <c r="G225" s="9">
        <v>595.0</v>
      </c>
      <c r="H225" s="9">
        <v>81.6</v>
      </c>
      <c r="I225" s="9">
        <v>0.0</v>
      </c>
      <c r="J225" s="9">
        <v>55.72222</v>
      </c>
      <c r="K225" s="9">
        <v>-4.89</v>
      </c>
      <c r="L225" s="13">
        <v>64.7789611816406</v>
      </c>
      <c r="M225" s="12" t="str">
        <f>HYPERLINK("http://www.iaea.org/PRIS/CountryStatistics/ReactorDetails.aspx?current=269", "PRIS")</f>
        <v>PRIS</v>
      </c>
      <c r="N225" s="12" t="str">
        <f t="shared" ref="N225:N226" si="56">HYPERLINK("http://maps.google.com/?q=55.7222,-4.89&amp;t=k", "Map")</f>
        <v>Map</v>
      </c>
    </row>
    <row r="226">
      <c r="A226" s="9" t="s">
        <v>1116</v>
      </c>
      <c r="B226" s="9" t="s">
        <v>1117</v>
      </c>
      <c r="C226" s="12" t="str">
        <f>HYPERLINK("https://www.google.com/search?q=HUNTERSTON+A-2+nuclear+power+plant+in+UNITED+KINGDOM", "HUNTERSTON A-2")</f>
        <v>HUNTERSTON A-2</v>
      </c>
      <c r="D226" s="9" t="s">
        <v>1210</v>
      </c>
      <c r="E226" s="9" t="s">
        <v>24</v>
      </c>
      <c r="F226" s="9">
        <v>173.0</v>
      </c>
      <c r="G226" s="9">
        <v>595.0</v>
      </c>
      <c r="H226" s="9">
        <v>81.6</v>
      </c>
      <c r="I226" s="9">
        <v>0.0</v>
      </c>
      <c r="J226" s="9">
        <v>55.72222</v>
      </c>
      <c r="K226" s="9">
        <v>-4.89</v>
      </c>
      <c r="L226" s="13">
        <v>64.7789611816406</v>
      </c>
      <c r="M226" s="12" t="str">
        <f>HYPERLINK("http://www.iaea.org/PRIS/CountryStatistics/ReactorDetails.aspx?current=270", "PRIS")</f>
        <v>PRIS</v>
      </c>
      <c r="N226" s="12" t="str">
        <f t="shared" si="56"/>
        <v>Map</v>
      </c>
    </row>
    <row r="227">
      <c r="A227" s="9" t="s">
        <v>1116</v>
      </c>
      <c r="B227" s="9" t="s">
        <v>1117</v>
      </c>
      <c r="C227" s="12" t="str">
        <f>HYPERLINK("https://www.google.com/search?q=HINKLEY+POINT+A-1+nuclear+power+plant+in+UNITED+KINGDOM", "HINKLEY POINT A-1")</f>
        <v>HINKLEY POINT A-1</v>
      </c>
      <c r="D227" s="9" t="s">
        <v>1262</v>
      </c>
      <c r="E227" s="9" t="s">
        <v>24</v>
      </c>
      <c r="F227" s="9">
        <v>267.0</v>
      </c>
      <c r="G227" s="9">
        <v>900.0</v>
      </c>
      <c r="H227" s="9">
        <v>72.4</v>
      </c>
      <c r="I227" s="9">
        <v>0.0</v>
      </c>
      <c r="J227" s="9">
        <v>51.208739</v>
      </c>
      <c r="K227" s="9">
        <v>-3.133743</v>
      </c>
      <c r="L227" s="13">
        <v>59.2216911315918</v>
      </c>
      <c r="M227" s="12" t="str">
        <f>HYPERLINK("http://www.iaea.org/PRIS/CountryStatistics/ReactorDetails.aspx?current=271", "PRIS")</f>
        <v>PRIS</v>
      </c>
      <c r="N227" s="12" t="str">
        <f>HYPERLINK("http://maps.google.com/?q=51.2087,-3.13374&amp;t=k", "Map")</f>
        <v>Map</v>
      </c>
    </row>
    <row r="228">
      <c r="A228" s="9" t="s">
        <v>1116</v>
      </c>
      <c r="B228" s="9" t="s">
        <v>1117</v>
      </c>
      <c r="C228" s="12" t="str">
        <f>HYPERLINK("https://www.google.com/search?q=HINKLEY+POINT+A-2+nuclear+power+plant+in+UNITED+KINGDOM", "HINKLEY POINT A-2")</f>
        <v>HINKLEY POINT A-2</v>
      </c>
      <c r="D228" s="9" t="s">
        <v>1262</v>
      </c>
      <c r="E228" s="9" t="s">
        <v>24</v>
      </c>
      <c r="F228" s="9">
        <v>267.0</v>
      </c>
      <c r="G228" s="9">
        <v>900.0</v>
      </c>
      <c r="H228" s="9">
        <v>72.4</v>
      </c>
      <c r="I228" s="9">
        <v>0.0</v>
      </c>
      <c r="J228" s="9">
        <v>51.209034</v>
      </c>
      <c r="K228" s="9">
        <v>-3.127477</v>
      </c>
      <c r="L228" s="13">
        <v>57.2839508056641</v>
      </c>
      <c r="M228" s="12" t="str">
        <f>HYPERLINK("http://www.iaea.org/PRIS/CountryStatistics/ReactorDetails.aspx?current=272", "PRIS")</f>
        <v>PRIS</v>
      </c>
      <c r="N228" s="12" t="str">
        <f>HYPERLINK("http://maps.google.com/?q=51.209,-3.12748&amp;t=k", "Map")</f>
        <v>Map</v>
      </c>
    </row>
    <row r="229">
      <c r="A229" s="9" t="s">
        <v>1116</v>
      </c>
      <c r="B229" s="9" t="s">
        <v>1117</v>
      </c>
      <c r="C229" s="12" t="str">
        <f>HYPERLINK("https://www.google.com/search?q=TRAWSFYNYDD-1+nuclear+power+plant+in+UNITED+KINGDOM", "TRAWSFYNYDD-1")</f>
        <v>TRAWSFYNYDD-1</v>
      </c>
      <c r="D229" s="9" t="s">
        <v>1295</v>
      </c>
      <c r="E229" s="9" t="s">
        <v>24</v>
      </c>
      <c r="F229" s="9">
        <v>235.0</v>
      </c>
      <c r="G229" s="9">
        <v>850.0</v>
      </c>
      <c r="H229" s="9">
        <v>79.6</v>
      </c>
      <c r="I229" s="9">
        <v>0.0</v>
      </c>
      <c r="J229" s="9">
        <v>52.9248639</v>
      </c>
      <c r="K229" s="9">
        <v>-3.9484389</v>
      </c>
      <c r="L229" s="13">
        <v>250.641006469727</v>
      </c>
      <c r="M229" s="12" t="str">
        <f>HYPERLINK("http://www.iaea.org/PRIS/CountryStatistics/ReactorDetails.aspx?current=273", "PRIS")</f>
        <v>PRIS</v>
      </c>
      <c r="N229" s="12" t="str">
        <f t="shared" ref="N229:N230" si="57">HYPERLINK("http://maps.google.com/?q=52.9249,-3.94844&amp;t=k", "Map")</f>
        <v>Map</v>
      </c>
    </row>
    <row r="230">
      <c r="A230" s="9" t="s">
        <v>1116</v>
      </c>
      <c r="B230" s="9" t="s">
        <v>1117</v>
      </c>
      <c r="C230" s="12" t="str">
        <f>HYPERLINK("https://www.google.com/search?q=TRAWSFYNYDD-2+nuclear+power+plant+in+UNITED+KINGDOM", "TRAWSFYNYDD-2")</f>
        <v>TRAWSFYNYDD-2</v>
      </c>
      <c r="D230" s="9" t="s">
        <v>1295</v>
      </c>
      <c r="E230" s="9" t="s">
        <v>24</v>
      </c>
      <c r="F230" s="9">
        <v>235.0</v>
      </c>
      <c r="G230" s="9">
        <v>850.0</v>
      </c>
      <c r="H230" s="9">
        <v>79.6</v>
      </c>
      <c r="I230" s="9">
        <v>0.0</v>
      </c>
      <c r="J230" s="9">
        <v>52.9248639</v>
      </c>
      <c r="K230" s="9">
        <v>-3.9484389</v>
      </c>
      <c r="L230" s="13">
        <v>250.641006469727</v>
      </c>
      <c r="M230" s="12" t="str">
        <f>HYPERLINK("http://www.iaea.org/PRIS/CountryStatistics/ReactorDetails.aspx?current=274", "PRIS")</f>
        <v>PRIS</v>
      </c>
      <c r="N230" s="12" t="str">
        <f t="shared" si="57"/>
        <v>Map</v>
      </c>
    </row>
    <row r="231">
      <c r="A231" s="9" t="s">
        <v>1116</v>
      </c>
      <c r="B231" s="9" t="s">
        <v>1117</v>
      </c>
      <c r="C231" s="12" t="str">
        <f>HYPERLINK("https://www.google.com/search?q=DUNGENESS+A-1+nuclear+power+plant+in+UNITED+KINGDOM", "DUNGENESS A-1")</f>
        <v>DUNGENESS A-1</v>
      </c>
      <c r="D231" s="9" t="s">
        <v>1240</v>
      </c>
      <c r="E231" s="9" t="s">
        <v>24</v>
      </c>
      <c r="F231" s="9">
        <v>230.0</v>
      </c>
      <c r="G231" s="9">
        <v>840.0</v>
      </c>
      <c r="H231" s="9">
        <v>74.0</v>
      </c>
      <c r="I231" s="9">
        <v>0.0</v>
      </c>
      <c r="J231" s="9">
        <v>50.913889</v>
      </c>
      <c r="K231" s="9">
        <v>0.963889</v>
      </c>
      <c r="L231" s="13">
        <v>41.1498870849609</v>
      </c>
      <c r="M231" s="12" t="str">
        <f>HYPERLINK("http://www.iaea.org/PRIS/CountryStatistics/ReactorDetails.aspx?current=275", "PRIS")</f>
        <v>PRIS</v>
      </c>
      <c r="N231" s="12" t="str">
        <f>HYPERLINK("http://maps.google.com/?q=50.9139,0.963889&amp;t=k", "Map")</f>
        <v>Map</v>
      </c>
    </row>
    <row r="232">
      <c r="A232" s="9" t="s">
        <v>1116</v>
      </c>
      <c r="B232" s="9" t="s">
        <v>1117</v>
      </c>
      <c r="C232" s="12" t="str">
        <f>HYPERLINK("https://www.google.com/search?q=DUNGENESS+A-2+nuclear+power+plant+in+UNITED+KINGDOM", "DUNGENESS A-2")</f>
        <v>DUNGENESS A-2</v>
      </c>
      <c r="D232" s="9" t="s">
        <v>1240</v>
      </c>
      <c r="E232" s="9" t="s">
        <v>24</v>
      </c>
      <c r="F232" s="9">
        <v>230.0</v>
      </c>
      <c r="G232" s="9">
        <v>840.0</v>
      </c>
      <c r="H232" s="9">
        <v>74.9</v>
      </c>
      <c r="I232" s="9">
        <v>0.0</v>
      </c>
      <c r="J232" s="9">
        <v>52.215</v>
      </c>
      <c r="K232" s="9">
        <v>1.61972</v>
      </c>
      <c r="L232" s="13">
        <v>46.2632637023926</v>
      </c>
      <c r="M232" s="12" t="str">
        <f>HYPERLINK("http://www.iaea.org/PRIS/CountryStatistics/ReactorDetails.aspx?current=276", "PRIS")</f>
        <v>PRIS</v>
      </c>
      <c r="N232" s="12" t="str">
        <f>HYPERLINK("http://maps.google.com/?q=52.215,1.61972&amp;t=k", "Map")</f>
        <v>Map</v>
      </c>
    </row>
    <row r="233">
      <c r="A233" s="9" t="s">
        <v>554</v>
      </c>
      <c r="B233" s="9" t="s">
        <v>555</v>
      </c>
      <c r="C233" s="12" t="str">
        <f>HYPERLINK("https://www.google.com/search?q=PAKS-1+nuclear+power+plant+in+HUNGARY", "PAKS-1")</f>
        <v>PAKS-1</v>
      </c>
      <c r="D233" s="9" t="s">
        <v>557</v>
      </c>
      <c r="E233" s="9" t="s">
        <v>21</v>
      </c>
      <c r="F233" s="9">
        <v>500.0</v>
      </c>
      <c r="G233" s="9">
        <v>1485.0</v>
      </c>
      <c r="H233" s="9">
        <v>87.0</v>
      </c>
      <c r="I233" s="9">
        <v>93.1</v>
      </c>
      <c r="J233" s="9">
        <v>46.5725</v>
      </c>
      <c r="K233" s="9">
        <v>18.85417</v>
      </c>
      <c r="L233" s="13">
        <v>137.62548828125</v>
      </c>
      <c r="M233" s="12" t="str">
        <f>HYPERLINK("http://www.iaea.org/PRIS/CountryStatistics/ReactorDetails.aspx?current=278", "PRIS")</f>
        <v>PRIS</v>
      </c>
      <c r="N233" s="12" t="str">
        <f t="shared" ref="N233:N236" si="58">HYPERLINK("http://maps.google.com/?q=46.5725,18.8542&amp;t=k", "Map")</f>
        <v>Map</v>
      </c>
    </row>
    <row r="234">
      <c r="A234" s="9" t="s">
        <v>554</v>
      </c>
      <c r="B234" s="9" t="s">
        <v>555</v>
      </c>
      <c r="C234" s="12" t="str">
        <f>HYPERLINK("https://www.google.com/search?q=PAKS-2+nuclear+power+plant+in+HUNGARY", "PAKS-2")</f>
        <v>PAKS-2</v>
      </c>
      <c r="D234" s="9" t="s">
        <v>557</v>
      </c>
      <c r="E234" s="9" t="s">
        <v>21</v>
      </c>
      <c r="F234" s="9">
        <v>500.0</v>
      </c>
      <c r="G234" s="9">
        <v>1485.0</v>
      </c>
      <c r="H234" s="9">
        <v>81.6</v>
      </c>
      <c r="I234" s="9">
        <v>91.6</v>
      </c>
      <c r="J234" s="9">
        <v>46.5725</v>
      </c>
      <c r="K234" s="9">
        <v>18.85417</v>
      </c>
      <c r="L234" s="13">
        <v>137.62548828125</v>
      </c>
      <c r="M234" s="12" t="str">
        <f>HYPERLINK("http://www.iaea.org/PRIS/CountryStatistics/ReactorDetails.aspx?current=279", "PRIS")</f>
        <v>PRIS</v>
      </c>
      <c r="N234" s="12" t="str">
        <f t="shared" si="58"/>
        <v>Map</v>
      </c>
    </row>
    <row r="235">
      <c r="A235" s="9" t="s">
        <v>554</v>
      </c>
      <c r="B235" s="9" t="s">
        <v>555</v>
      </c>
      <c r="C235" s="12" t="str">
        <f>HYPERLINK("https://www.google.com/search?q=PAKS-3+nuclear+power+plant+in+HUNGARY", "PAKS-3")</f>
        <v>PAKS-3</v>
      </c>
      <c r="D235" s="9" t="s">
        <v>557</v>
      </c>
      <c r="E235" s="9" t="s">
        <v>21</v>
      </c>
      <c r="F235" s="9">
        <v>500.0</v>
      </c>
      <c r="G235" s="9">
        <v>1485.0</v>
      </c>
      <c r="H235" s="9">
        <v>87.0</v>
      </c>
      <c r="I235" s="9">
        <v>73.7</v>
      </c>
      <c r="J235" s="9">
        <v>46.5725</v>
      </c>
      <c r="K235" s="9">
        <v>18.85417</v>
      </c>
      <c r="L235" s="13">
        <v>137.62548828125</v>
      </c>
      <c r="M235" s="12" t="str">
        <f>HYPERLINK("http://www.iaea.org/PRIS/CountryStatistics/ReactorDetails.aspx?current=280", "PRIS")</f>
        <v>PRIS</v>
      </c>
      <c r="N235" s="12" t="str">
        <f t="shared" si="58"/>
        <v>Map</v>
      </c>
    </row>
    <row r="236">
      <c r="A236" s="9" t="s">
        <v>554</v>
      </c>
      <c r="B236" s="9" t="s">
        <v>555</v>
      </c>
      <c r="C236" s="12" t="str">
        <f>HYPERLINK("https://www.google.com/search?q=PAKS-4+nuclear+power+plant+in+HUNGARY", "PAKS-4")</f>
        <v>PAKS-4</v>
      </c>
      <c r="D236" s="9" t="s">
        <v>557</v>
      </c>
      <c r="E236" s="9" t="s">
        <v>21</v>
      </c>
      <c r="F236" s="9">
        <v>500.0</v>
      </c>
      <c r="G236" s="9">
        <v>1485.0</v>
      </c>
      <c r="H236" s="9">
        <v>89.1</v>
      </c>
      <c r="I236" s="9">
        <v>93.0</v>
      </c>
      <c r="J236" s="9">
        <v>46.5725</v>
      </c>
      <c r="K236" s="9">
        <v>18.85417</v>
      </c>
      <c r="L236" s="13">
        <v>137.62548828125</v>
      </c>
      <c r="M236" s="12" t="str">
        <f>HYPERLINK("http://www.iaea.org/PRIS/CountryStatistics/ReactorDetails.aspx?current=281", "PRIS")</f>
        <v>PRIS</v>
      </c>
      <c r="N236" s="12" t="str">
        <f t="shared" si="58"/>
        <v>Map</v>
      </c>
    </row>
    <row r="237">
      <c r="A237" s="9" t="s">
        <v>565</v>
      </c>
      <c r="B237" s="9" t="s">
        <v>566</v>
      </c>
      <c r="C237" s="12" t="str">
        <f>HYPERLINK("https://www.google.com/search?q=TARAPUR-1+nuclear+power+plant+in+INDIA", "TARAPUR-1")</f>
        <v>TARAPUR-1</v>
      </c>
      <c r="D237" s="9" t="s">
        <v>622</v>
      </c>
      <c r="E237" s="9" t="s">
        <v>21</v>
      </c>
      <c r="F237" s="9">
        <v>160.0</v>
      </c>
      <c r="G237" s="9">
        <v>530.0</v>
      </c>
      <c r="H237" s="9">
        <v>62.9</v>
      </c>
      <c r="I237" s="9">
        <v>85.3</v>
      </c>
      <c r="J237" s="9">
        <v>19.8289806</v>
      </c>
      <c r="K237" s="9">
        <v>72.6612056</v>
      </c>
      <c r="L237" s="13">
        <v>-64.6080017089844</v>
      </c>
      <c r="M237" s="12" t="str">
        <f>HYPERLINK("http://www.iaea.org/PRIS/CountryStatistics/ReactorDetails.aspx?current=285", "PRIS")</f>
        <v>PRIS</v>
      </c>
      <c r="N237" s="12" t="str">
        <f>HYPERLINK("http://maps.google.com/?q=19.829,72.6612&amp;t=k", "Map")</f>
        <v>Map</v>
      </c>
    </row>
    <row r="238">
      <c r="A238" s="9" t="s">
        <v>565</v>
      </c>
      <c r="B238" s="9" t="s">
        <v>566</v>
      </c>
      <c r="C238" s="12" t="str">
        <f>HYPERLINK("https://www.google.com/search?q=KAKRAPAR-2+nuclear+power+plant+in+INDIA", "KAKRAPAR-2")</f>
        <v>KAKRAPAR-2</v>
      </c>
      <c r="D238" s="9" t="s">
        <v>577</v>
      </c>
      <c r="E238" s="9" t="s">
        <v>21</v>
      </c>
      <c r="F238" s="9">
        <v>220.0</v>
      </c>
      <c r="G238" s="9">
        <v>801.0</v>
      </c>
      <c r="H238" s="9">
        <v>73.7</v>
      </c>
      <c r="I238" s="9">
        <v>95.5</v>
      </c>
      <c r="J238" s="9">
        <v>21.23861</v>
      </c>
      <c r="K238" s="9">
        <v>73.35</v>
      </c>
      <c r="L238" s="13">
        <v>-13.4453926086426</v>
      </c>
      <c r="M238" s="12" t="str">
        <f>HYPERLINK("http://www.iaea.org/PRIS/CountryStatistics/ReactorDetails.aspx?current=286", "PRIS")</f>
        <v>PRIS</v>
      </c>
      <c r="N238" s="12" t="str">
        <f>HYPERLINK("http://maps.google.com/?q=21.2386,73.35&amp;t=k", "Map")</f>
        <v>Map</v>
      </c>
    </row>
    <row r="239">
      <c r="A239" s="9" t="s">
        <v>565</v>
      </c>
      <c r="B239" s="9" t="s">
        <v>566</v>
      </c>
      <c r="C239" s="12" t="str">
        <f>HYPERLINK("https://www.google.com/search?q=RAJASTHAN-3+nuclear+power+plant+in+INDIA", "RAJASTHAN-3")</f>
        <v>RAJASTHAN-3</v>
      </c>
      <c r="D239" s="9" t="s">
        <v>603</v>
      </c>
      <c r="E239" s="9" t="s">
        <v>21</v>
      </c>
      <c r="F239" s="9">
        <v>220.0</v>
      </c>
      <c r="G239" s="9">
        <v>801.0</v>
      </c>
      <c r="H239" s="9">
        <v>74.6</v>
      </c>
      <c r="I239" s="9">
        <v>97.8</v>
      </c>
      <c r="J239" s="9">
        <v>24.87222</v>
      </c>
      <c r="K239" s="9">
        <v>75.61389</v>
      </c>
      <c r="L239" s="13">
        <v>312.122406005859</v>
      </c>
      <c r="M239" s="12" t="str">
        <f>HYPERLINK("http://www.iaea.org/PRIS/CountryStatistics/ReactorDetails.aspx?current=287", "PRIS")</f>
        <v>PRIS</v>
      </c>
      <c r="N239" s="12" t="str">
        <f t="shared" ref="N239:N240" si="59">HYPERLINK("http://maps.google.com/?q=24.8722,75.6139&amp;t=k", "Map")</f>
        <v>Map</v>
      </c>
    </row>
    <row r="240">
      <c r="A240" s="9" t="s">
        <v>565</v>
      </c>
      <c r="B240" s="9" t="s">
        <v>566</v>
      </c>
      <c r="C240" s="12" t="str">
        <f>HYPERLINK("https://www.google.com/search?q=RAJASTHAN-4+nuclear+power+plant+in+INDIA", "RAJASTHAN-4")</f>
        <v>RAJASTHAN-4</v>
      </c>
      <c r="D240" s="9" t="s">
        <v>603</v>
      </c>
      <c r="E240" s="9" t="s">
        <v>21</v>
      </c>
      <c r="F240" s="9">
        <v>220.0</v>
      </c>
      <c r="G240" s="9">
        <v>801.0</v>
      </c>
      <c r="H240" s="9">
        <v>75.6</v>
      </c>
      <c r="I240" s="9">
        <v>93.4</v>
      </c>
      <c r="J240" s="9">
        <v>24.87222</v>
      </c>
      <c r="K240" s="9">
        <v>75.61389</v>
      </c>
      <c r="L240" s="13">
        <v>312.122406005859</v>
      </c>
      <c r="M240" s="12" t="str">
        <f>HYPERLINK("http://www.iaea.org/PRIS/CountryStatistics/ReactorDetails.aspx?current=288", "PRIS")</f>
        <v>PRIS</v>
      </c>
      <c r="N240" s="12" t="str">
        <f t="shared" si="59"/>
        <v>Map</v>
      </c>
    </row>
    <row r="241">
      <c r="A241" s="9" t="s">
        <v>565</v>
      </c>
      <c r="B241" s="9" t="s">
        <v>566</v>
      </c>
      <c r="C241" s="12" t="str">
        <f>HYPERLINK("https://www.google.com/search?q=KAIGA-1+nuclear+power+plant+in+INDIA", "KAIGA-1")</f>
        <v>KAIGA-1</v>
      </c>
      <c r="D241" s="9" t="s">
        <v>568</v>
      </c>
      <c r="E241" s="9" t="s">
        <v>21</v>
      </c>
      <c r="F241" s="9">
        <v>220.0</v>
      </c>
      <c r="G241" s="9">
        <v>801.0</v>
      </c>
      <c r="H241" s="9">
        <v>68.4</v>
      </c>
      <c r="I241" s="9">
        <v>81.4</v>
      </c>
      <c r="J241" s="9">
        <v>14.8653222</v>
      </c>
      <c r="K241" s="9">
        <v>74.4396417</v>
      </c>
      <c r="L241" s="13">
        <v>-25.1908721923828</v>
      </c>
      <c r="M241" s="12" t="str">
        <f>HYPERLINK("http://www.iaea.org/PRIS/CountryStatistics/ReactorDetails.aspx?current=289", "PRIS")</f>
        <v>PRIS</v>
      </c>
      <c r="N241" s="12" t="str">
        <f t="shared" ref="N241:N244" si="60">HYPERLINK("http://maps.google.com/?q=14.8653,74.4396&amp;t=k", "Map")</f>
        <v>Map</v>
      </c>
    </row>
    <row r="242">
      <c r="A242" s="9" t="s">
        <v>565</v>
      </c>
      <c r="B242" s="9" t="s">
        <v>566</v>
      </c>
      <c r="C242" s="12" t="str">
        <f>HYPERLINK("https://www.google.com/search?q=KAIGA-2+nuclear+power+plant+in+INDIA", "KAIGA-2")</f>
        <v>KAIGA-2</v>
      </c>
      <c r="D242" s="9" t="s">
        <v>568</v>
      </c>
      <c r="E242" s="9" t="s">
        <v>21</v>
      </c>
      <c r="F242" s="9">
        <v>220.0</v>
      </c>
      <c r="G242" s="9">
        <v>801.0</v>
      </c>
      <c r="H242" s="9">
        <v>68.6</v>
      </c>
      <c r="I242" s="9">
        <v>86.7</v>
      </c>
      <c r="J242" s="9">
        <v>14.8653222</v>
      </c>
      <c r="K242" s="9">
        <v>74.4396417</v>
      </c>
      <c r="L242" s="13">
        <v>-25.1908721923828</v>
      </c>
      <c r="M242" s="12" t="str">
        <f>HYPERLINK("http://www.iaea.org/PRIS/CountryStatistics/ReactorDetails.aspx?current=290", "PRIS")</f>
        <v>PRIS</v>
      </c>
      <c r="N242" s="12" t="str">
        <f t="shared" si="60"/>
        <v>Map</v>
      </c>
    </row>
    <row r="243">
      <c r="A243" s="9" t="s">
        <v>565</v>
      </c>
      <c r="B243" s="9" t="s">
        <v>566</v>
      </c>
      <c r="C243" s="12" t="str">
        <f>HYPERLINK("https://www.google.com/search?q=KAIGA-3+nuclear+power+plant+in+INDIA", "KAIGA-3")</f>
        <v>KAIGA-3</v>
      </c>
      <c r="D243" s="9" t="s">
        <v>568</v>
      </c>
      <c r="E243" s="9" t="s">
        <v>21</v>
      </c>
      <c r="F243" s="9">
        <v>220.0</v>
      </c>
      <c r="G243" s="9">
        <v>800.0</v>
      </c>
      <c r="H243" s="9">
        <v>54.8</v>
      </c>
      <c r="I243" s="9">
        <v>88.0</v>
      </c>
      <c r="J243" s="9">
        <v>14.8653222</v>
      </c>
      <c r="K243" s="9">
        <v>74.4396417</v>
      </c>
      <c r="L243" s="13">
        <v>-25.1908721923828</v>
      </c>
      <c r="M243" s="12" t="str">
        <f>HYPERLINK("http://www.iaea.org/PRIS/CountryStatistics/ReactorDetails.aspx?current=291", "PRIS")</f>
        <v>PRIS</v>
      </c>
      <c r="N243" s="12" t="str">
        <f t="shared" si="60"/>
        <v>Map</v>
      </c>
    </row>
    <row r="244">
      <c r="A244" s="9" t="s">
        <v>565</v>
      </c>
      <c r="B244" s="9" t="s">
        <v>566</v>
      </c>
      <c r="C244" s="12" t="str">
        <f>HYPERLINK("https://www.google.com/search?q=KAIGA-4+nuclear+power+plant+in+INDIA", "KAIGA-4")</f>
        <v>KAIGA-4</v>
      </c>
      <c r="D244" s="9" t="s">
        <v>568</v>
      </c>
      <c r="E244" s="9" t="s">
        <v>21</v>
      </c>
      <c r="F244" s="9">
        <v>220.0</v>
      </c>
      <c r="G244" s="9">
        <v>800.0</v>
      </c>
      <c r="H244" s="9">
        <v>68.0</v>
      </c>
      <c r="I244" s="9">
        <v>67.1</v>
      </c>
      <c r="J244" s="9">
        <v>14.8653222</v>
      </c>
      <c r="K244" s="9">
        <v>74.4396417</v>
      </c>
      <c r="L244" s="13">
        <v>-25.1908721923828</v>
      </c>
      <c r="M244" s="12" t="str">
        <f>HYPERLINK("http://www.iaea.org/PRIS/CountryStatistics/ReactorDetails.aspx?current=292", "PRIS")</f>
        <v>PRIS</v>
      </c>
      <c r="N244" s="12" t="str">
        <f t="shared" si="60"/>
        <v>Map</v>
      </c>
    </row>
    <row r="245">
      <c r="A245" s="9" t="s">
        <v>565</v>
      </c>
      <c r="B245" s="9" t="s">
        <v>566</v>
      </c>
      <c r="C245" s="12" t="str">
        <f>HYPERLINK("https://www.google.com/search?q=RAJASTHAN-5+nuclear+power+plant+in+INDIA", "RAJASTHAN-5")</f>
        <v>RAJASTHAN-5</v>
      </c>
      <c r="D245" s="9" t="s">
        <v>603</v>
      </c>
      <c r="E245" s="9" t="s">
        <v>21</v>
      </c>
      <c r="F245" s="9">
        <v>220.0</v>
      </c>
      <c r="G245" s="9">
        <v>801.0</v>
      </c>
      <c r="H245" s="9">
        <v>94.9</v>
      </c>
      <c r="I245" s="9">
        <v>104.1</v>
      </c>
      <c r="J245" s="9">
        <v>24.87222</v>
      </c>
      <c r="K245" s="9">
        <v>75.61389</v>
      </c>
      <c r="L245" s="13">
        <v>312.122406005859</v>
      </c>
      <c r="M245" s="12" t="str">
        <f>HYPERLINK("http://www.iaea.org/PRIS/CountryStatistics/ReactorDetails.aspx?current=295", "PRIS")</f>
        <v>PRIS</v>
      </c>
      <c r="N245" s="12" t="str">
        <f>HYPERLINK("http://maps.google.com/?q=24.8722,75.6139&amp;t=k", "Map")</f>
        <v>Map</v>
      </c>
    </row>
    <row r="246">
      <c r="A246" s="9" t="s">
        <v>565</v>
      </c>
      <c r="B246" s="9" t="s">
        <v>566</v>
      </c>
      <c r="C246" s="12" t="str">
        <f>HYPERLINK("https://www.google.com/search?q=TARAPUR-2+nuclear+power+plant+in+INDIA", "TARAPUR-2")</f>
        <v>TARAPUR-2</v>
      </c>
      <c r="D246" s="9" t="s">
        <v>622</v>
      </c>
      <c r="E246" s="9" t="s">
        <v>21</v>
      </c>
      <c r="F246" s="9">
        <v>160.0</v>
      </c>
      <c r="G246" s="9">
        <v>530.0</v>
      </c>
      <c r="H246" s="9">
        <v>63.2</v>
      </c>
      <c r="I246" s="9">
        <v>32.3</v>
      </c>
      <c r="J246" s="9">
        <v>19.8289806</v>
      </c>
      <c r="K246" s="9">
        <v>72.6612056</v>
      </c>
      <c r="L246" s="13">
        <v>-64.6080017089844</v>
      </c>
      <c r="M246" s="12" t="str">
        <f>HYPERLINK("http://www.iaea.org/PRIS/CountryStatistics/ReactorDetails.aspx?current=296", "PRIS")</f>
        <v>PRIS</v>
      </c>
      <c r="N246" s="12" t="str">
        <f>HYPERLINK("http://maps.google.com/?q=19.829,72.6612&amp;t=k", "Map")</f>
        <v>Map</v>
      </c>
    </row>
    <row r="247">
      <c r="A247" s="9" t="s">
        <v>565</v>
      </c>
      <c r="B247" s="9" t="s">
        <v>566</v>
      </c>
      <c r="C247" s="12" t="str">
        <f>HYPERLINK("https://www.google.com/search?q=RAJASTHAN-6+nuclear+power+plant+in+INDIA", "RAJASTHAN-6")</f>
        <v>RAJASTHAN-6</v>
      </c>
      <c r="D247" s="9" t="s">
        <v>603</v>
      </c>
      <c r="E247" s="9" t="s">
        <v>21</v>
      </c>
      <c r="F247" s="9">
        <v>220.0</v>
      </c>
      <c r="G247" s="9">
        <v>801.0</v>
      </c>
      <c r="H247" s="9">
        <v>79.9</v>
      </c>
      <c r="I247" s="9">
        <v>86.6</v>
      </c>
      <c r="J247" s="9">
        <v>24.87222</v>
      </c>
      <c r="K247" s="9">
        <v>75.61389</v>
      </c>
      <c r="L247" s="13">
        <v>312.122406005859</v>
      </c>
      <c r="M247" s="12" t="str">
        <f>HYPERLINK("http://www.iaea.org/PRIS/CountryStatistics/ReactorDetails.aspx?current=297", "PRIS")</f>
        <v>PRIS</v>
      </c>
      <c r="N247" s="12" t="str">
        <f t="shared" ref="N247:N249" si="61">HYPERLINK("http://maps.google.com/?q=24.8722,75.6139&amp;t=k", "Map")</f>
        <v>Map</v>
      </c>
    </row>
    <row r="248">
      <c r="A248" s="9" t="s">
        <v>565</v>
      </c>
      <c r="B248" s="9" t="s">
        <v>566</v>
      </c>
      <c r="C248" s="12" t="str">
        <f>HYPERLINK("https://www.google.com/search?q=RAJASTHAN-7+nuclear+power+plant+in+INDIA", "RAJASTHAN-7")</f>
        <v>RAJASTHAN-7</v>
      </c>
      <c r="D248" s="9" t="s">
        <v>603</v>
      </c>
      <c r="E248" s="9" t="s">
        <v>26</v>
      </c>
      <c r="F248" s="9">
        <v>700.0</v>
      </c>
      <c r="G248" s="9">
        <v>2177.0</v>
      </c>
      <c r="H248" s="9">
        <v>0.0</v>
      </c>
      <c r="I248" s="9">
        <v>0.0</v>
      </c>
      <c r="J248" s="9">
        <v>24.87222</v>
      </c>
      <c r="K248" s="9">
        <v>75.61389</v>
      </c>
      <c r="L248" s="13">
        <v>312.122406005859</v>
      </c>
      <c r="M248" s="12" t="str">
        <f>HYPERLINK("http://www.iaea.org/PRIS/CountryStatistics/ReactorDetails.aspx?current=298", "PRIS")</f>
        <v>PRIS</v>
      </c>
      <c r="N248" s="12" t="str">
        <f t="shared" si="61"/>
        <v>Map</v>
      </c>
    </row>
    <row r="249">
      <c r="A249" s="9" t="s">
        <v>565</v>
      </c>
      <c r="B249" s="9" t="s">
        <v>566</v>
      </c>
      <c r="C249" s="12" t="str">
        <f>HYPERLINK("https://www.google.com/search?q=RAJASTHAN-8+nuclear+power+plant+in+INDIA", "RAJASTHAN-8")</f>
        <v>RAJASTHAN-8</v>
      </c>
      <c r="D249" s="9" t="s">
        <v>603</v>
      </c>
      <c r="E249" s="9" t="s">
        <v>26</v>
      </c>
      <c r="F249" s="9">
        <v>700.0</v>
      </c>
      <c r="G249" s="9">
        <v>2177.0</v>
      </c>
      <c r="H249" s="9">
        <v>0.0</v>
      </c>
      <c r="I249" s="9">
        <v>0.0</v>
      </c>
      <c r="J249" s="9">
        <v>24.87222</v>
      </c>
      <c r="K249" s="9">
        <v>75.61389</v>
      </c>
      <c r="L249" s="13">
        <v>312.122406005859</v>
      </c>
      <c r="M249" s="12" t="str">
        <f>HYPERLINK("http://www.iaea.org/PRIS/CountryStatistics/ReactorDetails.aspx?current=299", "PRIS")</f>
        <v>PRIS</v>
      </c>
      <c r="N249" s="12" t="str">
        <f t="shared" si="61"/>
        <v>Map</v>
      </c>
    </row>
    <row r="250">
      <c r="A250" s="9" t="s">
        <v>565</v>
      </c>
      <c r="B250" s="9" t="s">
        <v>566</v>
      </c>
      <c r="C250" s="12" t="str">
        <f>HYPERLINK("https://www.google.com/search?q=TARAPUR-3+nuclear+power+plant+in+INDIA", "TARAPUR-3")</f>
        <v>TARAPUR-3</v>
      </c>
      <c r="D250" s="9" t="s">
        <v>622</v>
      </c>
      <c r="E250" s="9" t="s">
        <v>21</v>
      </c>
      <c r="F250" s="9">
        <v>540.0</v>
      </c>
      <c r="G250" s="9">
        <v>1730.0</v>
      </c>
      <c r="H250" s="9">
        <v>67.7</v>
      </c>
      <c r="I250" s="9">
        <v>80.3</v>
      </c>
      <c r="J250" s="9">
        <v>19.8289806</v>
      </c>
      <c r="K250" s="9">
        <v>72.6612056</v>
      </c>
      <c r="L250" s="13">
        <v>-64.6080017089844</v>
      </c>
      <c r="M250" s="12" t="str">
        <f>HYPERLINK("http://www.iaea.org/PRIS/CountryStatistics/ReactorDetails.aspx?current=300", "PRIS")</f>
        <v>PRIS</v>
      </c>
      <c r="N250" s="12" t="str">
        <f t="shared" ref="N250:N251" si="62">HYPERLINK("http://maps.google.com/?q=19.829,72.6612&amp;t=k", "Map")</f>
        <v>Map</v>
      </c>
    </row>
    <row r="251">
      <c r="A251" s="9" t="s">
        <v>565</v>
      </c>
      <c r="B251" s="9" t="s">
        <v>566</v>
      </c>
      <c r="C251" s="12" t="str">
        <f>HYPERLINK("https://www.google.com/search?q=TARAPUR-4+nuclear+power+plant+in+INDIA", "TARAPUR-4")</f>
        <v>TARAPUR-4</v>
      </c>
      <c r="D251" s="9" t="s">
        <v>622</v>
      </c>
      <c r="E251" s="9" t="s">
        <v>21</v>
      </c>
      <c r="F251" s="9">
        <v>540.0</v>
      </c>
      <c r="G251" s="9">
        <v>1730.0</v>
      </c>
      <c r="H251" s="9">
        <v>57.8</v>
      </c>
      <c r="I251" s="9">
        <v>82.2</v>
      </c>
      <c r="J251" s="9">
        <v>19.8289806</v>
      </c>
      <c r="K251" s="9">
        <v>72.6612056</v>
      </c>
      <c r="L251" s="13">
        <v>-64.6080017089844</v>
      </c>
      <c r="M251" s="12" t="str">
        <f>HYPERLINK("http://www.iaea.org/PRIS/CountryStatistics/ReactorDetails.aspx?current=301", "PRIS")</f>
        <v>PRIS</v>
      </c>
      <c r="N251" s="12" t="str">
        <f t="shared" si="62"/>
        <v>Map</v>
      </c>
    </row>
    <row r="252">
      <c r="A252" s="9" t="s">
        <v>565</v>
      </c>
      <c r="B252" s="9" t="s">
        <v>566</v>
      </c>
      <c r="C252" s="12" t="str">
        <f>HYPERLINK("https://www.google.com/search?q=RAJASTHAN-1+nuclear+power+plant+in+INDIA", "RAJASTHAN-1")</f>
        <v>RAJASTHAN-1</v>
      </c>
      <c r="D252" s="9" t="s">
        <v>603</v>
      </c>
      <c r="E252" s="9" t="s">
        <v>21</v>
      </c>
      <c r="F252" s="9">
        <v>100.0</v>
      </c>
      <c r="G252" s="9">
        <v>346.0</v>
      </c>
      <c r="H252" s="9">
        <v>19.3</v>
      </c>
      <c r="I252" s="9">
        <v>0.0</v>
      </c>
      <c r="J252" s="9">
        <v>24.87222</v>
      </c>
      <c r="K252" s="9">
        <v>75.61389</v>
      </c>
      <c r="L252" s="13">
        <v>312.122406005859</v>
      </c>
      <c r="M252" s="12" t="str">
        <f>HYPERLINK("http://www.iaea.org/PRIS/CountryStatistics/ReactorDetails.aspx?current=302", "PRIS")</f>
        <v>PRIS</v>
      </c>
      <c r="N252" s="12" t="str">
        <f t="shared" ref="N252:N253" si="63">HYPERLINK("http://maps.google.com/?q=24.8722,75.6139&amp;t=k", "Map")</f>
        <v>Map</v>
      </c>
    </row>
    <row r="253">
      <c r="A253" s="9" t="s">
        <v>565</v>
      </c>
      <c r="B253" s="9" t="s">
        <v>566</v>
      </c>
      <c r="C253" s="12" t="str">
        <f>HYPERLINK("https://www.google.com/search?q=RAJASTHAN-2+nuclear+power+plant+in+INDIA", "RAJASTHAN-2")</f>
        <v>RAJASTHAN-2</v>
      </c>
      <c r="D253" s="9" t="s">
        <v>603</v>
      </c>
      <c r="E253" s="9" t="s">
        <v>21</v>
      </c>
      <c r="F253" s="9">
        <v>200.0</v>
      </c>
      <c r="G253" s="9">
        <v>693.0</v>
      </c>
      <c r="H253" s="9">
        <v>54.7</v>
      </c>
      <c r="I253" s="9">
        <v>91.5</v>
      </c>
      <c r="J253" s="9">
        <v>24.87222</v>
      </c>
      <c r="K253" s="9">
        <v>75.61389</v>
      </c>
      <c r="L253" s="13">
        <v>312.122406005859</v>
      </c>
      <c r="M253" s="12" t="str">
        <f>HYPERLINK("http://www.iaea.org/PRIS/CountryStatistics/ReactorDetails.aspx?current=303", "PRIS")</f>
        <v>PRIS</v>
      </c>
      <c r="N253" s="12" t="str">
        <f t="shared" si="63"/>
        <v>Map</v>
      </c>
    </row>
    <row r="254">
      <c r="A254" s="9" t="s">
        <v>565</v>
      </c>
      <c r="B254" s="9" t="s">
        <v>566</v>
      </c>
      <c r="C254" s="12" t="str">
        <f>HYPERLINK("https://www.google.com/search?q=MADRAS-1+nuclear+power+plant+in+INDIA", "MADRAS-1")</f>
        <v>MADRAS-1</v>
      </c>
      <c r="D254" s="9" t="s">
        <v>591</v>
      </c>
      <c r="E254" s="9" t="s">
        <v>21</v>
      </c>
      <c r="F254" s="9">
        <v>220.0</v>
      </c>
      <c r="G254" s="9">
        <v>801.0</v>
      </c>
      <c r="H254" s="9">
        <v>51.0</v>
      </c>
      <c r="I254" s="9">
        <v>70.2</v>
      </c>
      <c r="J254" s="9">
        <v>12.5575</v>
      </c>
      <c r="K254" s="9">
        <v>80.175</v>
      </c>
      <c r="L254" s="13">
        <v>-89.5954666137695</v>
      </c>
      <c r="M254" s="12" t="str">
        <f>HYPERLINK("http://www.iaea.org/PRIS/CountryStatistics/ReactorDetails.aspx?current=304", "PRIS")</f>
        <v>PRIS</v>
      </c>
      <c r="N254" s="12" t="str">
        <f t="shared" ref="N254:N255" si="64">HYPERLINK("http://maps.google.com/?q=12.5575,80.175&amp;t=k", "Map")</f>
        <v>Map</v>
      </c>
    </row>
    <row r="255">
      <c r="A255" s="9" t="s">
        <v>565</v>
      </c>
      <c r="B255" s="9" t="s">
        <v>566</v>
      </c>
      <c r="C255" s="12" t="str">
        <f>HYPERLINK("https://www.google.com/search?q=MADRAS-2+nuclear+power+plant+in+INDIA", "MADRAS-2")</f>
        <v>MADRAS-2</v>
      </c>
      <c r="D255" s="9" t="s">
        <v>591</v>
      </c>
      <c r="E255" s="9" t="s">
        <v>21</v>
      </c>
      <c r="F255" s="9">
        <v>220.0</v>
      </c>
      <c r="G255" s="9">
        <v>801.0</v>
      </c>
      <c r="H255" s="9">
        <v>54.6</v>
      </c>
      <c r="I255" s="9">
        <v>31.3</v>
      </c>
      <c r="J255" s="9">
        <v>12.5575</v>
      </c>
      <c r="K255" s="9">
        <v>80.175</v>
      </c>
      <c r="L255" s="13">
        <v>-89.5954666137695</v>
      </c>
      <c r="M255" s="12" t="str">
        <f>HYPERLINK("http://www.iaea.org/PRIS/CountryStatistics/ReactorDetails.aspx?current=305", "PRIS")</f>
        <v>PRIS</v>
      </c>
      <c r="N255" s="12" t="str">
        <f t="shared" si="64"/>
        <v>Map</v>
      </c>
    </row>
    <row r="256">
      <c r="A256" s="9" t="s">
        <v>565</v>
      </c>
      <c r="B256" s="9" t="s">
        <v>566</v>
      </c>
      <c r="C256" s="12" t="str">
        <f>HYPERLINK("https://www.google.com/search?q=NARORA-1+nuclear+power+plant+in+INDIA", "NARORA-1")</f>
        <v>NARORA-1</v>
      </c>
      <c r="D256" s="9" t="s">
        <v>596</v>
      </c>
      <c r="E256" s="9" t="s">
        <v>21</v>
      </c>
      <c r="F256" s="9">
        <v>220.0</v>
      </c>
      <c r="G256" s="9">
        <v>801.0</v>
      </c>
      <c r="H256" s="9">
        <v>52.7</v>
      </c>
      <c r="I256" s="9">
        <v>69.2</v>
      </c>
      <c r="J256" s="9">
        <v>28.15806</v>
      </c>
      <c r="K256" s="9">
        <v>78.40944</v>
      </c>
      <c r="L256" s="13">
        <v>128.863876342773</v>
      </c>
      <c r="M256" s="12" t="str">
        <f>HYPERLINK("http://www.iaea.org/PRIS/CountryStatistics/ReactorDetails.aspx?current=306", "PRIS")</f>
        <v>PRIS</v>
      </c>
      <c r="N256" s="12" t="str">
        <f t="shared" ref="N256:N257" si="65">HYPERLINK("http://maps.google.com/?q=28.1581,78.4094&amp;t=k", "Map")</f>
        <v>Map</v>
      </c>
    </row>
    <row r="257">
      <c r="A257" s="9" t="s">
        <v>565</v>
      </c>
      <c r="B257" s="9" t="s">
        <v>566</v>
      </c>
      <c r="C257" s="12" t="str">
        <f>HYPERLINK("https://www.google.com/search?q=NARORA-2+nuclear+power+plant+in+INDIA", "NARORA-2")</f>
        <v>NARORA-2</v>
      </c>
      <c r="D257" s="9" t="s">
        <v>596</v>
      </c>
      <c r="E257" s="9" t="s">
        <v>21</v>
      </c>
      <c r="F257" s="9">
        <v>220.0</v>
      </c>
      <c r="G257" s="9">
        <v>801.0</v>
      </c>
      <c r="H257" s="9">
        <v>56.0</v>
      </c>
      <c r="I257" s="9">
        <v>60.2</v>
      </c>
      <c r="J257" s="9">
        <v>28.15806</v>
      </c>
      <c r="K257" s="9">
        <v>78.40944</v>
      </c>
      <c r="L257" s="13">
        <v>128.863876342773</v>
      </c>
      <c r="M257" s="12" t="str">
        <f>HYPERLINK("http://www.iaea.org/PRIS/CountryStatistics/ReactorDetails.aspx?current=307", "PRIS")</f>
        <v>PRIS</v>
      </c>
      <c r="N257" s="12" t="str">
        <f t="shared" si="65"/>
        <v>Map</v>
      </c>
    </row>
    <row r="258">
      <c r="A258" s="9" t="s">
        <v>565</v>
      </c>
      <c r="B258" s="9" t="s">
        <v>566</v>
      </c>
      <c r="C258" s="12" t="str">
        <f>HYPERLINK("https://www.google.com/search?q=KAKRAPAR-1+nuclear+power+plant+in+INDIA", "KAKRAPAR-1")</f>
        <v>KAKRAPAR-1</v>
      </c>
      <c r="D258" s="9" t="s">
        <v>577</v>
      </c>
      <c r="E258" s="9" t="s">
        <v>21</v>
      </c>
      <c r="F258" s="9">
        <v>220.0</v>
      </c>
      <c r="G258" s="9">
        <v>801.0</v>
      </c>
      <c r="H258" s="9">
        <v>61.8</v>
      </c>
      <c r="I258" s="9">
        <v>96.7</v>
      </c>
      <c r="J258" s="9">
        <v>21.23861</v>
      </c>
      <c r="K258" s="9">
        <v>73.35</v>
      </c>
      <c r="L258" s="13">
        <v>-13.4453926086426</v>
      </c>
      <c r="M258" s="12" t="str">
        <f>HYPERLINK("http://www.iaea.org/PRIS/CountryStatistics/ReactorDetails.aspx?current=308", "PRIS")</f>
        <v>PRIS</v>
      </c>
      <c r="N258" s="12" t="str">
        <f>HYPERLINK("http://maps.google.com/?q=21.2386,73.35&amp;t=k", "Map")</f>
        <v>Map</v>
      </c>
    </row>
    <row r="259">
      <c r="A259" s="9" t="s">
        <v>632</v>
      </c>
      <c r="B259" s="9" t="s">
        <v>1531</v>
      </c>
      <c r="C259" s="12" t="str">
        <f>HYPERLINK("https://www.google.com/search?q=BUSHEHR-1+nuclear+power+plant+in+IRAN", "BUSHEHR-1")</f>
        <v>BUSHEHR-1</v>
      </c>
      <c r="D259" s="9" t="s">
        <v>635</v>
      </c>
      <c r="E259" s="9" t="s">
        <v>21</v>
      </c>
      <c r="F259" s="9">
        <v>1000.0</v>
      </c>
      <c r="G259" s="9">
        <v>3000.0</v>
      </c>
      <c r="H259" s="9">
        <v>95.4</v>
      </c>
      <c r="I259" s="9">
        <v>95.4</v>
      </c>
      <c r="J259" s="9">
        <v>28.8296222</v>
      </c>
      <c r="K259" s="9">
        <v>50.8859611</v>
      </c>
      <c r="L259" s="13">
        <v>-8.57661437988281</v>
      </c>
      <c r="M259" s="12" t="str">
        <f>HYPERLINK("http://www.iaea.org/PRIS/CountryStatistics/ReactorDetails.aspx?current=310", "PRIS")</f>
        <v>PRIS</v>
      </c>
      <c r="N259" s="12" t="str">
        <f>HYPERLINK("http://maps.google.com/?q=28.8296,50.886&amp;t=k", "Map")</f>
        <v>Map</v>
      </c>
    </row>
    <row r="260">
      <c r="A260" s="9" t="s">
        <v>637</v>
      </c>
      <c r="B260" s="9" t="s">
        <v>638</v>
      </c>
      <c r="C260" s="12" t="str">
        <f>HYPERLINK("https://www.google.com/search?q=LATINA+nuclear+power+plant+in+ITALY", "LATINA")</f>
        <v>LATINA</v>
      </c>
      <c r="D260" s="9" t="s">
        <v>650</v>
      </c>
      <c r="E260" s="9" t="s">
        <v>24</v>
      </c>
      <c r="F260" s="9">
        <v>160.0</v>
      </c>
      <c r="G260" s="9">
        <v>660.0</v>
      </c>
      <c r="H260" s="9">
        <v>70.3</v>
      </c>
      <c r="I260" s="9">
        <v>0.0</v>
      </c>
      <c r="J260" s="9">
        <v>41.42529</v>
      </c>
      <c r="K260" s="9">
        <v>12.807246</v>
      </c>
      <c r="L260" s="13">
        <v>53.2063522338867</v>
      </c>
      <c r="M260" s="12" t="str">
        <f>HYPERLINK("http://www.iaea.org/PRIS/CountryStatistics/ReactorDetails.aspx?current=318", "PRIS")</f>
        <v>PRIS</v>
      </c>
      <c r="N260" s="12" t="str">
        <f>HYPERLINK("http://maps.google.com/?q=41.4253,12.8072&amp;t=k", "Map")</f>
        <v>Map</v>
      </c>
    </row>
    <row r="261">
      <c r="A261" s="9" t="s">
        <v>637</v>
      </c>
      <c r="B261" s="9" t="s">
        <v>638</v>
      </c>
      <c r="C261" s="12" t="str">
        <f>HYPERLINK("https://www.google.com/search?q=GARIGLIANO+nuclear+power+plant+in+ITALY", "GARIGLIANO")</f>
        <v>GARIGLIANO</v>
      </c>
      <c r="D261" s="9" t="s">
        <v>646</v>
      </c>
      <c r="E261" s="9" t="s">
        <v>24</v>
      </c>
      <c r="F261" s="9">
        <v>160.0</v>
      </c>
      <c r="G261" s="9">
        <v>506.0</v>
      </c>
      <c r="H261" s="9">
        <v>39.0</v>
      </c>
      <c r="I261" s="9">
        <v>0.0</v>
      </c>
      <c r="J261" s="9">
        <v>41.25849</v>
      </c>
      <c r="K261" s="9">
        <v>13.83492</v>
      </c>
      <c r="L261" s="13">
        <v>57.2631759643555</v>
      </c>
      <c r="M261" s="12" t="str">
        <f>HYPERLINK("http://www.iaea.org/PRIS/CountryStatistics/ReactorDetails.aspx?current=325", "PRIS")</f>
        <v>PRIS</v>
      </c>
      <c r="N261" s="12" t="str">
        <f>HYPERLINK("http://maps.google.com/?q=41.2585,13.8349&amp;t=k", "Map")</f>
        <v>Map</v>
      </c>
    </row>
    <row r="262">
      <c r="A262" s="9" t="s">
        <v>637</v>
      </c>
      <c r="B262" s="9" t="s">
        <v>638</v>
      </c>
      <c r="C262" s="12" t="str">
        <f>HYPERLINK("https://www.google.com/search?q=ENRICO+FERMI+nuclear+power+plant+in+ITALY", "ENRICO FERMI")</f>
        <v>ENRICO FERMI</v>
      </c>
      <c r="D262" s="9" t="s">
        <v>643</v>
      </c>
      <c r="E262" s="9" t="s">
        <v>24</v>
      </c>
      <c r="F262" s="9">
        <v>270.0</v>
      </c>
      <c r="G262" s="9">
        <v>870.0</v>
      </c>
      <c r="H262" s="9">
        <v>45.3</v>
      </c>
      <c r="I262" s="9">
        <v>0.0</v>
      </c>
      <c r="J262" s="9">
        <v>45.1840944</v>
      </c>
      <c r="K262" s="9">
        <v>8.2775556</v>
      </c>
      <c r="L262" s="13">
        <v>204.321792602539</v>
      </c>
      <c r="M262" s="12" t="str">
        <f>HYPERLINK("http://www.iaea.org/PRIS/CountryStatistics/ReactorDetails.aspx?current=326", "PRIS")</f>
        <v>PRIS</v>
      </c>
      <c r="N262" s="12" t="str">
        <f>HYPERLINK("http://maps.google.com/?q=45.1841,8.27756&amp;t=k", "Map")</f>
        <v>Map</v>
      </c>
    </row>
    <row r="263">
      <c r="A263" s="9" t="s">
        <v>637</v>
      </c>
      <c r="B263" s="9" t="s">
        <v>638</v>
      </c>
      <c r="C263" s="12" t="str">
        <f>HYPERLINK("https://www.google.com/search?q=CAORSO+nuclear+power+plant+in+ITALY", "CAORSO")</f>
        <v>CAORSO</v>
      </c>
      <c r="D263" s="9" t="s">
        <v>640</v>
      </c>
      <c r="E263" s="9" t="s">
        <v>24</v>
      </c>
      <c r="F263" s="9">
        <v>882.0</v>
      </c>
      <c r="G263" s="9">
        <v>2651.0</v>
      </c>
      <c r="H263" s="9">
        <v>36.7</v>
      </c>
      <c r="I263" s="9">
        <v>0.0</v>
      </c>
      <c r="J263" s="9">
        <v>45.07206</v>
      </c>
      <c r="K263" s="9">
        <v>9.87214</v>
      </c>
      <c r="L263" s="13">
        <v>81.5304794311523</v>
      </c>
      <c r="M263" s="12" t="str">
        <f>HYPERLINK("http://www.iaea.org/PRIS/CountryStatistics/ReactorDetails.aspx?current=327", "PRIS")</f>
        <v>PRIS</v>
      </c>
      <c r="N263" s="12" t="str">
        <f>HYPERLINK("http://maps.google.com/?q=45.0721,9.87214&amp;t=k", "Map")</f>
        <v>Map</v>
      </c>
    </row>
    <row r="264">
      <c r="A264" s="9" t="s">
        <v>652</v>
      </c>
      <c r="B264" s="9" t="s">
        <v>653</v>
      </c>
      <c r="C264" s="12" t="str">
        <f>HYPERLINK("https://www.google.com/search?q=JPDR+nuclear+power+plant+in+JAPAN", "JPDR")</f>
        <v>JPDR</v>
      </c>
      <c r="D264" s="9" t="s">
        <v>714</v>
      </c>
      <c r="E264" s="9" t="s">
        <v>24</v>
      </c>
      <c r="F264" s="9">
        <v>13.0</v>
      </c>
      <c r="G264" s="9">
        <v>90.0</v>
      </c>
      <c r="H264" s="9">
        <v>0.0</v>
      </c>
      <c r="I264" s="9">
        <v>0.0</v>
      </c>
      <c r="J264" s="9">
        <v>35.75444</v>
      </c>
      <c r="K264" s="9">
        <v>136.01639</v>
      </c>
      <c r="L264" s="13">
        <v>109.460342407227</v>
      </c>
      <c r="M264" s="12" t="str">
        <f>HYPERLINK("http://www.iaea.org/PRIS/CountryStatistics/ReactorDetails.aspx?current=333", "PRIS")</f>
        <v>PRIS</v>
      </c>
      <c r="N264" s="12" t="str">
        <f>HYPERLINK("http://maps.google.com/?q=35.7544,136.016&amp;t=k", "Map")</f>
        <v>Map</v>
      </c>
    </row>
    <row r="265">
      <c r="A265" s="9" t="s">
        <v>652</v>
      </c>
      <c r="B265" s="9" t="s">
        <v>653</v>
      </c>
      <c r="C265" s="12" t="str">
        <f>HYPERLINK("https://www.google.com/search?q=FUKUSHIMA-DAIICHI-3+nuclear+power+plant+in+JAPAN", "FUKUSHIMA-DAIICHI-3")</f>
        <v>FUKUSHIMA-DAIICHI-3</v>
      </c>
      <c r="D265" s="9" t="s">
        <v>658</v>
      </c>
      <c r="E265" s="9" t="s">
        <v>24</v>
      </c>
      <c r="F265" s="9">
        <v>784.0</v>
      </c>
      <c r="G265" s="9">
        <v>2381.0</v>
      </c>
      <c r="H265" s="9">
        <v>65.3</v>
      </c>
      <c r="I265" s="9">
        <v>0.0</v>
      </c>
      <c r="J265" s="9">
        <v>37.42306</v>
      </c>
      <c r="K265" s="9">
        <v>141.03306</v>
      </c>
      <c r="L265" s="13">
        <v>58.6015129089356</v>
      </c>
      <c r="M265" s="12" t="str">
        <f>HYPERLINK("http://www.iaea.org/PRIS/CountryStatistics/ReactorDetails.aspx?current=334", "PRIS")</f>
        <v>PRIS</v>
      </c>
      <c r="N265" s="12" t="str">
        <f>HYPERLINK("http://maps.google.com/?q=37.4231,141.033&amp;t=k", "Map")</f>
        <v>Map</v>
      </c>
    </row>
    <row r="266">
      <c r="A266" s="9" t="s">
        <v>652</v>
      </c>
      <c r="B266" s="9" t="s">
        <v>653</v>
      </c>
      <c r="C266" s="12" t="str">
        <f>HYPERLINK("https://www.google.com/search?q=HAMAOKA-1+nuclear+power+plant+in+JAPAN", "HAMAOKA-1")</f>
        <v>HAMAOKA-1</v>
      </c>
      <c r="D266" s="9" t="s">
        <v>693</v>
      </c>
      <c r="E266" s="9" t="s">
        <v>24</v>
      </c>
      <c r="F266" s="9">
        <v>540.0</v>
      </c>
      <c r="G266" s="9">
        <v>1593.0</v>
      </c>
      <c r="H266" s="9">
        <v>47.9</v>
      </c>
      <c r="I266" s="9">
        <v>0.0</v>
      </c>
      <c r="J266" s="9">
        <v>34.62361</v>
      </c>
      <c r="K266" s="9">
        <v>138.1425</v>
      </c>
      <c r="L266" s="13">
        <v>59.0815773010254</v>
      </c>
      <c r="M266" s="12" t="str">
        <f>HYPERLINK("http://www.iaea.org/PRIS/CountryStatistics/ReactorDetails.aspx?current=335", "PRIS")</f>
        <v>PRIS</v>
      </c>
      <c r="N266" s="12" t="str">
        <f>HYPERLINK("http://maps.google.com/?q=34.6236,138.143&amp;t=k", "Map")</f>
        <v>Map</v>
      </c>
    </row>
    <row r="267">
      <c r="A267" s="9" t="s">
        <v>652</v>
      </c>
      <c r="B267" s="9" t="s">
        <v>653</v>
      </c>
      <c r="C267" s="12" t="str">
        <f>HYPERLINK("https://www.google.com/search?q=GENKAI-1+nuclear+power+plant+in+JAPAN", "GENKAI-1")</f>
        <v>GENKAI-1</v>
      </c>
      <c r="D267" s="9" t="s">
        <v>684</v>
      </c>
      <c r="E267" s="9" t="s">
        <v>21</v>
      </c>
      <c r="F267" s="9">
        <v>559.0</v>
      </c>
      <c r="G267" s="9">
        <v>1650.0</v>
      </c>
      <c r="H267" s="9">
        <v>70.8</v>
      </c>
      <c r="I267" s="9">
        <v>0.0</v>
      </c>
      <c r="J267" s="9">
        <v>33.51556</v>
      </c>
      <c r="K267" s="9">
        <v>129.83722</v>
      </c>
      <c r="L267" s="13">
        <v>50.9482955932617</v>
      </c>
      <c r="M267" s="12" t="str">
        <f>HYPERLINK("http://www.iaea.org/PRIS/CountryStatistics/ReactorDetails.aspx?current=336", "PRIS")</f>
        <v>PRIS</v>
      </c>
      <c r="N267" s="12" t="str">
        <f>HYPERLINK("http://maps.google.com/?q=33.5156,129.837&amp;t=k", "Map")</f>
        <v>Map</v>
      </c>
    </row>
    <row r="268">
      <c r="A268" s="9" t="s">
        <v>652</v>
      </c>
      <c r="B268" s="9" t="s">
        <v>653</v>
      </c>
      <c r="C268" s="12" t="str">
        <f>HYPERLINK("https://www.google.com/search?q=TAKAHAMA-2+nuclear+power+plant+in+JAPAN", "TAKAHAMA-2")</f>
        <v>TAKAHAMA-2</v>
      </c>
      <c r="D268" s="9" t="s">
        <v>776</v>
      </c>
      <c r="E268" s="9" t="s">
        <v>21</v>
      </c>
      <c r="F268" s="9">
        <v>826.0</v>
      </c>
      <c r="G268" s="9">
        <v>2440.0</v>
      </c>
      <c r="H268" s="9">
        <v>66.2</v>
      </c>
      <c r="I268" s="9">
        <v>0.0</v>
      </c>
      <c r="J268" s="9">
        <v>35.5219917</v>
      </c>
      <c r="K268" s="9">
        <v>135.5039556</v>
      </c>
      <c r="L268" s="13">
        <v>110.129867553711</v>
      </c>
      <c r="M268" s="12" t="str">
        <f>HYPERLINK("http://www.iaea.org/PRIS/CountryStatistics/ReactorDetails.aspx?current=337", "PRIS")</f>
        <v>PRIS</v>
      </c>
      <c r="N268" s="12" t="str">
        <f>HYPERLINK("http://maps.google.com/?q=35.522,135.504&amp;t=k", "Map")</f>
        <v>Map</v>
      </c>
    </row>
    <row r="269">
      <c r="A269" s="9" t="s">
        <v>652</v>
      </c>
      <c r="B269" s="9" t="s">
        <v>653</v>
      </c>
      <c r="C269" s="12" t="str">
        <f>HYPERLINK("https://www.google.com/search?q=MIHAMA-3+nuclear+power+plant+in+JAPAN", "MIHAMA-3")</f>
        <v>MIHAMA-3</v>
      </c>
      <c r="D269" s="9" t="s">
        <v>732</v>
      </c>
      <c r="E269" s="9" t="s">
        <v>21</v>
      </c>
      <c r="F269" s="9">
        <v>826.0</v>
      </c>
      <c r="G269" s="9">
        <v>2440.0</v>
      </c>
      <c r="H269" s="9">
        <v>66.6</v>
      </c>
      <c r="I269" s="9">
        <v>0.0</v>
      </c>
      <c r="J269" s="9">
        <v>35.703475</v>
      </c>
      <c r="K269" s="9">
        <v>135.9635778</v>
      </c>
      <c r="L269" s="13">
        <v>35.340518951416</v>
      </c>
      <c r="M269" s="12" t="str">
        <f>HYPERLINK("http://www.iaea.org/PRIS/CountryStatistics/ReactorDetails.aspx?current=338", "PRIS")</f>
        <v>PRIS</v>
      </c>
      <c r="N269" s="12" t="str">
        <f>HYPERLINK("http://maps.google.com/?q=35.7035,135.964&amp;t=k", "Map")</f>
        <v>Map</v>
      </c>
    </row>
    <row r="270">
      <c r="A270" s="9" t="s">
        <v>652</v>
      </c>
      <c r="B270" s="9" t="s">
        <v>653</v>
      </c>
      <c r="C270" s="12" t="str">
        <f>HYPERLINK("https://www.google.com/search?q=OHI-1+nuclear+power+plant+in+JAPAN", "OHI-1")</f>
        <v>OHI-1</v>
      </c>
      <c r="D270" s="9" t="s">
        <v>741</v>
      </c>
      <c r="E270" s="9" t="s">
        <v>21</v>
      </c>
      <c r="F270" s="9">
        <v>1175.0</v>
      </c>
      <c r="G270" s="9">
        <v>3423.0</v>
      </c>
      <c r="H270" s="9">
        <v>62.4</v>
      </c>
      <c r="I270" s="9">
        <v>0.0</v>
      </c>
      <c r="J270" s="9">
        <v>35.540625</v>
      </c>
      <c r="K270" s="9">
        <v>135.6520333</v>
      </c>
      <c r="L270" s="13">
        <v>54.1867752075195</v>
      </c>
      <c r="M270" s="12" t="str">
        <f>HYPERLINK("http://www.iaea.org/PRIS/CountryStatistics/ReactorDetails.aspx?current=339", "PRIS")</f>
        <v>PRIS</v>
      </c>
      <c r="N270" s="12" t="str">
        <f>HYPERLINK("http://maps.google.com/?q=35.5406,135.652&amp;t=k", "Map")</f>
        <v>Map</v>
      </c>
    </row>
    <row r="271">
      <c r="A271" s="9" t="s">
        <v>652</v>
      </c>
      <c r="B271" s="9" t="s">
        <v>653</v>
      </c>
      <c r="C271" s="12" t="str">
        <f>HYPERLINK("https://www.google.com/search?q=FUKUSHIMA-DAIICHI-4+nuclear+power+plant+in+JAPAN", "FUKUSHIMA-DAIICHI-4")</f>
        <v>FUKUSHIMA-DAIICHI-4</v>
      </c>
      <c r="D271" s="9" t="s">
        <v>658</v>
      </c>
      <c r="E271" s="9" t="s">
        <v>24</v>
      </c>
      <c r="F271" s="9">
        <v>784.0</v>
      </c>
      <c r="G271" s="9">
        <v>2381.0</v>
      </c>
      <c r="H271" s="9">
        <v>70.0</v>
      </c>
      <c r="I271" s="9">
        <v>0.0</v>
      </c>
      <c r="J271" s="9">
        <v>37.42306</v>
      </c>
      <c r="K271" s="9">
        <v>141.03306</v>
      </c>
      <c r="L271" s="13">
        <v>58.6015129089356</v>
      </c>
      <c r="M271" s="12" t="str">
        <f>HYPERLINK("http://www.iaea.org/PRIS/CountryStatistics/ReactorDetails.aspx?current=340", "PRIS")</f>
        <v>PRIS</v>
      </c>
      <c r="N271" s="12" t="str">
        <f t="shared" ref="N271:N273" si="66">HYPERLINK("http://maps.google.com/?q=37.4231,141.033&amp;t=k", "Map")</f>
        <v>Map</v>
      </c>
    </row>
    <row r="272">
      <c r="A272" s="9" t="s">
        <v>652</v>
      </c>
      <c r="B272" s="9" t="s">
        <v>653</v>
      </c>
      <c r="C272" s="12" t="str">
        <f>HYPERLINK("https://www.google.com/search?q=FUKUSHIMA-DAIICHI-5+nuclear+power+plant+in+JAPAN", "FUKUSHIMA-DAIICHI-5")</f>
        <v>FUKUSHIMA-DAIICHI-5</v>
      </c>
      <c r="D272" s="9" t="s">
        <v>658</v>
      </c>
      <c r="E272" s="9" t="s">
        <v>24</v>
      </c>
      <c r="F272" s="9">
        <v>784.0</v>
      </c>
      <c r="G272" s="9">
        <v>2381.0</v>
      </c>
      <c r="H272" s="9">
        <v>65.5</v>
      </c>
      <c r="I272" s="9">
        <v>0.0</v>
      </c>
      <c r="J272" s="9">
        <v>37.42306</v>
      </c>
      <c r="K272" s="9">
        <v>141.03306</v>
      </c>
      <c r="L272" s="13">
        <v>58.6015129089356</v>
      </c>
      <c r="M272" s="12" t="str">
        <f>HYPERLINK("http://www.iaea.org/PRIS/CountryStatistics/ReactorDetails.aspx?current=341", "PRIS")</f>
        <v>PRIS</v>
      </c>
      <c r="N272" s="12" t="str">
        <f t="shared" si="66"/>
        <v>Map</v>
      </c>
    </row>
    <row r="273">
      <c r="A273" s="9" t="s">
        <v>652</v>
      </c>
      <c r="B273" s="9" t="s">
        <v>653</v>
      </c>
      <c r="C273" s="12" t="str">
        <f>HYPERLINK("https://www.google.com/search?q=FUKUSHIMA-DAIICHI-6+nuclear+power+plant+in+JAPAN", "FUKUSHIMA-DAIICHI-6")</f>
        <v>FUKUSHIMA-DAIICHI-6</v>
      </c>
      <c r="D273" s="9" t="s">
        <v>658</v>
      </c>
      <c r="E273" s="9" t="s">
        <v>24</v>
      </c>
      <c r="F273" s="9">
        <v>1100.0</v>
      </c>
      <c r="G273" s="9">
        <v>3293.0</v>
      </c>
      <c r="H273" s="9">
        <v>64.2</v>
      </c>
      <c r="I273" s="9">
        <v>0.0</v>
      </c>
      <c r="J273" s="9">
        <v>37.42306</v>
      </c>
      <c r="K273" s="9">
        <v>141.03306</v>
      </c>
      <c r="L273" s="13">
        <v>58.6015129089356</v>
      </c>
      <c r="M273" s="12" t="str">
        <f>HYPERLINK("http://www.iaea.org/PRIS/CountryStatistics/ReactorDetails.aspx?current=342", "PRIS")</f>
        <v>PRIS</v>
      </c>
      <c r="N273" s="12" t="str">
        <f t="shared" si="66"/>
        <v>Map</v>
      </c>
    </row>
    <row r="274">
      <c r="A274" s="9" t="s">
        <v>652</v>
      </c>
      <c r="B274" s="9" t="s">
        <v>653</v>
      </c>
      <c r="C274" s="12" t="str">
        <f>HYPERLINK("https://www.google.com/search?q=OHI-2+nuclear+power+plant+in+JAPAN", "OHI-2")</f>
        <v>OHI-2</v>
      </c>
      <c r="D274" s="9" t="s">
        <v>741</v>
      </c>
      <c r="E274" s="9" t="s">
        <v>21</v>
      </c>
      <c r="F274" s="9">
        <v>1175.0</v>
      </c>
      <c r="G274" s="9">
        <v>3423.0</v>
      </c>
      <c r="H274" s="9">
        <v>69.2</v>
      </c>
      <c r="I274" s="9">
        <v>0.0</v>
      </c>
      <c r="J274" s="9">
        <v>35.540625</v>
      </c>
      <c r="K274" s="9">
        <v>135.6520333</v>
      </c>
      <c r="L274" s="13">
        <v>54.1867752075195</v>
      </c>
      <c r="M274" s="12" t="str">
        <f>HYPERLINK("http://www.iaea.org/PRIS/CountryStatistics/ReactorDetails.aspx?current=343", "PRIS")</f>
        <v>PRIS</v>
      </c>
      <c r="N274" s="12" t="str">
        <f>HYPERLINK("http://maps.google.com/?q=35.5406,135.652&amp;t=k", "Map")</f>
        <v>Map</v>
      </c>
    </row>
    <row r="275">
      <c r="A275" s="9" t="s">
        <v>652</v>
      </c>
      <c r="B275" s="9" t="s">
        <v>653</v>
      </c>
      <c r="C275" s="12" t="str">
        <f>HYPERLINK("https://www.google.com/search?q=TOKAI-1+nuclear+power+plant+in+JAPAN", "TOKAI-1")</f>
        <v>TOKAI-1</v>
      </c>
      <c r="D275" s="9" t="s">
        <v>785</v>
      </c>
      <c r="E275" s="9" t="s">
        <v>24</v>
      </c>
      <c r="F275" s="9">
        <v>166.0</v>
      </c>
      <c r="G275" s="9">
        <v>587.0</v>
      </c>
      <c r="H275" s="9">
        <v>70.8</v>
      </c>
      <c r="I275" s="9">
        <v>0.0</v>
      </c>
      <c r="J275" s="9">
        <v>36.46639</v>
      </c>
      <c r="K275" s="9">
        <v>140.60667</v>
      </c>
      <c r="L275" s="13">
        <v>44.5018577575684</v>
      </c>
      <c r="M275" s="12" t="str">
        <f>HYPERLINK("http://www.iaea.org/PRIS/CountryStatistics/ReactorDetails.aspx?current=344", "PRIS")</f>
        <v>PRIS</v>
      </c>
      <c r="N275" s="12" t="str">
        <f>HYPERLINK("http://maps.google.com/?q=36.4664,140.607&amp;t=k", "Map")</f>
        <v>Map</v>
      </c>
    </row>
    <row r="276">
      <c r="A276" s="9" t="s">
        <v>652</v>
      </c>
      <c r="B276" s="9" t="s">
        <v>653</v>
      </c>
      <c r="C276" s="12" t="str">
        <f>HYPERLINK("https://www.google.com/search?q=FUGEN+ATR+nuclear+power+plant+in+JAPAN", "FUGEN ATR")</f>
        <v>FUGEN ATR</v>
      </c>
      <c r="D276" s="9" t="s">
        <v>655</v>
      </c>
      <c r="E276" s="9" t="s">
        <v>24</v>
      </c>
      <c r="F276" s="9">
        <v>165.0</v>
      </c>
      <c r="G276" s="9">
        <v>557.0</v>
      </c>
      <c r="H276" s="9">
        <v>61.9</v>
      </c>
      <c r="I276" s="9">
        <v>0.0</v>
      </c>
      <c r="J276" s="9">
        <v>35.75444</v>
      </c>
      <c r="K276" s="9">
        <v>136.01639</v>
      </c>
      <c r="L276" s="13">
        <v>109.460342407227</v>
      </c>
      <c r="M276" s="12" t="str">
        <f>HYPERLINK("http://www.iaea.org/PRIS/CountryStatistics/ReactorDetails.aspx?current=345", "PRIS")</f>
        <v>PRIS</v>
      </c>
      <c r="N276" s="12" t="str">
        <f>HYPERLINK("http://maps.google.com/?q=35.7544,136.016&amp;t=k", "Map")</f>
        <v>Map</v>
      </c>
    </row>
    <row r="277">
      <c r="A277" s="9" t="s">
        <v>652</v>
      </c>
      <c r="B277" s="9" t="s">
        <v>653</v>
      </c>
      <c r="C277" s="12" t="str">
        <f>HYPERLINK("https://www.google.com/search?q=TOKAI-2+nuclear+power+plant+in+JAPAN", "TOKAI-2")</f>
        <v>TOKAI-2</v>
      </c>
      <c r="D277" s="9" t="s">
        <v>785</v>
      </c>
      <c r="E277" s="9" t="s">
        <v>21</v>
      </c>
      <c r="F277" s="9">
        <v>1100.0</v>
      </c>
      <c r="G277" s="9">
        <v>3293.0</v>
      </c>
      <c r="H277" s="9">
        <v>67.2</v>
      </c>
      <c r="I277" s="9">
        <v>0.0</v>
      </c>
      <c r="J277" s="9">
        <v>36.46639</v>
      </c>
      <c r="K277" s="9">
        <v>140.60667</v>
      </c>
      <c r="L277" s="13">
        <v>44.5018577575684</v>
      </c>
      <c r="M277" s="12" t="str">
        <f>HYPERLINK("http://www.iaea.org/PRIS/CountryStatistics/ReactorDetails.aspx?current=346", "PRIS")</f>
        <v>PRIS</v>
      </c>
      <c r="N277" s="12" t="str">
        <f>HYPERLINK("http://maps.google.com/?q=36.4664,140.607&amp;t=k", "Map")</f>
        <v>Map</v>
      </c>
    </row>
    <row r="278">
      <c r="A278" s="9" t="s">
        <v>652</v>
      </c>
      <c r="B278" s="9" t="s">
        <v>653</v>
      </c>
      <c r="C278" s="12" t="str">
        <f>HYPERLINK("https://www.google.com/search?q=ONAGAWA-1+nuclear+power+plant+in+JAPAN", "ONAGAWA-1")</f>
        <v>ONAGAWA-1</v>
      </c>
      <c r="D278" s="9" t="s">
        <v>752</v>
      </c>
      <c r="E278" s="9" t="s">
        <v>21</v>
      </c>
      <c r="F278" s="9">
        <v>524.0</v>
      </c>
      <c r="G278" s="9">
        <v>1593.0</v>
      </c>
      <c r="H278" s="9">
        <v>61.0</v>
      </c>
      <c r="I278" s="9">
        <v>0.0</v>
      </c>
      <c r="J278" s="9">
        <v>38.40111</v>
      </c>
      <c r="K278" s="9">
        <v>141.49972</v>
      </c>
      <c r="L278" s="13">
        <v>62.5264625549316</v>
      </c>
      <c r="M278" s="12" t="str">
        <f>HYPERLINK("http://www.iaea.org/PRIS/CountryStatistics/ReactorDetails.aspx?current=347", "PRIS")</f>
        <v>PRIS</v>
      </c>
      <c r="N278" s="12" t="str">
        <f>HYPERLINK("http://maps.google.com/?q=38.4011,141.5&amp;t=k", "Map")</f>
        <v>Map</v>
      </c>
    </row>
    <row r="279">
      <c r="A279" s="9" t="s">
        <v>652</v>
      </c>
      <c r="B279" s="9" t="s">
        <v>653</v>
      </c>
      <c r="C279" s="12" t="str">
        <f>HYPERLINK("https://www.google.com/search?q=IKATA-1+nuclear+power+plant+in+JAPAN", "IKATA-1")</f>
        <v>IKATA-1</v>
      </c>
      <c r="D279" s="9" t="s">
        <v>707</v>
      </c>
      <c r="E279" s="9" t="s">
        <v>21</v>
      </c>
      <c r="F279" s="9">
        <v>566.0</v>
      </c>
      <c r="G279" s="9">
        <v>1650.0</v>
      </c>
      <c r="H279" s="9">
        <v>73.5</v>
      </c>
      <c r="I279" s="9">
        <v>0.0</v>
      </c>
      <c r="J279" s="9">
        <v>33.49083</v>
      </c>
      <c r="K279" s="9">
        <v>132.31139</v>
      </c>
      <c r="L279" s="13">
        <v>170.075180053711</v>
      </c>
      <c r="M279" s="12" t="str">
        <f>HYPERLINK("http://www.iaea.org/PRIS/CountryStatistics/ReactorDetails.aspx?current=348", "PRIS")</f>
        <v>PRIS</v>
      </c>
      <c r="N279" s="12" t="str">
        <f>HYPERLINK("http://maps.google.com/?q=33.4908,132.311&amp;t=k", "Map")</f>
        <v>Map</v>
      </c>
    </row>
    <row r="280">
      <c r="A280" s="9" t="s">
        <v>652</v>
      </c>
      <c r="B280" s="9" t="s">
        <v>653</v>
      </c>
      <c r="C280" s="12" t="str">
        <f>HYPERLINK("https://www.google.com/search?q=HAMAOKA-2+nuclear+power+plant+in+JAPAN", "HAMAOKA-2")</f>
        <v>HAMAOKA-2</v>
      </c>
      <c r="D280" s="9" t="s">
        <v>693</v>
      </c>
      <c r="E280" s="9" t="s">
        <v>24</v>
      </c>
      <c r="F280" s="9">
        <v>840.0</v>
      </c>
      <c r="G280" s="9">
        <v>2436.0</v>
      </c>
      <c r="H280" s="9">
        <v>59.6</v>
      </c>
      <c r="I280" s="9">
        <v>0.0</v>
      </c>
      <c r="J280" s="9">
        <v>34.62361</v>
      </c>
      <c r="K280" s="9">
        <v>138.1425</v>
      </c>
      <c r="L280" s="13">
        <v>59.0815773010254</v>
      </c>
      <c r="M280" s="12" t="str">
        <f>HYPERLINK("http://www.iaea.org/PRIS/CountryStatistics/ReactorDetails.aspx?current=349", "PRIS")</f>
        <v>PRIS</v>
      </c>
      <c r="N280" s="12" t="str">
        <f>HYPERLINK("http://maps.google.com/?q=34.6236,138.143&amp;t=k", "Map")</f>
        <v>Map</v>
      </c>
    </row>
    <row r="281">
      <c r="A281" s="9" t="s">
        <v>652</v>
      </c>
      <c r="B281" s="9" t="s">
        <v>653</v>
      </c>
      <c r="C281" s="12" t="str">
        <f>HYPERLINK("https://www.google.com/search?q=FUKUSHIMA-DAINI-1+nuclear+power+plant+in+JAPAN", "FUKUSHIMA-DAINI-1")</f>
        <v>FUKUSHIMA-DAINI-1</v>
      </c>
      <c r="D281" s="9" t="s">
        <v>674</v>
      </c>
      <c r="E281" s="9" t="s">
        <v>21</v>
      </c>
      <c r="F281" s="9">
        <v>1100.0</v>
      </c>
      <c r="G281" s="9">
        <v>3293.0</v>
      </c>
      <c r="H281" s="9">
        <v>68.8</v>
      </c>
      <c r="I281" s="9">
        <v>0.0</v>
      </c>
      <c r="J281" s="9">
        <v>37.31639</v>
      </c>
      <c r="K281" s="9">
        <v>141.02556</v>
      </c>
      <c r="L281" s="13">
        <v>50.9015502929688</v>
      </c>
      <c r="M281" s="12" t="str">
        <f>HYPERLINK("http://www.iaea.org/PRIS/CountryStatistics/ReactorDetails.aspx?current=350", "PRIS")</f>
        <v>PRIS</v>
      </c>
      <c r="N281" s="12" t="str">
        <f t="shared" ref="N281:N282" si="67">HYPERLINK("http://maps.google.com/?q=37.3164,141.026&amp;t=k", "Map")</f>
        <v>Map</v>
      </c>
    </row>
    <row r="282">
      <c r="A282" s="9" t="s">
        <v>652</v>
      </c>
      <c r="B282" s="9" t="s">
        <v>653</v>
      </c>
      <c r="C282" s="12" t="str">
        <f>HYPERLINK("https://www.google.com/search?q=FUKUSHIMA-DAINI-2+nuclear+power+plant+in+JAPAN", "FUKUSHIMA-DAINI-2")</f>
        <v>FUKUSHIMA-DAINI-2</v>
      </c>
      <c r="D282" s="9" t="s">
        <v>674</v>
      </c>
      <c r="E282" s="9" t="s">
        <v>21</v>
      </c>
      <c r="F282" s="9">
        <v>1100.0</v>
      </c>
      <c r="G282" s="9">
        <v>3293.0</v>
      </c>
      <c r="H282" s="9">
        <v>67.5</v>
      </c>
      <c r="I282" s="9">
        <v>0.0</v>
      </c>
      <c r="J282" s="9">
        <v>37.31639</v>
      </c>
      <c r="K282" s="9">
        <v>141.02556</v>
      </c>
      <c r="L282" s="13">
        <v>50.9015502929688</v>
      </c>
      <c r="M282" s="12" t="str">
        <f>HYPERLINK("http://www.iaea.org/PRIS/CountryStatistics/ReactorDetails.aspx?current=351", "PRIS")</f>
        <v>PRIS</v>
      </c>
      <c r="N282" s="12" t="str">
        <f t="shared" si="67"/>
        <v>Map</v>
      </c>
    </row>
    <row r="283">
      <c r="A283" s="9" t="s">
        <v>652</v>
      </c>
      <c r="B283" s="9" t="s">
        <v>653</v>
      </c>
      <c r="C283" s="12" t="str">
        <f>HYPERLINK("https://www.google.com/search?q=GENKAI-2+nuclear+power+plant+in+JAPAN", "GENKAI-2")</f>
        <v>GENKAI-2</v>
      </c>
      <c r="D283" s="9" t="s">
        <v>684</v>
      </c>
      <c r="E283" s="9" t="s">
        <v>21</v>
      </c>
      <c r="F283" s="9">
        <v>559.0</v>
      </c>
      <c r="G283" s="9">
        <v>1650.0</v>
      </c>
      <c r="H283" s="9">
        <v>74.8</v>
      </c>
      <c r="I283" s="9">
        <v>0.0</v>
      </c>
      <c r="J283" s="9">
        <v>33.51556</v>
      </c>
      <c r="K283" s="9">
        <v>129.83722</v>
      </c>
      <c r="L283" s="13">
        <v>50.9482955932617</v>
      </c>
      <c r="M283" s="12" t="str">
        <f>HYPERLINK("http://www.iaea.org/PRIS/CountryStatistics/ReactorDetails.aspx?current=352", "PRIS")</f>
        <v>PRIS</v>
      </c>
      <c r="N283" s="12" t="str">
        <f>HYPERLINK("http://maps.google.com/?q=33.5156,129.837&amp;t=k", "Map")</f>
        <v>Map</v>
      </c>
    </row>
    <row r="284">
      <c r="A284" s="9" t="s">
        <v>652</v>
      </c>
      <c r="B284" s="9" t="s">
        <v>653</v>
      </c>
      <c r="C284" s="12" t="str">
        <f>HYPERLINK("https://www.google.com/search?q=SENDAI-1+nuclear+power+plant+in+JAPAN", "SENDAI-1")</f>
        <v>SENDAI-1</v>
      </c>
      <c r="D284" s="9" t="s">
        <v>759</v>
      </c>
      <c r="E284" s="9" t="s">
        <v>21</v>
      </c>
      <c r="F284" s="9">
        <v>890.0</v>
      </c>
      <c r="G284" s="9">
        <v>2660.0</v>
      </c>
      <c r="H284" s="9">
        <v>76.2</v>
      </c>
      <c r="I284" s="9">
        <v>0.0</v>
      </c>
      <c r="J284" s="9">
        <v>31.83361</v>
      </c>
      <c r="K284" s="9">
        <v>130.18972</v>
      </c>
      <c r="L284" s="13">
        <v>44.0034408569336</v>
      </c>
      <c r="M284" s="12" t="str">
        <f>HYPERLINK("http://www.iaea.org/PRIS/CountryStatistics/ReactorDetails.aspx?current=353", "PRIS")</f>
        <v>PRIS</v>
      </c>
      <c r="N284" s="12" t="str">
        <f>HYPERLINK("http://maps.google.com/?q=31.8336,130.19&amp;t=k", "Map")</f>
        <v>Map</v>
      </c>
    </row>
    <row r="285">
      <c r="A285" s="9" t="s">
        <v>652</v>
      </c>
      <c r="B285" s="9" t="s">
        <v>653</v>
      </c>
      <c r="C285" s="12" t="str">
        <f>HYPERLINK("https://www.google.com/search?q=TAKAHAMA-3+nuclear+power+plant+in+JAPAN", "TAKAHAMA-3")</f>
        <v>TAKAHAMA-3</v>
      </c>
      <c r="D285" s="9" t="s">
        <v>776</v>
      </c>
      <c r="E285" s="9" t="s">
        <v>21</v>
      </c>
      <c r="F285" s="9">
        <v>870.0</v>
      </c>
      <c r="G285" s="9">
        <v>2660.0</v>
      </c>
      <c r="H285" s="9">
        <v>79.1</v>
      </c>
      <c r="I285" s="9">
        <v>0.0</v>
      </c>
      <c r="J285" s="9">
        <v>35.5219917</v>
      </c>
      <c r="K285" s="9">
        <v>135.5039556</v>
      </c>
      <c r="L285" s="13">
        <v>110.129867553711</v>
      </c>
      <c r="M285" s="12" t="str">
        <f>HYPERLINK("http://www.iaea.org/PRIS/CountryStatistics/ReactorDetails.aspx?current=354", "PRIS")</f>
        <v>PRIS</v>
      </c>
      <c r="N285" s="12" t="str">
        <f>HYPERLINK("http://maps.google.com/?q=35.522,135.504&amp;t=k", "Map")</f>
        <v>Map</v>
      </c>
    </row>
    <row r="286">
      <c r="A286" s="9" t="s">
        <v>652</v>
      </c>
      <c r="B286" s="9" t="s">
        <v>653</v>
      </c>
      <c r="C286" s="12" t="str">
        <f>HYPERLINK("https://www.google.com/search?q=TSURUGA-1+nuclear+power+plant+in+JAPAN", "TSURUGA-1")</f>
        <v>TSURUGA-1</v>
      </c>
      <c r="D286" s="9" t="s">
        <v>797</v>
      </c>
      <c r="E286" s="9" t="s">
        <v>21</v>
      </c>
      <c r="F286" s="9">
        <v>357.0</v>
      </c>
      <c r="G286" s="9">
        <v>1070.0</v>
      </c>
      <c r="H286" s="9">
        <v>62.2</v>
      </c>
      <c r="I286" s="9">
        <v>0.0</v>
      </c>
      <c r="J286" s="9">
        <v>35.75194</v>
      </c>
      <c r="K286" s="9">
        <v>136.01889</v>
      </c>
      <c r="L286" s="13">
        <v>108.279922485352</v>
      </c>
      <c r="M286" s="12" t="str">
        <f>HYPERLINK("http://www.iaea.org/PRIS/CountryStatistics/ReactorDetails.aspx?current=355", "PRIS")</f>
        <v>PRIS</v>
      </c>
      <c r="N286" s="12" t="str">
        <f>HYPERLINK("http://maps.google.com/?q=35.7519,136.019&amp;t=k", "Map")</f>
        <v>Map</v>
      </c>
    </row>
    <row r="287">
      <c r="A287" s="9" t="s">
        <v>652</v>
      </c>
      <c r="B287" s="9" t="s">
        <v>653</v>
      </c>
      <c r="C287" s="12" t="str">
        <f>HYPERLINK("https://www.google.com/search?q=TAKAHAMA-4+nuclear+power+plant+in+JAPAN", "TAKAHAMA-4")</f>
        <v>TAKAHAMA-4</v>
      </c>
      <c r="D287" s="9" t="s">
        <v>776</v>
      </c>
      <c r="E287" s="9" t="s">
        <v>21</v>
      </c>
      <c r="F287" s="9">
        <v>870.0</v>
      </c>
      <c r="G287" s="9">
        <v>2660.0</v>
      </c>
      <c r="H287" s="9">
        <v>78.6</v>
      </c>
      <c r="I287" s="9">
        <v>0.0</v>
      </c>
      <c r="J287" s="9">
        <v>35.5219917</v>
      </c>
      <c r="K287" s="9">
        <v>135.5039556</v>
      </c>
      <c r="L287" s="13">
        <v>110.129867553711</v>
      </c>
      <c r="M287" s="12" t="str">
        <f>HYPERLINK("http://www.iaea.org/PRIS/CountryStatistics/ReactorDetails.aspx?current=356", "PRIS")</f>
        <v>PRIS</v>
      </c>
      <c r="N287" s="12" t="str">
        <f>HYPERLINK("http://maps.google.com/?q=35.522,135.504&amp;t=k", "Map")</f>
        <v>Map</v>
      </c>
    </row>
    <row r="288">
      <c r="A288" s="9" t="s">
        <v>652</v>
      </c>
      <c r="B288" s="9" t="s">
        <v>653</v>
      </c>
      <c r="C288" s="12" t="str">
        <f>HYPERLINK("https://www.google.com/search?q=MONJU+nuclear+power+plant+in+JAPAN", "MONJU")</f>
        <v>MONJU</v>
      </c>
      <c r="D288" s="9" t="s">
        <v>655</v>
      </c>
      <c r="E288" s="9" t="s">
        <v>660</v>
      </c>
      <c r="F288" s="9">
        <v>280.0</v>
      </c>
      <c r="G288" s="9">
        <v>714.0</v>
      </c>
      <c r="H288" s="9">
        <v>0.0</v>
      </c>
      <c r="I288" s="9">
        <v>0.0</v>
      </c>
      <c r="J288" s="9">
        <v>35.74028</v>
      </c>
      <c r="K288" s="9">
        <v>135.98806</v>
      </c>
      <c r="L288" s="13">
        <v>184.226211547852</v>
      </c>
      <c r="M288" s="12" t="str">
        <f>HYPERLINK("http://www.iaea.org/PRIS/CountryStatistics/ReactorDetails.aspx?current=357", "PRIS")</f>
        <v>PRIS</v>
      </c>
      <c r="N288" s="12" t="str">
        <f>HYPERLINK("http://maps.google.com/?q=35.7403,135.988&amp;t=k", "Map")</f>
        <v>Map</v>
      </c>
    </row>
    <row r="289">
      <c r="A289" s="9" t="s">
        <v>652</v>
      </c>
      <c r="B289" s="9" t="s">
        <v>653</v>
      </c>
      <c r="C289" s="12" t="str">
        <f>HYPERLINK("https://www.google.com/search?q=IKATA-2+nuclear+power+plant+in+JAPAN", "IKATA-2")</f>
        <v>IKATA-2</v>
      </c>
      <c r="D289" s="9" t="s">
        <v>707</v>
      </c>
      <c r="E289" s="9" t="s">
        <v>21</v>
      </c>
      <c r="F289" s="9">
        <v>566.0</v>
      </c>
      <c r="G289" s="9">
        <v>1650.0</v>
      </c>
      <c r="H289" s="9">
        <v>77.2</v>
      </c>
      <c r="I289" s="9">
        <v>0.0</v>
      </c>
      <c r="J289" s="9">
        <v>33.49083</v>
      </c>
      <c r="K289" s="9">
        <v>132.31139</v>
      </c>
      <c r="L289" s="13">
        <v>170.075180053711</v>
      </c>
      <c r="M289" s="12" t="str">
        <f>HYPERLINK("http://www.iaea.org/PRIS/CountryStatistics/ReactorDetails.aspx?current=358", "PRIS")</f>
        <v>PRIS</v>
      </c>
      <c r="N289" s="12" t="str">
        <f>HYPERLINK("http://maps.google.com/?q=33.4908,132.311&amp;t=k", "Map")</f>
        <v>Map</v>
      </c>
    </row>
    <row r="290">
      <c r="A290" s="9" t="s">
        <v>652</v>
      </c>
      <c r="B290" s="9" t="s">
        <v>653</v>
      </c>
      <c r="C290" s="12" t="str">
        <f>HYPERLINK("https://www.google.com/search?q=KASHIWAZAKI+KARIWA-1+nuclear+power+plant+in+JAPAN", "KASHIWAZAKI KARIWA-1")</f>
        <v>KASHIWAZAKI KARIWA-1</v>
      </c>
      <c r="D290" s="9" t="s">
        <v>717</v>
      </c>
      <c r="E290" s="9" t="s">
        <v>21</v>
      </c>
      <c r="F290" s="9">
        <v>1100.0</v>
      </c>
      <c r="G290" s="9">
        <v>3293.0</v>
      </c>
      <c r="H290" s="9">
        <v>59.6</v>
      </c>
      <c r="I290" s="9">
        <v>0.0</v>
      </c>
      <c r="J290" s="9">
        <v>37.4283</v>
      </c>
      <c r="K290" s="9">
        <v>138.6017</v>
      </c>
      <c r="L290" s="13">
        <v>93.5785751342773</v>
      </c>
      <c r="M290" s="12" t="str">
        <f>HYPERLINK("http://www.iaea.org/PRIS/CountryStatistics/ReactorDetails.aspx?current=359", "PRIS")</f>
        <v>PRIS</v>
      </c>
      <c r="N290" s="12" t="str">
        <f>HYPERLINK("http://maps.google.com/?q=37.4283,138.602&amp;t=k", "Map")</f>
        <v>Map</v>
      </c>
    </row>
    <row r="291">
      <c r="A291" s="9" t="s">
        <v>652</v>
      </c>
      <c r="B291" s="9" t="s">
        <v>653</v>
      </c>
      <c r="C291" s="12" t="str">
        <f>HYPERLINK("https://www.google.com/search?q=TSURUGA-2+nuclear+power+plant+in+JAPAN", "TSURUGA-2")</f>
        <v>TSURUGA-2</v>
      </c>
      <c r="D291" s="9" t="s">
        <v>797</v>
      </c>
      <c r="E291" s="9" t="s">
        <v>21</v>
      </c>
      <c r="F291" s="9">
        <v>1160.0</v>
      </c>
      <c r="G291" s="9">
        <v>3411.0</v>
      </c>
      <c r="H291" s="9">
        <v>70.3</v>
      </c>
      <c r="I291" s="9">
        <v>0.0</v>
      </c>
      <c r="J291" s="9">
        <v>35.75194</v>
      </c>
      <c r="K291" s="9">
        <v>136.01889</v>
      </c>
      <c r="L291" s="13">
        <v>108.279922485352</v>
      </c>
      <c r="M291" s="12" t="str">
        <f>HYPERLINK("http://www.iaea.org/PRIS/CountryStatistics/ReactorDetails.aspx?current=360", "PRIS")</f>
        <v>PRIS</v>
      </c>
      <c r="N291" s="12" t="str">
        <f>HYPERLINK("http://maps.google.com/?q=35.7519,136.019&amp;t=k", "Map")</f>
        <v>Map</v>
      </c>
    </row>
    <row r="292">
      <c r="A292" s="9" t="s">
        <v>652</v>
      </c>
      <c r="B292" s="9" t="s">
        <v>653</v>
      </c>
      <c r="C292" s="12" t="str">
        <f>HYPERLINK("https://www.google.com/search?q=FUKUSHIMA-DAINI-3+nuclear+power+plant+in+JAPAN", "FUKUSHIMA-DAINI-3")</f>
        <v>FUKUSHIMA-DAINI-3</v>
      </c>
      <c r="D292" s="9" t="s">
        <v>674</v>
      </c>
      <c r="E292" s="9" t="s">
        <v>21</v>
      </c>
      <c r="F292" s="9">
        <v>1100.0</v>
      </c>
      <c r="G292" s="9">
        <v>3293.0</v>
      </c>
      <c r="H292" s="9">
        <v>60.4</v>
      </c>
      <c r="I292" s="9">
        <v>0.0</v>
      </c>
      <c r="J292" s="9">
        <v>37.31639</v>
      </c>
      <c r="K292" s="9">
        <v>141.02556</v>
      </c>
      <c r="L292" s="13">
        <v>50.9015502929688</v>
      </c>
      <c r="M292" s="12" t="str">
        <f>HYPERLINK("http://www.iaea.org/PRIS/CountryStatistics/ReactorDetails.aspx?current=361", "PRIS")</f>
        <v>PRIS</v>
      </c>
      <c r="N292" s="12" t="str">
        <f>HYPERLINK("http://maps.google.com/?q=37.3164,141.026&amp;t=k", "Map")</f>
        <v>Map</v>
      </c>
    </row>
    <row r="293">
      <c r="A293" s="9" t="s">
        <v>652</v>
      </c>
      <c r="B293" s="9" t="s">
        <v>653</v>
      </c>
      <c r="C293" s="12" t="str">
        <f>HYPERLINK("https://www.google.com/search?q=HAMAOKA-3+nuclear+power+plant+in+JAPAN", "HAMAOKA-3")</f>
        <v>HAMAOKA-3</v>
      </c>
      <c r="D293" s="9" t="s">
        <v>693</v>
      </c>
      <c r="E293" s="9" t="s">
        <v>21</v>
      </c>
      <c r="F293" s="9">
        <v>1100.0</v>
      </c>
      <c r="G293" s="9">
        <v>3293.0</v>
      </c>
      <c r="H293" s="9">
        <v>68.8</v>
      </c>
      <c r="I293" s="9">
        <v>0.0</v>
      </c>
      <c r="J293" s="9">
        <v>34.62361</v>
      </c>
      <c r="K293" s="9">
        <v>138.1425</v>
      </c>
      <c r="L293" s="13">
        <v>59.0815773010254</v>
      </c>
      <c r="M293" s="12" t="str">
        <f>HYPERLINK("http://www.iaea.org/PRIS/CountryStatistics/ReactorDetails.aspx?current=362", "PRIS")</f>
        <v>PRIS</v>
      </c>
      <c r="N293" s="12" t="str">
        <f>HYPERLINK("http://maps.google.com/?q=34.6236,138.143&amp;t=k", "Map")</f>
        <v>Map</v>
      </c>
    </row>
    <row r="294">
      <c r="A294" s="9" t="s">
        <v>652</v>
      </c>
      <c r="B294" s="9" t="s">
        <v>653</v>
      </c>
      <c r="C294" s="12" t="str">
        <f>HYPERLINK("https://www.google.com/search?q=SENDAI-2+nuclear+power+plant+in+JAPAN", "SENDAI-2")</f>
        <v>SENDAI-2</v>
      </c>
      <c r="D294" s="9" t="s">
        <v>759</v>
      </c>
      <c r="E294" s="9" t="s">
        <v>21</v>
      </c>
      <c r="F294" s="9">
        <v>890.0</v>
      </c>
      <c r="G294" s="9">
        <v>2660.0</v>
      </c>
      <c r="H294" s="9">
        <v>78.0</v>
      </c>
      <c r="I294" s="9">
        <v>0.0</v>
      </c>
      <c r="J294" s="9">
        <v>31.83361</v>
      </c>
      <c r="K294" s="9">
        <v>130.18972</v>
      </c>
      <c r="L294" s="13">
        <v>44.0034408569336</v>
      </c>
      <c r="M294" s="12" t="str">
        <f>HYPERLINK("http://www.iaea.org/PRIS/CountryStatistics/ReactorDetails.aspx?current=363", "PRIS")</f>
        <v>PRIS</v>
      </c>
      <c r="N294" s="12" t="str">
        <f>HYPERLINK("http://maps.google.com/?q=31.8336,130.19&amp;t=k", "Map")</f>
        <v>Map</v>
      </c>
    </row>
    <row r="295">
      <c r="A295" s="9" t="s">
        <v>652</v>
      </c>
      <c r="B295" s="9" t="s">
        <v>653</v>
      </c>
      <c r="C295" s="12" t="str">
        <f>HYPERLINK("https://www.google.com/search?q=FUKUSHIMA-DAINI-4+nuclear+power+plant+in+JAPAN", "FUKUSHIMA-DAINI-4")</f>
        <v>FUKUSHIMA-DAINI-4</v>
      </c>
      <c r="D295" s="9" t="s">
        <v>674</v>
      </c>
      <c r="E295" s="9" t="s">
        <v>21</v>
      </c>
      <c r="F295" s="9">
        <v>1100.0</v>
      </c>
      <c r="G295" s="9">
        <v>3293.0</v>
      </c>
      <c r="H295" s="9">
        <v>64.5</v>
      </c>
      <c r="I295" s="9">
        <v>0.0</v>
      </c>
      <c r="J295" s="9">
        <v>37.31639</v>
      </c>
      <c r="K295" s="9">
        <v>141.02556</v>
      </c>
      <c r="L295" s="13">
        <v>46.3761215209961</v>
      </c>
      <c r="M295" s="12" t="str">
        <f>HYPERLINK("http://www.iaea.org/PRIS/CountryStatistics/ReactorDetails.aspx?current=364", "PRIS")</f>
        <v>PRIS</v>
      </c>
      <c r="N295" s="12" t="str">
        <f>HYPERLINK("http://maps.google.com/?q=37.3164,141.026&amp;t=k", "Map")</f>
        <v>Map</v>
      </c>
    </row>
    <row r="296">
      <c r="A296" s="9" t="s">
        <v>652</v>
      </c>
      <c r="B296" s="9" t="s">
        <v>653</v>
      </c>
      <c r="C296" s="12" t="str">
        <f>HYPERLINK("https://www.google.com/search?q=KASHIWAZAKI+KARIWA-2+nuclear+power+plant+in+JAPAN", "KASHIWAZAKI KARIWA-2")</f>
        <v>KASHIWAZAKI KARIWA-2</v>
      </c>
      <c r="D296" s="9" t="s">
        <v>717</v>
      </c>
      <c r="E296" s="9" t="s">
        <v>21</v>
      </c>
      <c r="F296" s="9">
        <v>1100.0</v>
      </c>
      <c r="G296" s="9">
        <v>3293.0</v>
      </c>
      <c r="H296" s="9">
        <v>53.6</v>
      </c>
      <c r="I296" s="9">
        <v>0.0</v>
      </c>
      <c r="J296" s="9">
        <v>37.4283</v>
      </c>
      <c r="K296" s="9">
        <v>138.6017</v>
      </c>
      <c r="L296" s="13">
        <v>71.1054077148438</v>
      </c>
      <c r="M296" s="12" t="str">
        <f>HYPERLINK("http://www.iaea.org/PRIS/CountryStatistics/ReactorDetails.aspx?current=365", "PRIS")</f>
        <v>PRIS</v>
      </c>
      <c r="N296" s="12" t="str">
        <f>HYPERLINK("http://maps.google.com/?q=37.4283,138.602&amp;t=k", "Map")</f>
        <v>Map</v>
      </c>
    </row>
    <row r="297">
      <c r="A297" s="9" t="s">
        <v>652</v>
      </c>
      <c r="B297" s="9" t="s">
        <v>653</v>
      </c>
      <c r="C297" s="12" t="str">
        <f>HYPERLINK("https://www.google.com/search?q=MIHAMA-1+nuclear+power+plant+in+JAPAN", "MIHAMA-1")</f>
        <v>MIHAMA-1</v>
      </c>
      <c r="D297" s="9" t="s">
        <v>732</v>
      </c>
      <c r="E297" s="9" t="s">
        <v>21</v>
      </c>
      <c r="F297" s="9">
        <v>340.0</v>
      </c>
      <c r="G297" s="9">
        <v>1031.0</v>
      </c>
      <c r="H297" s="9">
        <v>49.8</v>
      </c>
      <c r="I297" s="9">
        <v>0.0</v>
      </c>
      <c r="J297" s="9">
        <v>35.703475</v>
      </c>
      <c r="K297" s="9">
        <v>135.9635778</v>
      </c>
      <c r="L297" s="13">
        <v>98.1827011108398</v>
      </c>
      <c r="M297" s="12" t="str">
        <f>HYPERLINK("http://www.iaea.org/PRIS/CountryStatistics/ReactorDetails.aspx?current=366", "PRIS")</f>
        <v>PRIS</v>
      </c>
      <c r="N297" s="12" t="str">
        <f>HYPERLINK("http://maps.google.com/?q=35.7035,135.964&amp;t=k", "Map")</f>
        <v>Map</v>
      </c>
    </row>
    <row r="298">
      <c r="A298" s="9" t="s">
        <v>652</v>
      </c>
      <c r="B298" s="9" t="s">
        <v>653</v>
      </c>
      <c r="C298" s="12" t="str">
        <f>HYPERLINK("https://www.google.com/search?q=KASHIWAZAKI+KARIWA-5+nuclear+power+plant+in+JAPAN", "KASHIWAZAKI KARIWA-5")</f>
        <v>KASHIWAZAKI KARIWA-5</v>
      </c>
      <c r="D298" s="9" t="s">
        <v>717</v>
      </c>
      <c r="E298" s="9" t="s">
        <v>21</v>
      </c>
      <c r="F298" s="9">
        <v>1100.0</v>
      </c>
      <c r="G298" s="9">
        <v>3293.0</v>
      </c>
      <c r="H298" s="9">
        <v>60.8</v>
      </c>
      <c r="I298" s="9">
        <v>0.0</v>
      </c>
      <c r="J298" s="9">
        <v>37.4283</v>
      </c>
      <c r="K298" s="9">
        <v>138.6017</v>
      </c>
      <c r="L298" s="13">
        <v>71.1054077148438</v>
      </c>
      <c r="M298" s="12" t="str">
        <f>HYPERLINK("http://www.iaea.org/PRIS/CountryStatistics/ReactorDetails.aspx?current=367", "PRIS")</f>
        <v>PRIS</v>
      </c>
      <c r="N298" s="12" t="str">
        <f>HYPERLINK("http://maps.google.com/?q=37.4283,138.602&amp;t=k", "Map")</f>
        <v>Map</v>
      </c>
    </row>
    <row r="299">
      <c r="A299" s="9" t="s">
        <v>652</v>
      </c>
      <c r="B299" s="9" t="s">
        <v>653</v>
      </c>
      <c r="C299" s="12" t="str">
        <f>HYPERLINK("https://www.google.com/search?q=SHIMANE-2+nuclear+power+plant+in+JAPAN", "SHIMANE-2")</f>
        <v>SHIMANE-2</v>
      </c>
      <c r="D299" s="9" t="s">
        <v>769</v>
      </c>
      <c r="E299" s="9" t="s">
        <v>21</v>
      </c>
      <c r="F299" s="9">
        <v>820.0</v>
      </c>
      <c r="G299" s="9">
        <v>2436.0</v>
      </c>
      <c r="H299" s="9">
        <v>74.0</v>
      </c>
      <c r="I299" s="9">
        <v>0.0</v>
      </c>
      <c r="J299" s="9">
        <v>35.53833</v>
      </c>
      <c r="K299" s="9">
        <v>132.99917</v>
      </c>
      <c r="L299" s="13">
        <v>81.684928894043</v>
      </c>
      <c r="M299" s="12" t="str">
        <f>HYPERLINK("http://www.iaea.org/PRIS/CountryStatistics/ReactorDetails.aspx?current=368", "PRIS")</f>
        <v>PRIS</v>
      </c>
      <c r="N299" s="12" t="str">
        <f>HYPERLINK("http://maps.google.com/?q=35.5383,132.999&amp;t=k", "Map")</f>
        <v>Map</v>
      </c>
    </row>
    <row r="300">
      <c r="A300" s="9" t="s">
        <v>652</v>
      </c>
      <c r="B300" s="9" t="s">
        <v>653</v>
      </c>
      <c r="C300" s="12" t="str">
        <f>HYPERLINK("https://www.google.com/search?q=TOMARI-1+nuclear+power+plant+in+JAPAN", "TOMARI-1")</f>
        <v>TOMARI-1</v>
      </c>
      <c r="D300" s="9" t="s">
        <v>790</v>
      </c>
      <c r="E300" s="9" t="s">
        <v>21</v>
      </c>
      <c r="F300" s="9">
        <v>579.0</v>
      </c>
      <c r="G300" s="9">
        <v>1650.0</v>
      </c>
      <c r="H300" s="9">
        <v>76.4</v>
      </c>
      <c r="I300" s="9">
        <v>0.0</v>
      </c>
      <c r="J300" s="9">
        <v>43.03611</v>
      </c>
      <c r="K300" s="9">
        <v>140.5125</v>
      </c>
      <c r="L300" s="13">
        <v>59.8333511352539</v>
      </c>
      <c r="M300" s="12" t="str">
        <f>HYPERLINK("http://www.iaea.org/PRIS/CountryStatistics/ReactorDetails.aspx?current=370", "PRIS")</f>
        <v>PRIS</v>
      </c>
      <c r="N300" s="12" t="str">
        <f t="shared" ref="N300:N301" si="68">HYPERLINK("http://maps.google.com/?q=43.0361,140.512&amp;t=k", "Map")</f>
        <v>Map</v>
      </c>
    </row>
    <row r="301">
      <c r="A301" s="9" t="s">
        <v>652</v>
      </c>
      <c r="B301" s="9" t="s">
        <v>653</v>
      </c>
      <c r="C301" s="12" t="str">
        <f>HYPERLINK("https://www.google.com/search?q=TOMARI-2+nuclear+power+plant+in+JAPAN", "TOMARI-2")</f>
        <v>TOMARI-2</v>
      </c>
      <c r="D301" s="9" t="s">
        <v>790</v>
      </c>
      <c r="E301" s="9" t="s">
        <v>21</v>
      </c>
      <c r="F301" s="9">
        <v>579.0</v>
      </c>
      <c r="G301" s="9">
        <v>1650.0</v>
      </c>
      <c r="H301" s="9">
        <v>75.6</v>
      </c>
      <c r="I301" s="9">
        <v>0.0</v>
      </c>
      <c r="J301" s="9">
        <v>43.03611</v>
      </c>
      <c r="K301" s="9">
        <v>140.5125</v>
      </c>
      <c r="L301" s="13">
        <v>59.8333511352539</v>
      </c>
      <c r="M301" s="12" t="str">
        <f>HYPERLINK("http://www.iaea.org/PRIS/CountryStatistics/ReactorDetails.aspx?current=371", "PRIS")</f>
        <v>PRIS</v>
      </c>
      <c r="N301" s="12" t="str">
        <f t="shared" si="68"/>
        <v>Map</v>
      </c>
    </row>
    <row r="302">
      <c r="A302" s="9" t="s">
        <v>652</v>
      </c>
      <c r="B302" s="9" t="s">
        <v>653</v>
      </c>
      <c r="C302" s="12" t="str">
        <f>HYPERLINK("https://www.google.com/search?q=GENKAI-3+nuclear+power+plant+in+JAPAN", "GENKAI-3")</f>
        <v>GENKAI-3</v>
      </c>
      <c r="D302" s="9" t="s">
        <v>684</v>
      </c>
      <c r="E302" s="9" t="s">
        <v>21</v>
      </c>
      <c r="F302" s="9">
        <v>1180.0</v>
      </c>
      <c r="G302" s="9">
        <v>3423.0</v>
      </c>
      <c r="H302" s="9">
        <v>73.2</v>
      </c>
      <c r="I302" s="9">
        <v>0.0</v>
      </c>
      <c r="J302" s="9">
        <v>33.51556</v>
      </c>
      <c r="K302" s="9">
        <v>129.83722</v>
      </c>
      <c r="L302" s="13">
        <v>70.752685546875</v>
      </c>
      <c r="M302" s="12" t="str">
        <f>HYPERLINK("http://www.iaea.org/PRIS/CountryStatistics/ReactorDetails.aspx?current=372", "PRIS")</f>
        <v>PRIS</v>
      </c>
      <c r="N302" s="12" t="str">
        <f t="shared" ref="N302:N303" si="69">HYPERLINK("http://maps.google.com/?q=33.5156,129.837&amp;t=k", "Map")</f>
        <v>Map</v>
      </c>
    </row>
    <row r="303">
      <c r="A303" s="9" t="s">
        <v>652</v>
      </c>
      <c r="B303" s="9" t="s">
        <v>653</v>
      </c>
      <c r="C303" s="12" t="str">
        <f>HYPERLINK("https://www.google.com/search?q=GENKAI-4+nuclear+power+plant+in+JAPAN", "GENKAI-4")</f>
        <v>GENKAI-4</v>
      </c>
      <c r="D303" s="9" t="s">
        <v>684</v>
      </c>
      <c r="E303" s="9" t="s">
        <v>21</v>
      </c>
      <c r="F303" s="9">
        <v>1180.0</v>
      </c>
      <c r="G303" s="9">
        <v>3423.0</v>
      </c>
      <c r="H303" s="9">
        <v>76.3</v>
      </c>
      <c r="I303" s="9">
        <v>0.0</v>
      </c>
      <c r="J303" s="9">
        <v>33.51556</v>
      </c>
      <c r="K303" s="9">
        <v>129.83722</v>
      </c>
      <c r="L303" s="13">
        <v>70.752685546875</v>
      </c>
      <c r="M303" s="12" t="str">
        <f>HYPERLINK("http://www.iaea.org/PRIS/CountryStatistics/ReactorDetails.aspx?current=373", "PRIS")</f>
        <v>PRIS</v>
      </c>
      <c r="N303" s="12" t="str">
        <f t="shared" si="69"/>
        <v>Map</v>
      </c>
    </row>
    <row r="304">
      <c r="A304" s="9" t="s">
        <v>652</v>
      </c>
      <c r="B304" s="9" t="s">
        <v>653</v>
      </c>
      <c r="C304" s="12" t="str">
        <f>HYPERLINK("https://www.google.com/search?q=IKATA-3+nuclear+power+plant+in+JAPAN", "IKATA-3")</f>
        <v>IKATA-3</v>
      </c>
      <c r="D304" s="9" t="s">
        <v>707</v>
      </c>
      <c r="E304" s="9" t="s">
        <v>21</v>
      </c>
      <c r="F304" s="9">
        <v>890.0</v>
      </c>
      <c r="G304" s="9">
        <v>2660.0</v>
      </c>
      <c r="H304" s="9">
        <v>76.6</v>
      </c>
      <c r="I304" s="9">
        <v>0.0</v>
      </c>
      <c r="J304" s="9">
        <v>33.49083</v>
      </c>
      <c r="K304" s="9">
        <v>132.31139</v>
      </c>
      <c r="L304" s="13">
        <v>195.586090087891</v>
      </c>
      <c r="M304" s="12" t="str">
        <f>HYPERLINK("http://www.iaea.org/PRIS/CountryStatistics/ReactorDetails.aspx?current=374", "PRIS")</f>
        <v>PRIS</v>
      </c>
      <c r="N304" s="12" t="str">
        <f>HYPERLINK("http://maps.google.com/?q=33.4908,132.311&amp;t=k", "Map")</f>
        <v>Map</v>
      </c>
    </row>
    <row r="305">
      <c r="A305" s="9" t="s">
        <v>652</v>
      </c>
      <c r="B305" s="9" t="s">
        <v>653</v>
      </c>
      <c r="C305" s="12" t="str">
        <f>HYPERLINK("https://www.google.com/search?q=SHIKA-1+nuclear+power+plant+in+JAPAN", "SHIKA-1")</f>
        <v>SHIKA-1</v>
      </c>
      <c r="D305" s="9" t="s">
        <v>764</v>
      </c>
      <c r="E305" s="9" t="s">
        <v>21</v>
      </c>
      <c r="F305" s="9">
        <v>530.0</v>
      </c>
      <c r="G305" s="9">
        <v>1593.0</v>
      </c>
      <c r="H305" s="9">
        <v>61.3</v>
      </c>
      <c r="I305" s="9">
        <v>0.0</v>
      </c>
      <c r="J305" s="9">
        <v>37.06111</v>
      </c>
      <c r="K305" s="9">
        <v>136.72639</v>
      </c>
      <c r="L305" s="13">
        <v>59.6058197021484</v>
      </c>
      <c r="M305" s="12" t="str">
        <f>HYPERLINK("http://www.iaea.org/PRIS/CountryStatistics/ReactorDetails.aspx?current=375", "PRIS")</f>
        <v>PRIS</v>
      </c>
      <c r="N305" s="12" t="str">
        <f>HYPERLINK("http://maps.google.com/?q=37.0611,136.726&amp;t=k", "Map")</f>
        <v>Map</v>
      </c>
    </row>
    <row r="306">
      <c r="A306" s="9" t="s">
        <v>652</v>
      </c>
      <c r="B306" s="9" t="s">
        <v>653</v>
      </c>
      <c r="C306" s="12" t="str">
        <f>HYPERLINK("https://www.google.com/search?q=HAMAOKA-4+nuclear+power+plant+in+JAPAN", "HAMAOKA-4")</f>
        <v>HAMAOKA-4</v>
      </c>
      <c r="D306" s="9" t="s">
        <v>693</v>
      </c>
      <c r="E306" s="9" t="s">
        <v>21</v>
      </c>
      <c r="F306" s="9">
        <v>1137.0</v>
      </c>
      <c r="G306" s="9">
        <v>3293.0</v>
      </c>
      <c r="H306" s="9">
        <v>69.4</v>
      </c>
      <c r="I306" s="9">
        <v>0.0</v>
      </c>
      <c r="J306" s="9">
        <v>34.62361</v>
      </c>
      <c r="K306" s="9">
        <v>138.1425</v>
      </c>
      <c r="L306" s="13">
        <v>45.1412200927734</v>
      </c>
      <c r="M306" s="12" t="str">
        <f>HYPERLINK("http://www.iaea.org/PRIS/CountryStatistics/ReactorDetails.aspx?current=376", "PRIS")</f>
        <v>PRIS</v>
      </c>
      <c r="N306" s="12" t="str">
        <f>HYPERLINK("http://maps.google.com/?q=34.6236,138.143&amp;t=k", "Map")</f>
        <v>Map</v>
      </c>
    </row>
    <row r="307">
      <c r="A307" s="9" t="s">
        <v>652</v>
      </c>
      <c r="B307" s="9" t="s">
        <v>653</v>
      </c>
      <c r="C307" s="12" t="str">
        <f>HYPERLINK("https://www.google.com/search?q=FUKUSHIMA-DAIICHI-1+nuclear+power+plant+in+JAPAN", "FUKUSHIMA-DAIICHI-1")</f>
        <v>FUKUSHIMA-DAIICHI-1</v>
      </c>
      <c r="D307" s="9" t="s">
        <v>658</v>
      </c>
      <c r="E307" s="9" t="s">
        <v>24</v>
      </c>
      <c r="F307" s="9">
        <v>460.0</v>
      </c>
      <c r="G307" s="9">
        <v>1380.0</v>
      </c>
      <c r="H307" s="9">
        <v>53.3</v>
      </c>
      <c r="I307" s="9">
        <v>0.0</v>
      </c>
      <c r="J307" s="9">
        <v>37.42306</v>
      </c>
      <c r="K307" s="9">
        <v>141.03306</v>
      </c>
      <c r="L307" s="13">
        <v>64.8412857055664</v>
      </c>
      <c r="M307" s="12" t="str">
        <f>HYPERLINK("http://www.iaea.org/PRIS/CountryStatistics/ReactorDetails.aspx?current=377", "PRIS")</f>
        <v>PRIS</v>
      </c>
      <c r="N307" s="12" t="str">
        <f>HYPERLINK("http://maps.google.com/?q=37.4231,141.033&amp;t=k", "Map")</f>
        <v>Map</v>
      </c>
    </row>
    <row r="308">
      <c r="A308" s="9" t="s">
        <v>652</v>
      </c>
      <c r="B308" s="9" t="s">
        <v>653</v>
      </c>
      <c r="C308" s="12" t="str">
        <f>HYPERLINK("https://www.google.com/search?q=OHI-3+nuclear+power+plant+in+JAPAN", "OHI-3")</f>
        <v>OHI-3</v>
      </c>
      <c r="D308" s="9" t="s">
        <v>741</v>
      </c>
      <c r="E308" s="9" t="s">
        <v>21</v>
      </c>
      <c r="F308" s="9">
        <v>1180.0</v>
      </c>
      <c r="G308" s="9">
        <v>3423.0</v>
      </c>
      <c r="H308" s="9">
        <v>77.0</v>
      </c>
      <c r="I308" s="9">
        <v>68.7</v>
      </c>
      <c r="J308" s="9">
        <v>35.540625</v>
      </c>
      <c r="K308" s="9">
        <v>135.6520333</v>
      </c>
      <c r="L308" s="13">
        <v>52.7844467163086</v>
      </c>
      <c r="M308" s="12" t="str">
        <f>HYPERLINK("http://www.iaea.org/PRIS/CountryStatistics/ReactorDetails.aspx?current=378", "PRIS")</f>
        <v>PRIS</v>
      </c>
      <c r="N308" s="12" t="str">
        <f t="shared" ref="N308:N309" si="70">HYPERLINK("http://maps.google.com/?q=35.5406,135.652&amp;t=k", "Map")</f>
        <v>Map</v>
      </c>
    </row>
    <row r="309">
      <c r="A309" s="9" t="s">
        <v>652</v>
      </c>
      <c r="B309" s="9" t="s">
        <v>653</v>
      </c>
      <c r="C309" s="12" t="str">
        <f>HYPERLINK("https://www.google.com/search?q=OHI-4+nuclear+power+plant+in+JAPAN", "OHI-4")</f>
        <v>OHI-4</v>
      </c>
      <c r="D309" s="9" t="s">
        <v>741</v>
      </c>
      <c r="E309" s="9" t="s">
        <v>21</v>
      </c>
      <c r="F309" s="9">
        <v>1180.0</v>
      </c>
      <c r="G309" s="9">
        <v>3423.0</v>
      </c>
      <c r="H309" s="9">
        <v>81.9</v>
      </c>
      <c r="I309" s="9">
        <v>72.6</v>
      </c>
      <c r="J309" s="9">
        <v>35.540625</v>
      </c>
      <c r="K309" s="9">
        <v>135.6520333</v>
      </c>
      <c r="L309" s="13">
        <v>52.7844467163086</v>
      </c>
      <c r="M309" s="12" t="str">
        <f>HYPERLINK("http://www.iaea.org/PRIS/CountryStatistics/ReactorDetails.aspx?current=379", "PRIS")</f>
        <v>PRIS</v>
      </c>
      <c r="N309" s="12" t="str">
        <f t="shared" si="70"/>
        <v>Map</v>
      </c>
    </row>
    <row r="310">
      <c r="A310" s="9" t="s">
        <v>652</v>
      </c>
      <c r="B310" s="9" t="s">
        <v>653</v>
      </c>
      <c r="C310" s="12" t="str">
        <f>HYPERLINK("https://www.google.com/search?q=KASHIWAZAKI+KARIWA-3+nuclear+power+plant+in+JAPAN", "KASHIWAZAKI KARIWA-3")</f>
        <v>KASHIWAZAKI KARIWA-3</v>
      </c>
      <c r="D310" s="9" t="s">
        <v>717</v>
      </c>
      <c r="E310" s="9" t="s">
        <v>21</v>
      </c>
      <c r="F310" s="9">
        <v>1100.0</v>
      </c>
      <c r="G310" s="9">
        <v>3293.0</v>
      </c>
      <c r="H310" s="9">
        <v>51.1</v>
      </c>
      <c r="I310" s="9">
        <v>0.0</v>
      </c>
      <c r="J310" s="9">
        <v>37.4283</v>
      </c>
      <c r="K310" s="9">
        <v>138.6017</v>
      </c>
      <c r="L310" s="13">
        <v>71.1054077148438</v>
      </c>
      <c r="M310" s="12" t="str">
        <f>HYPERLINK("http://www.iaea.org/PRIS/CountryStatistics/ReactorDetails.aspx?current=380", "PRIS")</f>
        <v>PRIS</v>
      </c>
      <c r="N310" s="12" t="str">
        <f t="shared" ref="N310:N311" si="71">HYPERLINK("http://maps.google.com/?q=37.4283,138.602&amp;t=k", "Map")</f>
        <v>Map</v>
      </c>
    </row>
    <row r="311">
      <c r="A311" s="9" t="s">
        <v>652</v>
      </c>
      <c r="B311" s="9" t="s">
        <v>653</v>
      </c>
      <c r="C311" s="12" t="str">
        <f>HYPERLINK("https://www.google.com/search?q=KASHIWAZAKI+KARIWA-4+nuclear+power+plant+in+JAPAN", "KASHIWAZAKI KARIWA-4")</f>
        <v>KASHIWAZAKI KARIWA-4</v>
      </c>
      <c r="D311" s="9" t="s">
        <v>717</v>
      </c>
      <c r="E311" s="9" t="s">
        <v>21</v>
      </c>
      <c r="F311" s="9">
        <v>1100.0</v>
      </c>
      <c r="G311" s="9">
        <v>3293.0</v>
      </c>
      <c r="H311" s="9">
        <v>49.4</v>
      </c>
      <c r="I311" s="9">
        <v>0.0</v>
      </c>
      <c r="J311" s="9">
        <v>37.4283</v>
      </c>
      <c r="K311" s="9">
        <v>138.6017</v>
      </c>
      <c r="L311" s="13">
        <v>71.1054077148438</v>
      </c>
      <c r="M311" s="12" t="str">
        <f>HYPERLINK("http://www.iaea.org/PRIS/CountryStatistics/ReactorDetails.aspx?current=381", "PRIS")</f>
        <v>PRIS</v>
      </c>
      <c r="N311" s="12" t="str">
        <f t="shared" si="71"/>
        <v>Map</v>
      </c>
    </row>
    <row r="312">
      <c r="A312" s="9" t="s">
        <v>652</v>
      </c>
      <c r="B312" s="9" t="s">
        <v>653</v>
      </c>
      <c r="C312" s="12" t="str">
        <f>HYPERLINK("https://www.google.com/search?q=ONAGAWA-2+nuclear+power+plant+in+JAPAN", "ONAGAWA-2")</f>
        <v>ONAGAWA-2</v>
      </c>
      <c r="D312" s="9" t="s">
        <v>752</v>
      </c>
      <c r="E312" s="9" t="s">
        <v>21</v>
      </c>
      <c r="F312" s="9">
        <v>825.0</v>
      </c>
      <c r="G312" s="9">
        <v>2436.0</v>
      </c>
      <c r="H312" s="9">
        <v>62.0</v>
      </c>
      <c r="I312" s="9">
        <v>0.0</v>
      </c>
      <c r="J312" s="9">
        <v>38.40111</v>
      </c>
      <c r="K312" s="9">
        <v>141.49972</v>
      </c>
      <c r="L312" s="13">
        <v>76.5275497436523</v>
      </c>
      <c r="M312" s="12" t="str">
        <f>HYPERLINK("http://www.iaea.org/PRIS/CountryStatistics/ReactorDetails.aspx?current=382", "PRIS")</f>
        <v>PRIS</v>
      </c>
      <c r="N312" s="12" t="str">
        <f>HYPERLINK("http://maps.google.com/?q=38.4011,141.5&amp;t=k", "Map")</f>
        <v>Map</v>
      </c>
    </row>
    <row r="313">
      <c r="A313" s="9" t="s">
        <v>652</v>
      </c>
      <c r="B313" s="9" t="s">
        <v>653</v>
      </c>
      <c r="C313" s="12" t="str">
        <f>HYPERLINK("https://www.google.com/search?q=KASHIWAZAKI+KARIWA-6+nuclear+power+plant+in+JAPAN", "KASHIWAZAKI KARIWA-6")</f>
        <v>KASHIWAZAKI KARIWA-6</v>
      </c>
      <c r="D313" s="9" t="s">
        <v>717</v>
      </c>
      <c r="E313" s="9" t="s">
        <v>21</v>
      </c>
      <c r="F313" s="9">
        <v>1356.0</v>
      </c>
      <c r="G313" s="9">
        <v>3926.0</v>
      </c>
      <c r="H313" s="9">
        <v>65.7</v>
      </c>
      <c r="I313" s="9">
        <v>0.0</v>
      </c>
      <c r="J313" s="9">
        <v>37.4283</v>
      </c>
      <c r="K313" s="9">
        <v>138.6017</v>
      </c>
      <c r="L313" s="13">
        <v>71.1054077148438</v>
      </c>
      <c r="M313" s="12" t="str">
        <f>HYPERLINK("http://www.iaea.org/PRIS/CountryStatistics/ReactorDetails.aspx?current=383", "PRIS")</f>
        <v>PRIS</v>
      </c>
      <c r="N313" s="12" t="str">
        <f t="shared" ref="N313:N314" si="72">HYPERLINK("http://maps.google.com/?q=37.4283,138.602&amp;t=k", "Map")</f>
        <v>Map</v>
      </c>
    </row>
    <row r="314">
      <c r="A314" s="9" t="s">
        <v>652</v>
      </c>
      <c r="B314" s="9" t="s">
        <v>653</v>
      </c>
      <c r="C314" s="12" t="str">
        <f>HYPERLINK("https://www.google.com/search?q=KASHIWAZAKI+KARIWA-7+nuclear+power+plant+in+JAPAN", "KASHIWAZAKI KARIWA-7")</f>
        <v>KASHIWAZAKI KARIWA-7</v>
      </c>
      <c r="D314" s="9" t="s">
        <v>717</v>
      </c>
      <c r="E314" s="9" t="s">
        <v>21</v>
      </c>
      <c r="F314" s="9">
        <v>1356.0</v>
      </c>
      <c r="G314" s="9">
        <v>3926.0</v>
      </c>
      <c r="H314" s="9">
        <v>60.0</v>
      </c>
      <c r="I314" s="9">
        <v>0.0</v>
      </c>
      <c r="J314" s="9">
        <v>37.4283</v>
      </c>
      <c r="K314" s="9">
        <v>138.6017</v>
      </c>
      <c r="L314" s="13">
        <v>71.1054077148438</v>
      </c>
      <c r="M314" s="12" t="str">
        <f>HYPERLINK("http://www.iaea.org/PRIS/CountryStatistics/ReactorDetails.aspx?current=384", "PRIS")</f>
        <v>PRIS</v>
      </c>
      <c r="N314" s="12" t="str">
        <f t="shared" si="72"/>
        <v>Map</v>
      </c>
    </row>
    <row r="315">
      <c r="A315" s="9" t="s">
        <v>652</v>
      </c>
      <c r="B315" s="9" t="s">
        <v>653</v>
      </c>
      <c r="C315" s="12" t="str">
        <f>HYPERLINK("https://www.google.com/search?q=ONAGAWA-3+nuclear+power+plant+in+JAPAN", "ONAGAWA-3")</f>
        <v>ONAGAWA-3</v>
      </c>
      <c r="D315" s="9" t="s">
        <v>752</v>
      </c>
      <c r="E315" s="9" t="s">
        <v>21</v>
      </c>
      <c r="F315" s="9">
        <v>825.0</v>
      </c>
      <c r="G315" s="9">
        <v>2436.0</v>
      </c>
      <c r="H315" s="9">
        <v>52.9</v>
      </c>
      <c r="I315" s="9">
        <v>0.0</v>
      </c>
      <c r="J315" s="9">
        <v>38.40111</v>
      </c>
      <c r="K315" s="9">
        <v>141.49972</v>
      </c>
      <c r="L315" s="13">
        <v>76.5275497436523</v>
      </c>
      <c r="M315" s="12" t="str">
        <f>HYPERLINK("http://www.iaea.org/PRIS/CountryStatistics/ReactorDetails.aspx?current=385", "PRIS")</f>
        <v>PRIS</v>
      </c>
      <c r="N315" s="12" t="str">
        <f>HYPERLINK("http://maps.google.com/?q=38.4011,141.5&amp;t=k", "Map")</f>
        <v>Map</v>
      </c>
    </row>
    <row r="316">
      <c r="A316" s="9" t="s">
        <v>652</v>
      </c>
      <c r="B316" s="9" t="s">
        <v>653</v>
      </c>
      <c r="C316" s="12" t="str">
        <f>HYPERLINK("https://www.google.com/search?q=MIHAMA-2+nuclear+power+plant+in+JAPAN", "MIHAMA-2")</f>
        <v>MIHAMA-2</v>
      </c>
      <c r="D316" s="9" t="s">
        <v>732</v>
      </c>
      <c r="E316" s="9" t="s">
        <v>21</v>
      </c>
      <c r="F316" s="9">
        <v>500.0</v>
      </c>
      <c r="G316" s="9">
        <v>1456.0</v>
      </c>
      <c r="H316" s="9">
        <v>59.5</v>
      </c>
      <c r="I316" s="9">
        <v>0.0</v>
      </c>
      <c r="J316" s="9">
        <v>35.703475</v>
      </c>
      <c r="K316" s="9">
        <v>135.9635778</v>
      </c>
      <c r="L316" s="13">
        <v>98.1827011108398</v>
      </c>
      <c r="M316" s="12" t="str">
        <f>HYPERLINK("http://www.iaea.org/PRIS/CountryStatistics/ReactorDetails.aspx?current=386", "PRIS")</f>
        <v>PRIS</v>
      </c>
      <c r="N316" s="12" t="str">
        <f>HYPERLINK("http://maps.google.com/?q=35.7035,135.964&amp;t=k", "Map")</f>
        <v>Map</v>
      </c>
    </row>
    <row r="317">
      <c r="A317" s="9" t="s">
        <v>652</v>
      </c>
      <c r="B317" s="9" t="s">
        <v>653</v>
      </c>
      <c r="C317" s="12" t="str">
        <f>HYPERLINK("https://www.google.com/search?q=SHIMANE-1+nuclear+power+plant+in+JAPAN", "SHIMANE-1")</f>
        <v>SHIMANE-1</v>
      </c>
      <c r="D317" s="9" t="s">
        <v>769</v>
      </c>
      <c r="E317" s="9" t="s">
        <v>21</v>
      </c>
      <c r="F317" s="9">
        <v>460.0</v>
      </c>
      <c r="G317" s="9">
        <v>1380.0</v>
      </c>
      <c r="H317" s="9">
        <v>66.3</v>
      </c>
      <c r="I317" s="9">
        <v>0.0</v>
      </c>
      <c r="J317" s="9">
        <v>35.53833</v>
      </c>
      <c r="K317" s="9">
        <v>132.99917</v>
      </c>
      <c r="L317" s="13">
        <v>81.684928894043</v>
      </c>
      <c r="M317" s="12" t="str">
        <f>HYPERLINK("http://www.iaea.org/PRIS/CountryStatistics/ReactorDetails.aspx?current=387", "PRIS")</f>
        <v>PRIS</v>
      </c>
      <c r="N317" s="12" t="str">
        <f>HYPERLINK("http://maps.google.com/?q=35.5383,132.999&amp;t=k", "Map")</f>
        <v>Map</v>
      </c>
    </row>
    <row r="318">
      <c r="A318" s="9" t="s">
        <v>652</v>
      </c>
      <c r="B318" s="9" t="s">
        <v>653</v>
      </c>
      <c r="C318" s="12" t="str">
        <f>HYPERLINK("https://www.google.com/search?q=TAKAHAMA-1+nuclear+power+plant+in+JAPAN", "TAKAHAMA-1")</f>
        <v>TAKAHAMA-1</v>
      </c>
      <c r="D318" s="9" t="s">
        <v>776</v>
      </c>
      <c r="E318" s="9" t="s">
        <v>21</v>
      </c>
      <c r="F318" s="9">
        <v>826.0</v>
      </c>
      <c r="G318" s="9">
        <v>2440.0</v>
      </c>
      <c r="H318" s="9">
        <v>65.1</v>
      </c>
      <c r="I318" s="9">
        <v>0.0</v>
      </c>
      <c r="J318" s="9">
        <v>35.5219917</v>
      </c>
      <c r="K318" s="9">
        <v>135.5039556</v>
      </c>
      <c r="L318" s="13">
        <v>214.759475708008</v>
      </c>
      <c r="M318" s="12" t="str">
        <f>HYPERLINK("http://www.iaea.org/PRIS/CountryStatistics/ReactorDetails.aspx?current=388", "PRIS")</f>
        <v>PRIS</v>
      </c>
      <c r="N318" s="12" t="str">
        <f>HYPERLINK("http://maps.google.com/?q=35.522,135.504&amp;t=k", "Map")</f>
        <v>Map</v>
      </c>
    </row>
    <row r="319">
      <c r="A319" s="9" t="s">
        <v>652</v>
      </c>
      <c r="B319" s="9" t="s">
        <v>653</v>
      </c>
      <c r="C319" s="12" t="str">
        <f>HYPERLINK("https://www.google.com/search?q=FUKUSHIMA-DAIICHI-2+nuclear+power+plant+in+JAPAN", "FUKUSHIMA-DAIICHI-2")</f>
        <v>FUKUSHIMA-DAIICHI-2</v>
      </c>
      <c r="D319" s="9" t="s">
        <v>658</v>
      </c>
      <c r="E319" s="9" t="s">
        <v>24</v>
      </c>
      <c r="F319" s="9">
        <v>784.0</v>
      </c>
      <c r="G319" s="9">
        <v>2381.0</v>
      </c>
      <c r="H319" s="9">
        <v>60.8</v>
      </c>
      <c r="I319" s="9">
        <v>0.0</v>
      </c>
      <c r="J319" s="9">
        <v>37.42306</v>
      </c>
      <c r="K319" s="9">
        <v>141.03306</v>
      </c>
      <c r="L319" s="13">
        <v>64.8412857055664</v>
      </c>
      <c r="M319" s="12" t="str">
        <f>HYPERLINK("http://www.iaea.org/PRIS/CountryStatistics/ReactorDetails.aspx?current=389", "PRIS")</f>
        <v>PRIS</v>
      </c>
      <c r="N319" s="12" t="str">
        <f>HYPERLINK("http://maps.google.com/?q=37.4231,141.033&amp;t=k", "Map")</f>
        <v>Map</v>
      </c>
    </row>
    <row r="320">
      <c r="A320" s="9" t="s">
        <v>806</v>
      </c>
      <c r="B320" s="9" t="s">
        <v>1659</v>
      </c>
      <c r="C320" s="12" t="str">
        <f>HYPERLINK("https://www.google.com/search?q=KORI-1+nuclear+power+plant+in+SOUTH+KOREA", "KORI-1")</f>
        <v>KORI-1</v>
      </c>
      <c r="D320" s="9" t="s">
        <v>835</v>
      </c>
      <c r="E320" s="9" t="s">
        <v>21</v>
      </c>
      <c r="F320" s="9">
        <v>608.0</v>
      </c>
      <c r="G320" s="9">
        <v>1729.0</v>
      </c>
      <c r="H320" s="9">
        <v>74.9</v>
      </c>
      <c r="I320" s="9">
        <v>49.9</v>
      </c>
      <c r="J320" s="9">
        <v>35.319904</v>
      </c>
      <c r="K320" s="9">
        <v>129.290053</v>
      </c>
      <c r="L320" s="13">
        <v>33.6381721496582</v>
      </c>
      <c r="M320" s="12" t="str">
        <f>HYPERLINK("http://www.iaea.org/PRIS/CountryStatistics/ReactorDetails.aspx?current=394", "PRIS")</f>
        <v>PRIS</v>
      </c>
      <c r="N320" s="12" t="str">
        <f>HYPERLINK("http://maps.google.com/?q=35.3199,129.29&amp;t=k", "Map")</f>
        <v>Map</v>
      </c>
    </row>
    <row r="321">
      <c r="A321" s="9" t="s">
        <v>806</v>
      </c>
      <c r="B321" s="9" t="s">
        <v>1659</v>
      </c>
      <c r="C321" s="12" t="str">
        <f>HYPERLINK("https://www.google.com/search?q=HANUL-2+nuclear+power+plant+in+SOUTH+KOREA", "HANUL-2")</f>
        <v>HANUL-2</v>
      </c>
      <c r="D321" s="9" t="s">
        <v>822</v>
      </c>
      <c r="E321" s="9" t="s">
        <v>21</v>
      </c>
      <c r="F321" s="9">
        <v>1008.0</v>
      </c>
      <c r="G321" s="9">
        <v>2775.0</v>
      </c>
      <c r="H321" s="9">
        <v>88.9</v>
      </c>
      <c r="I321" s="9">
        <v>88.4</v>
      </c>
      <c r="J321" s="9">
        <v>37.09278</v>
      </c>
      <c r="K321" s="9">
        <v>129.38361</v>
      </c>
      <c r="L321" s="13">
        <v>82.6043243408203</v>
      </c>
      <c r="M321" s="12" t="str">
        <f>HYPERLINK("http://www.iaea.org/PRIS/CountryStatistics/ReactorDetails.aspx?current=395", "PRIS")</f>
        <v>PRIS</v>
      </c>
      <c r="N321" s="12" t="str">
        <f>HYPERLINK("http://maps.google.com/?q=37.0928,129.384&amp;t=k", "Map")</f>
        <v>Map</v>
      </c>
    </row>
    <row r="322">
      <c r="A322" s="9" t="s">
        <v>806</v>
      </c>
      <c r="B322" s="9" t="s">
        <v>1659</v>
      </c>
      <c r="C322" s="12" t="str">
        <f>HYPERLINK("https://www.google.com/search?q=HANBIT-3+nuclear+power+plant+in+SOUTH+KOREA", "HANBIT-3")</f>
        <v>HANBIT-3</v>
      </c>
      <c r="D322" s="9" t="s">
        <v>809</v>
      </c>
      <c r="E322" s="9" t="s">
        <v>21</v>
      </c>
      <c r="F322" s="9">
        <v>1050.0</v>
      </c>
      <c r="G322" s="9">
        <v>2825.0</v>
      </c>
      <c r="H322" s="9">
        <v>89.2</v>
      </c>
      <c r="I322" s="9">
        <v>54.0</v>
      </c>
      <c r="J322" s="9">
        <v>35.415</v>
      </c>
      <c r="K322" s="9">
        <v>126.42389</v>
      </c>
      <c r="L322" s="13">
        <v>72.4346694946289</v>
      </c>
      <c r="M322" s="12" t="str">
        <f>HYPERLINK("http://www.iaea.org/PRIS/CountryStatistics/ReactorDetails.aspx?current=396", "PRIS")</f>
        <v>PRIS</v>
      </c>
      <c r="N322" s="12" t="str">
        <f t="shared" ref="N322:N323" si="73">HYPERLINK("http://maps.google.com/?q=35.415,126.424&amp;t=k", "Map")</f>
        <v>Map</v>
      </c>
    </row>
    <row r="323">
      <c r="A323" s="9" t="s">
        <v>806</v>
      </c>
      <c r="B323" s="9" t="s">
        <v>1659</v>
      </c>
      <c r="C323" s="12" t="str">
        <f>HYPERLINK("https://www.google.com/search?q=HANBIT-4+nuclear+power+plant+in+SOUTH+KOREA", "HANBIT-4")</f>
        <v>HANBIT-4</v>
      </c>
      <c r="D323" s="9" t="s">
        <v>809</v>
      </c>
      <c r="E323" s="9" t="s">
        <v>21</v>
      </c>
      <c r="F323" s="9">
        <v>1049.0</v>
      </c>
      <c r="G323" s="9">
        <v>2825.0</v>
      </c>
      <c r="H323" s="9">
        <v>91.6</v>
      </c>
      <c r="I323" s="9">
        <v>86.6</v>
      </c>
      <c r="J323" s="9">
        <v>35.415</v>
      </c>
      <c r="K323" s="9">
        <v>126.42389</v>
      </c>
      <c r="L323" s="13">
        <v>72.4346694946289</v>
      </c>
      <c r="M323" s="12" t="str">
        <f>HYPERLINK("http://www.iaea.org/PRIS/CountryStatistics/ReactorDetails.aspx?current=397", "PRIS")</f>
        <v>PRIS</v>
      </c>
      <c r="N323" s="12" t="str">
        <f t="shared" si="73"/>
        <v>Map</v>
      </c>
    </row>
    <row r="324">
      <c r="A324" s="9" t="s">
        <v>806</v>
      </c>
      <c r="B324" s="9" t="s">
        <v>1659</v>
      </c>
      <c r="C324" s="12" t="str">
        <f>HYPERLINK("https://www.google.com/search?q=HANUL-3+nuclear+power+plant+in+SOUTH+KOREA", "HANUL-3")</f>
        <v>HANUL-3</v>
      </c>
      <c r="D324" s="9" t="s">
        <v>822</v>
      </c>
      <c r="E324" s="9" t="s">
        <v>21</v>
      </c>
      <c r="F324" s="9">
        <v>1050.0</v>
      </c>
      <c r="G324" s="9">
        <v>2825.0</v>
      </c>
      <c r="H324" s="9">
        <v>90.5</v>
      </c>
      <c r="I324" s="9">
        <v>100.3</v>
      </c>
      <c r="J324" s="9">
        <v>37.09278</v>
      </c>
      <c r="K324" s="9">
        <v>129.38361</v>
      </c>
      <c r="L324" s="13">
        <v>82.6043243408203</v>
      </c>
      <c r="M324" s="12" t="str">
        <f>HYPERLINK("http://www.iaea.org/PRIS/CountryStatistics/ReactorDetails.aspx?current=398", "PRIS")</f>
        <v>PRIS</v>
      </c>
      <c r="N324" s="12" t="str">
        <f t="shared" ref="N324:N325" si="74">HYPERLINK("http://maps.google.com/?q=37.0928,129.384&amp;t=k", "Map")</f>
        <v>Map</v>
      </c>
    </row>
    <row r="325">
      <c r="A325" s="9" t="s">
        <v>806</v>
      </c>
      <c r="B325" s="9" t="s">
        <v>1659</v>
      </c>
      <c r="C325" s="12" t="str">
        <f>HYPERLINK("https://www.google.com/search?q=HANUL-4+nuclear+power+plant+in+SOUTH+KOREA", "HANUL-4")</f>
        <v>HANUL-4</v>
      </c>
      <c r="D325" s="9" t="s">
        <v>822</v>
      </c>
      <c r="E325" s="9" t="s">
        <v>21</v>
      </c>
      <c r="F325" s="9">
        <v>1053.0</v>
      </c>
      <c r="G325" s="9">
        <v>2825.0</v>
      </c>
      <c r="H325" s="9">
        <v>80.2</v>
      </c>
      <c r="I325" s="9">
        <v>37.8</v>
      </c>
      <c r="J325" s="9">
        <v>37.09278</v>
      </c>
      <c r="K325" s="9">
        <v>129.38361</v>
      </c>
      <c r="L325" s="13">
        <v>82.6043243408203</v>
      </c>
      <c r="M325" s="12" t="str">
        <f>HYPERLINK("http://www.iaea.org/PRIS/CountryStatistics/ReactorDetails.aspx?current=399", "PRIS")</f>
        <v>PRIS</v>
      </c>
      <c r="N325" s="12" t="str">
        <f t="shared" si="74"/>
        <v>Map</v>
      </c>
    </row>
    <row r="326">
      <c r="A326" s="9" t="s">
        <v>806</v>
      </c>
      <c r="B326" s="9" t="s">
        <v>1659</v>
      </c>
      <c r="C326" s="12" t="str">
        <f>HYPERLINK("https://www.google.com/search?q=WOLSONG-3+nuclear+power+plant+in+SOUTH+KOREA", "WOLSONG-3")</f>
        <v>WOLSONG-3</v>
      </c>
      <c r="D326" s="9" t="s">
        <v>858</v>
      </c>
      <c r="E326" s="9" t="s">
        <v>21</v>
      </c>
      <c r="F326" s="9">
        <v>698.0</v>
      </c>
      <c r="G326" s="9">
        <v>2061.0</v>
      </c>
      <c r="H326" s="9">
        <v>94.6</v>
      </c>
      <c r="I326" s="9">
        <v>91.0</v>
      </c>
      <c r="J326" s="9">
        <v>35.71667</v>
      </c>
      <c r="K326" s="9">
        <v>129.47778</v>
      </c>
      <c r="L326" s="13">
        <v>113.723663330078</v>
      </c>
      <c r="M326" s="12" t="str">
        <f>HYPERLINK("http://www.iaea.org/PRIS/CountryStatistics/ReactorDetails.aspx?current=400", "PRIS")</f>
        <v>PRIS</v>
      </c>
      <c r="N326" s="12" t="str">
        <f t="shared" ref="N326:N327" si="75">HYPERLINK("http://maps.google.com/?q=35.7167,129.478&amp;t=k", "Map")</f>
        <v>Map</v>
      </c>
    </row>
    <row r="327">
      <c r="A327" s="9" t="s">
        <v>806</v>
      </c>
      <c r="B327" s="9" t="s">
        <v>1659</v>
      </c>
      <c r="C327" s="12" t="str">
        <f>HYPERLINK("https://www.google.com/search?q=WOLSONG-4+nuclear+power+plant+in+SOUTH+KOREA", "WOLSONG-4")</f>
        <v>WOLSONG-4</v>
      </c>
      <c r="D327" s="9" t="s">
        <v>858</v>
      </c>
      <c r="E327" s="9" t="s">
        <v>21</v>
      </c>
      <c r="F327" s="9">
        <v>703.0</v>
      </c>
      <c r="G327" s="9">
        <v>2061.0</v>
      </c>
      <c r="H327" s="9">
        <v>96.0</v>
      </c>
      <c r="I327" s="9">
        <v>89.0</v>
      </c>
      <c r="J327" s="9">
        <v>35.71667</v>
      </c>
      <c r="K327" s="9">
        <v>129.47778</v>
      </c>
      <c r="L327" s="13">
        <v>113.723663330078</v>
      </c>
      <c r="M327" s="12" t="str">
        <f>HYPERLINK("http://www.iaea.org/PRIS/CountryStatistics/ReactorDetails.aspx?current=401", "PRIS")</f>
        <v>PRIS</v>
      </c>
      <c r="N327" s="12" t="str">
        <f t="shared" si="75"/>
        <v>Map</v>
      </c>
    </row>
    <row r="328">
      <c r="A328" s="9" t="s">
        <v>806</v>
      </c>
      <c r="B328" s="9" t="s">
        <v>1659</v>
      </c>
      <c r="C328" s="12" t="str">
        <f>HYPERLINK("https://www.google.com/search?q=HANBIT-5+nuclear+power+plant+in+SOUTH+KOREA", "HANBIT-5")</f>
        <v>HANBIT-5</v>
      </c>
      <c r="D328" s="9" t="s">
        <v>809</v>
      </c>
      <c r="E328" s="9" t="s">
        <v>21</v>
      </c>
      <c r="F328" s="9">
        <v>1053.0</v>
      </c>
      <c r="G328" s="9">
        <v>2825.0</v>
      </c>
      <c r="H328" s="9">
        <v>88.6</v>
      </c>
      <c r="I328" s="9">
        <v>93.8</v>
      </c>
      <c r="J328" s="9">
        <v>35.415</v>
      </c>
      <c r="K328" s="9">
        <v>126.42389</v>
      </c>
      <c r="L328" s="13">
        <v>72.4346694946289</v>
      </c>
      <c r="M328" s="12" t="str">
        <f>HYPERLINK("http://www.iaea.org/PRIS/CountryStatistics/ReactorDetails.aspx?current=402", "PRIS")</f>
        <v>PRIS</v>
      </c>
      <c r="N328" s="12" t="str">
        <f t="shared" ref="N328:N329" si="76">HYPERLINK("http://maps.google.com/?q=35.415,126.424&amp;t=k", "Map")</f>
        <v>Map</v>
      </c>
    </row>
    <row r="329">
      <c r="A329" s="9" t="s">
        <v>806</v>
      </c>
      <c r="B329" s="9" t="s">
        <v>1659</v>
      </c>
      <c r="C329" s="12" t="str">
        <f>HYPERLINK("https://www.google.com/search?q=HANBIT-6+nuclear+power+plant+in+SOUTH+KOREA", "HANBIT-6")</f>
        <v>HANBIT-6</v>
      </c>
      <c r="D329" s="9" t="s">
        <v>809</v>
      </c>
      <c r="E329" s="9" t="s">
        <v>21</v>
      </c>
      <c r="F329" s="9">
        <v>1052.0</v>
      </c>
      <c r="G329" s="9">
        <v>2825.0</v>
      </c>
      <c r="H329" s="9">
        <v>90.0</v>
      </c>
      <c r="I329" s="9">
        <v>97.9</v>
      </c>
      <c r="J329" s="9">
        <v>35.415</v>
      </c>
      <c r="K329" s="9">
        <v>126.42389</v>
      </c>
      <c r="L329" s="13">
        <v>72.4346694946289</v>
      </c>
      <c r="M329" s="12" t="str">
        <f>HYPERLINK("http://www.iaea.org/PRIS/CountryStatistics/ReactorDetails.aspx?current=403", "PRIS")</f>
        <v>PRIS</v>
      </c>
      <c r="N329" s="12" t="str">
        <f t="shared" si="76"/>
        <v>Map</v>
      </c>
    </row>
    <row r="330">
      <c r="A330" s="9" t="s">
        <v>806</v>
      </c>
      <c r="B330" s="9" t="s">
        <v>1659</v>
      </c>
      <c r="C330" s="12" t="str">
        <f>HYPERLINK("https://www.google.com/search?q=HANUL-5+nuclear+power+plant+in+SOUTH+KOREA", "HANUL-5")</f>
        <v>HANUL-5</v>
      </c>
      <c r="D330" s="9" t="s">
        <v>822</v>
      </c>
      <c r="E330" s="9" t="s">
        <v>21</v>
      </c>
      <c r="F330" s="9">
        <v>1051.0</v>
      </c>
      <c r="G330" s="9">
        <v>2815.0</v>
      </c>
      <c r="H330" s="9">
        <v>92.8</v>
      </c>
      <c r="I330" s="9">
        <v>85.7</v>
      </c>
      <c r="J330" s="9">
        <v>37.09278</v>
      </c>
      <c r="K330" s="9">
        <v>129.38361</v>
      </c>
      <c r="L330" s="13">
        <v>82.6043243408203</v>
      </c>
      <c r="M330" s="12" t="str">
        <f>HYPERLINK("http://www.iaea.org/PRIS/CountryStatistics/ReactorDetails.aspx?current=404", "PRIS")</f>
        <v>PRIS</v>
      </c>
      <c r="N330" s="12" t="str">
        <f>HYPERLINK("http://maps.google.com/?q=37.0928,129.384&amp;t=k", "Map")</f>
        <v>Map</v>
      </c>
    </row>
    <row r="331">
      <c r="A331" s="9" t="s">
        <v>806</v>
      </c>
      <c r="B331" s="9" t="s">
        <v>1659</v>
      </c>
      <c r="C331" s="12" t="str">
        <f>HYPERLINK("https://www.google.com/search?q=KORI-2+nuclear+power+plant+in+SOUTH+KOREA", "KORI-2")</f>
        <v>KORI-2</v>
      </c>
      <c r="D331" s="9" t="s">
        <v>835</v>
      </c>
      <c r="E331" s="9" t="s">
        <v>21</v>
      </c>
      <c r="F331" s="9">
        <v>676.0</v>
      </c>
      <c r="G331" s="9">
        <v>1882.0</v>
      </c>
      <c r="H331" s="9">
        <v>87.9</v>
      </c>
      <c r="I331" s="9">
        <v>80.4</v>
      </c>
      <c r="J331" s="9">
        <v>35.319904</v>
      </c>
      <c r="K331" s="9">
        <v>129.290053</v>
      </c>
      <c r="L331" s="13">
        <v>33.6381721496582</v>
      </c>
      <c r="M331" s="12" t="str">
        <f>HYPERLINK("http://www.iaea.org/PRIS/CountryStatistics/ReactorDetails.aspx?current=405", "PRIS")</f>
        <v>PRIS</v>
      </c>
      <c r="N331" s="12" t="str">
        <f>HYPERLINK("http://maps.google.com/?q=35.3199,129.29&amp;t=k", "Map")</f>
        <v>Map</v>
      </c>
    </row>
    <row r="332">
      <c r="A332" s="9" t="s">
        <v>806</v>
      </c>
      <c r="B332" s="9" t="s">
        <v>1659</v>
      </c>
      <c r="C332" s="12" t="str">
        <f>HYPERLINK("https://www.google.com/search?q=HANUL-6+nuclear+power+plant+in+SOUTH+KOREA", "HANUL-6")</f>
        <v>HANUL-6</v>
      </c>
      <c r="D332" s="9" t="s">
        <v>822</v>
      </c>
      <c r="E332" s="9" t="s">
        <v>21</v>
      </c>
      <c r="F332" s="9">
        <v>1051.0</v>
      </c>
      <c r="G332" s="9">
        <v>2825.0</v>
      </c>
      <c r="H332" s="9">
        <v>93.2</v>
      </c>
      <c r="I332" s="9">
        <v>99.9</v>
      </c>
      <c r="J332" s="9">
        <v>37.09278</v>
      </c>
      <c r="K332" s="9">
        <v>129.38361</v>
      </c>
      <c r="L332" s="13">
        <v>82.6043243408203</v>
      </c>
      <c r="M332" s="12" t="str">
        <f>HYPERLINK("http://www.iaea.org/PRIS/CountryStatistics/ReactorDetails.aspx?current=406", "PRIS")</f>
        <v>PRIS</v>
      </c>
      <c r="N332" s="12" t="str">
        <f>HYPERLINK("http://maps.google.com/?q=37.0928,129.384&amp;t=k", "Map")</f>
        <v>Map</v>
      </c>
    </row>
    <row r="333">
      <c r="A333" s="9" t="s">
        <v>806</v>
      </c>
      <c r="B333" s="9" t="s">
        <v>1659</v>
      </c>
      <c r="C333" s="12" t="str">
        <f>HYPERLINK("https://www.google.com/search?q=WOLSONG-1+nuclear+power+plant+in+SOUTH+KOREA", "WOLSONG-1")</f>
        <v>WOLSONG-1</v>
      </c>
      <c r="D333" s="9" t="s">
        <v>858</v>
      </c>
      <c r="E333" s="9" t="s">
        <v>21</v>
      </c>
      <c r="F333" s="9">
        <v>687.0</v>
      </c>
      <c r="G333" s="9">
        <v>2061.0</v>
      </c>
      <c r="H333" s="9">
        <v>77.5</v>
      </c>
      <c r="I333" s="9">
        <v>0.0</v>
      </c>
      <c r="J333" s="9">
        <v>35.71667</v>
      </c>
      <c r="K333" s="9">
        <v>129.47778</v>
      </c>
      <c r="L333" s="13">
        <v>113.723663330078</v>
      </c>
      <c r="M333" s="12" t="str">
        <f>HYPERLINK("http://www.iaea.org/PRIS/CountryStatistics/ReactorDetails.aspx?current=407", "PRIS")</f>
        <v>PRIS</v>
      </c>
      <c r="N333" s="12" t="str">
        <f t="shared" ref="N333:N334" si="77">HYPERLINK("http://maps.google.com/?q=35.7167,129.478&amp;t=k", "Map")</f>
        <v>Map</v>
      </c>
    </row>
    <row r="334">
      <c r="A334" s="9" t="s">
        <v>806</v>
      </c>
      <c r="B334" s="9" t="s">
        <v>1659</v>
      </c>
      <c r="C334" s="12" t="str">
        <f>HYPERLINK("https://www.google.com/search?q=WOLSONG-2+nuclear+power+plant+in+SOUTH+KOREA", "WOLSONG-2")</f>
        <v>WOLSONG-2</v>
      </c>
      <c r="D334" s="9" t="s">
        <v>858</v>
      </c>
      <c r="E334" s="9" t="s">
        <v>21</v>
      </c>
      <c r="F334" s="9">
        <v>678.0</v>
      </c>
      <c r="G334" s="9">
        <v>2061.0</v>
      </c>
      <c r="H334" s="9">
        <v>93.8</v>
      </c>
      <c r="I334" s="9">
        <v>83.6</v>
      </c>
      <c r="J334" s="9">
        <v>35.71667</v>
      </c>
      <c r="K334" s="9">
        <v>129.47778</v>
      </c>
      <c r="L334" s="13">
        <v>113.723663330078</v>
      </c>
      <c r="M334" s="12" t="str">
        <f>HYPERLINK("http://www.iaea.org/PRIS/CountryStatistics/ReactorDetails.aspx?current=408", "PRIS")</f>
        <v>PRIS</v>
      </c>
      <c r="N334" s="12" t="str">
        <f t="shared" si="77"/>
        <v>Map</v>
      </c>
    </row>
    <row r="335">
      <c r="A335" s="9" t="s">
        <v>806</v>
      </c>
      <c r="B335" s="9" t="s">
        <v>1659</v>
      </c>
      <c r="C335" s="12" t="str">
        <f>HYPERLINK("https://www.google.com/search?q=KORI-3+nuclear+power+plant+in+SOUTH+KOREA", "KORI-3")</f>
        <v>KORI-3</v>
      </c>
      <c r="D335" s="9" t="s">
        <v>835</v>
      </c>
      <c r="E335" s="9" t="s">
        <v>21</v>
      </c>
      <c r="F335" s="9">
        <v>1042.0</v>
      </c>
      <c r="G335" s="9">
        <v>2912.0</v>
      </c>
      <c r="H335" s="9">
        <v>89.0</v>
      </c>
      <c r="I335" s="9">
        <v>100.1</v>
      </c>
      <c r="J335" s="9">
        <v>35.319904</v>
      </c>
      <c r="K335" s="9">
        <v>129.290053</v>
      </c>
      <c r="L335" s="13">
        <v>33.6381721496582</v>
      </c>
      <c r="M335" s="12" t="str">
        <f>HYPERLINK("http://www.iaea.org/PRIS/CountryStatistics/ReactorDetails.aspx?current=409", "PRIS")</f>
        <v>PRIS</v>
      </c>
      <c r="N335" s="12" t="str">
        <f t="shared" ref="N335:N336" si="78">HYPERLINK("http://maps.google.com/?q=35.3199,129.29&amp;t=k", "Map")</f>
        <v>Map</v>
      </c>
    </row>
    <row r="336">
      <c r="A336" s="9" t="s">
        <v>806</v>
      </c>
      <c r="B336" s="9" t="s">
        <v>1659</v>
      </c>
      <c r="C336" s="12" t="str">
        <f>HYPERLINK("https://www.google.com/search?q=KORI-4+nuclear+power+plant+in+SOUTH+KOREA", "KORI-4")</f>
        <v>KORI-4</v>
      </c>
      <c r="D336" s="9" t="s">
        <v>835</v>
      </c>
      <c r="E336" s="9" t="s">
        <v>21</v>
      </c>
      <c r="F336" s="9">
        <v>1041.0</v>
      </c>
      <c r="G336" s="9">
        <v>2912.0</v>
      </c>
      <c r="H336" s="9">
        <v>90.4</v>
      </c>
      <c r="I336" s="9">
        <v>75.5</v>
      </c>
      <c r="J336" s="9">
        <v>35.319904</v>
      </c>
      <c r="K336" s="9">
        <v>129.290053</v>
      </c>
      <c r="L336" s="13">
        <v>33.6381721496582</v>
      </c>
      <c r="M336" s="12" t="str">
        <f>HYPERLINK("http://www.iaea.org/PRIS/CountryStatistics/ReactorDetails.aspx?current=410", "PRIS")</f>
        <v>PRIS</v>
      </c>
      <c r="N336" s="12" t="str">
        <f t="shared" si="78"/>
        <v>Map</v>
      </c>
    </row>
    <row r="337">
      <c r="A337" s="9" t="s">
        <v>806</v>
      </c>
      <c r="B337" s="9" t="s">
        <v>1659</v>
      </c>
      <c r="C337" s="12" t="str">
        <f>HYPERLINK("https://www.google.com/search?q=HANBIT-1+nuclear+power+plant+in+SOUTH+KOREA", "HANBIT-1")</f>
        <v>HANBIT-1</v>
      </c>
      <c r="D337" s="9" t="s">
        <v>809</v>
      </c>
      <c r="E337" s="9" t="s">
        <v>21</v>
      </c>
      <c r="F337" s="9">
        <v>996.0</v>
      </c>
      <c r="G337" s="9">
        <v>2787.0</v>
      </c>
      <c r="H337" s="9">
        <v>90.2</v>
      </c>
      <c r="I337" s="9">
        <v>82.2</v>
      </c>
      <c r="J337" s="9">
        <v>35.415</v>
      </c>
      <c r="K337" s="9">
        <v>126.42389</v>
      </c>
      <c r="L337" s="13">
        <v>72.4346694946289</v>
      </c>
      <c r="M337" s="12" t="str">
        <f>HYPERLINK("http://www.iaea.org/PRIS/CountryStatistics/ReactorDetails.aspx?current=411", "PRIS")</f>
        <v>PRIS</v>
      </c>
      <c r="N337" s="12" t="str">
        <f t="shared" ref="N337:N338" si="79">HYPERLINK("http://maps.google.com/?q=35.415,126.424&amp;t=k", "Map")</f>
        <v>Map</v>
      </c>
    </row>
    <row r="338">
      <c r="A338" s="9" t="s">
        <v>806</v>
      </c>
      <c r="B338" s="9" t="s">
        <v>1659</v>
      </c>
      <c r="C338" s="12" t="str">
        <f>HYPERLINK("https://www.google.com/search?q=HANBIT-2+nuclear+power+plant+in+SOUTH+KOREA", "HANBIT-2")</f>
        <v>HANBIT-2</v>
      </c>
      <c r="D338" s="9" t="s">
        <v>809</v>
      </c>
      <c r="E338" s="9" t="s">
        <v>21</v>
      </c>
      <c r="F338" s="9">
        <v>993.0</v>
      </c>
      <c r="G338" s="9">
        <v>2787.0</v>
      </c>
      <c r="H338" s="9">
        <v>88.2</v>
      </c>
      <c r="I338" s="9">
        <v>74.8</v>
      </c>
      <c r="J338" s="9">
        <v>35.415</v>
      </c>
      <c r="K338" s="9">
        <v>126.42389</v>
      </c>
      <c r="L338" s="13">
        <v>72.4346694946289</v>
      </c>
      <c r="M338" s="12" t="str">
        <f>HYPERLINK("http://www.iaea.org/PRIS/CountryStatistics/ReactorDetails.aspx?current=412", "PRIS")</f>
        <v>PRIS</v>
      </c>
      <c r="N338" s="12" t="str">
        <f t="shared" si="79"/>
        <v>Map</v>
      </c>
    </row>
    <row r="339">
      <c r="A339" s="9" t="s">
        <v>806</v>
      </c>
      <c r="B339" s="9" t="s">
        <v>1659</v>
      </c>
      <c r="C339" s="12" t="str">
        <f>HYPERLINK("https://www.google.com/search?q=HANUL-1+nuclear+power+plant+in+SOUTH+KOREA", "HANUL-1")</f>
        <v>HANUL-1</v>
      </c>
      <c r="D339" s="9" t="s">
        <v>822</v>
      </c>
      <c r="E339" s="9" t="s">
        <v>21</v>
      </c>
      <c r="F339" s="9">
        <v>1003.0</v>
      </c>
      <c r="G339" s="9">
        <v>2785.0</v>
      </c>
      <c r="H339" s="9">
        <v>87.0</v>
      </c>
      <c r="I339" s="9">
        <v>86.0</v>
      </c>
      <c r="J339" s="9">
        <v>37.09278</v>
      </c>
      <c r="K339" s="9">
        <v>129.38361</v>
      </c>
      <c r="L339" s="13">
        <v>82.6043243408203</v>
      </c>
      <c r="M339" s="12" t="str">
        <f>HYPERLINK("http://www.iaea.org/PRIS/CountryStatistics/ReactorDetails.aspx?current=413", "PRIS")</f>
        <v>PRIS</v>
      </c>
      <c r="N339" s="12" t="str">
        <f>HYPERLINK("http://maps.google.com/?q=37.0928,129.384&amp;t=k", "Map")</f>
        <v>Map</v>
      </c>
    </row>
    <row r="340">
      <c r="A340" s="9" t="s">
        <v>801</v>
      </c>
      <c r="B340" s="9" t="s">
        <v>802</v>
      </c>
      <c r="C340" s="12" t="str">
        <f>HYPERLINK("https://www.google.com/search?q=AKTAU+nuclear+power+plant+in+KAZAKHSTAN", "AKTAU")</f>
        <v>AKTAU</v>
      </c>
      <c r="D340" s="9" t="s">
        <v>804</v>
      </c>
      <c r="E340" s="9" t="s">
        <v>24</v>
      </c>
      <c r="F340" s="9">
        <v>90.0</v>
      </c>
      <c r="G340" s="9">
        <v>1000.0</v>
      </c>
      <c r="H340" s="9">
        <v>0.0</v>
      </c>
      <c r="I340" s="9">
        <v>0.0</v>
      </c>
      <c r="J340" s="9">
        <v>43.607</v>
      </c>
      <c r="K340" s="9">
        <v>51.283</v>
      </c>
      <c r="L340" s="13">
        <v>-32.994815826416</v>
      </c>
      <c r="M340" s="12" t="str">
        <f>HYPERLINK("http://www.iaea.org/PRIS/CountryStatistics/ReactorDetails.aspx?current=414", "PRIS")</f>
        <v>PRIS</v>
      </c>
      <c r="N340" s="12" t="str">
        <f>HYPERLINK("http://maps.google.com/?q=43.607,51.283&amp;t=k", "Map")</f>
        <v>Map</v>
      </c>
    </row>
    <row r="341">
      <c r="A341" s="9" t="s">
        <v>870</v>
      </c>
      <c r="B341" s="9" t="s">
        <v>871</v>
      </c>
      <c r="C341" s="12" t="str">
        <f>HYPERLINK("https://www.google.com/search?q=IGNALINA-1+nuclear+power+plant+in+LITHUANIA", "IGNALINA-1")</f>
        <v>IGNALINA-1</v>
      </c>
      <c r="D341" s="9" t="s">
        <v>873</v>
      </c>
      <c r="E341" s="9" t="s">
        <v>24</v>
      </c>
      <c r="F341" s="9">
        <v>1300.0</v>
      </c>
      <c r="G341" s="9">
        <v>4800.0</v>
      </c>
      <c r="H341" s="9">
        <v>53.9</v>
      </c>
      <c r="I341" s="9">
        <v>0.0</v>
      </c>
      <c r="J341" s="9">
        <v>55.60444</v>
      </c>
      <c r="K341" s="9">
        <v>26.56</v>
      </c>
      <c r="L341" s="13">
        <v>174.823455810547</v>
      </c>
      <c r="M341" s="12" t="str">
        <f>HYPERLINK("http://www.iaea.org/PRIS/CountryStatistics/ReactorDetails.aspx?current=415", "PRIS")</f>
        <v>PRIS</v>
      </c>
      <c r="N341" s="12" t="str">
        <f t="shared" ref="N341:N342" si="80">HYPERLINK("http://maps.google.com/?q=55.6044,26.56&amp;t=k", "Map")</f>
        <v>Map</v>
      </c>
    </row>
    <row r="342">
      <c r="A342" s="9" t="s">
        <v>870</v>
      </c>
      <c r="B342" s="9" t="s">
        <v>871</v>
      </c>
      <c r="C342" s="12" t="str">
        <f>HYPERLINK("https://www.google.com/search?q=IGNALINA-2+nuclear+power+plant+in+LITHUANIA", "IGNALINA-2")</f>
        <v>IGNALINA-2</v>
      </c>
      <c r="D342" s="9" t="s">
        <v>873</v>
      </c>
      <c r="E342" s="9" t="s">
        <v>24</v>
      </c>
      <c r="F342" s="9">
        <v>1300.0</v>
      </c>
      <c r="G342" s="9">
        <v>4800.0</v>
      </c>
      <c r="H342" s="9">
        <v>64.4</v>
      </c>
      <c r="I342" s="9">
        <v>0.0</v>
      </c>
      <c r="J342" s="9">
        <v>55.60444</v>
      </c>
      <c r="K342" s="9">
        <v>26.56</v>
      </c>
      <c r="L342" s="13">
        <v>174.823455810547</v>
      </c>
      <c r="M342" s="12" t="str">
        <f>HYPERLINK("http://www.iaea.org/PRIS/CountryStatistics/ReactorDetails.aspx?current=416", "PRIS")</f>
        <v>PRIS</v>
      </c>
      <c r="N342" s="12" t="str">
        <f t="shared" si="80"/>
        <v>Map</v>
      </c>
    </row>
    <row r="343">
      <c r="A343" s="9" t="s">
        <v>877</v>
      </c>
      <c r="B343" s="9" t="s">
        <v>878</v>
      </c>
      <c r="C343" s="12" t="str">
        <f>HYPERLINK("https://www.google.com/search?q=LAGUNA+VERDE-1+nuclear+power+plant+in+MEXICO", "LAGUNA VERDE-1")</f>
        <v>LAGUNA VERDE-1</v>
      </c>
      <c r="D343" s="9" t="s">
        <v>880</v>
      </c>
      <c r="E343" s="9" t="s">
        <v>21</v>
      </c>
      <c r="F343" s="9">
        <v>700.0</v>
      </c>
      <c r="G343" s="9">
        <v>2027.0</v>
      </c>
      <c r="H343" s="9">
        <v>76.4</v>
      </c>
      <c r="I343" s="9">
        <v>98.2</v>
      </c>
      <c r="J343" s="9">
        <v>19.72083</v>
      </c>
      <c r="K343" s="9">
        <v>-96.40639</v>
      </c>
      <c r="L343" s="13">
        <v>-10.4611415863037</v>
      </c>
      <c r="M343" s="12" t="str">
        <f>HYPERLINK("http://www.iaea.org/PRIS/CountryStatistics/ReactorDetails.aspx?current=420", "PRIS")</f>
        <v>PRIS</v>
      </c>
      <c r="N343" s="12" t="str">
        <f t="shared" ref="N343:N344" si="81">HYPERLINK("http://maps.google.com/?q=19.7208,-96.4064&amp;t=k", "Map")</f>
        <v>Map</v>
      </c>
    </row>
    <row r="344">
      <c r="A344" s="9" t="s">
        <v>877</v>
      </c>
      <c r="B344" s="9" t="s">
        <v>878</v>
      </c>
      <c r="C344" s="12" t="str">
        <f>HYPERLINK("https://www.google.com/search?q=LAGUNA+VERDE-2+nuclear+power+plant+in+MEXICO", "LAGUNA VERDE-2")</f>
        <v>LAGUNA VERDE-2</v>
      </c>
      <c r="D344" s="9" t="s">
        <v>880</v>
      </c>
      <c r="E344" s="9" t="s">
        <v>21</v>
      </c>
      <c r="F344" s="9">
        <v>700.0</v>
      </c>
      <c r="G344" s="9">
        <v>2027.0</v>
      </c>
      <c r="H344" s="9">
        <v>80.2</v>
      </c>
      <c r="I344" s="9">
        <v>97.1</v>
      </c>
      <c r="J344" s="9">
        <v>19.72083</v>
      </c>
      <c r="K344" s="9">
        <v>-96.40639</v>
      </c>
      <c r="L344" s="13">
        <v>-10.4611415863037</v>
      </c>
      <c r="M344" s="12" t="str">
        <f>HYPERLINK("http://www.iaea.org/PRIS/CountryStatistics/ReactorDetails.aspx?current=421", "PRIS")</f>
        <v>PRIS</v>
      </c>
      <c r="N344" s="12" t="str">
        <f t="shared" si="81"/>
        <v>Map</v>
      </c>
    </row>
    <row r="345">
      <c r="A345" s="9" t="s">
        <v>884</v>
      </c>
      <c r="B345" s="9" t="s">
        <v>885</v>
      </c>
      <c r="C345" s="12" t="str">
        <f>HYPERLINK("https://www.google.com/search?q=DODEWAARD+nuclear+power+plant+in+NETHERLANDS", "DODEWAARD")</f>
        <v>DODEWAARD</v>
      </c>
      <c r="D345" s="9" t="s">
        <v>888</v>
      </c>
      <c r="E345" s="9" t="s">
        <v>24</v>
      </c>
      <c r="F345" s="9">
        <v>60.0</v>
      </c>
      <c r="G345" s="9">
        <v>183.0</v>
      </c>
      <c r="H345" s="9">
        <v>82.0</v>
      </c>
      <c r="I345" s="9">
        <v>0.0</v>
      </c>
      <c r="J345" s="9">
        <v>51.89972</v>
      </c>
      <c r="K345" s="9">
        <v>5.68611</v>
      </c>
      <c r="L345" s="13">
        <v>54.7032890319824</v>
      </c>
      <c r="M345" s="12" t="str">
        <f>HYPERLINK("http://www.iaea.org/PRIS/CountryStatistics/ReactorDetails.aspx?current=422", "PRIS")</f>
        <v>PRIS</v>
      </c>
      <c r="N345" s="12" t="str">
        <f>HYPERLINK("http://maps.google.com/?q=51.8997,5.68611&amp;t=k", "Map")</f>
        <v>Map</v>
      </c>
    </row>
    <row r="346">
      <c r="A346" s="9" t="s">
        <v>884</v>
      </c>
      <c r="B346" s="9" t="s">
        <v>885</v>
      </c>
      <c r="C346" s="12" t="str">
        <f>HYPERLINK("https://www.google.com/search?q=BORSSELE+nuclear+power+plant+in+NETHERLANDS", "BORSSELE")</f>
        <v>BORSSELE</v>
      </c>
      <c r="D346" s="9" t="s">
        <v>886</v>
      </c>
      <c r="E346" s="9" t="s">
        <v>21</v>
      </c>
      <c r="F346" s="9">
        <v>515.0</v>
      </c>
      <c r="G346" s="9">
        <v>1366.0</v>
      </c>
      <c r="H346" s="9">
        <v>83.7</v>
      </c>
      <c r="I346" s="9">
        <v>64.8</v>
      </c>
      <c r="J346" s="9">
        <v>51.43083</v>
      </c>
      <c r="K346" s="9">
        <v>3.71833</v>
      </c>
      <c r="L346" s="13">
        <v>42.7225761413574</v>
      </c>
      <c r="M346" s="12" t="str">
        <f>HYPERLINK("http://www.iaea.org/PRIS/CountryStatistics/ReactorDetails.aspx?current=423", "PRIS")</f>
        <v>PRIS</v>
      </c>
      <c r="N346" s="12" t="str">
        <f>HYPERLINK("http://maps.google.com/?q=51.4308,3.71833&amp;t=k", "Map")</f>
        <v>Map</v>
      </c>
    </row>
    <row r="347">
      <c r="A347" s="9" t="s">
        <v>890</v>
      </c>
      <c r="B347" s="9" t="s">
        <v>891</v>
      </c>
      <c r="C347" s="12" t="str">
        <f>HYPERLINK("https://www.google.com/search?q=KANUPP+nuclear+power+plant+in+PAKISTAN", "KANUPP")</f>
        <v>KANUPP</v>
      </c>
      <c r="D347" s="9" t="s">
        <v>902</v>
      </c>
      <c r="E347" s="9" t="s">
        <v>21</v>
      </c>
      <c r="F347" s="9">
        <v>100.0</v>
      </c>
      <c r="G347" s="9">
        <v>337.0</v>
      </c>
      <c r="H347" s="9">
        <v>28.8</v>
      </c>
      <c r="I347" s="9">
        <v>60.9</v>
      </c>
      <c r="J347" s="9">
        <v>24.847167</v>
      </c>
      <c r="K347" s="9">
        <v>66.78825</v>
      </c>
      <c r="L347" s="13">
        <v>-20.9600658416748</v>
      </c>
      <c r="M347" s="12" t="str">
        <f>HYPERLINK("http://www.iaea.org/PRIS/CountryStatistics/ReactorDetails.aspx?current=427", "PRIS")</f>
        <v>PRIS</v>
      </c>
      <c r="N347" s="12" t="str">
        <f>HYPERLINK("http://maps.google.com/?q=24.8472,66.7883&amp;t=k", "Map")</f>
        <v>Map</v>
      </c>
    </row>
    <row r="348">
      <c r="A348" s="9" t="s">
        <v>890</v>
      </c>
      <c r="B348" s="9" t="s">
        <v>891</v>
      </c>
      <c r="C348" s="12" t="str">
        <f>HYPERLINK("https://www.google.com/search?q=CHASNUPP-1+nuclear+power+plant+in+PAKISTAN", "CHASNUPP-1")</f>
        <v>CHASNUPP-1</v>
      </c>
      <c r="D348" s="9" t="s">
        <v>893</v>
      </c>
      <c r="E348" s="9" t="s">
        <v>21</v>
      </c>
      <c r="F348" s="9">
        <v>325.0</v>
      </c>
      <c r="G348" s="9">
        <v>999.0</v>
      </c>
      <c r="H348" s="9">
        <v>74.4</v>
      </c>
      <c r="I348" s="9">
        <v>83.3</v>
      </c>
      <c r="J348" s="9">
        <v>32.39028</v>
      </c>
      <c r="K348" s="9">
        <v>71.4625</v>
      </c>
      <c r="L348" s="13">
        <v>158.577011108398</v>
      </c>
      <c r="M348" s="12" t="str">
        <f>HYPERLINK("http://www.iaea.org/PRIS/CountryStatistics/ReactorDetails.aspx?current=428", "PRIS")</f>
        <v>PRIS</v>
      </c>
      <c r="N348" s="12" t="str">
        <f t="shared" ref="N348:N349" si="82">HYPERLINK("http://maps.google.com/?q=32.3903,71.4625&amp;t=k", "Map")</f>
        <v>Map</v>
      </c>
    </row>
    <row r="349">
      <c r="A349" s="9" t="s">
        <v>890</v>
      </c>
      <c r="B349" s="9" t="s">
        <v>891</v>
      </c>
      <c r="C349" s="12" t="str">
        <f>HYPERLINK("https://www.google.com/search?q=CHASNUPP-2+nuclear+power+plant+in+PAKISTAN", "CHASNUPP-2")</f>
        <v>CHASNUPP-2</v>
      </c>
      <c r="D349" s="9" t="s">
        <v>893</v>
      </c>
      <c r="E349" s="9" t="s">
        <v>21</v>
      </c>
      <c r="F349" s="9">
        <v>325.0</v>
      </c>
      <c r="G349" s="9">
        <v>999.0</v>
      </c>
      <c r="H349" s="9">
        <v>76.9</v>
      </c>
      <c r="I349" s="9">
        <v>64.7</v>
      </c>
      <c r="J349" s="9">
        <v>32.39028</v>
      </c>
      <c r="K349" s="9">
        <v>71.4625</v>
      </c>
      <c r="L349" s="13">
        <v>158.577011108398</v>
      </c>
      <c r="M349" s="12" t="str">
        <f>HYPERLINK("http://www.iaea.org/PRIS/CountryStatistics/ReactorDetails.aspx?current=429", "PRIS")</f>
        <v>PRIS</v>
      </c>
      <c r="N349" s="12" t="str">
        <f t="shared" si="82"/>
        <v>Map</v>
      </c>
    </row>
    <row r="350">
      <c r="A350" s="9" t="s">
        <v>904</v>
      </c>
      <c r="B350" s="9" t="s">
        <v>905</v>
      </c>
      <c r="C350" s="12" t="str">
        <f>HYPERLINK("https://www.google.com/search?q=CERNAVODA-1+nuclear+power+plant+in+ROMANIA", "CERNAVODA-1")</f>
        <v>CERNAVODA-1</v>
      </c>
      <c r="D350" s="9" t="s">
        <v>907</v>
      </c>
      <c r="E350" s="9" t="s">
        <v>21</v>
      </c>
      <c r="F350" s="9">
        <v>706.0</v>
      </c>
      <c r="G350" s="9">
        <v>2180.0</v>
      </c>
      <c r="H350" s="9">
        <v>89.7</v>
      </c>
      <c r="I350" s="9">
        <v>98.7</v>
      </c>
      <c r="J350" s="9">
        <v>44.32222</v>
      </c>
      <c r="K350" s="9">
        <v>28.05722</v>
      </c>
      <c r="L350" s="13">
        <v>98.88037109375</v>
      </c>
      <c r="M350" s="12" t="str">
        <f>HYPERLINK("http://www.iaea.org/PRIS/CountryStatistics/ReactorDetails.aspx?current=442", "PRIS")</f>
        <v>PRIS</v>
      </c>
      <c r="N350" s="12" t="str">
        <f t="shared" ref="N350:N351" si="83">HYPERLINK("http://maps.google.com/?q=44.3222,28.0572&amp;t=k", "Map")</f>
        <v>Map</v>
      </c>
    </row>
    <row r="351">
      <c r="A351" s="9" t="s">
        <v>904</v>
      </c>
      <c r="B351" s="9" t="s">
        <v>905</v>
      </c>
      <c r="C351" s="12" t="str">
        <f>HYPERLINK("https://www.google.com/search?q=CERNAVODA-2+nuclear+power+plant+in+ROMANIA", "CERNAVODA-2")</f>
        <v>CERNAVODA-2</v>
      </c>
      <c r="D351" s="9" t="s">
        <v>907</v>
      </c>
      <c r="E351" s="9" t="s">
        <v>21</v>
      </c>
      <c r="F351" s="9">
        <v>705.0</v>
      </c>
      <c r="G351" s="9">
        <v>2180.0</v>
      </c>
      <c r="H351" s="9">
        <v>93.8</v>
      </c>
      <c r="I351" s="9">
        <v>89.1</v>
      </c>
      <c r="J351" s="9">
        <v>44.32222</v>
      </c>
      <c r="K351" s="9">
        <v>28.05722</v>
      </c>
      <c r="L351" s="13">
        <v>98.88037109375</v>
      </c>
      <c r="M351" s="12" t="str">
        <f>HYPERLINK("http://www.iaea.org/PRIS/CountryStatistics/ReactorDetails.aspx?current=443", "PRIS")</f>
        <v>PRIS</v>
      </c>
      <c r="N351" s="12" t="str">
        <f t="shared" si="83"/>
        <v>Map</v>
      </c>
    </row>
    <row r="352">
      <c r="A352" s="9" t="s">
        <v>911</v>
      </c>
      <c r="B352" s="9" t="s">
        <v>912</v>
      </c>
      <c r="C352" s="12" t="str">
        <f>HYPERLINK("https://www.google.com/search?q=APS-1+OBNINSK+nuclear+power+plant+in+RUSSIA", "APS-1 OBNINSK")</f>
        <v>APS-1 OBNINSK</v>
      </c>
      <c r="D352" s="9" t="s">
        <v>919</v>
      </c>
      <c r="E352" s="9" t="s">
        <v>24</v>
      </c>
      <c r="F352" s="9">
        <v>6.0</v>
      </c>
      <c r="G352" s="9">
        <v>30.0</v>
      </c>
      <c r="H352" s="9">
        <v>0.0</v>
      </c>
      <c r="I352" s="9">
        <v>0.0</v>
      </c>
      <c r="J352" s="9">
        <v>55.08417</v>
      </c>
      <c r="K352" s="9">
        <v>36.56972</v>
      </c>
      <c r="L352" s="13">
        <v>165.36360168457</v>
      </c>
      <c r="M352" s="12" t="str">
        <f>HYPERLINK("http://www.iaea.org/PRIS/CountryStatistics/ReactorDetails.aspx?current=447", "PRIS")</f>
        <v>PRIS</v>
      </c>
      <c r="N352" s="12" t="str">
        <f>HYPERLINK("http://maps.google.com/?q=55.0842,36.5697&amp;t=k", "Map")</f>
        <v>Map</v>
      </c>
    </row>
    <row r="353">
      <c r="A353" s="9" t="s">
        <v>911</v>
      </c>
      <c r="B353" s="9" t="s">
        <v>912</v>
      </c>
      <c r="C353" s="12" t="str">
        <f>HYPERLINK("https://www.google.com/search?q=NOVOVORONEZH-4+nuclear+power+plant+in+RUSSIA", "NOVOVORONEZH-4")</f>
        <v>NOVOVORONEZH-4</v>
      </c>
      <c r="D353" s="9" t="s">
        <v>992</v>
      </c>
      <c r="E353" s="9" t="s">
        <v>21</v>
      </c>
      <c r="F353" s="9">
        <v>417.0</v>
      </c>
      <c r="G353" s="9">
        <v>1375.0</v>
      </c>
      <c r="H353" s="9">
        <v>78.2</v>
      </c>
      <c r="I353" s="9">
        <v>90.1</v>
      </c>
      <c r="J353" s="9">
        <v>51.275</v>
      </c>
      <c r="K353" s="9">
        <v>39.2</v>
      </c>
      <c r="L353" s="13">
        <v>102.520889282227</v>
      </c>
      <c r="M353" s="12" t="str">
        <f>HYPERLINK("http://www.iaea.org/PRIS/CountryStatistics/ReactorDetails.aspx?current=448", "PRIS")</f>
        <v>PRIS</v>
      </c>
      <c r="N353" s="12" t="str">
        <f>HYPERLINK("http://maps.google.com/?q=51.275,39.2&amp;t=k", "Map")</f>
        <v>Map</v>
      </c>
    </row>
    <row r="354">
      <c r="A354" s="9" t="s">
        <v>911</v>
      </c>
      <c r="B354" s="9" t="s">
        <v>912</v>
      </c>
      <c r="C354" s="12" t="str">
        <f>HYPERLINK("https://www.google.com/search?q=BELOYARSK-4+nuclear+power+plant+in+RUSSIA", "BELOYARSK-4")</f>
        <v>BELOYARSK-4</v>
      </c>
      <c r="D354" s="9" t="s">
        <v>934</v>
      </c>
      <c r="E354" s="9" t="s">
        <v>26</v>
      </c>
      <c r="F354" s="9">
        <v>864.0</v>
      </c>
      <c r="G354" s="9">
        <v>2100.0</v>
      </c>
      <c r="H354" s="9">
        <v>0.0</v>
      </c>
      <c r="I354" s="9">
        <v>0.0</v>
      </c>
      <c r="J354" s="9">
        <v>56.84167</v>
      </c>
      <c r="K354" s="9">
        <v>61.3225</v>
      </c>
      <c r="L354" s="13">
        <v>217.983551025391</v>
      </c>
      <c r="M354" s="12" t="str">
        <f>HYPERLINK("http://www.iaea.org/PRIS/CountryStatistics/ReactorDetails.aspx?current=451", "PRIS")</f>
        <v>PRIS</v>
      </c>
      <c r="N354" s="12" t="str">
        <f>HYPERLINK("http://maps.google.com/?q=56.8417,61.3225&amp;t=k", "Map")</f>
        <v>Map</v>
      </c>
    </row>
    <row r="355">
      <c r="A355" s="9" t="s">
        <v>911</v>
      </c>
      <c r="B355" s="9" t="s">
        <v>912</v>
      </c>
      <c r="C355" s="12" t="str">
        <f>HYPERLINK("https://www.google.com/search?q=KOLA-1+nuclear+power+plant+in+RUSSIA", "KOLA-1")</f>
        <v>KOLA-1</v>
      </c>
      <c r="D355" s="9" t="s">
        <v>961</v>
      </c>
      <c r="E355" s="9" t="s">
        <v>21</v>
      </c>
      <c r="F355" s="9">
        <v>440.0</v>
      </c>
      <c r="G355" s="9">
        <v>1375.0</v>
      </c>
      <c r="H355" s="9">
        <v>65.5</v>
      </c>
      <c r="I355" s="9">
        <v>66.1</v>
      </c>
      <c r="J355" s="9">
        <v>67.467</v>
      </c>
      <c r="K355" s="9">
        <v>32.467</v>
      </c>
      <c r="L355" s="13">
        <v>164.915283203125</v>
      </c>
      <c r="M355" s="12" t="str">
        <f>HYPERLINK("http://www.iaea.org/PRIS/CountryStatistics/ReactorDetails.aspx?current=453", "PRIS")</f>
        <v>PRIS</v>
      </c>
      <c r="N355" s="12" t="str">
        <f t="shared" ref="N355:N356" si="84">HYPERLINK("http://maps.google.com/?q=67.467,32.467&amp;t=k", "Map")</f>
        <v>Map</v>
      </c>
    </row>
    <row r="356">
      <c r="A356" s="9" t="s">
        <v>911</v>
      </c>
      <c r="B356" s="9" t="s">
        <v>912</v>
      </c>
      <c r="C356" s="12" t="str">
        <f>HYPERLINK("https://www.google.com/search?q=KOLA-2+nuclear+power+plant+in+RUSSIA", "KOLA-2")</f>
        <v>KOLA-2</v>
      </c>
      <c r="D356" s="9" t="s">
        <v>961</v>
      </c>
      <c r="E356" s="9" t="s">
        <v>21</v>
      </c>
      <c r="F356" s="9">
        <v>440.0</v>
      </c>
      <c r="G356" s="9">
        <v>1375.0</v>
      </c>
      <c r="H356" s="9">
        <v>66.3</v>
      </c>
      <c r="I356" s="9">
        <v>67.0</v>
      </c>
      <c r="J356" s="9">
        <v>67.467</v>
      </c>
      <c r="K356" s="9">
        <v>32.467</v>
      </c>
      <c r="L356" s="13">
        <v>164.915283203125</v>
      </c>
      <c r="M356" s="12" t="str">
        <f>HYPERLINK("http://www.iaea.org/PRIS/CountryStatistics/ReactorDetails.aspx?current=460", "PRIS")</f>
        <v>PRIS</v>
      </c>
      <c r="N356" s="12" t="str">
        <f t="shared" si="84"/>
        <v>Map</v>
      </c>
    </row>
    <row r="357">
      <c r="A357" s="9" t="s">
        <v>911</v>
      </c>
      <c r="B357" s="9" t="s">
        <v>912</v>
      </c>
      <c r="C357" s="12" t="str">
        <f>HYPERLINK("https://www.google.com/search?q=BILIBINO-1+nuclear+power+plant+in+RUSSIA", "BILIBINO-1")</f>
        <v>BILIBINO-1</v>
      </c>
      <c r="D357" s="9" t="s">
        <v>943</v>
      </c>
      <c r="E357" s="9" t="s">
        <v>21</v>
      </c>
      <c r="F357" s="9">
        <v>12.0</v>
      </c>
      <c r="G357" s="9">
        <v>62.0</v>
      </c>
      <c r="H357" s="9">
        <v>52.9</v>
      </c>
      <c r="I357" s="9">
        <v>39.1</v>
      </c>
      <c r="J357" s="9">
        <v>68.05028</v>
      </c>
      <c r="K357" s="9">
        <v>166.53861</v>
      </c>
      <c r="L357" s="13">
        <v>443.935943603516</v>
      </c>
      <c r="M357" s="12" t="str">
        <f>HYPERLINK("http://www.iaea.org/PRIS/CountryStatistics/ReactorDetails.aspx?current=467", "PRIS")</f>
        <v>PRIS</v>
      </c>
      <c r="N357" s="12" t="str">
        <f t="shared" ref="N357:N360" si="85">HYPERLINK("http://maps.google.com/?q=68.0503,166.539&amp;t=k", "Map")</f>
        <v>Map</v>
      </c>
    </row>
    <row r="358">
      <c r="A358" s="9" t="s">
        <v>911</v>
      </c>
      <c r="B358" s="9" t="s">
        <v>912</v>
      </c>
      <c r="C358" s="12" t="str">
        <f>HYPERLINK("https://www.google.com/search?q=BILIBINO-2+nuclear+power+plant+in+RUSSIA", "BILIBINO-2")</f>
        <v>BILIBINO-2</v>
      </c>
      <c r="D358" s="9" t="s">
        <v>943</v>
      </c>
      <c r="E358" s="9" t="s">
        <v>21</v>
      </c>
      <c r="F358" s="9">
        <v>12.0</v>
      </c>
      <c r="G358" s="9">
        <v>62.0</v>
      </c>
      <c r="H358" s="9">
        <v>53.6</v>
      </c>
      <c r="I358" s="9">
        <v>44.8</v>
      </c>
      <c r="J358" s="9">
        <v>68.05028</v>
      </c>
      <c r="K358" s="9">
        <v>166.53861</v>
      </c>
      <c r="L358" s="13">
        <v>443.935943603516</v>
      </c>
      <c r="M358" s="12" t="str">
        <f>HYPERLINK("http://www.iaea.org/PRIS/CountryStatistics/ReactorDetails.aspx?current=468", "PRIS")</f>
        <v>PRIS</v>
      </c>
      <c r="N358" s="12" t="str">
        <f t="shared" si="85"/>
        <v>Map</v>
      </c>
    </row>
    <row r="359">
      <c r="A359" s="9" t="s">
        <v>911</v>
      </c>
      <c r="B359" s="9" t="s">
        <v>912</v>
      </c>
      <c r="C359" s="12" t="str">
        <f>HYPERLINK("https://www.google.com/search?q=BILIBINO-3+nuclear+power+plant+in+RUSSIA", "BILIBINO-3")</f>
        <v>BILIBINO-3</v>
      </c>
      <c r="D359" s="9" t="s">
        <v>943</v>
      </c>
      <c r="E359" s="9" t="s">
        <v>21</v>
      </c>
      <c r="F359" s="9">
        <v>12.0</v>
      </c>
      <c r="G359" s="9">
        <v>62.0</v>
      </c>
      <c r="H359" s="9">
        <v>55.1</v>
      </c>
      <c r="I359" s="9">
        <v>45.5</v>
      </c>
      <c r="J359" s="9">
        <v>68.05028</v>
      </c>
      <c r="K359" s="9">
        <v>166.53861</v>
      </c>
      <c r="L359" s="13">
        <v>443.935943603516</v>
      </c>
      <c r="M359" s="12" t="str">
        <f>HYPERLINK("http://www.iaea.org/PRIS/CountryStatistics/ReactorDetails.aspx?current=469", "PRIS")</f>
        <v>PRIS</v>
      </c>
      <c r="N359" s="12" t="str">
        <f t="shared" si="85"/>
        <v>Map</v>
      </c>
    </row>
    <row r="360">
      <c r="A360" s="9" t="s">
        <v>911</v>
      </c>
      <c r="B360" s="9" t="s">
        <v>912</v>
      </c>
      <c r="C360" s="12" t="str">
        <f>HYPERLINK("https://www.google.com/search?q=BILIBINO-4+nuclear+power+plant+in+RUSSIA", "BILIBINO-4")</f>
        <v>BILIBINO-4</v>
      </c>
      <c r="D360" s="9" t="s">
        <v>943</v>
      </c>
      <c r="E360" s="9" t="s">
        <v>21</v>
      </c>
      <c r="F360" s="9">
        <v>12.0</v>
      </c>
      <c r="G360" s="9">
        <v>62.0</v>
      </c>
      <c r="H360" s="9">
        <v>53.8</v>
      </c>
      <c r="I360" s="9">
        <v>47.2</v>
      </c>
      <c r="J360" s="9">
        <v>68.05028</v>
      </c>
      <c r="K360" s="9">
        <v>166.53861</v>
      </c>
      <c r="L360" s="13">
        <v>443.935943603516</v>
      </c>
      <c r="M360" s="12" t="str">
        <f>HYPERLINK("http://www.iaea.org/PRIS/CountryStatistics/ReactorDetails.aspx?current=470", "PRIS")</f>
        <v>PRIS</v>
      </c>
      <c r="N360" s="12" t="str">
        <f t="shared" si="85"/>
        <v>Map</v>
      </c>
    </row>
    <row r="361">
      <c r="A361" s="9" t="s">
        <v>911</v>
      </c>
      <c r="B361" s="9" t="s">
        <v>912</v>
      </c>
      <c r="C361" s="12" t="str">
        <f>HYPERLINK("https://www.google.com/search?q=LENINGRAD-1+nuclear+power+plant+in+RUSSIA", "LENINGRAD-1")</f>
        <v>LENINGRAD-1</v>
      </c>
      <c r="D361" s="9" t="s">
        <v>979</v>
      </c>
      <c r="E361" s="9" t="s">
        <v>21</v>
      </c>
      <c r="F361" s="9">
        <v>1000.0</v>
      </c>
      <c r="G361" s="9">
        <v>3200.0</v>
      </c>
      <c r="H361" s="9">
        <v>68.7</v>
      </c>
      <c r="I361" s="9">
        <v>0.0</v>
      </c>
      <c r="J361" s="9">
        <v>59.84722</v>
      </c>
      <c r="K361" s="9">
        <v>29.04361</v>
      </c>
      <c r="L361" s="13">
        <v>34.4543609619141</v>
      </c>
      <c r="M361" s="12" t="str">
        <f>HYPERLINK("http://www.iaea.org/PRIS/CountryStatistics/ReactorDetails.aspx?current=474", "PRIS")</f>
        <v>PRIS</v>
      </c>
      <c r="N361" s="12" t="str">
        <f t="shared" ref="N361:N362" si="86">HYPERLINK("http://maps.google.com/?q=59.8472,29.0436&amp;t=k", "Map")</f>
        <v>Map</v>
      </c>
    </row>
    <row r="362">
      <c r="A362" s="9" t="s">
        <v>911</v>
      </c>
      <c r="B362" s="9" t="s">
        <v>912</v>
      </c>
      <c r="C362" s="12" t="str">
        <f>HYPERLINK("https://www.google.com/search?q=LENINGRAD-2+nuclear+power+plant+in+RUSSIA", "LENINGRAD-2")</f>
        <v>LENINGRAD-2</v>
      </c>
      <c r="D362" s="9" t="s">
        <v>979</v>
      </c>
      <c r="E362" s="9" t="s">
        <v>21</v>
      </c>
      <c r="F362" s="9">
        <v>1000.0</v>
      </c>
      <c r="G362" s="9">
        <v>3200.0</v>
      </c>
      <c r="H362" s="9">
        <v>70.1</v>
      </c>
      <c r="I362" s="9">
        <v>40.9</v>
      </c>
      <c r="J362" s="9">
        <v>59.84722</v>
      </c>
      <c r="K362" s="9">
        <v>29.04361</v>
      </c>
      <c r="L362" s="13">
        <v>34.4543609619141</v>
      </c>
      <c r="M362" s="12" t="str">
        <f>HYPERLINK("http://www.iaea.org/PRIS/CountryStatistics/ReactorDetails.aspx?current=475", "PRIS")</f>
        <v>PRIS</v>
      </c>
      <c r="N362" s="12" t="str">
        <f t="shared" si="86"/>
        <v>Map</v>
      </c>
    </row>
    <row r="363">
      <c r="A363" s="9" t="s">
        <v>911</v>
      </c>
      <c r="B363" s="9" t="s">
        <v>912</v>
      </c>
      <c r="C363" s="12" t="str">
        <f>HYPERLINK("https://www.google.com/search?q=KURSK-1+nuclear+power+plant+in+RUSSIA", "KURSK-1")</f>
        <v>KURSK-1</v>
      </c>
      <c r="D363" s="9" t="s">
        <v>970</v>
      </c>
      <c r="E363" s="9" t="s">
        <v>21</v>
      </c>
      <c r="F363" s="9">
        <v>1000.0</v>
      </c>
      <c r="G363" s="9">
        <v>3200.0</v>
      </c>
      <c r="H363" s="9">
        <v>62.4</v>
      </c>
      <c r="I363" s="9">
        <v>83.4</v>
      </c>
      <c r="J363" s="9">
        <v>51.675</v>
      </c>
      <c r="K363" s="9">
        <v>35.60556</v>
      </c>
      <c r="L363" s="13">
        <v>170.546493530273</v>
      </c>
      <c r="M363" s="12" t="str">
        <f>HYPERLINK("http://www.iaea.org/PRIS/CountryStatistics/ReactorDetails.aspx?current=476", "PRIS")</f>
        <v>PRIS</v>
      </c>
      <c r="N363" s="12" t="str">
        <f>HYPERLINK("http://maps.google.com/?q=51.675,35.6056&amp;t=k", "Map")</f>
        <v>Map</v>
      </c>
    </row>
    <row r="364">
      <c r="A364" s="9" t="s">
        <v>911</v>
      </c>
      <c r="B364" s="9" t="s">
        <v>912</v>
      </c>
      <c r="C364" s="12" t="str">
        <f>HYPERLINK("https://www.google.com/search?q=NOVOVORONEZH-5+nuclear+power+plant+in+RUSSIA", "NOVOVORONEZH-5")</f>
        <v>NOVOVORONEZH-5</v>
      </c>
      <c r="D364" s="9" t="s">
        <v>992</v>
      </c>
      <c r="E364" s="9" t="s">
        <v>21</v>
      </c>
      <c r="F364" s="9">
        <v>1000.0</v>
      </c>
      <c r="G364" s="9">
        <v>3000.0</v>
      </c>
      <c r="H364" s="9">
        <v>63.5</v>
      </c>
      <c r="I364" s="9">
        <v>86.6</v>
      </c>
      <c r="J364" s="9">
        <v>51.275</v>
      </c>
      <c r="K364" s="9">
        <v>39.2</v>
      </c>
      <c r="L364" s="13">
        <v>102.520889282227</v>
      </c>
      <c r="M364" s="12" t="str">
        <f>HYPERLINK("http://www.iaea.org/PRIS/CountryStatistics/ReactorDetails.aspx?current=483", "PRIS")</f>
        <v>PRIS</v>
      </c>
      <c r="N364" s="12" t="str">
        <f>HYPERLINK("http://maps.google.com/?q=51.275,39.2&amp;t=k", "Map")</f>
        <v>Map</v>
      </c>
    </row>
    <row r="365">
      <c r="A365" s="9" t="s">
        <v>911</v>
      </c>
      <c r="B365" s="9" t="s">
        <v>912</v>
      </c>
      <c r="C365" s="12" t="str">
        <f>HYPERLINK("https://www.google.com/search?q=BELOYARSK-3+nuclear+power+plant+in+RUSSIA", "BELOYARSK-3")</f>
        <v>BELOYARSK-3</v>
      </c>
      <c r="D365" s="9" t="s">
        <v>934</v>
      </c>
      <c r="E365" s="9" t="s">
        <v>21</v>
      </c>
      <c r="F365" s="9">
        <v>600.0</v>
      </c>
      <c r="G365" s="9">
        <v>1470.0</v>
      </c>
      <c r="H365" s="9">
        <v>74.2</v>
      </c>
      <c r="I365" s="9">
        <v>78.3</v>
      </c>
      <c r="J365" s="9">
        <v>56.84167</v>
      </c>
      <c r="K365" s="9">
        <v>61.3225</v>
      </c>
      <c r="L365" s="13">
        <v>217.983551025391</v>
      </c>
      <c r="M365" s="12" t="str">
        <f>HYPERLINK("http://www.iaea.org/PRIS/CountryStatistics/ReactorDetails.aspx?current=484", "PRIS")</f>
        <v>PRIS</v>
      </c>
      <c r="N365" s="12" t="str">
        <f>HYPERLINK("http://maps.google.com/?q=56.8417,61.3225&amp;t=k", "Map")</f>
        <v>Map</v>
      </c>
    </row>
    <row r="366">
      <c r="A366" s="9" t="s">
        <v>911</v>
      </c>
      <c r="B366" s="9" t="s">
        <v>912</v>
      </c>
      <c r="C366" s="12" t="str">
        <f>HYPERLINK("https://www.google.com/search?q=KURSK-2+nuclear+power+plant+in+RUSSIA", "KURSK-2")</f>
        <v>KURSK-2</v>
      </c>
      <c r="D366" s="9" t="s">
        <v>970</v>
      </c>
      <c r="E366" s="9" t="s">
        <v>21</v>
      </c>
      <c r="F366" s="9">
        <v>1000.0</v>
      </c>
      <c r="G366" s="9">
        <v>3200.0</v>
      </c>
      <c r="H366" s="9">
        <v>63.2</v>
      </c>
      <c r="I366" s="9">
        <v>19.6</v>
      </c>
      <c r="J366" s="9">
        <v>51.675</v>
      </c>
      <c r="K366" s="9">
        <v>35.60556</v>
      </c>
      <c r="L366" s="13">
        <v>170.546493530273</v>
      </c>
      <c r="M366" s="12" t="str">
        <f>HYPERLINK("http://www.iaea.org/PRIS/CountryStatistics/ReactorDetails.aspx?current=485", "PRIS")</f>
        <v>PRIS</v>
      </c>
      <c r="N366" s="12" t="str">
        <f>HYPERLINK("http://maps.google.com/?q=51.675,35.6056&amp;t=k", "Map")</f>
        <v>Map</v>
      </c>
    </row>
    <row r="367">
      <c r="A367" s="9" t="s">
        <v>911</v>
      </c>
      <c r="B367" s="9" t="s">
        <v>912</v>
      </c>
      <c r="C367" s="12" t="str">
        <f>HYPERLINK("https://www.google.com/search?q=SMOLENSK-1+nuclear+power+plant+in+RUSSIA", "SMOLENSK-1")</f>
        <v>SMOLENSK-1</v>
      </c>
      <c r="D367" s="9" t="s">
        <v>1016</v>
      </c>
      <c r="E367" s="9" t="s">
        <v>21</v>
      </c>
      <c r="F367" s="9">
        <v>1000.0</v>
      </c>
      <c r="G367" s="9">
        <v>3200.0</v>
      </c>
      <c r="H367" s="9">
        <v>72.4</v>
      </c>
      <c r="I367" s="9">
        <v>96.0</v>
      </c>
      <c r="J367" s="9">
        <v>54.1691611</v>
      </c>
      <c r="K367" s="9">
        <v>33.2466361</v>
      </c>
      <c r="L367" s="13">
        <v>221.819198608398</v>
      </c>
      <c r="M367" s="12" t="str">
        <f>HYPERLINK("http://www.iaea.org/PRIS/CountryStatistics/ReactorDetails.aspx?current=486", "PRIS")</f>
        <v>PRIS</v>
      </c>
      <c r="N367" s="12" t="str">
        <f t="shared" ref="N367:N368" si="87">HYPERLINK("http://maps.google.com/?q=54.1692,33.2466&amp;t=k", "Map")</f>
        <v>Map</v>
      </c>
    </row>
    <row r="368">
      <c r="A368" s="9" t="s">
        <v>911</v>
      </c>
      <c r="B368" s="9" t="s">
        <v>912</v>
      </c>
      <c r="C368" s="12" t="str">
        <f>HYPERLINK("https://www.google.com/search?q=SMOLENSK-2+nuclear+power+plant+in+RUSSIA", "SMOLENSK-2")</f>
        <v>SMOLENSK-2</v>
      </c>
      <c r="D368" s="9" t="s">
        <v>1016</v>
      </c>
      <c r="E368" s="9" t="s">
        <v>21</v>
      </c>
      <c r="F368" s="9">
        <v>1000.0</v>
      </c>
      <c r="G368" s="9">
        <v>3200.0</v>
      </c>
      <c r="H368" s="9">
        <v>73.7</v>
      </c>
      <c r="I368" s="9">
        <v>32.5</v>
      </c>
      <c r="J368" s="9">
        <v>54.1691611</v>
      </c>
      <c r="K368" s="9">
        <v>33.2466361</v>
      </c>
      <c r="L368" s="13">
        <v>221.819198608398</v>
      </c>
      <c r="M368" s="12" t="str">
        <f>HYPERLINK("http://www.iaea.org/PRIS/CountryStatistics/ReactorDetails.aspx?current=487", "PRIS")</f>
        <v>PRIS</v>
      </c>
      <c r="N368" s="12" t="str">
        <f t="shared" si="87"/>
        <v>Map</v>
      </c>
    </row>
    <row r="369">
      <c r="A369" s="9" t="s">
        <v>911</v>
      </c>
      <c r="B369" s="9" t="s">
        <v>912</v>
      </c>
      <c r="C369" s="12" t="str">
        <f>HYPERLINK("https://www.google.com/search?q=BELOYARSK-1+nuclear+power+plant+in+RUSSIA", "BELOYARSK-1")</f>
        <v>BELOYARSK-1</v>
      </c>
      <c r="D369" s="9" t="s">
        <v>934</v>
      </c>
      <c r="E369" s="9" t="s">
        <v>24</v>
      </c>
      <c r="F369" s="9">
        <v>108.0</v>
      </c>
      <c r="G369" s="9">
        <v>286.0</v>
      </c>
      <c r="H369" s="9">
        <v>0.0</v>
      </c>
      <c r="I369" s="9">
        <v>0.0</v>
      </c>
      <c r="J369" s="9">
        <v>56.84167</v>
      </c>
      <c r="K369" s="9">
        <v>61.3225</v>
      </c>
      <c r="L369" s="13">
        <v>217.983551025391</v>
      </c>
      <c r="M369" s="12" t="str">
        <f>HYPERLINK("http://www.iaea.org/PRIS/CountryStatistics/ReactorDetails.aspx?current=488", "PRIS")</f>
        <v>PRIS</v>
      </c>
      <c r="N369" s="12" t="str">
        <f>HYPERLINK("http://maps.google.com/?q=56.8417,61.3225&amp;t=k", "Map")</f>
        <v>Map</v>
      </c>
    </row>
    <row r="370">
      <c r="A370" s="9" t="s">
        <v>911</v>
      </c>
      <c r="B370" s="9" t="s">
        <v>912</v>
      </c>
      <c r="C370" s="12" t="str">
        <f>HYPERLINK("https://www.google.com/search?q=KALININ-1+nuclear+power+plant+in+RUSSIA", "KALININ-1")</f>
        <v>KALININ-1</v>
      </c>
      <c r="D370" s="9" t="s">
        <v>952</v>
      </c>
      <c r="E370" s="9" t="s">
        <v>21</v>
      </c>
      <c r="F370" s="9">
        <v>1000.0</v>
      </c>
      <c r="G370" s="9">
        <v>3000.0</v>
      </c>
      <c r="H370" s="9">
        <v>74.8</v>
      </c>
      <c r="I370" s="9">
        <v>83.7</v>
      </c>
      <c r="J370" s="9">
        <v>57.90556</v>
      </c>
      <c r="K370" s="9">
        <v>35.06028</v>
      </c>
      <c r="L370" s="13">
        <v>172.412536621094</v>
      </c>
      <c r="M370" s="12" t="str">
        <f>HYPERLINK("http://www.iaea.org/PRIS/CountryStatistics/ReactorDetails.aspx?current=489", "PRIS")</f>
        <v>PRIS</v>
      </c>
      <c r="N370" s="12" t="str">
        <f t="shared" ref="N370:N371" si="88">HYPERLINK("http://maps.google.com/?q=57.9056,35.0603&amp;t=k", "Map")</f>
        <v>Map</v>
      </c>
    </row>
    <row r="371">
      <c r="A371" s="9" t="s">
        <v>911</v>
      </c>
      <c r="B371" s="9" t="s">
        <v>912</v>
      </c>
      <c r="C371" s="12" t="str">
        <f>HYPERLINK("https://www.google.com/search?q=KALININ-2+nuclear+power+plant+in+RUSSIA", "KALININ-2")</f>
        <v>KALININ-2</v>
      </c>
      <c r="D371" s="9" t="s">
        <v>952</v>
      </c>
      <c r="E371" s="9" t="s">
        <v>21</v>
      </c>
      <c r="F371" s="9">
        <v>1000.0</v>
      </c>
      <c r="G371" s="9">
        <v>3000.0</v>
      </c>
      <c r="H371" s="9">
        <v>76.7</v>
      </c>
      <c r="I371" s="9">
        <v>103.8</v>
      </c>
      <c r="J371" s="9">
        <v>57.90556</v>
      </c>
      <c r="K371" s="9">
        <v>35.06028</v>
      </c>
      <c r="L371" s="13">
        <v>172.412536621094</v>
      </c>
      <c r="M371" s="12" t="str">
        <f>HYPERLINK("http://www.iaea.org/PRIS/CountryStatistics/ReactorDetails.aspx?current=490", "PRIS")</f>
        <v>PRIS</v>
      </c>
      <c r="N371" s="12" t="str">
        <f t="shared" si="88"/>
        <v>Map</v>
      </c>
    </row>
    <row r="372">
      <c r="A372" s="9" t="s">
        <v>911</v>
      </c>
      <c r="B372" s="9" t="s">
        <v>912</v>
      </c>
      <c r="C372" s="12" t="str">
        <f>HYPERLINK("https://www.google.com/search?q=KOLA-3+nuclear+power+plant+in+RUSSIA", "KOLA-3")</f>
        <v>KOLA-3</v>
      </c>
      <c r="D372" s="9" t="s">
        <v>961</v>
      </c>
      <c r="E372" s="9" t="s">
        <v>21</v>
      </c>
      <c r="F372" s="9">
        <v>440.0</v>
      </c>
      <c r="G372" s="9">
        <v>1375.0</v>
      </c>
      <c r="H372" s="9">
        <v>69.0</v>
      </c>
      <c r="I372" s="9">
        <v>62.9</v>
      </c>
      <c r="J372" s="9">
        <v>67.467</v>
      </c>
      <c r="K372" s="9">
        <v>32.467</v>
      </c>
      <c r="L372" s="13">
        <v>164.915283203125</v>
      </c>
      <c r="M372" s="12" t="str">
        <f>HYPERLINK("http://www.iaea.org/PRIS/CountryStatistics/ReactorDetails.aspx?current=491", "PRIS")</f>
        <v>PRIS</v>
      </c>
      <c r="N372" s="12" t="str">
        <f t="shared" ref="N372:N373" si="89">HYPERLINK("http://maps.google.com/?q=67.467,32.467&amp;t=k", "Map")</f>
        <v>Map</v>
      </c>
    </row>
    <row r="373">
      <c r="A373" s="9" t="s">
        <v>911</v>
      </c>
      <c r="B373" s="9" t="s">
        <v>912</v>
      </c>
      <c r="C373" s="12" t="str">
        <f>HYPERLINK("https://www.google.com/search?q=KOLA-4+nuclear+power+plant+in+RUSSIA", "KOLA-4")</f>
        <v>KOLA-4</v>
      </c>
      <c r="D373" s="9" t="s">
        <v>961</v>
      </c>
      <c r="E373" s="9" t="s">
        <v>21</v>
      </c>
      <c r="F373" s="9">
        <v>440.0</v>
      </c>
      <c r="G373" s="9">
        <v>1375.0</v>
      </c>
      <c r="H373" s="9">
        <v>71.7</v>
      </c>
      <c r="I373" s="9">
        <v>71.5</v>
      </c>
      <c r="J373" s="9">
        <v>67.467</v>
      </c>
      <c r="K373" s="9">
        <v>32.467</v>
      </c>
      <c r="L373" s="13">
        <v>164.915283203125</v>
      </c>
      <c r="M373" s="12" t="str">
        <f>HYPERLINK("http://www.iaea.org/PRIS/CountryStatistics/ReactorDetails.aspx?current=492", "PRIS")</f>
        <v>PRIS</v>
      </c>
      <c r="N373" s="12" t="str">
        <f t="shared" si="89"/>
        <v>Map</v>
      </c>
    </row>
    <row r="374">
      <c r="A374" s="9" t="s">
        <v>911</v>
      </c>
      <c r="B374" s="9" t="s">
        <v>912</v>
      </c>
      <c r="C374" s="12" t="str">
        <f>HYPERLINK("https://www.google.com/search?q=LENINGRAD-3+nuclear+power+plant+in+RUSSIA", "LENINGRAD-3")</f>
        <v>LENINGRAD-3</v>
      </c>
      <c r="D374" s="9" t="s">
        <v>979</v>
      </c>
      <c r="E374" s="9" t="s">
        <v>21</v>
      </c>
      <c r="F374" s="9">
        <v>1000.0</v>
      </c>
      <c r="G374" s="9">
        <v>3200.0</v>
      </c>
      <c r="H374" s="9">
        <v>70.5</v>
      </c>
      <c r="I374" s="9">
        <v>85.1</v>
      </c>
      <c r="J374" s="9">
        <v>59.84722</v>
      </c>
      <c r="K374" s="9">
        <v>29.04361</v>
      </c>
      <c r="L374" s="13">
        <v>34.4543609619141</v>
      </c>
      <c r="M374" s="12" t="str">
        <f>HYPERLINK("http://www.iaea.org/PRIS/CountryStatistics/ReactorDetails.aspx?current=493", "PRIS")</f>
        <v>PRIS</v>
      </c>
      <c r="N374" s="12" t="str">
        <f t="shared" ref="N374:N375" si="90">HYPERLINK("http://maps.google.com/?q=59.8472,29.0436&amp;t=k", "Map")</f>
        <v>Map</v>
      </c>
    </row>
    <row r="375">
      <c r="A375" s="9" t="s">
        <v>911</v>
      </c>
      <c r="B375" s="9" t="s">
        <v>912</v>
      </c>
      <c r="C375" s="12" t="str">
        <f>HYPERLINK("https://www.google.com/search?q=LENINGRAD-4+nuclear+power+plant+in+RUSSIA", "LENINGRAD-4")</f>
        <v>LENINGRAD-4</v>
      </c>
      <c r="D375" s="9" t="s">
        <v>979</v>
      </c>
      <c r="E375" s="9" t="s">
        <v>21</v>
      </c>
      <c r="F375" s="9">
        <v>1000.0</v>
      </c>
      <c r="G375" s="9">
        <v>3200.0</v>
      </c>
      <c r="H375" s="9">
        <v>72.0</v>
      </c>
      <c r="I375" s="9">
        <v>86.3</v>
      </c>
      <c r="J375" s="9">
        <v>59.84722</v>
      </c>
      <c r="K375" s="9">
        <v>29.04361</v>
      </c>
      <c r="L375" s="13">
        <v>34.4543609619141</v>
      </c>
      <c r="M375" s="12" t="str">
        <f>HYPERLINK("http://www.iaea.org/PRIS/CountryStatistics/ReactorDetails.aspx?current=494", "PRIS")</f>
        <v>PRIS</v>
      </c>
      <c r="N375" s="12" t="str">
        <f t="shared" si="90"/>
        <v>Map</v>
      </c>
    </row>
    <row r="376">
      <c r="A376" s="9" t="s">
        <v>911</v>
      </c>
      <c r="B376" s="9" t="s">
        <v>912</v>
      </c>
      <c r="C376" s="12" t="str">
        <f>HYPERLINK("https://www.google.com/search?q=KALININ-3+nuclear+power+plant+in+RUSSIA", "KALININ-3")</f>
        <v>KALININ-3</v>
      </c>
      <c r="D376" s="9" t="s">
        <v>952</v>
      </c>
      <c r="E376" s="9" t="s">
        <v>21</v>
      </c>
      <c r="F376" s="9">
        <v>1000.0</v>
      </c>
      <c r="G376" s="9">
        <v>3200.0</v>
      </c>
      <c r="H376" s="9">
        <v>84.6</v>
      </c>
      <c r="I376" s="9">
        <v>78.2</v>
      </c>
      <c r="J376" s="9">
        <v>57.90556</v>
      </c>
      <c r="K376" s="9">
        <v>35.06028</v>
      </c>
      <c r="L376" s="13">
        <v>172.412536621094</v>
      </c>
      <c r="M376" s="12" t="str">
        <f>HYPERLINK("http://www.iaea.org/PRIS/CountryStatistics/ReactorDetails.aspx?current=495", "PRIS")</f>
        <v>PRIS</v>
      </c>
      <c r="N376" s="12" t="str">
        <f t="shared" ref="N376:N377" si="91">HYPERLINK("http://maps.google.com/?q=57.9056,35.0603&amp;t=k", "Map")</f>
        <v>Map</v>
      </c>
    </row>
    <row r="377">
      <c r="A377" s="9" t="s">
        <v>911</v>
      </c>
      <c r="B377" s="9" t="s">
        <v>912</v>
      </c>
      <c r="C377" s="12" t="str">
        <f>HYPERLINK("https://www.google.com/search?q=KALININ-4+nuclear+power+plant+in+RUSSIA", "KALININ-4")</f>
        <v>KALININ-4</v>
      </c>
      <c r="D377" s="9" t="s">
        <v>952</v>
      </c>
      <c r="E377" s="9" t="s">
        <v>21</v>
      </c>
      <c r="F377" s="9">
        <v>1000.0</v>
      </c>
      <c r="G377" s="9">
        <v>3200.0</v>
      </c>
      <c r="H377" s="9">
        <v>76.2</v>
      </c>
      <c r="I377" s="9">
        <v>76.2</v>
      </c>
      <c r="J377" s="9">
        <v>57.90556</v>
      </c>
      <c r="K377" s="9">
        <v>35.06028</v>
      </c>
      <c r="L377" s="13">
        <v>172.412536621094</v>
      </c>
      <c r="M377" s="12" t="str">
        <f>HYPERLINK("http://www.iaea.org/PRIS/CountryStatistics/ReactorDetails.aspx?current=496", "PRIS")</f>
        <v>PRIS</v>
      </c>
      <c r="N377" s="12" t="str">
        <f t="shared" si="91"/>
        <v>Map</v>
      </c>
    </row>
    <row r="378">
      <c r="A378" s="9" t="s">
        <v>911</v>
      </c>
      <c r="B378" s="9" t="s">
        <v>912</v>
      </c>
      <c r="C378" s="12" t="str">
        <f>HYPERLINK("https://www.google.com/search?q=KURSK-3+nuclear+power+plant+in+RUSSIA", "KURSK-3")</f>
        <v>KURSK-3</v>
      </c>
      <c r="D378" s="9" t="s">
        <v>970</v>
      </c>
      <c r="E378" s="9" t="s">
        <v>21</v>
      </c>
      <c r="F378" s="9">
        <v>1000.0</v>
      </c>
      <c r="G378" s="9">
        <v>3200.0</v>
      </c>
      <c r="H378" s="9">
        <v>72.3</v>
      </c>
      <c r="I378" s="9">
        <v>89.6</v>
      </c>
      <c r="J378" s="9">
        <v>51.675</v>
      </c>
      <c r="K378" s="9">
        <v>35.60556</v>
      </c>
      <c r="L378" s="13">
        <v>170.546493530273</v>
      </c>
      <c r="M378" s="12" t="str">
        <f>HYPERLINK("http://www.iaea.org/PRIS/CountryStatistics/ReactorDetails.aspx?current=497", "PRIS")</f>
        <v>PRIS</v>
      </c>
      <c r="N378" s="12" t="str">
        <f t="shared" ref="N378:N379" si="92">HYPERLINK("http://maps.google.com/?q=51.675,35.6056&amp;t=k", "Map")</f>
        <v>Map</v>
      </c>
    </row>
    <row r="379">
      <c r="A379" s="9" t="s">
        <v>911</v>
      </c>
      <c r="B379" s="9" t="s">
        <v>912</v>
      </c>
      <c r="C379" s="12" t="str">
        <f>HYPERLINK("https://www.google.com/search?q=KURSK-4+nuclear+power+plant+in+RUSSIA", "KURSK-4")</f>
        <v>KURSK-4</v>
      </c>
      <c r="D379" s="9" t="s">
        <v>970</v>
      </c>
      <c r="E379" s="9" t="s">
        <v>21</v>
      </c>
      <c r="F379" s="9">
        <v>1000.0</v>
      </c>
      <c r="G379" s="9">
        <v>3200.0</v>
      </c>
      <c r="H379" s="9">
        <v>76.0</v>
      </c>
      <c r="I379" s="9">
        <v>76.7</v>
      </c>
      <c r="J379" s="9">
        <v>51.675</v>
      </c>
      <c r="K379" s="9">
        <v>35.60556</v>
      </c>
      <c r="L379" s="13">
        <v>170.546493530273</v>
      </c>
      <c r="M379" s="12" t="str">
        <f>HYPERLINK("http://www.iaea.org/PRIS/CountryStatistics/ReactorDetails.aspx?current=498", "PRIS")</f>
        <v>PRIS</v>
      </c>
      <c r="N379" s="12" t="str">
        <f t="shared" si="92"/>
        <v>Map</v>
      </c>
    </row>
    <row r="380">
      <c r="A380" s="9" t="s">
        <v>911</v>
      </c>
      <c r="B380" s="9" t="s">
        <v>912</v>
      </c>
      <c r="C380" s="12" t="str">
        <f>HYPERLINK("https://www.google.com/search?q=NOVOVORONEZH-1+nuclear+power+plant+in+RUSSIA", "NOVOVORONEZH-1")</f>
        <v>NOVOVORONEZH-1</v>
      </c>
      <c r="D380" s="9" t="s">
        <v>992</v>
      </c>
      <c r="E380" s="9" t="s">
        <v>24</v>
      </c>
      <c r="F380" s="9">
        <v>210.0</v>
      </c>
      <c r="G380" s="9">
        <v>760.0</v>
      </c>
      <c r="H380" s="9">
        <v>0.0</v>
      </c>
      <c r="I380" s="9">
        <v>0.0</v>
      </c>
      <c r="J380" s="9">
        <v>51.275</v>
      </c>
      <c r="K380" s="9">
        <v>39.2</v>
      </c>
      <c r="L380" s="13">
        <v>102.520889282227</v>
      </c>
      <c r="M380" s="12" t="str">
        <f>HYPERLINK("http://www.iaea.org/PRIS/CountryStatistics/ReactorDetails.aspx?current=499", "PRIS")</f>
        <v>PRIS</v>
      </c>
      <c r="N380" s="12" t="str">
        <f>HYPERLINK("http://maps.google.com/?q=51.275,39.2&amp;t=k", "Map")</f>
        <v>Map</v>
      </c>
    </row>
    <row r="381">
      <c r="A381" s="9" t="s">
        <v>911</v>
      </c>
      <c r="B381" s="9" t="s">
        <v>912</v>
      </c>
      <c r="C381" s="12" t="str">
        <f>HYPERLINK("https://www.google.com/search?q=ROSTOV-1+nuclear+power+plant+in+RUSSIA", "ROSTOV-1")</f>
        <v>ROSTOV-1</v>
      </c>
      <c r="D381" s="9" t="s">
        <v>1007</v>
      </c>
      <c r="E381" s="9" t="s">
        <v>21</v>
      </c>
      <c r="F381" s="9">
        <v>1000.0</v>
      </c>
      <c r="G381" s="9">
        <v>3200.0</v>
      </c>
      <c r="H381" s="9">
        <v>90.3</v>
      </c>
      <c r="I381" s="9">
        <v>102.8</v>
      </c>
      <c r="J381" s="9">
        <v>47.5993417</v>
      </c>
      <c r="K381" s="9">
        <v>42.3718778</v>
      </c>
      <c r="L381" s="13">
        <v>42.1673316955566</v>
      </c>
      <c r="M381" s="12" t="str">
        <f>HYPERLINK("http://www.iaea.org/PRIS/CountryStatistics/ReactorDetails.aspx?current=502", "PRIS")</f>
        <v>PRIS</v>
      </c>
      <c r="N381" s="12" t="str">
        <f>HYPERLINK("http://maps.google.com/?q=47.5993,42.3719&amp;t=k", "Map")</f>
        <v>Map</v>
      </c>
    </row>
    <row r="382">
      <c r="A382" s="9" t="s">
        <v>911</v>
      </c>
      <c r="B382" s="9" t="s">
        <v>912</v>
      </c>
      <c r="C382" s="12" t="str">
        <f>HYPERLINK("https://www.google.com/search?q=BELOYARSK-2+nuclear+power+plant+in+RUSSIA", "BELOYARSK-2")</f>
        <v>BELOYARSK-2</v>
      </c>
      <c r="D382" s="9" t="s">
        <v>934</v>
      </c>
      <c r="E382" s="9" t="s">
        <v>24</v>
      </c>
      <c r="F382" s="9">
        <v>160.0</v>
      </c>
      <c r="G382" s="9">
        <v>530.0</v>
      </c>
      <c r="H382" s="9">
        <v>0.0</v>
      </c>
      <c r="I382" s="9">
        <v>0.0</v>
      </c>
      <c r="J382" s="9">
        <v>56.84167</v>
      </c>
      <c r="K382" s="9">
        <v>61.3225</v>
      </c>
      <c r="L382" s="13">
        <v>217.983551025391</v>
      </c>
      <c r="M382" s="12" t="str">
        <f>HYPERLINK("http://www.iaea.org/PRIS/CountryStatistics/ReactorDetails.aspx?current=503", "PRIS")</f>
        <v>PRIS</v>
      </c>
      <c r="N382" s="12" t="str">
        <f>HYPERLINK("http://maps.google.com/?q=56.8417,61.3225&amp;t=k", "Map")</f>
        <v>Map</v>
      </c>
    </row>
    <row r="383">
      <c r="A383" s="9" t="s">
        <v>911</v>
      </c>
      <c r="B383" s="9" t="s">
        <v>912</v>
      </c>
      <c r="C383" s="12" t="str">
        <f>HYPERLINK("https://www.google.com/search?q=ROSTOV-2+nuclear+power+plant+in+RUSSIA", "ROSTOV-2")</f>
        <v>ROSTOV-2</v>
      </c>
      <c r="D383" s="9" t="s">
        <v>1007</v>
      </c>
      <c r="E383" s="9" t="s">
        <v>21</v>
      </c>
      <c r="F383" s="9">
        <v>1000.0</v>
      </c>
      <c r="G383" s="9">
        <v>3200.0</v>
      </c>
      <c r="H383" s="9">
        <v>90.8</v>
      </c>
      <c r="I383" s="9">
        <v>94.1</v>
      </c>
      <c r="J383" s="9">
        <v>47.5993417</v>
      </c>
      <c r="K383" s="9">
        <v>42.3718778</v>
      </c>
      <c r="L383" s="13">
        <v>42.1673316955566</v>
      </c>
      <c r="M383" s="12" t="str">
        <f>HYPERLINK("http://www.iaea.org/PRIS/CountryStatistics/ReactorDetails.aspx?current=505", "PRIS")</f>
        <v>PRIS</v>
      </c>
      <c r="N383" s="12" t="str">
        <f t="shared" ref="N383:N385" si="93">HYPERLINK("http://maps.google.com/?q=47.5993,42.3719&amp;t=k", "Map")</f>
        <v>Map</v>
      </c>
    </row>
    <row r="384">
      <c r="A384" s="9" t="s">
        <v>911</v>
      </c>
      <c r="B384" s="9" t="s">
        <v>912</v>
      </c>
      <c r="C384" s="12" t="str">
        <f>HYPERLINK("https://www.google.com/search?q=ROSTOV-3+nuclear+power+plant+in+RUSSIA", "ROSTOV-3")</f>
        <v>ROSTOV-3</v>
      </c>
      <c r="D384" s="9" t="s">
        <v>1007</v>
      </c>
      <c r="E384" s="9" t="s">
        <v>26</v>
      </c>
      <c r="F384" s="9">
        <v>1100.0</v>
      </c>
      <c r="G384" s="9">
        <v>3000.0</v>
      </c>
      <c r="H384" s="9">
        <v>0.0</v>
      </c>
      <c r="I384" s="9">
        <v>0.0</v>
      </c>
      <c r="J384" s="9">
        <v>47.5993417</v>
      </c>
      <c r="K384" s="9">
        <v>42.3718778</v>
      </c>
      <c r="L384" s="13">
        <v>42.1673316955566</v>
      </c>
      <c r="M384" s="12" t="str">
        <f>HYPERLINK("http://www.iaea.org/PRIS/CountryStatistics/ReactorDetails.aspx?current=506", "PRIS")</f>
        <v>PRIS</v>
      </c>
      <c r="N384" s="12" t="str">
        <f t="shared" si="93"/>
        <v>Map</v>
      </c>
    </row>
    <row r="385">
      <c r="A385" s="9" t="s">
        <v>911</v>
      </c>
      <c r="B385" s="9" t="s">
        <v>912</v>
      </c>
      <c r="C385" s="12" t="str">
        <f>HYPERLINK("https://www.google.com/search?q=ROSTOV-4+nuclear+power+plant+in+RUSSIA", "ROSTOV-4")</f>
        <v>ROSTOV-4</v>
      </c>
      <c r="D385" s="9" t="s">
        <v>1007</v>
      </c>
      <c r="E385" s="9" t="s">
        <v>26</v>
      </c>
      <c r="F385" s="9">
        <v>1100.0</v>
      </c>
      <c r="G385" s="9">
        <v>3000.0</v>
      </c>
      <c r="H385" s="9">
        <v>0.0</v>
      </c>
      <c r="I385" s="9">
        <v>0.0</v>
      </c>
      <c r="J385" s="9">
        <v>47.5993417</v>
      </c>
      <c r="K385" s="9">
        <v>42.3718778</v>
      </c>
      <c r="L385" s="13">
        <v>42.1673316955566</v>
      </c>
      <c r="M385" s="12" t="str">
        <f>HYPERLINK("http://www.iaea.org/PRIS/CountryStatistics/ReactorDetails.aspx?current=507", "PRIS")</f>
        <v>PRIS</v>
      </c>
      <c r="N385" s="12" t="str">
        <f t="shared" si="93"/>
        <v>Map</v>
      </c>
    </row>
    <row r="386">
      <c r="A386" s="9" t="s">
        <v>911</v>
      </c>
      <c r="B386" s="9" t="s">
        <v>912</v>
      </c>
      <c r="C386" s="12" t="str">
        <f>HYPERLINK("https://www.google.com/search?q=SMOLENSK-3+nuclear+power+plant+in+RUSSIA", "SMOLENSK-3")</f>
        <v>SMOLENSK-3</v>
      </c>
      <c r="D386" s="9" t="s">
        <v>1016</v>
      </c>
      <c r="E386" s="9" t="s">
        <v>21</v>
      </c>
      <c r="F386" s="9">
        <v>1000.0</v>
      </c>
      <c r="G386" s="9">
        <v>3200.0</v>
      </c>
      <c r="H386" s="9">
        <v>79.4</v>
      </c>
      <c r="I386" s="9">
        <v>98.0</v>
      </c>
      <c r="J386" s="9">
        <v>54.1691611</v>
      </c>
      <c r="K386" s="9">
        <v>33.2466361</v>
      </c>
      <c r="L386" s="13">
        <v>221.819198608398</v>
      </c>
      <c r="M386" s="12" t="str">
        <f>HYPERLINK("http://www.iaea.org/PRIS/CountryStatistics/ReactorDetails.aspx?current=508", "PRIS")</f>
        <v>PRIS</v>
      </c>
      <c r="N386" s="12" t="str">
        <f>HYPERLINK("http://maps.google.com/?q=54.1692,33.2466&amp;t=k", "Map")</f>
        <v>Map</v>
      </c>
    </row>
    <row r="387">
      <c r="A387" s="9" t="s">
        <v>911</v>
      </c>
      <c r="B387" s="9" t="s">
        <v>912</v>
      </c>
      <c r="C387" s="12" t="str">
        <f>HYPERLINK("https://www.google.com/search?q=NOVOVORONEZH-2+nuclear+power+plant+in+RUSSIA", "NOVOVORONEZH-2")</f>
        <v>NOVOVORONEZH-2</v>
      </c>
      <c r="D387" s="9" t="s">
        <v>992</v>
      </c>
      <c r="E387" s="9" t="s">
        <v>24</v>
      </c>
      <c r="F387" s="9">
        <v>365.0</v>
      </c>
      <c r="G387" s="9">
        <v>1320.0</v>
      </c>
      <c r="H387" s="9">
        <v>0.0</v>
      </c>
      <c r="I387" s="9">
        <v>0.0</v>
      </c>
      <c r="J387" s="9">
        <v>51.275</v>
      </c>
      <c r="K387" s="9">
        <v>39.2</v>
      </c>
      <c r="L387" s="13">
        <v>102.520889282227</v>
      </c>
      <c r="M387" s="12" t="str">
        <f>HYPERLINK("http://www.iaea.org/PRIS/CountryStatistics/ReactorDetails.aspx?current=513", "PRIS")</f>
        <v>PRIS</v>
      </c>
      <c r="N387" s="12" t="str">
        <f t="shared" ref="N387:N388" si="94">HYPERLINK("http://maps.google.com/?q=51.275,39.2&amp;t=k", "Map")</f>
        <v>Map</v>
      </c>
    </row>
    <row r="388">
      <c r="A388" s="9" t="s">
        <v>911</v>
      </c>
      <c r="B388" s="9" t="s">
        <v>912</v>
      </c>
      <c r="C388" s="12" t="str">
        <f>HYPERLINK("https://www.google.com/search?q=NOVOVORONEZH-3+nuclear+power+plant+in+RUSSIA", "NOVOVORONEZH-3")</f>
        <v>NOVOVORONEZH-3</v>
      </c>
      <c r="D388" s="9" t="s">
        <v>992</v>
      </c>
      <c r="E388" s="9" t="s">
        <v>21</v>
      </c>
      <c r="F388" s="9">
        <v>417.0</v>
      </c>
      <c r="G388" s="9">
        <v>1375.0</v>
      </c>
      <c r="H388" s="9">
        <v>70.8</v>
      </c>
      <c r="I388" s="9">
        <v>85.8</v>
      </c>
      <c r="J388" s="9">
        <v>51.275</v>
      </c>
      <c r="K388" s="9">
        <v>39.2</v>
      </c>
      <c r="L388" s="13">
        <v>102.520889282227</v>
      </c>
      <c r="M388" s="12" t="str">
        <f>HYPERLINK("http://www.iaea.org/PRIS/CountryStatistics/ReactorDetails.aspx?current=519", "PRIS")</f>
        <v>PRIS</v>
      </c>
      <c r="N388" s="12" t="str">
        <f t="shared" si="94"/>
        <v>Map</v>
      </c>
    </row>
    <row r="389">
      <c r="A389" s="9" t="s">
        <v>911</v>
      </c>
      <c r="B389" s="9" t="s">
        <v>912</v>
      </c>
      <c r="C389" s="12" t="str">
        <f>HYPERLINK("https://www.google.com/search?q=BALAKOVO-1+nuclear+power+plant+in+RUSSIA", "BALAKOVO-1")</f>
        <v>BALAKOVO-1</v>
      </c>
      <c r="D389" s="9" t="s">
        <v>922</v>
      </c>
      <c r="E389" s="9" t="s">
        <v>21</v>
      </c>
      <c r="F389" s="9">
        <v>1000.0</v>
      </c>
      <c r="G389" s="9">
        <v>3000.0</v>
      </c>
      <c r="H389" s="9">
        <v>68.8</v>
      </c>
      <c r="I389" s="9">
        <v>105.4</v>
      </c>
      <c r="J389" s="9">
        <v>52.09111</v>
      </c>
      <c r="K389" s="9">
        <v>47.95528</v>
      </c>
      <c r="L389" s="13">
        <v>31.4618339538574</v>
      </c>
      <c r="M389" s="12" t="str">
        <f>HYPERLINK("http://www.iaea.org/PRIS/CountryStatistics/ReactorDetails.aspx?current=524", "PRIS")</f>
        <v>PRIS</v>
      </c>
      <c r="N389" s="12" t="str">
        <f t="shared" ref="N389:N392" si="95">HYPERLINK("http://maps.google.com/?q=52.0911,47.9553&amp;t=k", "Map")</f>
        <v>Map</v>
      </c>
    </row>
    <row r="390">
      <c r="A390" s="9" t="s">
        <v>911</v>
      </c>
      <c r="B390" s="9" t="s">
        <v>912</v>
      </c>
      <c r="C390" s="12" t="str">
        <f>HYPERLINK("https://www.google.com/search?q=BALAKOVO-2+nuclear+power+plant+in+RUSSIA", "BALAKOVO-2")</f>
        <v>BALAKOVO-2</v>
      </c>
      <c r="D390" s="9" t="s">
        <v>922</v>
      </c>
      <c r="E390" s="9" t="s">
        <v>21</v>
      </c>
      <c r="F390" s="9">
        <v>1000.0</v>
      </c>
      <c r="G390" s="9">
        <v>3000.0</v>
      </c>
      <c r="H390" s="9">
        <v>70.1</v>
      </c>
      <c r="I390" s="9">
        <v>98.8</v>
      </c>
      <c r="J390" s="9">
        <v>52.09111</v>
      </c>
      <c r="K390" s="9">
        <v>47.95528</v>
      </c>
      <c r="L390" s="13">
        <v>31.4618339538574</v>
      </c>
      <c r="M390" s="12" t="str">
        <f>HYPERLINK("http://www.iaea.org/PRIS/CountryStatistics/ReactorDetails.aspx?current=525", "PRIS")</f>
        <v>PRIS</v>
      </c>
      <c r="N390" s="12" t="str">
        <f t="shared" si="95"/>
        <v>Map</v>
      </c>
    </row>
    <row r="391">
      <c r="A391" s="9" t="s">
        <v>911</v>
      </c>
      <c r="B391" s="9" t="s">
        <v>912</v>
      </c>
      <c r="C391" s="12" t="str">
        <f>HYPERLINK("https://www.google.com/search?q=BALAKOVO-3+nuclear+power+plant+in+RUSSIA", "BALAKOVO-3")</f>
        <v>BALAKOVO-3</v>
      </c>
      <c r="D391" s="9" t="s">
        <v>922</v>
      </c>
      <c r="E391" s="9" t="s">
        <v>21</v>
      </c>
      <c r="F391" s="9">
        <v>1000.0</v>
      </c>
      <c r="G391" s="9">
        <v>3000.0</v>
      </c>
      <c r="H391" s="9">
        <v>73.5</v>
      </c>
      <c r="I391" s="9">
        <v>88.7</v>
      </c>
      <c r="J391" s="9">
        <v>52.09111</v>
      </c>
      <c r="K391" s="9">
        <v>47.95528</v>
      </c>
      <c r="L391" s="13">
        <v>31.4618339538574</v>
      </c>
      <c r="M391" s="12" t="str">
        <f>HYPERLINK("http://www.iaea.org/PRIS/CountryStatistics/ReactorDetails.aspx?current=526", "PRIS")</f>
        <v>PRIS</v>
      </c>
      <c r="N391" s="12" t="str">
        <f t="shared" si="95"/>
        <v>Map</v>
      </c>
    </row>
    <row r="392">
      <c r="A392" s="9" t="s">
        <v>911</v>
      </c>
      <c r="B392" s="9" t="s">
        <v>912</v>
      </c>
      <c r="C392" s="12" t="str">
        <f>HYPERLINK("https://www.google.com/search?q=BALAKOVO-4+nuclear+power+plant+in+RUSSIA", "BALAKOVO-4")</f>
        <v>BALAKOVO-4</v>
      </c>
      <c r="D392" s="9" t="s">
        <v>922</v>
      </c>
      <c r="E392" s="9" t="s">
        <v>21</v>
      </c>
      <c r="F392" s="9">
        <v>1000.0</v>
      </c>
      <c r="G392" s="9">
        <v>3200.0</v>
      </c>
      <c r="H392" s="9">
        <v>78.7</v>
      </c>
      <c r="I392" s="9">
        <v>94.3</v>
      </c>
      <c r="J392" s="9">
        <v>52.09111</v>
      </c>
      <c r="K392" s="9">
        <v>47.95528</v>
      </c>
      <c r="L392" s="13">
        <v>31.4618339538574</v>
      </c>
      <c r="M392" s="12" t="str">
        <f>HYPERLINK("http://www.iaea.org/PRIS/CountryStatistics/ReactorDetails.aspx?current=527", "PRIS")</f>
        <v>PRIS</v>
      </c>
      <c r="N392" s="12" t="str">
        <f t="shared" si="95"/>
        <v>Map</v>
      </c>
    </row>
    <row r="393">
      <c r="A393" s="9" t="s">
        <v>1074</v>
      </c>
      <c r="B393" s="9" t="s">
        <v>1075</v>
      </c>
      <c r="C393" s="12" t="str">
        <f>HYPERLINK("https://www.google.com/search?q=AGESTA+nuclear+power+plant+in+SWEDEN", "AGESTA")</f>
        <v>AGESTA</v>
      </c>
      <c r="D393" s="9" t="s">
        <v>1076</v>
      </c>
      <c r="E393" s="9" t="s">
        <v>24</v>
      </c>
      <c r="F393" s="9">
        <v>12.0</v>
      </c>
      <c r="G393" s="9">
        <v>80.0</v>
      </c>
      <c r="H393" s="9">
        <v>0.0</v>
      </c>
      <c r="I393" s="9">
        <v>0.0</v>
      </c>
      <c r="J393" s="9">
        <v>59.2060222</v>
      </c>
      <c r="K393" s="9">
        <v>18.0828722</v>
      </c>
      <c r="L393" s="13">
        <v>77.5348968505859</v>
      </c>
      <c r="M393" s="12" t="str">
        <f>HYPERLINK("http://www.iaea.org/PRIS/CountryStatistics/ReactorDetails.aspx?current=528", "PRIS")</f>
        <v>PRIS</v>
      </c>
      <c r="N393" s="12" t="str">
        <f>HYPERLINK("http://maps.google.com/?q=59.206,18.0829&amp;t=k", "Map")</f>
        <v>Map</v>
      </c>
    </row>
    <row r="394">
      <c r="A394" s="9" t="s">
        <v>1074</v>
      </c>
      <c r="B394" s="9" t="s">
        <v>1075</v>
      </c>
      <c r="C394" s="12" t="str">
        <f>HYPERLINK("https://www.google.com/search?q=RINGHALS-4+nuclear+power+plant+in+SWEDEN", "RINGHALS-4")</f>
        <v>RINGHALS-4</v>
      </c>
      <c r="D394" s="9" t="s">
        <v>1098</v>
      </c>
      <c r="E394" s="9" t="s">
        <v>21</v>
      </c>
      <c r="F394" s="9">
        <v>990.0</v>
      </c>
      <c r="G394" s="9">
        <v>2775.0</v>
      </c>
      <c r="H394" s="9">
        <v>80.0</v>
      </c>
      <c r="I394" s="9">
        <v>89.6</v>
      </c>
      <c r="J394" s="9">
        <v>57.25972</v>
      </c>
      <c r="K394" s="9">
        <v>12.11083</v>
      </c>
      <c r="L394" s="13">
        <v>59.1071701049805</v>
      </c>
      <c r="M394" s="12" t="str">
        <f>HYPERLINK("http://www.iaea.org/PRIS/CountryStatistics/ReactorDetails.aspx?current=529", "PRIS")</f>
        <v>PRIS</v>
      </c>
      <c r="N394" s="12" t="str">
        <f>HYPERLINK("http://maps.google.com/?q=57.2597,12.1108&amp;t=k", "Map")</f>
        <v>Map</v>
      </c>
    </row>
    <row r="395">
      <c r="A395" s="9" t="s">
        <v>1074</v>
      </c>
      <c r="B395" s="9" t="s">
        <v>1075</v>
      </c>
      <c r="C395" s="12" t="str">
        <f>HYPERLINK("https://www.google.com/search?q=FORSMARK-2+nuclear+power+plant+in+SWEDEN", "FORSMARK-2")</f>
        <v>FORSMARK-2</v>
      </c>
      <c r="D395" s="9" t="s">
        <v>1084</v>
      </c>
      <c r="E395" s="9" t="s">
        <v>21</v>
      </c>
      <c r="F395" s="9">
        <v>1158.0</v>
      </c>
      <c r="G395" s="9">
        <v>3253.0</v>
      </c>
      <c r="H395" s="9">
        <v>79.8</v>
      </c>
      <c r="I395" s="9">
        <v>91.1</v>
      </c>
      <c r="J395" s="9">
        <v>60.40333</v>
      </c>
      <c r="K395" s="9">
        <v>18.16667</v>
      </c>
      <c r="L395" s="13">
        <v>33.8820724487305</v>
      </c>
      <c r="M395" s="12" t="str">
        <f>HYPERLINK("http://www.iaea.org/PRIS/CountryStatistics/ReactorDetails.aspx?current=530", "PRIS")</f>
        <v>PRIS</v>
      </c>
      <c r="N395" s="12" t="str">
        <f>HYPERLINK("http://maps.google.com/?q=60.4033,18.1667&amp;t=k", "Map")</f>
        <v>Map</v>
      </c>
    </row>
    <row r="396">
      <c r="A396" s="9" t="s">
        <v>1074</v>
      </c>
      <c r="B396" s="9" t="s">
        <v>1075</v>
      </c>
      <c r="C396" s="12" t="str">
        <f>HYPERLINK("https://www.google.com/search?q=OSKARSHAMN-3+nuclear+power+plant+in+SWEDEN", "OSKARSHAMN-3")</f>
        <v>OSKARSHAMN-3</v>
      </c>
      <c r="D396" s="9" t="s">
        <v>1091</v>
      </c>
      <c r="E396" s="9" t="s">
        <v>21</v>
      </c>
      <c r="F396" s="9">
        <v>1450.0</v>
      </c>
      <c r="G396" s="9">
        <v>3900.0</v>
      </c>
      <c r="H396" s="9">
        <v>77.5</v>
      </c>
      <c r="I396" s="9">
        <v>77.0</v>
      </c>
      <c r="J396" s="9">
        <v>57.41556</v>
      </c>
      <c r="K396" s="9">
        <v>16.67111</v>
      </c>
      <c r="L396" s="13">
        <v>32.5958442687988</v>
      </c>
      <c r="M396" s="12" t="str">
        <f>HYPERLINK("http://www.iaea.org/PRIS/CountryStatistics/ReactorDetails.aspx?current=531", "PRIS")</f>
        <v>PRIS</v>
      </c>
      <c r="N396" s="12" t="str">
        <f>HYPERLINK("http://maps.google.com/?q=57.4156,16.6711&amp;t=k", "Map")</f>
        <v>Map</v>
      </c>
    </row>
    <row r="397">
      <c r="A397" s="9" t="s">
        <v>1074</v>
      </c>
      <c r="B397" s="9" t="s">
        <v>1075</v>
      </c>
      <c r="C397" s="12" t="str">
        <f>HYPERLINK("https://www.google.com/search?q=FORSMARK-3+nuclear+power+plant+in+SWEDEN", "FORSMARK-3")</f>
        <v>FORSMARK-3</v>
      </c>
      <c r="D397" s="9" t="s">
        <v>1084</v>
      </c>
      <c r="E397" s="9" t="s">
        <v>21</v>
      </c>
      <c r="F397" s="9">
        <v>1212.0</v>
      </c>
      <c r="G397" s="9">
        <v>3300.0</v>
      </c>
      <c r="H397" s="9">
        <v>84.9</v>
      </c>
      <c r="I397" s="9">
        <v>88.0</v>
      </c>
      <c r="J397" s="9">
        <v>60.40333</v>
      </c>
      <c r="K397" s="9">
        <v>18.16667</v>
      </c>
      <c r="L397" s="13">
        <v>33.8820724487305</v>
      </c>
      <c r="M397" s="12" t="str">
        <f>HYPERLINK("http://www.iaea.org/PRIS/CountryStatistics/ReactorDetails.aspx?current=532", "PRIS")</f>
        <v>PRIS</v>
      </c>
      <c r="N397" s="12" t="str">
        <f>HYPERLINK("http://maps.google.com/?q=60.4033,18.1667&amp;t=k", "Map")</f>
        <v>Map</v>
      </c>
    </row>
    <row r="398">
      <c r="A398" s="9" t="s">
        <v>1074</v>
      </c>
      <c r="B398" s="9" t="s">
        <v>1075</v>
      </c>
      <c r="C398" s="12" t="str">
        <f>HYPERLINK("https://www.google.com/search?q=OSKARSHAMN-1+nuclear+power+plant+in+SWEDEN", "OSKARSHAMN-1")</f>
        <v>OSKARSHAMN-1</v>
      </c>
      <c r="D398" s="9" t="s">
        <v>1091</v>
      </c>
      <c r="E398" s="9" t="s">
        <v>21</v>
      </c>
      <c r="F398" s="9">
        <v>492.0</v>
      </c>
      <c r="G398" s="9">
        <v>1375.0</v>
      </c>
      <c r="H398" s="9">
        <v>60.1</v>
      </c>
      <c r="I398" s="9">
        <v>13.1</v>
      </c>
      <c r="J398" s="9">
        <v>57.41556</v>
      </c>
      <c r="K398" s="9">
        <v>16.67111</v>
      </c>
      <c r="L398" s="13">
        <v>32.5958442687988</v>
      </c>
      <c r="M398" s="12" t="str">
        <f>HYPERLINK("http://www.iaea.org/PRIS/CountryStatistics/ReactorDetails.aspx?current=534", "PRIS")</f>
        <v>PRIS</v>
      </c>
      <c r="N398" s="12" t="str">
        <f t="shared" ref="N398:N399" si="96">HYPERLINK("http://maps.google.com/?q=57.4156,16.6711&amp;t=k", "Map")</f>
        <v>Map</v>
      </c>
    </row>
    <row r="399">
      <c r="A399" s="9" t="s">
        <v>1074</v>
      </c>
      <c r="B399" s="9" t="s">
        <v>1075</v>
      </c>
      <c r="C399" s="12" t="str">
        <f>HYPERLINK("https://www.google.com/search?q=OSKARSHAMN-2+nuclear+power+plant+in+SWEDEN", "OSKARSHAMN-2")</f>
        <v>OSKARSHAMN-2</v>
      </c>
      <c r="D399" s="9" t="s">
        <v>1091</v>
      </c>
      <c r="E399" s="9" t="s">
        <v>21</v>
      </c>
      <c r="F399" s="9">
        <v>661.0</v>
      </c>
      <c r="G399" s="9">
        <v>1800.0</v>
      </c>
      <c r="H399" s="9">
        <v>75.3</v>
      </c>
      <c r="I399" s="9">
        <v>31.0</v>
      </c>
      <c r="J399" s="9">
        <v>57.41556</v>
      </c>
      <c r="K399" s="9">
        <v>16.67111</v>
      </c>
      <c r="L399" s="13">
        <v>32.5958442687988</v>
      </c>
      <c r="M399" s="12" t="str">
        <f>HYPERLINK("http://www.iaea.org/PRIS/CountryStatistics/ReactorDetails.aspx?current=535", "PRIS")</f>
        <v>PRIS</v>
      </c>
      <c r="N399" s="12" t="str">
        <f t="shared" si="96"/>
        <v>Map</v>
      </c>
    </row>
    <row r="400">
      <c r="A400" s="9" t="s">
        <v>1074</v>
      </c>
      <c r="B400" s="9" t="s">
        <v>1075</v>
      </c>
      <c r="C400" s="12" t="str">
        <f>HYPERLINK("https://www.google.com/search?q=RINGHALS-1+nuclear+power+plant+in+SWEDEN", "RINGHALS-1")</f>
        <v>RINGHALS-1</v>
      </c>
      <c r="D400" s="9" t="s">
        <v>1098</v>
      </c>
      <c r="E400" s="9" t="s">
        <v>21</v>
      </c>
      <c r="F400" s="9">
        <v>910.0</v>
      </c>
      <c r="G400" s="9">
        <v>2540.0</v>
      </c>
      <c r="H400" s="9">
        <v>67.1</v>
      </c>
      <c r="I400" s="9">
        <v>79.6</v>
      </c>
      <c r="J400" s="9">
        <v>57.25972</v>
      </c>
      <c r="K400" s="9">
        <v>12.11083</v>
      </c>
      <c r="L400" s="13">
        <v>59.1071701049805</v>
      </c>
      <c r="M400" s="12" t="str">
        <f>HYPERLINK("http://www.iaea.org/PRIS/CountryStatistics/ReactorDetails.aspx?current=536", "PRIS")</f>
        <v>PRIS</v>
      </c>
      <c r="N400" s="12" t="str">
        <f t="shared" ref="N400:N401" si="97">HYPERLINK("http://maps.google.com/?q=57.2597,12.1108&amp;t=k", "Map")</f>
        <v>Map</v>
      </c>
    </row>
    <row r="401">
      <c r="A401" s="9" t="s">
        <v>1074</v>
      </c>
      <c r="B401" s="9" t="s">
        <v>1075</v>
      </c>
      <c r="C401" s="12" t="str">
        <f>HYPERLINK("https://www.google.com/search?q=RINGHALS-2+nuclear+power+plant+in+SWEDEN", "RINGHALS-2")</f>
        <v>RINGHALS-2</v>
      </c>
      <c r="D401" s="9" t="s">
        <v>1098</v>
      </c>
      <c r="E401" s="9" t="s">
        <v>21</v>
      </c>
      <c r="F401" s="9">
        <v>847.0</v>
      </c>
      <c r="G401" s="9">
        <v>2500.0</v>
      </c>
      <c r="H401" s="9">
        <v>67.6</v>
      </c>
      <c r="I401" s="9">
        <v>85.0</v>
      </c>
      <c r="J401" s="9">
        <v>57.25972</v>
      </c>
      <c r="K401" s="9">
        <v>12.11083</v>
      </c>
      <c r="L401" s="13">
        <v>59.1071701049805</v>
      </c>
      <c r="M401" s="12" t="str">
        <f>HYPERLINK("http://www.iaea.org/PRIS/CountryStatistics/ReactorDetails.aspx?current=537", "PRIS")</f>
        <v>PRIS</v>
      </c>
      <c r="N401" s="12" t="str">
        <f t="shared" si="97"/>
        <v>Map</v>
      </c>
    </row>
    <row r="402">
      <c r="A402" s="9" t="s">
        <v>1074</v>
      </c>
      <c r="B402" s="9" t="s">
        <v>1075</v>
      </c>
      <c r="C402" s="12" t="str">
        <f>HYPERLINK("https://www.google.com/search?q=BARSEBACK-1+nuclear+power+plant+in+SWEDEN", "BARSEBACK-1")</f>
        <v>BARSEBACK-1</v>
      </c>
      <c r="D402" s="9" t="s">
        <v>1079</v>
      </c>
      <c r="E402" s="9" t="s">
        <v>24</v>
      </c>
      <c r="F402" s="9">
        <v>615.0</v>
      </c>
      <c r="G402" s="9">
        <v>1800.0</v>
      </c>
      <c r="H402" s="9">
        <v>75.0</v>
      </c>
      <c r="I402" s="9">
        <v>0.0</v>
      </c>
      <c r="J402" s="9">
        <v>55.74444</v>
      </c>
      <c r="K402" s="9">
        <v>12.92083</v>
      </c>
      <c r="L402" s="13">
        <v>36.9720306396484</v>
      </c>
      <c r="M402" s="12" t="str">
        <f>HYPERLINK("http://www.iaea.org/PRIS/CountryStatistics/ReactorDetails.aspx?current=538", "PRIS")</f>
        <v>PRIS</v>
      </c>
      <c r="N402" s="12" t="str">
        <f>HYPERLINK("http://maps.google.com/?q=55.7444,12.9208&amp;t=k", "Map")</f>
        <v>Map</v>
      </c>
    </row>
    <row r="403">
      <c r="A403" s="9" t="s">
        <v>1074</v>
      </c>
      <c r="B403" s="9" t="s">
        <v>1075</v>
      </c>
      <c r="C403" s="12" t="str">
        <f>HYPERLINK("https://www.google.com/search?q=RINGHALS-3+nuclear+power+plant+in+SWEDEN", "RINGHALS-3")</f>
        <v>RINGHALS-3</v>
      </c>
      <c r="D403" s="9" t="s">
        <v>1098</v>
      </c>
      <c r="E403" s="9" t="s">
        <v>21</v>
      </c>
      <c r="F403" s="9">
        <v>1117.0</v>
      </c>
      <c r="G403" s="9">
        <v>3135.0</v>
      </c>
      <c r="H403" s="9">
        <v>75.7</v>
      </c>
      <c r="I403" s="9">
        <v>74.6</v>
      </c>
      <c r="J403" s="9">
        <v>57.25972</v>
      </c>
      <c r="K403" s="9">
        <v>12.11083</v>
      </c>
      <c r="L403" s="13">
        <v>59.1071701049805</v>
      </c>
      <c r="M403" s="12" t="str">
        <f>HYPERLINK("http://www.iaea.org/PRIS/CountryStatistics/ReactorDetails.aspx?current=539", "PRIS")</f>
        <v>PRIS</v>
      </c>
      <c r="N403" s="12" t="str">
        <f>HYPERLINK("http://maps.google.com/?q=57.2597,12.1108&amp;t=k", "Map")</f>
        <v>Map</v>
      </c>
    </row>
    <row r="404">
      <c r="A404" s="9" t="s">
        <v>1074</v>
      </c>
      <c r="B404" s="9" t="s">
        <v>1075</v>
      </c>
      <c r="C404" s="12" t="str">
        <f>HYPERLINK("https://www.google.com/search?q=BARSEBACK-2+nuclear+power+plant+in+SWEDEN", "BARSEBACK-2")</f>
        <v>BARSEBACK-2</v>
      </c>
      <c r="D404" s="9" t="s">
        <v>1079</v>
      </c>
      <c r="E404" s="9" t="s">
        <v>24</v>
      </c>
      <c r="F404" s="9">
        <v>615.0</v>
      </c>
      <c r="G404" s="9">
        <v>1800.0</v>
      </c>
      <c r="H404" s="9">
        <v>75.5</v>
      </c>
      <c r="I404" s="9">
        <v>0.0</v>
      </c>
      <c r="J404" s="9">
        <v>55.74444</v>
      </c>
      <c r="K404" s="9">
        <v>12.92083</v>
      </c>
      <c r="L404" s="13">
        <v>36.9720306396484</v>
      </c>
      <c r="M404" s="12" t="str">
        <f>HYPERLINK("http://www.iaea.org/PRIS/CountryStatistics/ReactorDetails.aspx?current=540", "PRIS")</f>
        <v>PRIS</v>
      </c>
      <c r="N404" s="12" t="str">
        <f>HYPERLINK("http://maps.google.com/?q=55.7444,12.9208&amp;t=k", "Map")</f>
        <v>Map</v>
      </c>
    </row>
    <row r="405">
      <c r="A405" s="9" t="s">
        <v>1074</v>
      </c>
      <c r="B405" s="9" t="s">
        <v>1075</v>
      </c>
      <c r="C405" s="12" t="str">
        <f>HYPERLINK("https://www.google.com/search?q=FORSMARK-1+nuclear+power+plant+in+SWEDEN", "FORSMARK-1")</f>
        <v>FORSMARK-1</v>
      </c>
      <c r="D405" s="9" t="s">
        <v>1084</v>
      </c>
      <c r="E405" s="9" t="s">
        <v>21</v>
      </c>
      <c r="F405" s="9">
        <v>1022.0</v>
      </c>
      <c r="G405" s="9">
        <v>2928.0</v>
      </c>
      <c r="H405" s="9">
        <v>81.8</v>
      </c>
      <c r="I405" s="9">
        <v>87.5</v>
      </c>
      <c r="J405" s="9">
        <v>60.40333</v>
      </c>
      <c r="K405" s="9">
        <v>18.16667</v>
      </c>
      <c r="L405" s="13">
        <v>33.8820724487305</v>
      </c>
      <c r="M405" s="12" t="str">
        <f>HYPERLINK("http://www.iaea.org/PRIS/CountryStatistics/ReactorDetails.aspx?current=541", "PRIS")</f>
        <v>PRIS</v>
      </c>
      <c r="N405" s="12" t="str">
        <f>HYPERLINK("http://maps.google.com/?q=60.4033,18.1667&amp;t=k", "Map")</f>
        <v>Map</v>
      </c>
    </row>
    <row r="406">
      <c r="A406" s="9" t="s">
        <v>1045</v>
      </c>
      <c r="B406" s="9" t="s">
        <v>1046</v>
      </c>
      <c r="C406" s="12" t="str">
        <f>HYPERLINK("https://www.google.com/search?q=KRSKO+nuclear+power+plant+in+SLOVENIA", "KRSKO")</f>
        <v>KRSKO</v>
      </c>
      <c r="D406" s="9" t="s">
        <v>1047</v>
      </c>
      <c r="E406" s="9" t="s">
        <v>21</v>
      </c>
      <c r="F406" s="9">
        <v>727.0</v>
      </c>
      <c r="G406" s="9">
        <v>1994.0</v>
      </c>
      <c r="H406" s="9">
        <v>83.8</v>
      </c>
      <c r="I406" s="9">
        <v>83.6</v>
      </c>
      <c r="J406" s="9">
        <v>45.93833</v>
      </c>
      <c r="K406" s="9">
        <v>15.51556</v>
      </c>
      <c r="L406" s="13">
        <v>244.970474243164</v>
      </c>
      <c r="M406" s="12" t="str">
        <f>HYPERLINK("http://www.iaea.org/PRIS/CountryStatistics/ReactorDetails.aspx?current=542", "PRIS")</f>
        <v>PRIS</v>
      </c>
      <c r="N406" s="12" t="str">
        <f>HYPERLINK("http://maps.google.com/?q=45.9383,15.5156&amp;t=k", "Map")</f>
        <v>Map</v>
      </c>
    </row>
    <row r="407">
      <c r="A407" s="9" t="s">
        <v>1022</v>
      </c>
      <c r="B407" s="9" t="s">
        <v>1023</v>
      </c>
      <c r="C407" s="12" t="str">
        <f>HYPERLINK("https://www.google.com/search?q=BOHUNICE+A1+nuclear+power+plant+in+SLOVAKIA", "BOHUNICE A1")</f>
        <v>BOHUNICE A1</v>
      </c>
      <c r="D407" s="9" t="s">
        <v>1025</v>
      </c>
      <c r="E407" s="9" t="s">
        <v>24</v>
      </c>
      <c r="F407" s="9">
        <v>143.0</v>
      </c>
      <c r="G407" s="9">
        <v>560.0</v>
      </c>
      <c r="H407" s="9">
        <v>26.2</v>
      </c>
      <c r="I407" s="9">
        <v>0.0</v>
      </c>
      <c r="J407" s="9">
        <v>48.49444</v>
      </c>
      <c r="K407" s="9">
        <v>17.68194</v>
      </c>
      <c r="L407" s="13">
        <v>212.169830322266</v>
      </c>
      <c r="M407" s="12" t="str">
        <f>HYPERLINK("http://www.iaea.org/PRIS/CountryStatistics/ReactorDetails.aspx?current=543", "PRIS")</f>
        <v>PRIS</v>
      </c>
      <c r="N407" s="12" t="str">
        <f>HYPERLINK("http://maps.google.com/?q=48.4944,17.6819&amp;t=k", "Map")</f>
        <v>Map</v>
      </c>
    </row>
    <row r="408">
      <c r="A408" s="9" t="s">
        <v>1022</v>
      </c>
      <c r="B408" s="9" t="s">
        <v>1023</v>
      </c>
      <c r="C408" s="12" t="str">
        <f>HYPERLINK("https://www.google.com/search?q=MOCHOVCE-3+nuclear+power+plant+in+SLOVAKIA", "MOCHOVCE-3")</f>
        <v>MOCHOVCE-3</v>
      </c>
      <c r="D408" s="9" t="s">
        <v>1037</v>
      </c>
      <c r="E408" s="9" t="s">
        <v>26</v>
      </c>
      <c r="F408" s="9">
        <v>471.0</v>
      </c>
      <c r="G408" s="9">
        <v>1375.0</v>
      </c>
      <c r="H408" s="9">
        <v>0.0</v>
      </c>
      <c r="I408" s="9">
        <v>0.0</v>
      </c>
      <c r="J408" s="9">
        <v>48.26389</v>
      </c>
      <c r="K408" s="9">
        <v>18.45694</v>
      </c>
      <c r="L408" s="13">
        <v>278.375610351563</v>
      </c>
      <c r="M408" s="12" t="str">
        <f>HYPERLINK("http://www.iaea.org/PRIS/CountryStatistics/ReactorDetails.aspx?current=544", "PRIS")</f>
        <v>PRIS</v>
      </c>
      <c r="N408" s="12" t="str">
        <f t="shared" ref="N408:N409" si="98">HYPERLINK("http://maps.google.com/?q=48.2639,18.4569&amp;t=k", "Map")</f>
        <v>Map</v>
      </c>
    </row>
    <row r="409">
      <c r="A409" s="9" t="s">
        <v>1022</v>
      </c>
      <c r="B409" s="9" t="s">
        <v>1023</v>
      </c>
      <c r="C409" s="12" t="str">
        <f>HYPERLINK("https://www.google.com/search?q=MOCHOVCE-4+nuclear+power+plant+in+SLOVAKIA", "MOCHOVCE-4")</f>
        <v>MOCHOVCE-4</v>
      </c>
      <c r="D409" s="9" t="s">
        <v>1037</v>
      </c>
      <c r="E409" s="9" t="s">
        <v>26</v>
      </c>
      <c r="F409" s="9">
        <v>471.0</v>
      </c>
      <c r="G409" s="9">
        <v>1375.0</v>
      </c>
      <c r="H409" s="9">
        <v>0.0</v>
      </c>
      <c r="I409" s="9">
        <v>0.0</v>
      </c>
      <c r="J409" s="9">
        <v>48.26389</v>
      </c>
      <c r="K409" s="9">
        <v>18.45694</v>
      </c>
      <c r="L409" s="13">
        <v>278.375610351563</v>
      </c>
      <c r="M409" s="12" t="str">
        <f>HYPERLINK("http://www.iaea.org/PRIS/CountryStatistics/ReactorDetails.aspx?current=545", "PRIS")</f>
        <v>PRIS</v>
      </c>
      <c r="N409" s="12" t="str">
        <f t="shared" si="98"/>
        <v>Map</v>
      </c>
    </row>
    <row r="410">
      <c r="A410" s="9" t="s">
        <v>1022</v>
      </c>
      <c r="B410" s="9" t="s">
        <v>1023</v>
      </c>
      <c r="C410" s="12" t="str">
        <f>HYPERLINK("https://www.google.com/search?q=BOHUNICE-3+nuclear+power+plant+in+SLOVAKIA", "BOHUNICE-3")</f>
        <v>BOHUNICE-3</v>
      </c>
      <c r="D410" s="9" t="s">
        <v>1028</v>
      </c>
      <c r="E410" s="9" t="s">
        <v>21</v>
      </c>
      <c r="F410" s="9">
        <v>505.0</v>
      </c>
      <c r="G410" s="9">
        <v>1471.0</v>
      </c>
      <c r="H410" s="9">
        <v>78.0</v>
      </c>
      <c r="I410" s="9">
        <v>90.1</v>
      </c>
      <c r="J410" s="9">
        <v>48.49444</v>
      </c>
      <c r="K410" s="9">
        <v>17.68194</v>
      </c>
      <c r="L410" s="13">
        <v>212.169830322266</v>
      </c>
      <c r="M410" s="12" t="str">
        <f>HYPERLINK("http://www.iaea.org/PRIS/CountryStatistics/ReactorDetails.aspx?current=546", "PRIS")</f>
        <v>PRIS</v>
      </c>
      <c r="N410" s="12" t="str">
        <f t="shared" ref="N410:N413" si="99">HYPERLINK("http://maps.google.com/?q=48.4944,17.6819&amp;t=k", "Map")</f>
        <v>Map</v>
      </c>
    </row>
    <row r="411">
      <c r="A411" s="9" t="s">
        <v>1022</v>
      </c>
      <c r="B411" s="9" t="s">
        <v>1023</v>
      </c>
      <c r="C411" s="12" t="str">
        <f>HYPERLINK("https://www.google.com/search?q=BOHUNICE-4+nuclear+power+plant+in+SLOVAKIA", "BOHUNICE-4")</f>
        <v>BOHUNICE-4</v>
      </c>
      <c r="D411" s="9" t="s">
        <v>1028</v>
      </c>
      <c r="E411" s="9" t="s">
        <v>21</v>
      </c>
      <c r="F411" s="9">
        <v>505.0</v>
      </c>
      <c r="G411" s="9">
        <v>1471.0</v>
      </c>
      <c r="H411" s="9">
        <v>79.3</v>
      </c>
      <c r="I411" s="9">
        <v>91.8</v>
      </c>
      <c r="J411" s="9">
        <v>48.49444</v>
      </c>
      <c r="K411" s="9">
        <v>17.68194</v>
      </c>
      <c r="L411" s="13">
        <v>212.169830322266</v>
      </c>
      <c r="M411" s="12" t="str">
        <f>HYPERLINK("http://www.iaea.org/PRIS/CountryStatistics/ReactorDetails.aspx?current=547", "PRIS")</f>
        <v>PRIS</v>
      </c>
      <c r="N411" s="12" t="str">
        <f t="shared" si="99"/>
        <v>Map</v>
      </c>
    </row>
    <row r="412">
      <c r="A412" s="9" t="s">
        <v>1022</v>
      </c>
      <c r="B412" s="9" t="s">
        <v>1023</v>
      </c>
      <c r="C412" s="12" t="str">
        <f>HYPERLINK("https://www.google.com/search?q=BOHUNICE-1+nuclear+power+plant+in+SLOVAKIA", "BOHUNICE-1")</f>
        <v>BOHUNICE-1</v>
      </c>
      <c r="D412" s="9" t="s">
        <v>1028</v>
      </c>
      <c r="E412" s="9" t="s">
        <v>24</v>
      </c>
      <c r="F412" s="9">
        <v>440.0</v>
      </c>
      <c r="G412" s="9">
        <v>1375.0</v>
      </c>
      <c r="H412" s="9">
        <v>72.0</v>
      </c>
      <c r="I412" s="9">
        <v>0.0</v>
      </c>
      <c r="J412" s="9">
        <v>48.49444</v>
      </c>
      <c r="K412" s="9">
        <v>17.68194</v>
      </c>
      <c r="L412" s="13">
        <v>212.169830322266</v>
      </c>
      <c r="M412" s="12" t="str">
        <f>HYPERLINK("http://www.iaea.org/PRIS/CountryStatistics/ReactorDetails.aspx?current=548", "PRIS")</f>
        <v>PRIS</v>
      </c>
      <c r="N412" s="12" t="str">
        <f t="shared" si="99"/>
        <v>Map</v>
      </c>
    </row>
    <row r="413">
      <c r="A413" s="9" t="s">
        <v>1022</v>
      </c>
      <c r="B413" s="9" t="s">
        <v>1023</v>
      </c>
      <c r="C413" s="12" t="str">
        <f>HYPERLINK("https://www.google.com/search?q=BOHUNICE-2+nuclear+power+plant+in+SLOVAKIA", "BOHUNICE-2")</f>
        <v>BOHUNICE-2</v>
      </c>
      <c r="D413" s="9" t="s">
        <v>1028</v>
      </c>
      <c r="E413" s="9" t="s">
        <v>24</v>
      </c>
      <c r="F413" s="9">
        <v>440.0</v>
      </c>
      <c r="G413" s="9">
        <v>1375.0</v>
      </c>
      <c r="H413" s="9">
        <v>74.9</v>
      </c>
      <c r="I413" s="9">
        <v>0.0</v>
      </c>
      <c r="J413" s="9">
        <v>48.49444</v>
      </c>
      <c r="K413" s="9">
        <v>17.68194</v>
      </c>
      <c r="L413" s="13">
        <v>212.169830322266</v>
      </c>
      <c r="M413" s="12" t="str">
        <f>HYPERLINK("http://www.iaea.org/PRIS/CountryStatistics/ReactorDetails.aspx?current=549", "PRIS")</f>
        <v>PRIS</v>
      </c>
      <c r="N413" s="12" t="str">
        <f t="shared" si="99"/>
        <v>Map</v>
      </c>
    </row>
    <row r="414">
      <c r="A414" s="9" t="s">
        <v>1022</v>
      </c>
      <c r="B414" s="9" t="s">
        <v>1023</v>
      </c>
      <c r="C414" s="12" t="str">
        <f>HYPERLINK("https://www.google.com/search?q=MOCHOVCE-1+nuclear+power+plant+in+SLOVAKIA", "MOCHOVCE-1")</f>
        <v>MOCHOVCE-1</v>
      </c>
      <c r="D414" s="9" t="s">
        <v>1037</v>
      </c>
      <c r="E414" s="9" t="s">
        <v>21</v>
      </c>
      <c r="F414" s="9">
        <v>470.0</v>
      </c>
      <c r="G414" s="9">
        <v>1471.0</v>
      </c>
      <c r="H414" s="9">
        <v>83.6</v>
      </c>
      <c r="I414" s="9">
        <v>92.3</v>
      </c>
      <c r="J414" s="9">
        <v>48.26389</v>
      </c>
      <c r="K414" s="9">
        <v>18.45694</v>
      </c>
      <c r="L414" s="13">
        <v>278.375610351563</v>
      </c>
      <c r="M414" s="12" t="str">
        <f>HYPERLINK("http://www.iaea.org/PRIS/CountryStatistics/ReactorDetails.aspx?current=550", "PRIS")</f>
        <v>PRIS</v>
      </c>
      <c r="N414" s="12" t="str">
        <f t="shared" ref="N414:N415" si="100">HYPERLINK("http://maps.google.com/?q=48.2639,18.4569&amp;t=k", "Map")</f>
        <v>Map</v>
      </c>
    </row>
    <row r="415">
      <c r="A415" s="9" t="s">
        <v>1022</v>
      </c>
      <c r="B415" s="9" t="s">
        <v>1023</v>
      </c>
      <c r="C415" s="12" t="str">
        <f>HYPERLINK("https://www.google.com/search?q=MOCHOVCE-2+nuclear+power+plant+in+SLOVAKIA", "MOCHOVCE-2")</f>
        <v>MOCHOVCE-2</v>
      </c>
      <c r="D415" s="9" t="s">
        <v>1037</v>
      </c>
      <c r="E415" s="9" t="s">
        <v>21</v>
      </c>
      <c r="F415" s="9">
        <v>470.0</v>
      </c>
      <c r="G415" s="9">
        <v>1471.0</v>
      </c>
      <c r="H415" s="9">
        <v>82.7</v>
      </c>
      <c r="I415" s="9">
        <v>93.8</v>
      </c>
      <c r="J415" s="9">
        <v>48.26389</v>
      </c>
      <c r="K415" s="9">
        <v>18.45694</v>
      </c>
      <c r="L415" s="13">
        <v>278.375610351563</v>
      </c>
      <c r="M415" s="12" t="str">
        <f>HYPERLINK("http://www.iaea.org/PRIS/CountryStatistics/ReactorDetails.aspx?current=551", "PRIS")</f>
        <v>PRIS</v>
      </c>
      <c r="N415" s="12" t="str">
        <f t="shared" si="100"/>
        <v>Map</v>
      </c>
    </row>
    <row r="416">
      <c r="A416" s="9" t="s">
        <v>1120</v>
      </c>
      <c r="B416" s="9" t="s">
        <v>1660</v>
      </c>
      <c r="C416" s="12" t="str">
        <f>HYPERLINK("https://www.google.com/search?q=CHINSHAN-1+nuclear+power+plant+in+TAIWAN", "CHINSHAN-1")</f>
        <v>CHINSHAN-1</v>
      </c>
      <c r="D416" s="9" t="s">
        <v>1123</v>
      </c>
      <c r="E416" s="9" t="s">
        <v>21</v>
      </c>
      <c r="F416" s="9">
        <v>636.0</v>
      </c>
      <c r="G416" s="9">
        <v>1840.0</v>
      </c>
      <c r="H416" s="9">
        <v>82.6</v>
      </c>
      <c r="I416" s="9">
        <v>72.7</v>
      </c>
      <c r="J416" s="9">
        <v>25.28583</v>
      </c>
      <c r="K416" s="9">
        <v>121.58611</v>
      </c>
      <c r="L416" s="13">
        <v>93.2551345825195</v>
      </c>
      <c r="M416" s="12" t="str">
        <f>HYPERLINK("http://www.iaea.org/PRIS/CountryStatistics/ReactorDetails.aspx?current=554", "PRIS")</f>
        <v>PRIS</v>
      </c>
      <c r="N416" s="12" t="str">
        <f t="shared" ref="N416:N417" si="101">HYPERLINK("http://maps.google.com/?q=25.2858,121.586&amp;t=k", "Map")</f>
        <v>Map</v>
      </c>
    </row>
    <row r="417">
      <c r="A417" s="9" t="s">
        <v>1120</v>
      </c>
      <c r="B417" s="9" t="s">
        <v>1660</v>
      </c>
      <c r="C417" s="12" t="str">
        <f>HYPERLINK("https://www.google.com/search?q=CHINSHAN-2+nuclear+power+plant+in+TAIWAN", "CHINSHAN-2")</f>
        <v>CHINSHAN-2</v>
      </c>
      <c r="D417" s="9" t="s">
        <v>1123</v>
      </c>
      <c r="E417" s="9" t="s">
        <v>21</v>
      </c>
      <c r="F417" s="9">
        <v>636.0</v>
      </c>
      <c r="G417" s="9">
        <v>1840.0</v>
      </c>
      <c r="H417" s="9">
        <v>83.5</v>
      </c>
      <c r="I417" s="9">
        <v>97.3</v>
      </c>
      <c r="J417" s="9">
        <v>25.28583</v>
      </c>
      <c r="K417" s="9">
        <v>121.58611</v>
      </c>
      <c r="L417" s="13">
        <v>93.2551345825195</v>
      </c>
      <c r="M417" s="12" t="str">
        <f>HYPERLINK("http://www.iaea.org/PRIS/CountryStatistics/ReactorDetails.aspx?current=555", "PRIS")</f>
        <v>PRIS</v>
      </c>
      <c r="N417" s="12" t="str">
        <f t="shared" si="101"/>
        <v>Map</v>
      </c>
    </row>
    <row r="418">
      <c r="A418" s="9" t="s">
        <v>1120</v>
      </c>
      <c r="B418" s="9" t="s">
        <v>1660</v>
      </c>
      <c r="C418" s="12" t="str">
        <f>HYPERLINK("https://www.google.com/search?q=KUOSHENG-1+nuclear+power+plant+in+TAIWAN", "KUOSHENG-1")</f>
        <v>KUOSHENG-1</v>
      </c>
      <c r="D418" s="9" t="s">
        <v>1128</v>
      </c>
      <c r="E418" s="9" t="s">
        <v>21</v>
      </c>
      <c r="F418" s="9">
        <v>1020.0</v>
      </c>
      <c r="G418" s="9">
        <v>2943.0</v>
      </c>
      <c r="H418" s="9">
        <v>82.6</v>
      </c>
      <c r="I418" s="9">
        <v>91.1</v>
      </c>
      <c r="J418" s="9">
        <v>25.20278</v>
      </c>
      <c r="K418" s="9">
        <v>121.6625</v>
      </c>
      <c r="L418" s="13">
        <v>114.646385192871</v>
      </c>
      <c r="M418" s="12" t="str">
        <f>HYPERLINK("http://www.iaea.org/PRIS/CountryStatistics/ReactorDetails.aspx?current=556", "PRIS")</f>
        <v>PRIS</v>
      </c>
      <c r="N418" s="12" t="str">
        <f t="shared" ref="N418:N419" si="102">HYPERLINK("http://maps.google.com/?q=25.2028,121.662&amp;t=k", "Map")</f>
        <v>Map</v>
      </c>
    </row>
    <row r="419">
      <c r="A419" s="9" t="s">
        <v>1120</v>
      </c>
      <c r="B419" s="9" t="s">
        <v>1660</v>
      </c>
      <c r="C419" s="12" t="str">
        <f>HYPERLINK("https://www.google.com/search?q=KUOSHENG-2+nuclear+power+plant+in+TAIWAN", "KUOSHENG-2")</f>
        <v>KUOSHENG-2</v>
      </c>
      <c r="D419" s="9" t="s">
        <v>1128</v>
      </c>
      <c r="E419" s="9" t="s">
        <v>21</v>
      </c>
      <c r="F419" s="9">
        <v>1020.0</v>
      </c>
      <c r="G419" s="9">
        <v>2943.0</v>
      </c>
      <c r="H419" s="9">
        <v>82.9</v>
      </c>
      <c r="I419" s="9">
        <v>90.2</v>
      </c>
      <c r="J419" s="9">
        <v>25.20278</v>
      </c>
      <c r="K419" s="9">
        <v>121.6625</v>
      </c>
      <c r="L419" s="13">
        <v>114.646385192871</v>
      </c>
      <c r="M419" s="12" t="str">
        <f>HYPERLINK("http://www.iaea.org/PRIS/CountryStatistics/ReactorDetails.aspx?current=557", "PRIS")</f>
        <v>PRIS</v>
      </c>
      <c r="N419" s="12" t="str">
        <f t="shared" si="102"/>
        <v>Map</v>
      </c>
    </row>
    <row r="420">
      <c r="A420" s="9" t="s">
        <v>1120</v>
      </c>
      <c r="B420" s="9" t="s">
        <v>1660</v>
      </c>
      <c r="C420" s="12" t="str">
        <f>HYPERLINK("https://www.google.com/search?q=MAANSHAN-1+nuclear+power+plant+in+TAIWAN", "MAANSHAN-1")</f>
        <v>MAANSHAN-1</v>
      </c>
      <c r="D420" s="9" t="s">
        <v>1138</v>
      </c>
      <c r="E420" s="9" t="s">
        <v>21</v>
      </c>
      <c r="F420" s="9">
        <v>951.0</v>
      </c>
      <c r="G420" s="9">
        <v>2822.0</v>
      </c>
      <c r="H420" s="9">
        <v>86.1</v>
      </c>
      <c r="I420" s="9">
        <v>86.4</v>
      </c>
      <c r="J420" s="9">
        <v>21.95833</v>
      </c>
      <c r="K420" s="9">
        <v>120.75139</v>
      </c>
      <c r="L420" s="13">
        <v>48.9217567443848</v>
      </c>
      <c r="M420" s="12" t="str">
        <f>HYPERLINK("http://www.iaea.org/PRIS/CountryStatistics/ReactorDetails.aspx?current=558", "PRIS")</f>
        <v>PRIS</v>
      </c>
      <c r="N420" s="12" t="str">
        <f t="shared" ref="N420:N421" si="103">HYPERLINK("http://maps.google.com/?q=21.9583,120.751&amp;t=k", "Map")</f>
        <v>Map</v>
      </c>
    </row>
    <row r="421">
      <c r="A421" s="9" t="s">
        <v>1120</v>
      </c>
      <c r="B421" s="9" t="s">
        <v>1660</v>
      </c>
      <c r="C421" s="12" t="str">
        <f>HYPERLINK("https://www.google.com/search?q=MAANSHAN-2+nuclear+power+plant+in+TAIWAN", "MAANSHAN-2")</f>
        <v>MAANSHAN-2</v>
      </c>
      <c r="D421" s="9" t="s">
        <v>1138</v>
      </c>
      <c r="E421" s="9" t="s">
        <v>21</v>
      </c>
      <c r="F421" s="9">
        <v>951.0</v>
      </c>
      <c r="G421" s="9">
        <v>2822.0</v>
      </c>
      <c r="H421" s="9">
        <v>87.3</v>
      </c>
      <c r="I421" s="9">
        <v>100.5</v>
      </c>
      <c r="J421" s="9">
        <v>21.95833</v>
      </c>
      <c r="K421" s="9">
        <v>120.75139</v>
      </c>
      <c r="L421" s="13">
        <v>48.9217567443848</v>
      </c>
      <c r="M421" s="12" t="str">
        <f>HYPERLINK("http://www.iaea.org/PRIS/CountryStatistics/ReactorDetails.aspx?current=559", "PRIS")</f>
        <v>PRIS</v>
      </c>
      <c r="N421" s="12" t="str">
        <f t="shared" si="103"/>
        <v>Map</v>
      </c>
    </row>
    <row r="422">
      <c r="A422" s="9" t="s">
        <v>1120</v>
      </c>
      <c r="B422" s="9" t="s">
        <v>1660</v>
      </c>
      <c r="C422" s="12" t="str">
        <f>HYPERLINK("https://www.google.com/search?q=LUNGMEN+1+nuclear+power+plant+in+TAIWAN", "LUNGMEN 1")</f>
        <v>LUNGMEN 1</v>
      </c>
      <c r="D422" s="9" t="s">
        <v>1133</v>
      </c>
      <c r="E422" s="9" t="s">
        <v>26</v>
      </c>
      <c r="F422" s="9">
        <v>1350.0</v>
      </c>
      <c r="G422" s="9">
        <v>3926.0</v>
      </c>
      <c r="H422" s="9">
        <v>0.0</v>
      </c>
      <c r="I422" s="9">
        <v>0.0</v>
      </c>
      <c r="J422" s="9">
        <v>25.03861</v>
      </c>
      <c r="K422" s="9">
        <v>121.92417</v>
      </c>
      <c r="L422" s="13">
        <v>77.9048690795898</v>
      </c>
      <c r="M422" s="12" t="str">
        <f>HYPERLINK("http://www.iaea.org/PRIS/CountryStatistics/ReactorDetails.aspx?current=560", "PRIS")</f>
        <v>PRIS</v>
      </c>
      <c r="N422" s="12" t="str">
        <f t="shared" ref="N422:N423" si="104">HYPERLINK("http://maps.google.com/?q=25.0386,121.924&amp;t=k", "Map")</f>
        <v>Map</v>
      </c>
    </row>
    <row r="423">
      <c r="A423" s="9" t="s">
        <v>1120</v>
      </c>
      <c r="B423" s="9" t="s">
        <v>1660</v>
      </c>
      <c r="C423" s="12" t="str">
        <f>HYPERLINK("https://www.google.com/search?q=LUNGMEN+2+nuclear+power+plant+in+TAIWAN", "LUNGMEN 2")</f>
        <v>LUNGMEN 2</v>
      </c>
      <c r="D423" s="9" t="s">
        <v>1133</v>
      </c>
      <c r="E423" s="9" t="s">
        <v>26</v>
      </c>
      <c r="F423" s="9">
        <v>1350.0</v>
      </c>
      <c r="G423" s="9">
        <v>3926.0</v>
      </c>
      <c r="H423" s="9">
        <v>0.0</v>
      </c>
      <c r="I423" s="9">
        <v>0.0</v>
      </c>
      <c r="J423" s="9">
        <v>25.03861</v>
      </c>
      <c r="K423" s="9">
        <v>121.92417</v>
      </c>
      <c r="L423" s="13">
        <v>77.9048690795898</v>
      </c>
      <c r="M423" s="12" t="str">
        <f>HYPERLINK("http://www.iaea.org/PRIS/CountryStatistics/ReactorDetails.aspx?current=561", "PRIS")</f>
        <v>PRIS</v>
      </c>
      <c r="N423" s="12" t="str">
        <f t="shared" si="104"/>
        <v>Map</v>
      </c>
    </row>
    <row r="424">
      <c r="A424" s="9" t="s">
        <v>1143</v>
      </c>
      <c r="B424" s="9" t="s">
        <v>1144</v>
      </c>
      <c r="C424" s="12" t="str">
        <f>HYPERLINK("https://www.google.com/search?q=ZAPOROZHYE-5+nuclear+power+plant+in+UKRAINE", "ZAPOROZHYE-5")</f>
        <v>ZAPOROZHYE-5</v>
      </c>
      <c r="D424" s="9" t="s">
        <v>1183</v>
      </c>
      <c r="E424" s="9" t="s">
        <v>21</v>
      </c>
      <c r="F424" s="9">
        <v>1000.0</v>
      </c>
      <c r="G424" s="9">
        <v>3000.0</v>
      </c>
      <c r="H424" s="9">
        <v>74.7</v>
      </c>
      <c r="I424" s="9">
        <v>83.0</v>
      </c>
      <c r="J424" s="9">
        <v>47.51222</v>
      </c>
      <c r="K424" s="9">
        <v>34.58583</v>
      </c>
      <c r="L424" s="13">
        <v>43.5108947753906</v>
      </c>
      <c r="M424" s="12" t="str">
        <f>HYPERLINK("http://www.iaea.org/PRIS/CountryStatistics/ReactorDetails.aspx?current=566", "PRIS")</f>
        <v>PRIS</v>
      </c>
      <c r="N424" s="12" t="str">
        <f t="shared" ref="N424:N425" si="105">HYPERLINK("http://maps.google.com/?q=47.5122,34.5858&amp;t=k", "Map")</f>
        <v>Map</v>
      </c>
    </row>
    <row r="425">
      <c r="A425" s="9" t="s">
        <v>1143</v>
      </c>
      <c r="B425" s="9" t="s">
        <v>1144</v>
      </c>
      <c r="C425" s="12" t="str">
        <f>HYPERLINK("https://www.google.com/search?q=ZAPOROZHYE-6+nuclear+power+plant+in+UKRAINE", "ZAPOROZHYE-6")</f>
        <v>ZAPOROZHYE-6</v>
      </c>
      <c r="D425" s="9" t="s">
        <v>1183</v>
      </c>
      <c r="E425" s="9" t="s">
        <v>21</v>
      </c>
      <c r="F425" s="9">
        <v>1000.0</v>
      </c>
      <c r="G425" s="9">
        <v>3000.0</v>
      </c>
      <c r="H425" s="9">
        <v>78.4</v>
      </c>
      <c r="I425" s="9">
        <v>76.4</v>
      </c>
      <c r="J425" s="9">
        <v>47.51222</v>
      </c>
      <c r="K425" s="9">
        <v>34.58583</v>
      </c>
      <c r="L425" s="13">
        <v>43.5108947753906</v>
      </c>
      <c r="M425" s="12" t="str">
        <f>HYPERLINK("http://www.iaea.org/PRIS/CountryStatistics/ReactorDetails.aspx?current=567", "PRIS")</f>
        <v>PRIS</v>
      </c>
      <c r="N425" s="12" t="str">
        <f t="shared" si="105"/>
        <v>Map</v>
      </c>
    </row>
    <row r="426">
      <c r="A426" s="9" t="s">
        <v>1143</v>
      </c>
      <c r="B426" s="9" t="s">
        <v>1144</v>
      </c>
      <c r="C426" s="12" t="str">
        <f>HYPERLINK("https://www.google.com/search?q=CHERNOBYL-1+nuclear+power+plant+in+UKRAINE", "CHERNOBYL-1")</f>
        <v>CHERNOBYL-1</v>
      </c>
      <c r="D426" s="9" t="s">
        <v>1146</v>
      </c>
      <c r="E426" s="9" t="s">
        <v>24</v>
      </c>
      <c r="F426" s="9">
        <v>800.0</v>
      </c>
      <c r="G426" s="9">
        <v>3200.0</v>
      </c>
      <c r="H426" s="9">
        <v>64.2</v>
      </c>
      <c r="I426" s="9">
        <v>0.0</v>
      </c>
      <c r="J426" s="9">
        <v>51.3895528</v>
      </c>
      <c r="K426" s="9">
        <v>30.0991472</v>
      </c>
      <c r="L426" s="13">
        <v>132.742538452148</v>
      </c>
      <c r="M426" s="12" t="str">
        <f>HYPERLINK("http://www.iaea.org/PRIS/CountryStatistics/ReactorDetails.aspx?current=568", "PRIS")</f>
        <v>PRIS</v>
      </c>
      <c r="N426" s="12" t="str">
        <f>HYPERLINK("http://maps.google.com/?q=51.3896,30.0991&amp;t=k", "Map")</f>
        <v>Map</v>
      </c>
    </row>
    <row r="427">
      <c r="A427" s="9" t="s">
        <v>1143</v>
      </c>
      <c r="B427" s="9" t="s">
        <v>1144</v>
      </c>
      <c r="C427" s="12" t="str">
        <f>HYPERLINK("https://www.google.com/search?q=CHERNOBYL-2+nuclear+power+plant+in+UKRAINE", "CHERNOBYL-2")</f>
        <v>CHERNOBYL-2</v>
      </c>
      <c r="D427" s="9" t="s">
        <v>1146</v>
      </c>
      <c r="E427" s="9" t="s">
        <v>24</v>
      </c>
      <c r="F427" s="9">
        <v>1000.0</v>
      </c>
      <c r="G427" s="9">
        <v>3200.0</v>
      </c>
      <c r="H427" s="9">
        <v>0.0</v>
      </c>
      <c r="I427" s="9">
        <v>0.0</v>
      </c>
      <c r="J427" s="9">
        <v>51.3</v>
      </c>
      <c r="K427" s="9">
        <v>30.005</v>
      </c>
      <c r="L427" s="13">
        <v>157.780334472656</v>
      </c>
      <c r="M427" s="12" t="str">
        <f>HYPERLINK("http://www.iaea.org/PRIS/CountryStatistics/ReactorDetails.aspx?current=569", "PRIS")</f>
        <v>PRIS</v>
      </c>
      <c r="N427" s="12" t="str">
        <f>HYPERLINK("http://maps.google.com/?q=51.3,30.005&amp;t=k", "Map")</f>
        <v>Map</v>
      </c>
    </row>
    <row r="428">
      <c r="A428" s="9" t="s">
        <v>1143</v>
      </c>
      <c r="B428" s="9" t="s">
        <v>1144</v>
      </c>
      <c r="C428" s="12" t="str">
        <f>HYPERLINK("https://www.google.com/search?q=ROVNO-1+nuclear+power+plant+in+UKRAINE", "ROVNO-1")</f>
        <v>ROVNO-1</v>
      </c>
      <c r="D428" s="9" t="s">
        <v>1165</v>
      </c>
      <c r="E428" s="9" t="s">
        <v>21</v>
      </c>
      <c r="F428" s="9">
        <v>420.0</v>
      </c>
      <c r="G428" s="9">
        <v>1375.0</v>
      </c>
      <c r="H428" s="9">
        <v>74.9</v>
      </c>
      <c r="I428" s="9">
        <v>45.2</v>
      </c>
      <c r="J428" s="9">
        <v>51.32778</v>
      </c>
      <c r="K428" s="9">
        <v>25.89167</v>
      </c>
      <c r="L428" s="13">
        <v>217.423934936523</v>
      </c>
      <c r="M428" s="12" t="str">
        <f>HYPERLINK("http://www.iaea.org/PRIS/CountryStatistics/ReactorDetails.aspx?current=570", "PRIS")</f>
        <v>PRIS</v>
      </c>
      <c r="N428" s="12" t="str">
        <f t="shared" ref="N428:N430" si="106">HYPERLINK("http://maps.google.com/?q=51.3278,25.8917&amp;t=k", "Map")</f>
        <v>Map</v>
      </c>
    </row>
    <row r="429">
      <c r="A429" s="9" t="s">
        <v>1143</v>
      </c>
      <c r="B429" s="9" t="s">
        <v>1144</v>
      </c>
      <c r="C429" s="12" t="str">
        <f>HYPERLINK("https://www.google.com/search?q=ROVNO-2+nuclear+power+plant+in+UKRAINE", "ROVNO-2")</f>
        <v>ROVNO-2</v>
      </c>
      <c r="D429" s="9" t="s">
        <v>1165</v>
      </c>
      <c r="E429" s="9" t="s">
        <v>21</v>
      </c>
      <c r="F429" s="9">
        <v>415.0</v>
      </c>
      <c r="G429" s="9">
        <v>1375.0</v>
      </c>
      <c r="H429" s="9">
        <v>77.4</v>
      </c>
      <c r="I429" s="9">
        <v>68.2</v>
      </c>
      <c r="J429" s="9">
        <v>51.32778</v>
      </c>
      <c r="K429" s="9">
        <v>25.89167</v>
      </c>
      <c r="L429" s="13">
        <v>217.423934936523</v>
      </c>
      <c r="M429" s="12" t="str">
        <f>HYPERLINK("http://www.iaea.org/PRIS/CountryStatistics/ReactorDetails.aspx?current=571", "PRIS")</f>
        <v>PRIS</v>
      </c>
      <c r="N429" s="12" t="str">
        <f t="shared" si="106"/>
        <v>Map</v>
      </c>
    </row>
    <row r="430">
      <c r="A430" s="9" t="s">
        <v>1143</v>
      </c>
      <c r="B430" s="9" t="s">
        <v>1144</v>
      </c>
      <c r="C430" s="12" t="str">
        <f>HYPERLINK("https://www.google.com/search?q=ROVNO-3+nuclear+power+plant+in+UKRAINE", "ROVNO-3")</f>
        <v>ROVNO-3</v>
      </c>
      <c r="D430" s="9" t="s">
        <v>1165</v>
      </c>
      <c r="E430" s="9" t="s">
        <v>21</v>
      </c>
      <c r="F430" s="9">
        <v>1000.0</v>
      </c>
      <c r="G430" s="9">
        <v>3000.0</v>
      </c>
      <c r="H430" s="9">
        <v>67.7</v>
      </c>
      <c r="I430" s="9">
        <v>72.9</v>
      </c>
      <c r="J430" s="9">
        <v>51.32778</v>
      </c>
      <c r="K430" s="9">
        <v>25.89167</v>
      </c>
      <c r="L430" s="13">
        <v>217.423934936523</v>
      </c>
      <c r="M430" s="12" t="str">
        <f>HYPERLINK("http://www.iaea.org/PRIS/CountryStatistics/ReactorDetails.aspx?current=572", "PRIS")</f>
        <v>PRIS</v>
      </c>
      <c r="N430" s="12" t="str">
        <f t="shared" si="106"/>
        <v>Map</v>
      </c>
    </row>
    <row r="431">
      <c r="A431" s="9" t="s">
        <v>1143</v>
      </c>
      <c r="B431" s="9" t="s">
        <v>1144</v>
      </c>
      <c r="C431" s="12" t="str">
        <f>HYPERLINK("https://www.google.com/search?q=KHMELNITSKI-1+nuclear+power+plant+in+UKRAINE", "KHMELNITSKI-1")</f>
        <v>KHMELNITSKI-1</v>
      </c>
      <c r="D431" s="9" t="s">
        <v>1155</v>
      </c>
      <c r="E431" s="9" t="s">
        <v>21</v>
      </c>
      <c r="F431" s="9">
        <v>1000.0</v>
      </c>
      <c r="G431" s="9">
        <v>3000.0</v>
      </c>
      <c r="H431" s="9">
        <v>74.7</v>
      </c>
      <c r="I431" s="9">
        <v>82.6</v>
      </c>
      <c r="J431" s="9">
        <v>50.3014056</v>
      </c>
      <c r="K431" s="9">
        <v>26.64975</v>
      </c>
      <c r="L431" s="13">
        <v>240.953277587891</v>
      </c>
      <c r="M431" s="12" t="str">
        <f>HYPERLINK("http://www.iaea.org/PRIS/CountryStatistics/ReactorDetails.aspx?current=573", "PRIS")</f>
        <v>PRIS</v>
      </c>
      <c r="N431" s="12" t="str">
        <f t="shared" ref="N431:N432" si="107">HYPERLINK("http://maps.google.com/?q=50.3014,26.6498&amp;t=k", "Map")</f>
        <v>Map</v>
      </c>
    </row>
    <row r="432">
      <c r="A432" s="9" t="s">
        <v>1143</v>
      </c>
      <c r="B432" s="9" t="s">
        <v>1144</v>
      </c>
      <c r="C432" s="12" t="str">
        <f>HYPERLINK("https://www.google.com/search?q=KHMELNITSKI-2+nuclear+power+plant+in+UKRAINE", "KHMELNITSKI-2")</f>
        <v>KHMELNITSKI-2</v>
      </c>
      <c r="D432" s="9" t="s">
        <v>1155</v>
      </c>
      <c r="E432" s="9" t="s">
        <v>21</v>
      </c>
      <c r="F432" s="9">
        <v>1000.0</v>
      </c>
      <c r="G432" s="9">
        <v>3000.0</v>
      </c>
      <c r="H432" s="9">
        <v>75.9</v>
      </c>
      <c r="I432" s="9">
        <v>84.4</v>
      </c>
      <c r="J432" s="9">
        <v>50.3014056</v>
      </c>
      <c r="K432" s="9">
        <v>26.64975</v>
      </c>
      <c r="L432" s="13">
        <v>240.953277587891</v>
      </c>
      <c r="M432" s="12" t="str">
        <f>HYPERLINK("http://www.iaea.org/PRIS/CountryStatistics/ReactorDetails.aspx?current=574", "PRIS")</f>
        <v>PRIS</v>
      </c>
      <c r="N432" s="12" t="str">
        <f t="shared" si="107"/>
        <v>Map</v>
      </c>
    </row>
    <row r="433">
      <c r="A433" s="9" t="s">
        <v>1143</v>
      </c>
      <c r="B433" s="9" t="s">
        <v>1144</v>
      </c>
      <c r="C433" s="12" t="str">
        <f>HYPERLINK("https://www.google.com/search?q=CHERNOBYL-3+nuclear+power+plant+in+UKRAINE", "CHERNOBYL-3")</f>
        <v>CHERNOBYL-3</v>
      </c>
      <c r="D433" s="9" t="s">
        <v>1146</v>
      </c>
      <c r="E433" s="9" t="s">
        <v>24</v>
      </c>
      <c r="F433" s="9">
        <v>1000.0</v>
      </c>
      <c r="G433" s="9">
        <v>3200.0</v>
      </c>
      <c r="H433" s="9">
        <v>63.8</v>
      </c>
      <c r="I433" s="9">
        <v>0.0</v>
      </c>
      <c r="J433" s="9">
        <v>51.38972</v>
      </c>
      <c r="K433" s="9">
        <v>30.09917</v>
      </c>
      <c r="L433" s="13">
        <v>132.69157409668</v>
      </c>
      <c r="M433" s="12" t="str">
        <f>HYPERLINK("http://www.iaea.org/PRIS/CountryStatistics/ReactorDetails.aspx?current=575", "PRIS")</f>
        <v>PRIS</v>
      </c>
      <c r="N433" s="12" t="str">
        <f t="shared" ref="N433:N434" si="108">HYPERLINK("http://maps.google.com/?q=51.3897,30.0992&amp;t=k", "Map")</f>
        <v>Map</v>
      </c>
    </row>
    <row r="434">
      <c r="A434" s="9" t="s">
        <v>1143</v>
      </c>
      <c r="B434" s="9" t="s">
        <v>1144</v>
      </c>
      <c r="C434" s="12" t="str">
        <f>HYPERLINK("https://www.google.com/search?q=CHERNOBYL-4+nuclear+power+plant+in+UKRAINE", "CHERNOBYL-4")</f>
        <v>CHERNOBYL-4</v>
      </c>
      <c r="D434" s="9" t="s">
        <v>1146</v>
      </c>
      <c r="E434" s="9" t="s">
        <v>24</v>
      </c>
      <c r="F434" s="9">
        <v>1000.0</v>
      </c>
      <c r="G434" s="9">
        <v>3200.0</v>
      </c>
      <c r="H434" s="9">
        <v>0.0</v>
      </c>
      <c r="I434" s="9">
        <v>0.0</v>
      </c>
      <c r="J434" s="9">
        <v>51.38972</v>
      </c>
      <c r="K434" s="9">
        <v>30.09917</v>
      </c>
      <c r="L434" s="13">
        <v>132.69157409668</v>
      </c>
      <c r="M434" s="12" t="str">
        <f>HYPERLINK("http://www.iaea.org/PRIS/CountryStatistics/ReactorDetails.aspx?current=576", "PRIS")</f>
        <v>PRIS</v>
      </c>
      <c r="N434" s="12" t="str">
        <f t="shared" si="108"/>
        <v>Map</v>
      </c>
    </row>
    <row r="435">
      <c r="A435" s="9" t="s">
        <v>1143</v>
      </c>
      <c r="B435" s="9" t="s">
        <v>1144</v>
      </c>
      <c r="C435" s="12" t="str">
        <f>HYPERLINK("https://www.google.com/search?q=SOUTH+UKRAINE-1+nuclear+power+plant+in+UKRAINE", "SOUTH UKRAINE-1")</f>
        <v>SOUTH UKRAINE-1</v>
      </c>
      <c r="D435" s="9" t="s">
        <v>1176</v>
      </c>
      <c r="E435" s="9" t="s">
        <v>21</v>
      </c>
      <c r="F435" s="9">
        <v>1000.0</v>
      </c>
      <c r="G435" s="9">
        <v>3000.0</v>
      </c>
      <c r="H435" s="9">
        <v>65.1</v>
      </c>
      <c r="I435" s="9">
        <v>21.2</v>
      </c>
      <c r="J435" s="9">
        <v>47.81667</v>
      </c>
      <c r="K435" s="9">
        <v>31.21667</v>
      </c>
      <c r="L435" s="13">
        <v>135.293609619141</v>
      </c>
      <c r="M435" s="12" t="str">
        <f>HYPERLINK("http://www.iaea.org/PRIS/CountryStatistics/ReactorDetails.aspx?current=577", "PRIS")</f>
        <v>PRIS</v>
      </c>
      <c r="N435" s="12" t="str">
        <f t="shared" ref="N435:N437" si="109">HYPERLINK("http://maps.google.com/?q=47.8167,31.2167&amp;t=k", "Map")</f>
        <v>Map</v>
      </c>
    </row>
    <row r="436">
      <c r="A436" s="9" t="s">
        <v>1143</v>
      </c>
      <c r="B436" s="9" t="s">
        <v>1144</v>
      </c>
      <c r="C436" s="12" t="str">
        <f>HYPERLINK("https://www.google.com/search?q=SOUTH+UKRAINE-2+nuclear+power+plant+in+UKRAINE", "SOUTH UKRAINE-2")</f>
        <v>SOUTH UKRAINE-2</v>
      </c>
      <c r="D436" s="9" t="s">
        <v>1176</v>
      </c>
      <c r="E436" s="9" t="s">
        <v>21</v>
      </c>
      <c r="F436" s="9">
        <v>1000.0</v>
      </c>
      <c r="G436" s="9">
        <v>3000.0</v>
      </c>
      <c r="H436" s="9">
        <v>65.1</v>
      </c>
      <c r="I436" s="9">
        <v>73.8</v>
      </c>
      <c r="J436" s="9">
        <v>47.81667</v>
      </c>
      <c r="K436" s="9">
        <v>31.21667</v>
      </c>
      <c r="L436" s="13">
        <v>135.293609619141</v>
      </c>
      <c r="M436" s="12" t="str">
        <f>HYPERLINK("http://www.iaea.org/PRIS/CountryStatistics/ReactorDetails.aspx?current=578", "PRIS")</f>
        <v>PRIS</v>
      </c>
      <c r="N436" s="12" t="str">
        <f t="shared" si="109"/>
        <v>Map</v>
      </c>
    </row>
    <row r="437">
      <c r="A437" s="9" t="s">
        <v>1143</v>
      </c>
      <c r="B437" s="9" t="s">
        <v>1144</v>
      </c>
      <c r="C437" s="12" t="str">
        <f>HYPERLINK("https://www.google.com/search?q=SOUTH+UKRAINE-3+nuclear+power+plant+in+UKRAINE", "SOUTH UKRAINE-3")</f>
        <v>SOUTH UKRAINE-3</v>
      </c>
      <c r="D437" s="9" t="s">
        <v>1176</v>
      </c>
      <c r="E437" s="9" t="s">
        <v>21</v>
      </c>
      <c r="F437" s="9">
        <v>1000.0</v>
      </c>
      <c r="G437" s="9">
        <v>3000.0</v>
      </c>
      <c r="H437" s="9">
        <v>67.5</v>
      </c>
      <c r="I437" s="9">
        <v>56.8</v>
      </c>
      <c r="J437" s="9">
        <v>47.81667</v>
      </c>
      <c r="K437" s="9">
        <v>31.21667</v>
      </c>
      <c r="L437" s="13">
        <v>135.293609619141</v>
      </c>
      <c r="M437" s="12" t="str">
        <f>HYPERLINK("http://www.iaea.org/PRIS/CountryStatistics/ReactorDetails.aspx?current=579", "PRIS")</f>
        <v>PRIS</v>
      </c>
      <c r="N437" s="12" t="str">
        <f t="shared" si="109"/>
        <v>Map</v>
      </c>
    </row>
    <row r="438">
      <c r="A438" s="9" t="s">
        <v>1143</v>
      </c>
      <c r="B438" s="9" t="s">
        <v>1144</v>
      </c>
      <c r="C438" s="12" t="str">
        <f>HYPERLINK("https://www.google.com/search?q=KHMELNITSKI-3+nuclear+power+plant+in+UKRAINE", "KHMELNITSKI-3")</f>
        <v>KHMELNITSKI-3</v>
      </c>
      <c r="D438" s="9" t="s">
        <v>1155</v>
      </c>
      <c r="E438" s="9" t="s">
        <v>26</v>
      </c>
      <c r="F438" s="9">
        <v>1000.0</v>
      </c>
      <c r="G438" s="9">
        <v>3200.0</v>
      </c>
      <c r="H438" s="9">
        <v>0.0</v>
      </c>
      <c r="I438" s="9">
        <v>0.0</v>
      </c>
      <c r="J438" s="9">
        <v>50.3014056</v>
      </c>
      <c r="K438" s="9">
        <v>26.64975</v>
      </c>
      <c r="L438" s="13">
        <v>240.953277587891</v>
      </c>
      <c r="M438" s="12" t="str">
        <f>HYPERLINK("http://www.iaea.org/PRIS/CountryStatistics/ReactorDetails.aspx?current=581", "PRIS")</f>
        <v>PRIS</v>
      </c>
      <c r="N438" s="12" t="str">
        <f t="shared" ref="N438:N439" si="110">HYPERLINK("http://maps.google.com/?q=50.3014,26.6498&amp;t=k", "Map")</f>
        <v>Map</v>
      </c>
    </row>
    <row r="439">
      <c r="A439" s="9" t="s">
        <v>1143</v>
      </c>
      <c r="B439" s="9" t="s">
        <v>1144</v>
      </c>
      <c r="C439" s="12" t="str">
        <f>HYPERLINK("https://www.google.com/search?q=KHMELNITSKI-4+nuclear+power+plant+in+UKRAINE", "KHMELNITSKI-4")</f>
        <v>KHMELNITSKI-4</v>
      </c>
      <c r="D439" s="9" t="s">
        <v>1155</v>
      </c>
      <c r="E439" s="9" t="s">
        <v>26</v>
      </c>
      <c r="F439" s="9">
        <v>1000.0</v>
      </c>
      <c r="G439" s="9">
        <v>3200.0</v>
      </c>
      <c r="H439" s="9">
        <v>0.0</v>
      </c>
      <c r="I439" s="9">
        <v>0.0</v>
      </c>
      <c r="J439" s="9">
        <v>50.3014056</v>
      </c>
      <c r="K439" s="9">
        <v>26.64975</v>
      </c>
      <c r="L439" s="13">
        <v>240.953277587891</v>
      </c>
      <c r="M439" s="12" t="str">
        <f>HYPERLINK("http://www.iaea.org/PRIS/CountryStatistics/ReactorDetails.aspx?current=582", "PRIS")</f>
        <v>PRIS</v>
      </c>
      <c r="N439" s="12" t="str">
        <f t="shared" si="110"/>
        <v>Map</v>
      </c>
    </row>
    <row r="440">
      <c r="A440" s="9" t="s">
        <v>1143</v>
      </c>
      <c r="B440" s="9" t="s">
        <v>1144</v>
      </c>
      <c r="C440" s="12" t="str">
        <f>HYPERLINK("https://www.google.com/search?q=ZAPOROZHYE-1+nuclear+power+plant+in+UKRAINE", "ZAPOROZHYE-1")</f>
        <v>ZAPOROZHYE-1</v>
      </c>
      <c r="D440" s="9" t="s">
        <v>1183</v>
      </c>
      <c r="E440" s="9" t="s">
        <v>21</v>
      </c>
      <c r="F440" s="9">
        <v>1000.0</v>
      </c>
      <c r="G440" s="9">
        <v>3000.0</v>
      </c>
      <c r="H440" s="9">
        <v>64.9</v>
      </c>
      <c r="I440" s="9">
        <v>69.9</v>
      </c>
      <c r="J440" s="9">
        <v>47.51222</v>
      </c>
      <c r="K440" s="9">
        <v>34.58583</v>
      </c>
      <c r="L440" s="13">
        <v>43.5108947753906</v>
      </c>
      <c r="M440" s="12" t="str">
        <f>HYPERLINK("http://www.iaea.org/PRIS/CountryStatistics/ReactorDetails.aspx?current=584", "PRIS")</f>
        <v>PRIS</v>
      </c>
      <c r="N440" s="12" t="str">
        <f t="shared" ref="N440:N441" si="111">HYPERLINK("http://maps.google.com/?q=47.5122,34.5858&amp;t=k", "Map")</f>
        <v>Map</v>
      </c>
    </row>
    <row r="441">
      <c r="A441" s="9" t="s">
        <v>1143</v>
      </c>
      <c r="B441" s="9" t="s">
        <v>1144</v>
      </c>
      <c r="C441" s="12" t="str">
        <f>HYPERLINK("https://www.google.com/search?q=ZAPOROZHYE-2+nuclear+power+plant+in+UKRAINE", "ZAPOROZHYE-2")</f>
        <v>ZAPOROZHYE-2</v>
      </c>
      <c r="D441" s="9" t="s">
        <v>1183</v>
      </c>
      <c r="E441" s="9" t="s">
        <v>21</v>
      </c>
      <c r="F441" s="9">
        <v>1000.0</v>
      </c>
      <c r="G441" s="9">
        <v>3000.0</v>
      </c>
      <c r="H441" s="9">
        <v>67.7</v>
      </c>
      <c r="I441" s="9">
        <v>70.4</v>
      </c>
      <c r="J441" s="9">
        <v>47.51222</v>
      </c>
      <c r="K441" s="9">
        <v>34.58583</v>
      </c>
      <c r="L441" s="13">
        <v>43.5108947753906</v>
      </c>
      <c r="M441" s="12" t="str">
        <f>HYPERLINK("http://www.iaea.org/PRIS/CountryStatistics/ReactorDetails.aspx?current=586", "PRIS")</f>
        <v>PRIS</v>
      </c>
      <c r="N441" s="12" t="str">
        <f t="shared" si="111"/>
        <v>Map</v>
      </c>
    </row>
    <row r="442">
      <c r="A442" s="9" t="s">
        <v>1143</v>
      </c>
      <c r="B442" s="9" t="s">
        <v>1144</v>
      </c>
      <c r="C442" s="12" t="str">
        <f>HYPERLINK("https://www.google.com/search?q=ROVNO-4+nuclear+power+plant+in+UKRAINE", "ROVNO-4")</f>
        <v>ROVNO-4</v>
      </c>
      <c r="D442" s="9" t="s">
        <v>1165</v>
      </c>
      <c r="E442" s="9" t="s">
        <v>21</v>
      </c>
      <c r="F442" s="9">
        <v>1000.0</v>
      </c>
      <c r="G442" s="9">
        <v>3000.0</v>
      </c>
      <c r="H442" s="9">
        <v>64.3</v>
      </c>
      <c r="I442" s="9">
        <v>60.6</v>
      </c>
      <c r="J442" s="9">
        <v>51.32778</v>
      </c>
      <c r="K442" s="9">
        <v>25.89167</v>
      </c>
      <c r="L442" s="13">
        <v>217.423934936523</v>
      </c>
      <c r="M442" s="12" t="str">
        <f>HYPERLINK("http://www.iaea.org/PRIS/CountryStatistics/ReactorDetails.aspx?current=589", "PRIS")</f>
        <v>PRIS</v>
      </c>
      <c r="N442" s="12" t="str">
        <f>HYPERLINK("http://maps.google.com/?q=51.3278,25.8917&amp;t=k", "Map")</f>
        <v>Map</v>
      </c>
    </row>
    <row r="443">
      <c r="A443" s="9" t="s">
        <v>1143</v>
      </c>
      <c r="B443" s="9" t="s">
        <v>1144</v>
      </c>
      <c r="C443" s="12" t="str">
        <f>HYPERLINK("https://www.google.com/search?q=ZAPOROZHYE-3+nuclear+power+plant+in+UKRAINE", "ZAPOROZHYE-3")</f>
        <v>ZAPOROZHYE-3</v>
      </c>
      <c r="D443" s="9" t="s">
        <v>1183</v>
      </c>
      <c r="E443" s="9" t="s">
        <v>21</v>
      </c>
      <c r="F443" s="9">
        <v>1000.0</v>
      </c>
      <c r="G443" s="9">
        <v>3000.0</v>
      </c>
      <c r="H443" s="9">
        <v>69.7</v>
      </c>
      <c r="I443" s="9">
        <v>65.1</v>
      </c>
      <c r="J443" s="9">
        <v>47.51222</v>
      </c>
      <c r="K443" s="9">
        <v>34.58583</v>
      </c>
      <c r="L443" s="13">
        <v>43.5108947753906</v>
      </c>
      <c r="M443" s="12" t="str">
        <f>HYPERLINK("http://www.iaea.org/PRIS/CountryStatistics/ReactorDetails.aspx?current=594", "PRIS")</f>
        <v>PRIS</v>
      </c>
      <c r="N443" s="12" t="str">
        <f t="shared" ref="N443:N444" si="112">HYPERLINK("http://maps.google.com/?q=47.5122,34.5858&amp;t=k", "Map")</f>
        <v>Map</v>
      </c>
    </row>
    <row r="444">
      <c r="A444" s="9" t="s">
        <v>1143</v>
      </c>
      <c r="B444" s="9" t="s">
        <v>1144</v>
      </c>
      <c r="C444" s="12" t="str">
        <f>HYPERLINK("https://www.google.com/search?q=ZAPOROZHYE-4+nuclear+power+plant+in+UKRAINE", "ZAPOROZHYE-4")</f>
        <v>ZAPOROZHYE-4</v>
      </c>
      <c r="D444" s="9" t="s">
        <v>1183</v>
      </c>
      <c r="E444" s="9" t="s">
        <v>21</v>
      </c>
      <c r="F444" s="9">
        <v>1000.0</v>
      </c>
      <c r="G444" s="9">
        <v>3000.0</v>
      </c>
      <c r="H444" s="9">
        <v>73.1</v>
      </c>
      <c r="I444" s="9">
        <v>77.0</v>
      </c>
      <c r="J444" s="9">
        <v>47.51222</v>
      </c>
      <c r="K444" s="9">
        <v>34.58583</v>
      </c>
      <c r="L444" s="13">
        <v>43.5108947753906</v>
      </c>
      <c r="M444" s="12" t="str">
        <f>HYPERLINK("http://www.iaea.org/PRIS/CountryStatistics/ReactorDetails.aspx?current=595", "PRIS")</f>
        <v>PRIS</v>
      </c>
      <c r="N444" s="12" t="str">
        <f t="shared" si="112"/>
        <v>Map</v>
      </c>
    </row>
    <row r="445">
      <c r="A445" s="9" t="s">
        <v>1308</v>
      </c>
      <c r="B445" s="9" t="s">
        <v>1661</v>
      </c>
      <c r="C445" s="12" t="str">
        <f>HYPERLINK("https://www.google.com/search?q=ELK+RIVER+nuclear+power+plant+in+UNITED+STATES", "ELK RIVER")</f>
        <v>ELK RIVER</v>
      </c>
      <c r="D445" s="9" t="s">
        <v>1662</v>
      </c>
      <c r="E445" s="9" t="s">
        <v>24</v>
      </c>
      <c r="F445" s="9">
        <v>24.0</v>
      </c>
      <c r="G445" s="9">
        <v>58.0</v>
      </c>
      <c r="H445" s="9">
        <v>0.0</v>
      </c>
      <c r="I445" s="9">
        <v>0.0</v>
      </c>
      <c r="J445" s="9">
        <v>45.295172</v>
      </c>
      <c r="K445" s="9">
        <v>-93.5567</v>
      </c>
      <c r="L445" s="13">
        <v>246.097366333008</v>
      </c>
      <c r="M445" s="12" t="str">
        <f>HYPERLINK("http://www.iaea.org/PRIS/CountryStatistics/ReactorDetails.aspx?current=596", "PRIS")</f>
        <v>PRIS</v>
      </c>
      <c r="N445" s="12" t="str">
        <f>HYPERLINK("http://maps.google.com/?q=45.2952,-93.5567&amp;t=k", "Map")</f>
        <v>Map</v>
      </c>
    </row>
    <row r="446">
      <c r="A446" s="9" t="s">
        <v>1308</v>
      </c>
      <c r="B446" s="9" t="s">
        <v>1661</v>
      </c>
      <c r="C446" s="12" t="str">
        <f>HYPERLINK("https://www.google.com/search?q=DRESDEN-1+nuclear+power+plant+in+UNITED+STATES", "DRESDEN-1")</f>
        <v>DRESDEN-1</v>
      </c>
      <c r="D446" s="9" t="s">
        <v>1395</v>
      </c>
      <c r="E446" s="9" t="s">
        <v>24</v>
      </c>
      <c r="F446" s="9">
        <v>207.0</v>
      </c>
      <c r="G446" s="9">
        <v>700.0</v>
      </c>
      <c r="H446" s="9">
        <v>0.0</v>
      </c>
      <c r="I446" s="9">
        <v>0.0</v>
      </c>
      <c r="J446" s="9">
        <v>41.38972</v>
      </c>
      <c r="K446" s="9">
        <v>-88.26806</v>
      </c>
      <c r="L446" s="13">
        <v>132.383666992188</v>
      </c>
      <c r="M446" s="12" t="str">
        <f>HYPERLINK("http://www.iaea.org/PRIS/CountryStatistics/ReactorDetails.aspx?current=597", "PRIS")</f>
        <v>PRIS</v>
      </c>
      <c r="N446" s="12" t="str">
        <f>HYPERLINK("http://maps.google.com/?q=41.3897,-88.2681&amp;t=k", "Map")</f>
        <v>Map</v>
      </c>
    </row>
    <row r="447">
      <c r="A447" s="9" t="s">
        <v>1308</v>
      </c>
      <c r="B447" s="9" t="s">
        <v>1661</v>
      </c>
      <c r="C447" s="12" t="str">
        <f>HYPERLINK("https://www.google.com/search?q=PATHFINDER+nuclear+power+plant+in+UNITED+STATES", "PATHFINDER")</f>
        <v>PATHFINDER</v>
      </c>
      <c r="D447" s="9" t="s">
        <v>1662</v>
      </c>
      <c r="E447" s="9" t="s">
        <v>24</v>
      </c>
      <c r="F447" s="9">
        <v>63.0</v>
      </c>
      <c r="G447" s="9">
        <v>220.0</v>
      </c>
      <c r="H447" s="9">
        <v>0.0</v>
      </c>
      <c r="I447" s="9">
        <v>0.0</v>
      </c>
      <c r="J447" s="9">
        <v>43.60361</v>
      </c>
      <c r="K447" s="9">
        <v>-96.6375</v>
      </c>
      <c r="L447" s="13">
        <v>403.359710693359</v>
      </c>
      <c r="M447" s="12" t="str">
        <f>HYPERLINK("http://www.iaea.org/PRIS/CountryStatistics/ReactorDetails.aspx?current=598", "PRIS")</f>
        <v>PRIS</v>
      </c>
      <c r="N447" s="12" t="str">
        <f>HYPERLINK("http://maps.google.com/?q=43.6036,-96.6375&amp;t=k", "Map")</f>
        <v>Map</v>
      </c>
    </row>
    <row r="448">
      <c r="A448" s="9" t="s">
        <v>1308</v>
      </c>
      <c r="B448" s="9" t="s">
        <v>1661</v>
      </c>
      <c r="C448" s="12" t="str">
        <f>HYPERLINK("https://www.google.com/search?q=HUMBOLDT+BAY+nuclear+power+plant+in+UNITED+STATES", "HUMBOLDT BAY")</f>
        <v>HUMBOLDT BAY</v>
      </c>
      <c r="D448" s="9" t="s">
        <v>1451</v>
      </c>
      <c r="E448" s="9" t="s">
        <v>24</v>
      </c>
      <c r="F448" s="9">
        <v>65.0</v>
      </c>
      <c r="G448" s="9">
        <v>220.0</v>
      </c>
      <c r="H448" s="9">
        <v>0.0</v>
      </c>
      <c r="I448" s="9">
        <v>0.0</v>
      </c>
      <c r="J448" s="9">
        <v>40.7413222</v>
      </c>
      <c r="K448" s="9">
        <v>-124.2090444</v>
      </c>
      <c r="L448" s="13">
        <v>-26.2130737304688</v>
      </c>
      <c r="M448" s="12" t="str">
        <f>HYPERLINK("http://www.iaea.org/PRIS/CountryStatistics/ReactorDetails.aspx?current=599", "PRIS")</f>
        <v>PRIS</v>
      </c>
      <c r="N448" s="12" t="str">
        <f>HYPERLINK("http://maps.google.com/?q=40.7413,-124.209&amp;t=k", "Map")</f>
        <v>Map</v>
      </c>
    </row>
    <row r="449">
      <c r="A449" s="9" t="s">
        <v>1308</v>
      </c>
      <c r="B449" s="9" t="s">
        <v>1661</v>
      </c>
      <c r="C449" s="12" t="str">
        <f>HYPERLINK("https://www.google.com/search?q=CVTR+nuclear+power+plant+in+UNITED+STATES", "CVTR")</f>
        <v>CVTR</v>
      </c>
      <c r="D449" s="9" t="s">
        <v>1384</v>
      </c>
      <c r="E449" s="9" t="s">
        <v>24</v>
      </c>
      <c r="F449" s="9">
        <v>19.0</v>
      </c>
      <c r="G449" s="9">
        <v>65.0</v>
      </c>
      <c r="H449" s="9">
        <v>0.0</v>
      </c>
      <c r="I449" s="9">
        <v>0.0</v>
      </c>
      <c r="J449" s="9">
        <v>34.2625</v>
      </c>
      <c r="K449" s="9">
        <v>-81.32917</v>
      </c>
      <c r="L449" s="13">
        <v>57.9703254699707</v>
      </c>
      <c r="M449" s="12" t="str">
        <f>HYPERLINK("http://www.iaea.org/PRIS/CountryStatistics/ReactorDetails.aspx?current=600", "PRIS")</f>
        <v>PRIS</v>
      </c>
      <c r="N449" s="12" t="str">
        <f>HYPERLINK("http://maps.google.com/?q=34.2625,-81.3292&amp;t=k", "Map")</f>
        <v>Map</v>
      </c>
    </row>
    <row r="450">
      <c r="A450" s="9" t="s">
        <v>1308</v>
      </c>
      <c r="B450" s="9" t="s">
        <v>1661</v>
      </c>
      <c r="C450" s="12" t="str">
        <f>HYPERLINK("https://www.google.com/search?q=BIG+ROCK+POINT+nuclear+power+plant+in+UNITED+STATES", "BIG ROCK POINT")</f>
        <v>BIG ROCK POINT</v>
      </c>
      <c r="D450" s="9" t="s">
        <v>1321</v>
      </c>
      <c r="E450" s="9" t="s">
        <v>24</v>
      </c>
      <c r="F450" s="9">
        <v>71.0</v>
      </c>
      <c r="G450" s="9">
        <v>240.0</v>
      </c>
      <c r="H450" s="9">
        <v>64.1</v>
      </c>
      <c r="I450" s="9">
        <v>0.0</v>
      </c>
      <c r="J450" s="9">
        <v>45.35889</v>
      </c>
      <c r="K450" s="9">
        <v>-85.19722</v>
      </c>
      <c r="L450" s="13">
        <v>148.398040771484</v>
      </c>
      <c r="M450" s="12" t="str">
        <f>HYPERLINK("http://www.iaea.org/PRIS/CountryStatistics/ReactorDetails.aspx?current=601", "PRIS")</f>
        <v>PRIS</v>
      </c>
      <c r="N450" s="12" t="str">
        <f>HYPERLINK("http://maps.google.com/?q=45.3589,-85.1972&amp;t=k", "Map")</f>
        <v>Map</v>
      </c>
    </row>
    <row r="451">
      <c r="A451" s="9" t="s">
        <v>1308</v>
      </c>
      <c r="B451" s="9" t="s">
        <v>1661</v>
      </c>
      <c r="C451" s="12" t="str">
        <f>HYPERLINK("https://www.google.com/search?q=FERMI-1+nuclear+power+plant+in+UNITED+STATES", "FERMI-1")</f>
        <v>FERMI-1</v>
      </c>
      <c r="D451" s="9" t="s">
        <v>1412</v>
      </c>
      <c r="E451" s="9" t="s">
        <v>24</v>
      </c>
      <c r="F451" s="9">
        <v>65.0</v>
      </c>
      <c r="G451" s="9">
        <v>200.0</v>
      </c>
      <c r="H451" s="9">
        <v>0.0</v>
      </c>
      <c r="I451" s="9">
        <v>0.0</v>
      </c>
      <c r="J451" s="9">
        <v>41.96278</v>
      </c>
      <c r="K451" s="9">
        <v>-83.2575</v>
      </c>
      <c r="L451" s="13">
        <v>137.496276855469</v>
      </c>
      <c r="M451" s="12" t="str">
        <f>HYPERLINK("http://www.iaea.org/PRIS/CountryStatistics/ReactorDetails.aspx?current=602", "PRIS")</f>
        <v>PRIS</v>
      </c>
      <c r="N451" s="12" t="str">
        <f>HYPERLINK("http://maps.google.com/?q=41.9628,-83.2575&amp;t=k", "Map")</f>
        <v>Map</v>
      </c>
    </row>
    <row r="452">
      <c r="A452" s="9" t="s">
        <v>1308</v>
      </c>
      <c r="B452" s="9" t="s">
        <v>1661</v>
      </c>
      <c r="C452" s="12" t="str">
        <f>HYPERLINK("https://www.google.com/search?q=PEACH+BOTTOM-1+nuclear+power+plant+in+UNITED+STATES", "PEACH BOTTOM-1")</f>
        <v>PEACH BOTTOM-1</v>
      </c>
      <c r="D452" s="9" t="s">
        <v>1357</v>
      </c>
      <c r="E452" s="9" t="s">
        <v>24</v>
      </c>
      <c r="F452" s="9">
        <v>42.0</v>
      </c>
      <c r="G452" s="9">
        <v>115.0</v>
      </c>
      <c r="H452" s="9">
        <v>0.0</v>
      </c>
      <c r="I452" s="9">
        <v>0.0</v>
      </c>
      <c r="J452" s="9">
        <v>39.75833</v>
      </c>
      <c r="K452" s="9">
        <v>-76.26806</v>
      </c>
      <c r="L452" s="13">
        <v>55.3376312255859</v>
      </c>
      <c r="M452" s="12" t="str">
        <f>HYPERLINK("http://www.iaea.org/PRIS/CountryStatistics/ReactorDetails.aspx?current=603", "PRIS")</f>
        <v>PRIS</v>
      </c>
      <c r="N452" s="12" t="str">
        <f>HYPERLINK("http://maps.google.com/?q=39.7583,-76.2681&amp;t=k", "Map")</f>
        <v>Map</v>
      </c>
    </row>
    <row r="453">
      <c r="A453" s="9" t="s">
        <v>1308</v>
      </c>
      <c r="B453" s="9" t="s">
        <v>1661</v>
      </c>
      <c r="C453" s="12" t="str">
        <f>HYPERLINK("https://www.google.com/search?q=SAN+ONOFRE-1+nuclear+power+plant+in+UNITED+STATES", "SAN ONOFRE-1")</f>
        <v>SAN ONOFRE-1</v>
      </c>
      <c r="D453" s="9" t="s">
        <v>1570</v>
      </c>
      <c r="E453" s="9" t="s">
        <v>24</v>
      </c>
      <c r="F453" s="9">
        <v>456.0</v>
      </c>
      <c r="G453" s="9">
        <v>1347.0</v>
      </c>
      <c r="H453" s="9">
        <v>53.2</v>
      </c>
      <c r="I453" s="9">
        <v>0.0</v>
      </c>
      <c r="J453" s="9">
        <v>33.36889</v>
      </c>
      <c r="K453" s="9">
        <v>-117.555</v>
      </c>
      <c r="L453" s="13">
        <v>9.90057754516602</v>
      </c>
      <c r="M453" s="12" t="str">
        <f>HYPERLINK("http://www.iaea.org/PRIS/CountryStatistics/ReactorDetails.aspx?current=604", "PRIS")</f>
        <v>PRIS</v>
      </c>
      <c r="N453" s="12" t="str">
        <f>HYPERLINK("http://maps.google.com/?q=33.3689,-117.555&amp;t=k", "Map")</f>
        <v>Map</v>
      </c>
    </row>
    <row r="454">
      <c r="A454" s="9" t="s">
        <v>1308</v>
      </c>
      <c r="B454" s="9" t="s">
        <v>1661</v>
      </c>
      <c r="C454" s="12" t="str">
        <f>HYPERLINK("https://www.google.com/search?q=HADDAM+NECK+nuclear+power+plant+in+UNITED+STATES", "HADDAM NECK")</f>
        <v>HADDAM NECK</v>
      </c>
      <c r="D454" s="9" t="s">
        <v>1434</v>
      </c>
      <c r="E454" s="9" t="s">
        <v>24</v>
      </c>
      <c r="F454" s="9">
        <v>603.0</v>
      </c>
      <c r="G454" s="9">
        <v>1825.0</v>
      </c>
      <c r="H454" s="9">
        <v>73.5</v>
      </c>
      <c r="I454" s="9">
        <v>0.0</v>
      </c>
      <c r="J454" s="9">
        <v>41.48194</v>
      </c>
      <c r="K454" s="9">
        <v>-72.49917</v>
      </c>
      <c r="L454" s="13">
        <v>-14.3183689117432</v>
      </c>
      <c r="M454" s="12" t="str">
        <f>HYPERLINK("http://www.iaea.org/PRIS/CountryStatistics/ReactorDetails.aspx?current=605", "PRIS")</f>
        <v>PRIS</v>
      </c>
      <c r="N454" s="12" t="str">
        <f>HYPERLINK("http://maps.google.com/?q=41.4819,-72.4992&amp;t=k", "Map")</f>
        <v>Map</v>
      </c>
    </row>
    <row r="455">
      <c r="A455" s="9" t="s">
        <v>1308</v>
      </c>
      <c r="B455" s="9" t="s">
        <v>1661</v>
      </c>
      <c r="C455" s="12" t="str">
        <f>HYPERLINK("https://www.google.com/search?q=OYSTER+CREEK+nuclear+power+plant+in+UNITED+STATES", "OYSTER CREEK")</f>
        <v>OYSTER CREEK</v>
      </c>
      <c r="D455" s="9" t="s">
        <v>1511</v>
      </c>
      <c r="E455" s="9" t="s">
        <v>21</v>
      </c>
      <c r="F455" s="9">
        <v>652.0</v>
      </c>
      <c r="G455" s="9">
        <v>1930.0</v>
      </c>
      <c r="H455" s="9">
        <v>72.3</v>
      </c>
      <c r="I455" s="9">
        <v>94.4</v>
      </c>
      <c r="J455" s="9">
        <v>39.81472</v>
      </c>
      <c r="K455" s="9">
        <v>-74.205</v>
      </c>
      <c r="L455" s="13">
        <v>-28.6805305480957</v>
      </c>
      <c r="M455" s="12" t="str">
        <f>HYPERLINK("http://www.iaea.org/PRIS/CountryStatistics/ReactorDetails.aspx?current=606", "PRIS")</f>
        <v>PRIS</v>
      </c>
      <c r="N455" s="12" t="str">
        <f>HYPERLINK("http://maps.google.com/?q=39.8147,-74.205&amp;t=k", "Map")</f>
        <v>Map</v>
      </c>
    </row>
    <row r="456">
      <c r="A456" s="9" t="s">
        <v>1308</v>
      </c>
      <c r="B456" s="9" t="s">
        <v>1661</v>
      </c>
      <c r="C456" s="12" t="str">
        <f>HYPERLINK("https://www.google.com/search?q=NINE+MILE+POINT-1+nuclear+power+plant+in+UNITED+STATES", "NINE MILE POINT-1")</f>
        <v>NINE MILE POINT-1</v>
      </c>
      <c r="D456" s="9" t="s">
        <v>1494</v>
      </c>
      <c r="E456" s="9" t="s">
        <v>21</v>
      </c>
      <c r="F456" s="9">
        <v>642.0</v>
      </c>
      <c r="G456" s="9">
        <v>1850.0</v>
      </c>
      <c r="H456" s="9">
        <v>71.6</v>
      </c>
      <c r="I456" s="9">
        <v>89.5</v>
      </c>
      <c r="J456" s="9">
        <v>43.52083</v>
      </c>
      <c r="K456" s="9">
        <v>-76.40694</v>
      </c>
      <c r="L456" s="13">
        <v>32.1449279785156</v>
      </c>
      <c r="M456" s="12" t="str">
        <f>HYPERLINK("http://www.iaea.org/PRIS/CountryStatistics/ReactorDetails.aspx?current=607", "PRIS")</f>
        <v>PRIS</v>
      </c>
      <c r="N456" s="12" t="str">
        <f>HYPERLINK("http://maps.google.com/?q=43.5208,-76.4069&amp;t=k", "Map")</f>
        <v>Map</v>
      </c>
    </row>
    <row r="457">
      <c r="A457" s="9" t="s">
        <v>1308</v>
      </c>
      <c r="B457" s="9" t="s">
        <v>1661</v>
      </c>
      <c r="C457" s="12" t="str">
        <f>HYPERLINK("https://www.google.com/search?q=DRESDEN-2+nuclear+power+plant+in+UNITED+STATES", "DRESDEN-2")</f>
        <v>DRESDEN-2</v>
      </c>
      <c r="D457" s="9" t="s">
        <v>1395</v>
      </c>
      <c r="E457" s="9" t="s">
        <v>21</v>
      </c>
      <c r="F457" s="9">
        <v>926.0</v>
      </c>
      <c r="G457" s="9">
        <v>2957.0</v>
      </c>
      <c r="H457" s="9">
        <v>70.8</v>
      </c>
      <c r="I457" s="9">
        <v>97.6</v>
      </c>
      <c r="J457" s="9">
        <v>41.38972</v>
      </c>
      <c r="K457" s="9">
        <v>-88.26806</v>
      </c>
      <c r="L457" s="13">
        <v>132.383666992188</v>
      </c>
      <c r="M457" s="12" t="str">
        <f>HYPERLINK("http://www.iaea.org/PRIS/CountryStatistics/ReactorDetails.aspx?current=608", "PRIS")</f>
        <v>PRIS</v>
      </c>
      <c r="N457" s="12" t="str">
        <f>HYPERLINK("http://maps.google.com/?q=41.3897,-88.2681&amp;t=k", "Map")</f>
        <v>Map</v>
      </c>
    </row>
    <row r="458">
      <c r="A458" s="9" t="s">
        <v>1308</v>
      </c>
      <c r="B458" s="9" t="s">
        <v>1661</v>
      </c>
      <c r="C458" s="12" t="str">
        <f>HYPERLINK("https://www.google.com/search?q=GINNA+nuclear+power+plant+in+UNITED+STATES", "GINNA")</f>
        <v>GINNA</v>
      </c>
      <c r="D458" s="9" t="s">
        <v>1429</v>
      </c>
      <c r="E458" s="9" t="s">
        <v>21</v>
      </c>
      <c r="F458" s="9">
        <v>608.0</v>
      </c>
      <c r="G458" s="9">
        <v>1775.0</v>
      </c>
      <c r="H458" s="9">
        <v>83.4</v>
      </c>
      <c r="I458" s="9">
        <v>98.1</v>
      </c>
      <c r="J458" s="9">
        <v>43.27778</v>
      </c>
      <c r="K458" s="9">
        <v>-77.31</v>
      </c>
      <c r="L458" s="13">
        <v>43.1108360290527</v>
      </c>
      <c r="M458" s="12" t="str">
        <f>HYPERLINK("http://www.iaea.org/PRIS/CountryStatistics/ReactorDetails.aspx?current=609", "PRIS")</f>
        <v>PRIS</v>
      </c>
      <c r="N458" s="12" t="str">
        <f>HYPERLINK("http://maps.google.com/?q=43.2778,-77.31&amp;t=k", "Map")</f>
        <v>Map</v>
      </c>
    </row>
    <row r="459">
      <c r="A459" s="9" t="s">
        <v>1308</v>
      </c>
      <c r="B459" s="9" t="s">
        <v>1661</v>
      </c>
      <c r="C459" s="12" t="str">
        <f>HYPERLINK("https://www.google.com/search?q=MILLSTONE-1+nuclear+power+plant+in+UNITED+STATES", "MILLSTONE-1")</f>
        <v>MILLSTONE-1</v>
      </c>
      <c r="D459" s="9" t="s">
        <v>1485</v>
      </c>
      <c r="E459" s="9" t="s">
        <v>24</v>
      </c>
      <c r="F459" s="9">
        <v>684.0</v>
      </c>
      <c r="G459" s="9">
        <v>2011.0</v>
      </c>
      <c r="H459" s="9">
        <v>65.1</v>
      </c>
      <c r="I459" s="9">
        <v>0.0</v>
      </c>
      <c r="J459" s="9">
        <v>41.31194</v>
      </c>
      <c r="K459" s="9">
        <v>-72.16861</v>
      </c>
      <c r="L459" s="13">
        <v>-28.898136138916</v>
      </c>
      <c r="M459" s="12" t="str">
        <f>HYPERLINK("http://www.iaea.org/PRIS/CountryStatistics/ReactorDetails.aspx?current=610", "PRIS")</f>
        <v>PRIS</v>
      </c>
      <c r="N459" s="12" t="str">
        <f>HYPERLINK("http://maps.google.com/?q=41.3119,-72.1686&amp;t=k", "Map")</f>
        <v>Map</v>
      </c>
    </row>
    <row r="460">
      <c r="A460" s="9" t="s">
        <v>1308</v>
      </c>
      <c r="B460" s="9" t="s">
        <v>1661</v>
      </c>
      <c r="C460" s="12" t="str">
        <f>HYPERLINK("https://www.google.com/search?q=INDIAN+POINT-2+nuclear+power+plant+in+UNITED+STATES", "INDIAN POINT-2")</f>
        <v>INDIAN POINT-2</v>
      </c>
      <c r="D460" s="9" t="s">
        <v>1454</v>
      </c>
      <c r="E460" s="9" t="s">
        <v>21</v>
      </c>
      <c r="F460" s="9">
        <v>1067.0</v>
      </c>
      <c r="G460" s="9">
        <v>3216.0</v>
      </c>
      <c r="H460" s="9">
        <v>73.3</v>
      </c>
      <c r="I460" s="9">
        <v>98.1</v>
      </c>
      <c r="J460" s="9">
        <v>41.26972</v>
      </c>
      <c r="K460" s="9">
        <v>-73.95222</v>
      </c>
      <c r="L460" s="13">
        <v>8.90431594848633</v>
      </c>
      <c r="M460" s="12" t="str">
        <f>HYPERLINK("http://www.iaea.org/PRIS/CountryStatistics/ReactorDetails.aspx?current=611", "PRIS")</f>
        <v>PRIS</v>
      </c>
      <c r="N460" s="12" t="str">
        <f>HYPERLINK("http://maps.google.com/?q=41.2697,-73.9522&amp;t=k", "Map")</f>
        <v>Map</v>
      </c>
    </row>
    <row r="461">
      <c r="A461" s="9" t="s">
        <v>1308</v>
      </c>
      <c r="B461" s="9" t="s">
        <v>1661</v>
      </c>
      <c r="C461" s="12" t="str">
        <f>HYPERLINK("https://www.google.com/search?q=DRESDEN-3+nuclear+power+plant+in+UNITED+STATES", "DRESDEN-3")</f>
        <v>DRESDEN-3</v>
      </c>
      <c r="D461" s="9" t="s">
        <v>1395</v>
      </c>
      <c r="E461" s="9" t="s">
        <v>21</v>
      </c>
      <c r="F461" s="9">
        <v>890.0</v>
      </c>
      <c r="G461" s="9">
        <v>2957.0</v>
      </c>
      <c r="H461" s="9">
        <v>70.6</v>
      </c>
      <c r="I461" s="9">
        <v>103.6</v>
      </c>
      <c r="J461" s="9">
        <v>41.38972</v>
      </c>
      <c r="K461" s="9">
        <v>-88.26806</v>
      </c>
      <c r="L461" s="13">
        <v>132.383666992188</v>
      </c>
      <c r="M461" s="12" t="str">
        <f>HYPERLINK("http://www.iaea.org/PRIS/CountryStatistics/ReactorDetails.aspx?current=612", "PRIS")</f>
        <v>PRIS</v>
      </c>
      <c r="N461" s="12" t="str">
        <f>HYPERLINK("http://maps.google.com/?q=41.3897,-88.2681&amp;t=k", "Map")</f>
        <v>Map</v>
      </c>
    </row>
    <row r="462">
      <c r="A462" s="9" t="s">
        <v>1308</v>
      </c>
      <c r="B462" s="9" t="s">
        <v>1661</v>
      </c>
      <c r="C462" s="12" t="str">
        <f>HYPERLINK("https://www.google.com/search?q=TURKEY+POINT-3+nuclear+power+plant+in+UNITED+STATES", "TURKEY POINT-3")</f>
        <v>TURKEY POINT-3</v>
      </c>
      <c r="D462" s="9" t="s">
        <v>1624</v>
      </c>
      <c r="E462" s="9" t="s">
        <v>21</v>
      </c>
      <c r="F462" s="9">
        <v>829.0</v>
      </c>
      <c r="G462" s="9">
        <v>2644.0</v>
      </c>
      <c r="H462" s="9">
        <v>75.8</v>
      </c>
      <c r="I462" s="9">
        <v>88.8</v>
      </c>
      <c r="J462" s="9">
        <v>25.43417</v>
      </c>
      <c r="K462" s="9">
        <v>-80.33056</v>
      </c>
      <c r="L462" s="13">
        <v>-27.2033290863037</v>
      </c>
      <c r="M462" s="12" t="str">
        <f>HYPERLINK("http://www.iaea.org/PRIS/CountryStatistics/ReactorDetails.aspx?current=613", "PRIS")</f>
        <v>PRIS</v>
      </c>
      <c r="N462" s="12" t="str">
        <f t="shared" ref="N462:N463" si="113">HYPERLINK("http://maps.google.com/?q=25.4342,-80.3306&amp;t=k", "Map")</f>
        <v>Map</v>
      </c>
    </row>
    <row r="463">
      <c r="A463" s="9" t="s">
        <v>1308</v>
      </c>
      <c r="B463" s="9" t="s">
        <v>1661</v>
      </c>
      <c r="C463" s="12" t="str">
        <f>HYPERLINK("https://www.google.com/search?q=TURKEY+POINT-4+nuclear+power+plant+in+UNITED+STATES", "TURKEY POINT-4")</f>
        <v>TURKEY POINT-4</v>
      </c>
      <c r="D463" s="9" t="s">
        <v>1624</v>
      </c>
      <c r="E463" s="9" t="s">
        <v>21</v>
      </c>
      <c r="F463" s="9">
        <v>829.0</v>
      </c>
      <c r="G463" s="9">
        <v>2644.0</v>
      </c>
      <c r="H463" s="9">
        <v>75.6</v>
      </c>
      <c r="I463" s="9">
        <v>68.8</v>
      </c>
      <c r="J463" s="9">
        <v>25.43417</v>
      </c>
      <c r="K463" s="9">
        <v>-80.33056</v>
      </c>
      <c r="L463" s="13">
        <v>-27.2033290863037</v>
      </c>
      <c r="M463" s="12" t="str">
        <f>HYPERLINK("http://www.iaea.org/PRIS/CountryStatistics/ReactorDetails.aspx?current=614", "PRIS")</f>
        <v>PRIS</v>
      </c>
      <c r="N463" s="12" t="str">
        <f t="shared" si="113"/>
        <v>Map</v>
      </c>
    </row>
    <row r="464">
      <c r="A464" s="9" t="s">
        <v>1308</v>
      </c>
      <c r="B464" s="9" t="s">
        <v>1661</v>
      </c>
      <c r="C464" s="12" t="str">
        <f>HYPERLINK("https://www.google.com/search?q=QUAD+CITIES-1+nuclear+power+plant+in+UNITED+STATES", "QUAD CITIES-1")</f>
        <v>QUAD CITIES-1</v>
      </c>
      <c r="D464" s="9" t="s">
        <v>1552</v>
      </c>
      <c r="E464" s="9" t="s">
        <v>21</v>
      </c>
      <c r="F464" s="9">
        <v>940.0</v>
      </c>
      <c r="G464" s="9">
        <v>2957.0</v>
      </c>
      <c r="H464" s="9">
        <v>74.8</v>
      </c>
      <c r="I464" s="9">
        <v>94.4</v>
      </c>
      <c r="J464" s="9">
        <v>41.72639</v>
      </c>
      <c r="K464" s="9">
        <v>-90.31</v>
      </c>
      <c r="L464" s="13">
        <v>146.474609375</v>
      </c>
      <c r="M464" s="12" t="str">
        <f>HYPERLINK("http://www.iaea.org/PRIS/CountryStatistics/ReactorDetails.aspx?current=615", "PRIS")</f>
        <v>PRIS</v>
      </c>
      <c r="N464" s="12" t="str">
        <f>HYPERLINK("http://maps.google.com/?q=41.7264,-90.31&amp;t=k", "Map")</f>
        <v>Map</v>
      </c>
    </row>
    <row r="465">
      <c r="A465" s="9" t="s">
        <v>1308</v>
      </c>
      <c r="B465" s="9" t="s">
        <v>1661</v>
      </c>
      <c r="C465" s="12" t="str">
        <f>HYPERLINK("https://www.google.com/search?q=PALISADES+nuclear+power+plant+in+UNITED+STATES", "PALISADES")</f>
        <v>PALISADES</v>
      </c>
      <c r="D465" s="9" t="s">
        <v>1514</v>
      </c>
      <c r="E465" s="9" t="s">
        <v>21</v>
      </c>
      <c r="F465" s="9">
        <v>845.0</v>
      </c>
      <c r="G465" s="9">
        <v>2565.0</v>
      </c>
      <c r="H465" s="9">
        <v>68.4</v>
      </c>
      <c r="I465" s="9">
        <v>87.0</v>
      </c>
      <c r="J465" s="9">
        <v>42.32278</v>
      </c>
      <c r="K465" s="9">
        <v>-86.31444</v>
      </c>
      <c r="L465" s="13">
        <v>175.933288574219</v>
      </c>
      <c r="M465" s="12" t="str">
        <f>HYPERLINK("http://www.iaea.org/PRIS/CountryStatistics/ReactorDetails.aspx?current=616", "PRIS")</f>
        <v>PRIS</v>
      </c>
      <c r="N465" s="12" t="str">
        <f>HYPERLINK("http://maps.google.com/?q=42.3228,-86.3144&amp;t=k", "Map")</f>
        <v>Map</v>
      </c>
    </row>
    <row r="466">
      <c r="A466" s="9" t="s">
        <v>1308</v>
      </c>
      <c r="B466" s="9" t="s">
        <v>1661</v>
      </c>
      <c r="C466" s="12" t="str">
        <f>HYPERLINK("https://www.google.com/search?q=BROWNS+FERRY-1+nuclear+power+plant+in+UNITED+STATES", "BROWNS FERRY-1")</f>
        <v>BROWNS FERRY-1</v>
      </c>
      <c r="D466" s="9" t="s">
        <v>1332</v>
      </c>
      <c r="E466" s="9" t="s">
        <v>21</v>
      </c>
      <c r="F466" s="9">
        <v>1155.0</v>
      </c>
      <c r="G466" s="9">
        <v>3458.0</v>
      </c>
      <c r="H466" s="9">
        <v>67.9</v>
      </c>
      <c r="I466" s="9">
        <v>98.3</v>
      </c>
      <c r="J466" s="9">
        <v>34.70389</v>
      </c>
      <c r="K466" s="9">
        <v>-87.11861</v>
      </c>
      <c r="L466" s="13">
        <v>148.870239257813</v>
      </c>
      <c r="M466" s="12" t="str">
        <f>HYPERLINK("http://www.iaea.org/PRIS/CountryStatistics/ReactorDetails.aspx?current=617", "PRIS")</f>
        <v>PRIS</v>
      </c>
      <c r="N466" s="12" t="str">
        <f t="shared" ref="N466:N467" si="114">HYPERLINK("http://maps.google.com/?q=34.7039,-87.1186&amp;t=k", "Map")</f>
        <v>Map</v>
      </c>
    </row>
    <row r="467">
      <c r="A467" s="9" t="s">
        <v>1308</v>
      </c>
      <c r="B467" s="9" t="s">
        <v>1661</v>
      </c>
      <c r="C467" s="12" t="str">
        <f>HYPERLINK("https://www.google.com/search?q=BROWNS+FERRY-2+nuclear+power+plant+in+UNITED+STATES", "BROWNS FERRY-2")</f>
        <v>BROWNS FERRY-2</v>
      </c>
      <c r="D467" s="9" t="s">
        <v>1332</v>
      </c>
      <c r="E467" s="9" t="s">
        <v>21</v>
      </c>
      <c r="F467" s="9">
        <v>1155.0</v>
      </c>
      <c r="G467" s="9">
        <v>3458.0</v>
      </c>
      <c r="H467" s="9">
        <v>77.5</v>
      </c>
      <c r="I467" s="9">
        <v>82.7</v>
      </c>
      <c r="J467" s="9">
        <v>34.70389</v>
      </c>
      <c r="K467" s="9">
        <v>-87.11861</v>
      </c>
      <c r="L467" s="13">
        <v>148.870239257813</v>
      </c>
      <c r="M467" s="12" t="str">
        <f>HYPERLINK("http://www.iaea.org/PRIS/CountryStatistics/ReactorDetails.aspx?current=618", "PRIS")</f>
        <v>PRIS</v>
      </c>
      <c r="N467" s="12" t="str">
        <f t="shared" si="114"/>
        <v>Map</v>
      </c>
    </row>
    <row r="468">
      <c r="A468" s="9" t="s">
        <v>1308</v>
      </c>
      <c r="B468" s="9" t="s">
        <v>1661</v>
      </c>
      <c r="C468" s="12" t="str">
        <f>HYPERLINK("https://www.google.com/search?q=ROBINSON-2+nuclear+power+plant+in+UNITED+STATES", "ROBINSON-2")</f>
        <v>ROBINSON-2</v>
      </c>
      <c r="D468" s="9" t="s">
        <v>1563</v>
      </c>
      <c r="E468" s="9" t="s">
        <v>21</v>
      </c>
      <c r="F468" s="9">
        <v>780.0</v>
      </c>
      <c r="G468" s="9">
        <v>2339.0</v>
      </c>
      <c r="H468" s="9">
        <v>77.1</v>
      </c>
      <c r="I468" s="9">
        <v>87.8</v>
      </c>
      <c r="J468" s="9">
        <v>34.40278</v>
      </c>
      <c r="K468" s="9">
        <v>-80.15833</v>
      </c>
      <c r="L468" s="13">
        <v>39.104118347168</v>
      </c>
      <c r="M468" s="12" t="str">
        <f>HYPERLINK("http://www.iaea.org/PRIS/CountryStatistics/ReactorDetails.aspx?current=619", "PRIS")</f>
        <v>PRIS</v>
      </c>
      <c r="N468" s="12" t="str">
        <f>HYPERLINK("http://maps.google.com/?q=34.4028,-80.1583&amp;t=k", "Map")</f>
        <v>Map</v>
      </c>
    </row>
    <row r="469">
      <c r="A469" s="9" t="s">
        <v>1308</v>
      </c>
      <c r="B469" s="9" t="s">
        <v>1661</v>
      </c>
      <c r="C469" s="12" t="str">
        <f>HYPERLINK("https://www.google.com/search?q=MONTICELLO+nuclear+power+plant+in+UNITED+STATES", "MONTICELLO")</f>
        <v>MONTICELLO</v>
      </c>
      <c r="D469" s="9" t="s">
        <v>1491</v>
      </c>
      <c r="E469" s="9" t="s">
        <v>21</v>
      </c>
      <c r="F469" s="9">
        <v>613.0</v>
      </c>
      <c r="G469" s="9">
        <v>1775.0</v>
      </c>
      <c r="H469" s="9">
        <v>80.1</v>
      </c>
      <c r="I469" s="9">
        <v>59.2</v>
      </c>
      <c r="J469" s="9">
        <v>45.33361</v>
      </c>
      <c r="K469" s="9">
        <v>-93.84917</v>
      </c>
      <c r="L469" s="13">
        <v>262.321258544922</v>
      </c>
      <c r="M469" s="12" t="str">
        <f>HYPERLINK("http://www.iaea.org/PRIS/CountryStatistics/ReactorDetails.aspx?current=620", "PRIS")</f>
        <v>PRIS</v>
      </c>
      <c r="N469" s="12" t="str">
        <f>HYPERLINK("http://maps.google.com/?q=45.3336,-93.8492&amp;t=k", "Map")</f>
        <v>Map</v>
      </c>
    </row>
    <row r="470">
      <c r="A470" s="9" t="s">
        <v>1308</v>
      </c>
      <c r="B470" s="9" t="s">
        <v>1661</v>
      </c>
      <c r="C470" s="12" t="str">
        <f>HYPERLINK("https://www.google.com/search?q=QUAD+CITIES-2+nuclear+power+plant+in+UNITED+STATES", "QUAD CITIES-2")</f>
        <v>QUAD CITIES-2</v>
      </c>
      <c r="D470" s="9" t="s">
        <v>1552</v>
      </c>
      <c r="E470" s="9" t="s">
        <v>21</v>
      </c>
      <c r="F470" s="9">
        <v>940.0</v>
      </c>
      <c r="G470" s="9">
        <v>2957.0</v>
      </c>
      <c r="H470" s="9">
        <v>73.7</v>
      </c>
      <c r="I470" s="9">
        <v>100.9</v>
      </c>
      <c r="J470" s="9">
        <v>41.72639</v>
      </c>
      <c r="K470" s="9">
        <v>-90.31</v>
      </c>
      <c r="L470" s="13">
        <v>146.474609375</v>
      </c>
      <c r="M470" s="12" t="str">
        <f>HYPERLINK("http://www.iaea.org/PRIS/CountryStatistics/ReactorDetails.aspx?current=621", "PRIS")</f>
        <v>PRIS</v>
      </c>
      <c r="N470" s="12" t="str">
        <f>HYPERLINK("http://maps.google.com/?q=41.7264,-90.31&amp;t=k", "Map")</f>
        <v>Map</v>
      </c>
    </row>
    <row r="471">
      <c r="A471" s="9" t="s">
        <v>1308</v>
      </c>
      <c r="B471" s="9" t="s">
        <v>1661</v>
      </c>
      <c r="C471" s="12" t="str">
        <f>HYPERLINK("https://www.google.com/search?q=POINT+BEACH-1+nuclear+power+plant+in+UNITED+STATES", "POINT BEACH-1")</f>
        <v>POINT BEACH-1</v>
      </c>
      <c r="D471" s="9" t="s">
        <v>1542</v>
      </c>
      <c r="E471" s="9" t="s">
        <v>21</v>
      </c>
      <c r="F471" s="9">
        <v>640.0</v>
      </c>
      <c r="G471" s="9">
        <v>1800.0</v>
      </c>
      <c r="H471" s="9">
        <v>79.9</v>
      </c>
      <c r="I471" s="9">
        <v>90.9</v>
      </c>
      <c r="J471" s="9">
        <v>44.28111</v>
      </c>
      <c r="K471" s="9">
        <v>-87.53667</v>
      </c>
      <c r="L471" s="13">
        <v>142.704254150391</v>
      </c>
      <c r="M471" s="12" t="str">
        <f>HYPERLINK("http://www.iaea.org/PRIS/CountryStatistics/ReactorDetails.aspx?current=622", "PRIS")</f>
        <v>PRIS</v>
      </c>
      <c r="N471" s="12" t="str">
        <f>HYPERLINK("http://maps.google.com/?q=44.2811,-87.5367&amp;t=k", "Map")</f>
        <v>Map</v>
      </c>
    </row>
    <row r="472">
      <c r="A472" s="9" t="s">
        <v>1308</v>
      </c>
      <c r="B472" s="9" t="s">
        <v>1661</v>
      </c>
      <c r="C472" s="12" t="str">
        <f>HYPERLINK("https://www.google.com/search?q=FORT+ST.+VRAIN+nuclear+power+plant+in+UNITED+STATES", "FORT ST. VRAIN")</f>
        <v>FORT ST. VRAIN</v>
      </c>
      <c r="D472" s="9" t="s">
        <v>1423</v>
      </c>
      <c r="E472" s="9" t="s">
        <v>24</v>
      </c>
      <c r="F472" s="9">
        <v>342.0</v>
      </c>
      <c r="G472" s="9">
        <v>842.0</v>
      </c>
      <c r="H472" s="9">
        <v>15.2</v>
      </c>
      <c r="I472" s="9">
        <v>0.0</v>
      </c>
      <c r="J472" s="9">
        <v>40.24444</v>
      </c>
      <c r="K472" s="9">
        <v>-104.87417</v>
      </c>
      <c r="L472" s="13">
        <v>1447.78308105469</v>
      </c>
      <c r="M472" s="12" t="str">
        <f>HYPERLINK("http://www.iaea.org/PRIS/CountryStatistics/ReactorDetails.aspx?current=623", "PRIS")</f>
        <v>PRIS</v>
      </c>
      <c r="N472" s="12" t="str">
        <f>HYPERLINK("http://maps.google.com/?q=40.2444,-104.874&amp;t=k", "Map")</f>
        <v>Map</v>
      </c>
    </row>
    <row r="473">
      <c r="A473" s="9" t="s">
        <v>1308</v>
      </c>
      <c r="B473" s="9" t="s">
        <v>1661</v>
      </c>
      <c r="C473" s="12" t="str">
        <f>HYPERLINK("https://www.google.com/search?q=OCONEE-1+nuclear+power+plant+in+UNITED+STATES", "OCONEE-1")</f>
        <v>OCONEE-1</v>
      </c>
      <c r="D473" s="9" t="s">
        <v>1504</v>
      </c>
      <c r="E473" s="9" t="s">
        <v>21</v>
      </c>
      <c r="F473" s="9">
        <v>891.0</v>
      </c>
      <c r="G473" s="9">
        <v>2568.0</v>
      </c>
      <c r="H473" s="9">
        <v>77.9</v>
      </c>
      <c r="I473" s="9">
        <v>95.5</v>
      </c>
      <c r="J473" s="9">
        <v>34.79389</v>
      </c>
      <c r="K473" s="9">
        <v>-82.89806</v>
      </c>
      <c r="L473" s="13">
        <v>229.587921142578</v>
      </c>
      <c r="M473" s="12" t="str">
        <f>HYPERLINK("http://www.iaea.org/PRIS/CountryStatistics/ReactorDetails.aspx?current=624", "PRIS")</f>
        <v>PRIS</v>
      </c>
      <c r="N473" s="12" t="str">
        <f t="shared" ref="N473:N474" si="115">HYPERLINK("http://maps.google.com/?q=34.7939,-82.8981&amp;t=k", "Map")</f>
        <v>Map</v>
      </c>
    </row>
    <row r="474">
      <c r="A474" s="9" t="s">
        <v>1308</v>
      </c>
      <c r="B474" s="9" t="s">
        <v>1661</v>
      </c>
      <c r="C474" s="12" t="str">
        <f>HYPERLINK("https://www.google.com/search?q=OCONEE-2+nuclear+power+plant+in+UNITED+STATES", "OCONEE-2")</f>
        <v>OCONEE-2</v>
      </c>
      <c r="D474" s="9" t="s">
        <v>1504</v>
      </c>
      <c r="E474" s="9" t="s">
        <v>21</v>
      </c>
      <c r="F474" s="9">
        <v>891.0</v>
      </c>
      <c r="G474" s="9">
        <v>2568.0</v>
      </c>
      <c r="H474" s="9">
        <v>80.5</v>
      </c>
      <c r="I474" s="9">
        <v>86.3</v>
      </c>
      <c r="J474" s="9">
        <v>34.79389</v>
      </c>
      <c r="K474" s="9">
        <v>-82.89806</v>
      </c>
      <c r="L474" s="13">
        <v>229.587921142578</v>
      </c>
      <c r="M474" s="12" t="str">
        <f>HYPERLINK("http://www.iaea.org/PRIS/CountryStatistics/ReactorDetails.aspx?current=625", "PRIS")</f>
        <v>PRIS</v>
      </c>
      <c r="N474" s="12" t="str">
        <f t="shared" si="115"/>
        <v>Map</v>
      </c>
    </row>
    <row r="475">
      <c r="A475" s="9" t="s">
        <v>1308</v>
      </c>
      <c r="B475" s="9" t="s">
        <v>1661</v>
      </c>
      <c r="C475" s="12" t="str">
        <f>HYPERLINK("https://www.google.com/search?q=VERMONT+YANKEE+nuclear+power+plant+in+UNITED+STATES", "VERMONT YANKEE")</f>
        <v>VERMONT YANKEE</v>
      </c>
      <c r="D475" s="9" t="s">
        <v>1629</v>
      </c>
      <c r="E475" s="9" t="s">
        <v>21</v>
      </c>
      <c r="F475" s="9">
        <v>635.0</v>
      </c>
      <c r="G475" s="9">
        <v>1912.0</v>
      </c>
      <c r="H475" s="9">
        <v>83.5</v>
      </c>
      <c r="I475" s="9">
        <v>91.8</v>
      </c>
      <c r="J475" s="9">
        <v>42.77889</v>
      </c>
      <c r="K475" s="9">
        <v>-72.51306</v>
      </c>
      <c r="L475" s="13">
        <v>91.8450164794922</v>
      </c>
      <c r="M475" s="12" t="str">
        <f>HYPERLINK("http://www.iaea.org/PRIS/CountryStatistics/ReactorDetails.aspx?current=626", "PRIS")</f>
        <v>PRIS</v>
      </c>
      <c r="N475" s="12" t="str">
        <f>HYPERLINK("http://maps.google.com/?q=42.7789,-72.5131&amp;t=k", "Map")</f>
        <v>Map</v>
      </c>
    </row>
    <row r="476">
      <c r="A476" s="9" t="s">
        <v>1308</v>
      </c>
      <c r="B476" s="9" t="s">
        <v>1661</v>
      </c>
      <c r="C476" s="12" t="str">
        <f>HYPERLINK("https://www.google.com/search?q=SALEM-1+nuclear+power+plant+in+UNITED+STATES", "SALEM-1")</f>
        <v>SALEM-1</v>
      </c>
      <c r="D476" s="9" t="s">
        <v>1448</v>
      </c>
      <c r="E476" s="9" t="s">
        <v>21</v>
      </c>
      <c r="F476" s="9">
        <v>1254.0</v>
      </c>
      <c r="G476" s="9">
        <v>3459.0</v>
      </c>
      <c r="H476" s="9">
        <v>67.9</v>
      </c>
      <c r="I476" s="9">
        <v>89.2</v>
      </c>
      <c r="J476" s="9">
        <v>39.46278</v>
      </c>
      <c r="K476" s="9">
        <v>-75.53556</v>
      </c>
      <c r="L476" s="13">
        <v>-34.4735641479492</v>
      </c>
      <c r="M476" s="12" t="str">
        <f>HYPERLINK("http://www.iaea.org/PRIS/CountryStatistics/ReactorDetails.aspx?current=627", "PRIS")</f>
        <v>PRIS</v>
      </c>
      <c r="N476" s="12" t="str">
        <f>HYPERLINK("http://maps.google.com/?q=39.4628,-75.5356&amp;t=k", "Map")</f>
        <v>Map</v>
      </c>
    </row>
    <row r="477">
      <c r="A477" s="9" t="s">
        <v>1308</v>
      </c>
      <c r="B477" s="9" t="s">
        <v>1661</v>
      </c>
      <c r="C477" s="12" t="str">
        <f>HYPERLINK("https://www.google.com/search?q=DIABLO+CANYON-1+nuclear+power+plant+in+UNITED+STATES", "DIABLO CANYON-1")</f>
        <v>DIABLO CANYON-1</v>
      </c>
      <c r="D477" s="9" t="s">
        <v>1390</v>
      </c>
      <c r="E477" s="9" t="s">
        <v>21</v>
      </c>
      <c r="F477" s="9">
        <v>1197.0</v>
      </c>
      <c r="G477" s="9">
        <v>3411.0</v>
      </c>
      <c r="H477" s="9">
        <v>86.2</v>
      </c>
      <c r="I477" s="9">
        <v>98.2</v>
      </c>
      <c r="J477" s="9">
        <v>35.21083</v>
      </c>
      <c r="K477" s="9">
        <v>-120.85611</v>
      </c>
      <c r="L477" s="13">
        <v>-17.8180732727051</v>
      </c>
      <c r="M477" s="12" t="str">
        <f>HYPERLINK("http://www.iaea.org/PRIS/CountryStatistics/ReactorDetails.aspx?current=628", "PRIS")</f>
        <v>PRIS</v>
      </c>
      <c r="N477" s="12" t="str">
        <f>HYPERLINK("http://maps.google.com/?q=35.2108,-120.856&amp;t=k", "Map")</f>
        <v>Map</v>
      </c>
    </row>
    <row r="478">
      <c r="A478" s="9" t="s">
        <v>1308</v>
      </c>
      <c r="B478" s="9" t="s">
        <v>1661</v>
      </c>
      <c r="C478" s="12" t="str">
        <f>HYPERLINK("https://www.google.com/search?q=PEACH+BOTTOM-2+nuclear+power+plant+in+UNITED+STATES", "PEACH BOTTOM-2")</f>
        <v>PEACH BOTTOM-2</v>
      </c>
      <c r="D478" s="9" t="s">
        <v>1357</v>
      </c>
      <c r="E478" s="9" t="s">
        <v>21</v>
      </c>
      <c r="F478" s="9">
        <v>1182.0</v>
      </c>
      <c r="G478" s="9">
        <v>3514.0</v>
      </c>
      <c r="H478" s="9">
        <v>74.3</v>
      </c>
      <c r="I478" s="9">
        <v>102.5</v>
      </c>
      <c r="J478" s="9">
        <v>39.75833</v>
      </c>
      <c r="K478" s="9">
        <v>-76.26806</v>
      </c>
      <c r="L478" s="13">
        <v>55.3376312255859</v>
      </c>
      <c r="M478" s="12" t="str">
        <f>HYPERLINK("http://www.iaea.org/PRIS/CountryStatistics/ReactorDetails.aspx?current=629", "PRIS")</f>
        <v>PRIS</v>
      </c>
      <c r="N478" s="12" t="str">
        <f t="shared" ref="N478:N479" si="116">HYPERLINK("http://maps.google.com/?q=39.7583,-76.2681&amp;t=k", "Map")</f>
        <v>Map</v>
      </c>
    </row>
    <row r="479">
      <c r="A479" s="9" t="s">
        <v>1308</v>
      </c>
      <c r="B479" s="9" t="s">
        <v>1661</v>
      </c>
      <c r="C479" s="12" t="str">
        <f>HYPERLINK("https://www.google.com/search?q=PEACH+BOTTOM-3+nuclear+power+plant+in+UNITED+STATES", "PEACH BOTTOM-3")</f>
        <v>PEACH BOTTOM-3</v>
      </c>
      <c r="D479" s="9" t="s">
        <v>1357</v>
      </c>
      <c r="E479" s="9" t="s">
        <v>21</v>
      </c>
      <c r="F479" s="9">
        <v>1182.0</v>
      </c>
      <c r="G479" s="9">
        <v>3514.0</v>
      </c>
      <c r="H479" s="9">
        <v>75.3</v>
      </c>
      <c r="I479" s="9">
        <v>87.0</v>
      </c>
      <c r="J479" s="9">
        <v>39.75833</v>
      </c>
      <c r="K479" s="9">
        <v>-76.26806</v>
      </c>
      <c r="L479" s="13">
        <v>55.3376312255859</v>
      </c>
      <c r="M479" s="12" t="str">
        <f>HYPERLINK("http://www.iaea.org/PRIS/CountryStatistics/ReactorDetails.aspx?current=630", "PRIS")</f>
        <v>PRIS</v>
      </c>
      <c r="N479" s="12" t="str">
        <f t="shared" si="116"/>
        <v>Map</v>
      </c>
    </row>
    <row r="480">
      <c r="A480" s="9" t="s">
        <v>1308</v>
      </c>
      <c r="B480" s="9" t="s">
        <v>1661</v>
      </c>
      <c r="C480" s="12" t="str">
        <f>HYPERLINK("https://www.google.com/search?q=SURRY-1+nuclear+power+plant+in+UNITED+STATES", "SURRY-1")</f>
        <v>SURRY-1</v>
      </c>
      <c r="D480" s="9" t="s">
        <v>1607</v>
      </c>
      <c r="E480" s="9" t="s">
        <v>21</v>
      </c>
      <c r="F480" s="9">
        <v>890.0</v>
      </c>
      <c r="G480" s="9">
        <v>2857.0</v>
      </c>
      <c r="H480" s="9">
        <v>75.6</v>
      </c>
      <c r="I480" s="9">
        <v>93.1</v>
      </c>
      <c r="J480" s="9">
        <v>37.16556</v>
      </c>
      <c r="K480" s="9">
        <v>-76.69778</v>
      </c>
      <c r="L480" s="13">
        <v>-33.8720283508301</v>
      </c>
      <c r="M480" s="12" t="str">
        <f>HYPERLINK("http://www.iaea.org/PRIS/CountryStatistics/ReactorDetails.aspx?current=631", "PRIS")</f>
        <v>PRIS</v>
      </c>
      <c r="N480" s="12" t="str">
        <f t="shared" ref="N480:N481" si="117">HYPERLINK("http://maps.google.com/?q=37.1656,-76.6978&amp;t=k", "Map")</f>
        <v>Map</v>
      </c>
    </row>
    <row r="481">
      <c r="A481" s="9" t="s">
        <v>1308</v>
      </c>
      <c r="B481" s="9" t="s">
        <v>1661</v>
      </c>
      <c r="C481" s="12" t="str">
        <f>HYPERLINK("https://www.google.com/search?q=SURRY-2+nuclear+power+plant+in+UNITED+STATES", "SURRY-2")</f>
        <v>SURRY-2</v>
      </c>
      <c r="D481" s="9" t="s">
        <v>1607</v>
      </c>
      <c r="E481" s="9" t="s">
        <v>21</v>
      </c>
      <c r="F481" s="9">
        <v>890.0</v>
      </c>
      <c r="G481" s="9">
        <v>2857.0</v>
      </c>
      <c r="H481" s="9">
        <v>76.0</v>
      </c>
      <c r="I481" s="9">
        <v>103.1</v>
      </c>
      <c r="J481" s="9">
        <v>37.16556</v>
      </c>
      <c r="K481" s="9">
        <v>-76.69778</v>
      </c>
      <c r="L481" s="13">
        <v>-33.8720283508301</v>
      </c>
      <c r="M481" s="12" t="str">
        <f>HYPERLINK("http://www.iaea.org/PRIS/CountryStatistics/ReactorDetails.aspx?current=632", "PRIS")</f>
        <v>PRIS</v>
      </c>
      <c r="N481" s="12" t="str">
        <f t="shared" si="117"/>
        <v>Map</v>
      </c>
    </row>
    <row r="482">
      <c r="A482" s="9" t="s">
        <v>1308</v>
      </c>
      <c r="B482" s="9" t="s">
        <v>1661</v>
      </c>
      <c r="C482" s="12" t="str">
        <f>HYPERLINK("https://www.google.com/search?q=PRAIRIE+ISLAND-1+nuclear+power+plant+in+UNITED+STATES", "PRAIRIE ISLAND-1")</f>
        <v>PRAIRIE ISLAND-1</v>
      </c>
      <c r="D482" s="9" t="s">
        <v>1547</v>
      </c>
      <c r="E482" s="9" t="s">
        <v>21</v>
      </c>
      <c r="F482" s="9">
        <v>566.0</v>
      </c>
      <c r="G482" s="9">
        <v>1677.0</v>
      </c>
      <c r="H482" s="9">
        <v>85.7</v>
      </c>
      <c r="I482" s="9">
        <v>101.8</v>
      </c>
      <c r="J482" s="9">
        <v>44.62167</v>
      </c>
      <c r="K482" s="9">
        <v>-92.63306</v>
      </c>
      <c r="L482" s="13">
        <v>186.948547363281</v>
      </c>
      <c r="M482" s="12" t="str">
        <f>HYPERLINK("http://www.iaea.org/PRIS/CountryStatistics/ReactorDetails.aspx?current=633", "PRIS")</f>
        <v>PRIS</v>
      </c>
      <c r="N482" s="12" t="str">
        <f>HYPERLINK("http://maps.google.com/?q=44.6217,-92.6331&amp;t=k", "Map")</f>
        <v>Map</v>
      </c>
    </row>
    <row r="483">
      <c r="A483" s="9" t="s">
        <v>1308</v>
      </c>
      <c r="B483" s="9" t="s">
        <v>1661</v>
      </c>
      <c r="C483" s="12" t="str">
        <f>HYPERLINK("https://www.google.com/search?q=FORT+CALHOUN-1+nuclear+power+plant+in+UNITED+STATES", "FORT CALHOUN-1")</f>
        <v>FORT CALHOUN-1</v>
      </c>
      <c r="D483" s="9" t="s">
        <v>1420</v>
      </c>
      <c r="E483" s="9" t="s">
        <v>21</v>
      </c>
      <c r="F483" s="9">
        <v>512.0</v>
      </c>
      <c r="G483" s="9">
        <v>1500.0</v>
      </c>
      <c r="H483" s="9">
        <v>71.6</v>
      </c>
      <c r="I483" s="9">
        <v>2.3</v>
      </c>
      <c r="J483" s="9">
        <v>41.52028</v>
      </c>
      <c r="K483" s="9">
        <v>-96.07722</v>
      </c>
      <c r="L483" s="13">
        <v>287.745971679688</v>
      </c>
      <c r="M483" s="12" t="str">
        <f>HYPERLINK("http://www.iaea.org/PRIS/CountryStatistics/ReactorDetails.aspx?current=634", "PRIS")</f>
        <v>PRIS</v>
      </c>
      <c r="N483" s="12" t="str">
        <f>HYPERLINK("http://maps.google.com/?q=41.5203,-96.0772&amp;t=k", "Map")</f>
        <v>Map</v>
      </c>
    </row>
    <row r="484">
      <c r="A484" s="9" t="s">
        <v>1308</v>
      </c>
      <c r="B484" s="9" t="s">
        <v>1661</v>
      </c>
      <c r="C484" s="12" t="str">
        <f>HYPERLINK("https://www.google.com/search?q=INDIAN+POINT-3+nuclear+power+plant+in+UNITED+STATES", "INDIAN POINT-3")</f>
        <v>INDIAN POINT-3</v>
      </c>
      <c r="D484" s="9" t="s">
        <v>1454</v>
      </c>
      <c r="E484" s="9" t="s">
        <v>21</v>
      </c>
      <c r="F484" s="9">
        <v>1085.0</v>
      </c>
      <c r="G484" s="9">
        <v>3216.0</v>
      </c>
      <c r="H484" s="9">
        <v>69.2</v>
      </c>
      <c r="I484" s="9">
        <v>90.9</v>
      </c>
      <c r="J484" s="9">
        <v>41.26972</v>
      </c>
      <c r="K484" s="9">
        <v>-73.95222</v>
      </c>
      <c r="L484" s="13">
        <v>-13.4681854248047</v>
      </c>
      <c r="M484" s="12" t="str">
        <f>HYPERLINK("http://www.iaea.org/PRIS/CountryStatistics/ReactorDetails.aspx?current=635", "PRIS")</f>
        <v>PRIS</v>
      </c>
      <c r="N484" s="12" t="str">
        <f>HYPERLINK("http://maps.google.com/?q=41.2697,-73.9522&amp;t=k", "Map")</f>
        <v>Map</v>
      </c>
    </row>
    <row r="485">
      <c r="A485" s="9" t="s">
        <v>1308</v>
      </c>
      <c r="B485" s="9" t="s">
        <v>1661</v>
      </c>
      <c r="C485" s="12" t="str">
        <f>HYPERLINK("https://www.google.com/search?q=OCONEE-3+nuclear+power+plant+in+UNITED+STATES", "OCONEE-3")</f>
        <v>OCONEE-3</v>
      </c>
      <c r="D485" s="9" t="s">
        <v>1504</v>
      </c>
      <c r="E485" s="9" t="s">
        <v>21</v>
      </c>
      <c r="F485" s="9">
        <v>891.0</v>
      </c>
      <c r="G485" s="9">
        <v>2568.0</v>
      </c>
      <c r="H485" s="9">
        <v>80.5</v>
      </c>
      <c r="I485" s="9">
        <v>101.9</v>
      </c>
      <c r="J485" s="9">
        <v>34.79389</v>
      </c>
      <c r="K485" s="9">
        <v>-82.89806</v>
      </c>
      <c r="L485" s="13">
        <v>230.124572753906</v>
      </c>
      <c r="M485" s="12" t="str">
        <f>HYPERLINK("http://www.iaea.org/PRIS/CountryStatistics/ReactorDetails.aspx?current=636", "PRIS")</f>
        <v>PRIS</v>
      </c>
      <c r="N485" s="12" t="str">
        <f>HYPERLINK("http://maps.google.com/?q=34.7939,-82.8981&amp;t=k", "Map")</f>
        <v>Map</v>
      </c>
    </row>
    <row r="486">
      <c r="A486" s="9" t="s">
        <v>1308</v>
      </c>
      <c r="B486" s="9" t="s">
        <v>1661</v>
      </c>
      <c r="C486" s="12" t="str">
        <f>HYPERLINK("https://www.google.com/search?q=THREE+MILE+ISLAND-1+nuclear+power+plant+in+UNITED+STATES", "THREE MILE ISLAND-1")</f>
        <v>THREE MILE ISLAND-1</v>
      </c>
      <c r="D486" s="9" t="s">
        <v>1616</v>
      </c>
      <c r="E486" s="9" t="s">
        <v>21</v>
      </c>
      <c r="F486" s="9">
        <v>880.0</v>
      </c>
      <c r="G486" s="9">
        <v>2568.0</v>
      </c>
      <c r="H486" s="9">
        <v>75.2</v>
      </c>
      <c r="I486" s="9">
        <v>93.1</v>
      </c>
      <c r="J486" s="9">
        <v>40.153293</v>
      </c>
      <c r="K486" s="9">
        <v>-76.72534</v>
      </c>
      <c r="L486" s="13">
        <v>52.4499397277832</v>
      </c>
      <c r="M486" s="12" t="str">
        <f>HYPERLINK("http://www.iaea.org/PRIS/CountryStatistics/ReactorDetails.aspx?current=637", "PRIS")</f>
        <v>PRIS</v>
      </c>
      <c r="N486" s="12" t="str">
        <f>HYPERLINK("http://maps.google.com/?q=40.1533,-76.7253&amp;t=k", "Map")</f>
        <v>Map</v>
      </c>
    </row>
    <row r="487">
      <c r="A487" s="9" t="s">
        <v>1308</v>
      </c>
      <c r="B487" s="9" t="s">
        <v>1661</v>
      </c>
      <c r="C487" s="12" t="str">
        <f>HYPERLINK("https://www.google.com/search?q=YANKEE+NPS+nuclear+power+plant+in+UNITED+STATES", "YANKEE NPS")</f>
        <v>YANKEE NPS</v>
      </c>
      <c r="D487" s="9" t="s">
        <v>1652</v>
      </c>
      <c r="E487" s="9" t="s">
        <v>24</v>
      </c>
      <c r="F487" s="9">
        <v>180.0</v>
      </c>
      <c r="G487" s="9">
        <v>600.0</v>
      </c>
      <c r="H487" s="9">
        <v>71.7</v>
      </c>
      <c r="I487" s="9">
        <v>0.0</v>
      </c>
      <c r="J487" s="9">
        <v>42.7278389</v>
      </c>
      <c r="K487" s="9">
        <v>-72.9291083</v>
      </c>
      <c r="L487" s="13">
        <v>387.273284912109</v>
      </c>
      <c r="M487" s="12" t="str">
        <f>HYPERLINK("http://www.iaea.org/PRIS/CountryStatistics/ReactorDetails.aspx?current=638", "PRIS")</f>
        <v>PRIS</v>
      </c>
      <c r="N487" s="12" t="str">
        <f>HYPERLINK("http://maps.google.com/?q=42.7278,-72.9291&amp;t=k", "Map")</f>
        <v>Map</v>
      </c>
    </row>
    <row r="488">
      <c r="A488" s="9" t="s">
        <v>1308</v>
      </c>
      <c r="B488" s="9" t="s">
        <v>1661</v>
      </c>
      <c r="C488" s="12" t="str">
        <f>HYPERLINK("https://www.google.com/search?q=PILGRIM-1+nuclear+power+plant+in+UNITED+STATES", "PILGRIM-1")</f>
        <v>PILGRIM-1</v>
      </c>
      <c r="D488" s="9" t="s">
        <v>1536</v>
      </c>
      <c r="E488" s="9" t="s">
        <v>21</v>
      </c>
      <c r="F488" s="9">
        <v>711.0</v>
      </c>
      <c r="G488" s="9">
        <v>2028.0</v>
      </c>
      <c r="H488" s="9">
        <v>68.8</v>
      </c>
      <c r="I488" s="9">
        <v>72.9</v>
      </c>
      <c r="J488" s="9">
        <v>41.945</v>
      </c>
      <c r="K488" s="9">
        <v>-70.5783</v>
      </c>
      <c r="L488" s="13">
        <v>-24.1627998352051</v>
      </c>
      <c r="M488" s="12" t="str">
        <f>HYPERLINK("http://www.iaea.org/PRIS/CountryStatistics/ReactorDetails.aspx?current=639", "PRIS")</f>
        <v>PRIS</v>
      </c>
      <c r="N488" s="12" t="str">
        <f>HYPERLINK("http://maps.google.com/?q=41.945,-70.5783&amp;t=k", "Map")</f>
        <v>Map</v>
      </c>
    </row>
    <row r="489">
      <c r="A489" s="9" t="s">
        <v>1308</v>
      </c>
      <c r="B489" s="9" t="s">
        <v>1661</v>
      </c>
      <c r="C489" s="12" t="str">
        <f>HYPERLINK("https://www.google.com/search?q=ZION-1+nuclear+power+plant+in+UNITED+STATES", "ZION-1")</f>
        <v>ZION-1</v>
      </c>
      <c r="D489" s="9" t="s">
        <v>1655</v>
      </c>
      <c r="E489" s="9" t="s">
        <v>24</v>
      </c>
      <c r="F489" s="9">
        <v>1085.0</v>
      </c>
      <c r="G489" s="9">
        <v>3250.0</v>
      </c>
      <c r="H489" s="9">
        <v>57.4</v>
      </c>
      <c r="I489" s="9">
        <v>0.0</v>
      </c>
      <c r="J489" s="9">
        <v>42.446428</v>
      </c>
      <c r="K489" s="9">
        <v>-87.803003</v>
      </c>
      <c r="L489" s="13">
        <v>142.821426391602</v>
      </c>
      <c r="M489" s="12" t="str">
        <f>HYPERLINK("http://www.iaea.org/PRIS/CountryStatistics/ReactorDetails.aspx?current=640", "PRIS")</f>
        <v>PRIS</v>
      </c>
      <c r="N489" s="12" t="str">
        <f>HYPERLINK("http://maps.google.com/?q=42.4464,-87.803&amp;t=k", "Map")</f>
        <v>Map</v>
      </c>
    </row>
    <row r="490">
      <c r="A490" s="9" t="s">
        <v>1308</v>
      </c>
      <c r="B490" s="9" t="s">
        <v>1661</v>
      </c>
      <c r="C490" s="12" t="str">
        <f>HYPERLINK("https://www.google.com/search?q=BROWNS+FERRY-3+nuclear+power+plant+in+UNITED+STATES", "BROWNS FERRY-3")</f>
        <v>BROWNS FERRY-3</v>
      </c>
      <c r="D490" s="9" t="s">
        <v>1332</v>
      </c>
      <c r="E490" s="9" t="s">
        <v>21</v>
      </c>
      <c r="F490" s="9">
        <v>1155.0</v>
      </c>
      <c r="G490" s="9">
        <v>3458.0</v>
      </c>
      <c r="H490" s="9">
        <v>80.3</v>
      </c>
      <c r="I490" s="9">
        <v>95.4</v>
      </c>
      <c r="J490" s="9">
        <v>34.70389</v>
      </c>
      <c r="K490" s="9">
        <v>-87.11861</v>
      </c>
      <c r="L490" s="13">
        <v>142.944030761719</v>
      </c>
      <c r="M490" s="12" t="str">
        <f>HYPERLINK("http://www.iaea.org/PRIS/CountryStatistics/ReactorDetails.aspx?current=641", "PRIS")</f>
        <v>PRIS</v>
      </c>
      <c r="N490" s="12" t="str">
        <f>HYPERLINK("http://maps.google.com/?q=34.7039,-87.1186&amp;t=k", "Map")</f>
        <v>Map</v>
      </c>
    </row>
    <row r="491">
      <c r="A491" s="9" t="s">
        <v>1308</v>
      </c>
      <c r="B491" s="9" t="s">
        <v>1661</v>
      </c>
      <c r="C491" s="12" t="str">
        <f>HYPERLINK("https://www.google.com/search?q=COOPER+nuclear+power+plant+in+UNITED+STATES", "COOPER")</f>
        <v>COOPER</v>
      </c>
      <c r="D491" s="9" t="s">
        <v>1378</v>
      </c>
      <c r="E491" s="9" t="s">
        <v>21</v>
      </c>
      <c r="F491" s="9">
        <v>801.0</v>
      </c>
      <c r="G491" s="9">
        <v>2419.0</v>
      </c>
      <c r="H491" s="9">
        <v>73.3</v>
      </c>
      <c r="I491" s="9">
        <v>101.4</v>
      </c>
      <c r="J491" s="9">
        <v>40.36194</v>
      </c>
      <c r="K491" s="9">
        <v>-95.64139</v>
      </c>
      <c r="L491" s="13">
        <v>240.419555664063</v>
      </c>
      <c r="M491" s="12" t="str">
        <f>HYPERLINK("http://www.iaea.org/PRIS/CountryStatistics/ReactorDetails.aspx?current=642", "PRIS")</f>
        <v>PRIS</v>
      </c>
      <c r="N491" s="12" t="str">
        <f>HYPERLINK("http://maps.google.com/?q=40.3619,-95.6414&amp;t=k", "Map")</f>
        <v>Map</v>
      </c>
    </row>
    <row r="492">
      <c r="A492" s="9" t="s">
        <v>1308</v>
      </c>
      <c r="B492" s="9" t="s">
        <v>1661</v>
      </c>
      <c r="C492" s="12" t="str">
        <f>HYPERLINK("https://www.google.com/search?q=INDIAN+POINT-1+nuclear+power+plant+in+UNITED+STATES", "INDIAN POINT-1")</f>
        <v>INDIAN POINT-1</v>
      </c>
      <c r="D492" s="9" t="s">
        <v>1454</v>
      </c>
      <c r="E492" s="9" t="s">
        <v>24</v>
      </c>
      <c r="F492" s="9">
        <v>277.0</v>
      </c>
      <c r="G492" s="9">
        <v>615.0</v>
      </c>
      <c r="H492" s="9">
        <v>0.0</v>
      </c>
      <c r="I492" s="9">
        <v>0.0</v>
      </c>
      <c r="J492" s="9">
        <v>41.26972</v>
      </c>
      <c r="K492" s="9">
        <v>-73.95222</v>
      </c>
      <c r="L492" s="13">
        <v>-13.4681854248047</v>
      </c>
      <c r="M492" s="12" t="str">
        <f>HYPERLINK("http://www.iaea.org/PRIS/CountryStatistics/ReactorDetails.aspx?current=643", "PRIS")</f>
        <v>PRIS</v>
      </c>
      <c r="N492" s="12" t="str">
        <f>HYPERLINK("http://maps.google.com/?q=41.2697,-73.9522&amp;t=k", "Map")</f>
        <v>Map</v>
      </c>
    </row>
    <row r="493">
      <c r="A493" s="9" t="s">
        <v>1308</v>
      </c>
      <c r="B493" s="9" t="s">
        <v>1661</v>
      </c>
      <c r="C493" s="12" t="str">
        <f>HYPERLINK("https://www.google.com/search?q=POINT+BEACH-2+nuclear+power+plant+in+UNITED+STATES", "POINT BEACH-2")</f>
        <v>POINT BEACH-2</v>
      </c>
      <c r="D493" s="9" t="s">
        <v>1542</v>
      </c>
      <c r="E493" s="9" t="s">
        <v>21</v>
      </c>
      <c r="F493" s="9">
        <v>640.0</v>
      </c>
      <c r="G493" s="9">
        <v>1800.0</v>
      </c>
      <c r="H493" s="9">
        <v>83.0</v>
      </c>
      <c r="I493" s="9">
        <v>101.2</v>
      </c>
      <c r="J493" s="9">
        <v>44.28111</v>
      </c>
      <c r="K493" s="9">
        <v>-87.53667</v>
      </c>
      <c r="L493" s="13">
        <v>157.510238647461</v>
      </c>
      <c r="M493" s="12" t="str">
        <f>HYPERLINK("http://www.iaea.org/PRIS/CountryStatistics/ReactorDetails.aspx?current=644", "PRIS")</f>
        <v>PRIS</v>
      </c>
      <c r="N493" s="12" t="str">
        <f>HYPERLINK("http://maps.google.com/?q=44.2811,-87.5367&amp;t=k", "Map")</f>
        <v>Map</v>
      </c>
    </row>
    <row r="494">
      <c r="A494" s="9" t="s">
        <v>1308</v>
      </c>
      <c r="B494" s="9" t="s">
        <v>1661</v>
      </c>
      <c r="C494" s="12" t="str">
        <f>HYPERLINK("https://www.google.com/search?q=CRYSTAL+RIVER-3+nuclear+power+plant+in+UNITED+STATES", "CRYSTAL RIVER-3")</f>
        <v>CRYSTAL RIVER-3</v>
      </c>
      <c r="D494" s="9" t="s">
        <v>1662</v>
      </c>
      <c r="E494" s="9" t="s">
        <v>24</v>
      </c>
      <c r="F494" s="9">
        <v>890.0</v>
      </c>
      <c r="G494" s="9">
        <v>2568.0</v>
      </c>
      <c r="H494" s="9">
        <v>64.5</v>
      </c>
      <c r="I494" s="9">
        <v>0.0</v>
      </c>
      <c r="J494" s="9">
        <v>28.9575</v>
      </c>
      <c r="K494" s="9">
        <v>-82.69833</v>
      </c>
      <c r="L494" s="13">
        <v>-27.8760223388672</v>
      </c>
      <c r="M494" s="12" t="str">
        <f>HYPERLINK("http://www.iaea.org/PRIS/CountryStatistics/ReactorDetails.aspx?current=645", "PRIS")</f>
        <v>PRIS</v>
      </c>
      <c r="N494" s="12" t="str">
        <f>HYPERLINK("http://maps.google.com/?q=28.9575,-82.6983&amp;t=k", "Map")</f>
        <v>Map</v>
      </c>
    </row>
    <row r="495">
      <c r="A495" s="9" t="s">
        <v>1308</v>
      </c>
      <c r="B495" s="9" t="s">
        <v>1661</v>
      </c>
      <c r="C495" s="12" t="str">
        <f>HYPERLINK("https://www.google.com/search?q=ZION-2+nuclear+power+plant+in+UNITED+STATES", "ZION-2")</f>
        <v>ZION-2</v>
      </c>
      <c r="D495" s="9" t="s">
        <v>1655</v>
      </c>
      <c r="E495" s="9" t="s">
        <v>24</v>
      </c>
      <c r="F495" s="9">
        <v>1085.0</v>
      </c>
      <c r="G495" s="9">
        <v>3250.0</v>
      </c>
      <c r="H495" s="9">
        <v>59.2</v>
      </c>
      <c r="I495" s="9">
        <v>0.0</v>
      </c>
      <c r="J495" s="9">
        <v>42.446428</v>
      </c>
      <c r="K495" s="9">
        <v>-87.803003</v>
      </c>
      <c r="L495" s="13">
        <v>142.821426391602</v>
      </c>
      <c r="M495" s="12" t="str">
        <f>HYPERLINK("http://www.iaea.org/PRIS/CountryStatistics/ReactorDetails.aspx?current=646", "PRIS")</f>
        <v>PRIS</v>
      </c>
      <c r="N495" s="12" t="str">
        <f>HYPERLINK("http://maps.google.com/?q=42.4464,-87.803&amp;t=k", "Map")</f>
        <v>Map</v>
      </c>
    </row>
    <row r="496">
      <c r="A496" s="9" t="s">
        <v>1308</v>
      </c>
      <c r="B496" s="9" t="s">
        <v>1661</v>
      </c>
      <c r="C496" s="12" t="str">
        <f>HYPERLINK("https://www.google.com/search?q=KEWAUNEE+nuclear+power+plant+in+UNITED+STATES", "KEWAUNEE")</f>
        <v>KEWAUNEE</v>
      </c>
      <c r="D496" s="9" t="s">
        <v>1461</v>
      </c>
      <c r="E496" s="9" t="s">
        <v>24</v>
      </c>
      <c r="F496" s="9">
        <v>595.0</v>
      </c>
      <c r="G496" s="9">
        <v>1772.0</v>
      </c>
      <c r="H496" s="9">
        <v>84.0</v>
      </c>
      <c r="I496" s="9">
        <v>101.0</v>
      </c>
      <c r="J496" s="9">
        <v>44.34222</v>
      </c>
      <c r="K496" s="9">
        <v>-87.53611</v>
      </c>
      <c r="L496" s="13">
        <v>147.035369873047</v>
      </c>
      <c r="M496" s="12" t="str">
        <f>HYPERLINK("http://www.iaea.org/PRIS/CountryStatistics/ReactorDetails.aspx?current=647", "PRIS")</f>
        <v>PRIS</v>
      </c>
      <c r="N496" s="12" t="str">
        <f>HYPERLINK("http://maps.google.com/?q=44.3422,-87.5361&amp;t=k", "Map")</f>
        <v>Map</v>
      </c>
    </row>
    <row r="497">
      <c r="A497" s="9" t="s">
        <v>1308</v>
      </c>
      <c r="B497" s="9" t="s">
        <v>1661</v>
      </c>
      <c r="C497" s="12" t="str">
        <f>HYPERLINK("https://www.google.com/search?q=PRAIRIE+ISLAND-2+nuclear+power+plant+in+UNITED+STATES", "PRAIRIE ISLAND-2")</f>
        <v>PRAIRIE ISLAND-2</v>
      </c>
      <c r="D497" s="9" t="s">
        <v>1547</v>
      </c>
      <c r="E497" s="9" t="s">
        <v>21</v>
      </c>
      <c r="F497" s="9">
        <v>560.0</v>
      </c>
      <c r="G497" s="9">
        <v>1677.0</v>
      </c>
      <c r="H497" s="9">
        <v>87.2</v>
      </c>
      <c r="I497" s="9">
        <v>67.5</v>
      </c>
      <c r="J497" s="9">
        <v>44.62167</v>
      </c>
      <c r="K497" s="9">
        <v>-92.63306</v>
      </c>
      <c r="L497" s="13">
        <v>182.302001953125</v>
      </c>
      <c r="M497" s="12" t="str">
        <f>HYPERLINK("http://www.iaea.org/PRIS/CountryStatistics/ReactorDetails.aspx?current=648", "PRIS")</f>
        <v>PRIS</v>
      </c>
      <c r="N497" s="12" t="str">
        <f>HYPERLINK("http://maps.google.com/?q=44.6217,-92.6331&amp;t=k", "Map")</f>
        <v>Map</v>
      </c>
    </row>
    <row r="498">
      <c r="A498" s="9" t="s">
        <v>1308</v>
      </c>
      <c r="B498" s="9" t="s">
        <v>1661</v>
      </c>
      <c r="C498" s="12" t="str">
        <f>HYPERLINK("https://www.google.com/search?q=MAINE+YANKEE+nuclear+power+plant+in+UNITED+STATES", "MAINE YANKEE")</f>
        <v>MAINE YANKEE</v>
      </c>
      <c r="D498" s="9" t="s">
        <v>1477</v>
      </c>
      <c r="E498" s="9" t="s">
        <v>24</v>
      </c>
      <c r="F498" s="9">
        <v>900.0</v>
      </c>
      <c r="G498" s="9">
        <v>2630.0</v>
      </c>
      <c r="H498" s="9">
        <v>68.2</v>
      </c>
      <c r="I498" s="9">
        <v>0.0</v>
      </c>
      <c r="J498" s="9">
        <v>43.9517583</v>
      </c>
      <c r="K498" s="9">
        <v>-69.6962278</v>
      </c>
      <c r="L498" s="13">
        <v>-16.018045425415</v>
      </c>
      <c r="M498" s="12" t="str">
        <f>HYPERLINK("http://www.iaea.org/PRIS/CountryStatistics/ReactorDetails.aspx?current=649", "PRIS")</f>
        <v>PRIS</v>
      </c>
      <c r="N498" s="12" t="str">
        <f>HYPERLINK("http://maps.google.com/?q=43.9518,-69.6962&amp;t=k", "Map")</f>
        <v>Map</v>
      </c>
    </row>
    <row r="499">
      <c r="A499" s="9" t="s">
        <v>1308</v>
      </c>
      <c r="B499" s="9" t="s">
        <v>1661</v>
      </c>
      <c r="C499" s="12" t="str">
        <f>HYPERLINK("https://www.google.com/search?q=SALEM-2+nuclear+power+plant+in+UNITED+STATES", "SALEM-2")</f>
        <v>SALEM-2</v>
      </c>
      <c r="D499" s="9" t="s">
        <v>1448</v>
      </c>
      <c r="E499" s="9" t="s">
        <v>21</v>
      </c>
      <c r="F499" s="9">
        <v>1200.0</v>
      </c>
      <c r="G499" s="9">
        <v>3459.0</v>
      </c>
      <c r="H499" s="9">
        <v>69.8</v>
      </c>
      <c r="I499" s="9">
        <v>101.2</v>
      </c>
      <c r="J499" s="9">
        <v>39.46278</v>
      </c>
      <c r="K499" s="9">
        <v>-75.53556</v>
      </c>
      <c r="L499" s="13">
        <v>-34.3144836425781</v>
      </c>
      <c r="M499" s="12" t="str">
        <f>HYPERLINK("http://www.iaea.org/PRIS/CountryStatistics/ReactorDetails.aspx?current=650", "PRIS")</f>
        <v>PRIS</v>
      </c>
      <c r="N499" s="12" t="str">
        <f>HYPERLINK("http://maps.google.com/?q=39.4628,-75.5356&amp;t=k", "Map")</f>
        <v>Map</v>
      </c>
    </row>
    <row r="500">
      <c r="A500" s="9" t="s">
        <v>1308</v>
      </c>
      <c r="B500" s="9" t="s">
        <v>1661</v>
      </c>
      <c r="C500" s="12" t="str">
        <f>HYPERLINK("https://www.google.com/search?q=RANCHO+SECO-1+nuclear+power+plant+in+UNITED+STATES", "RANCHO SECO-1")</f>
        <v>RANCHO SECO-1</v>
      </c>
      <c r="D500" s="9" t="s">
        <v>1557</v>
      </c>
      <c r="E500" s="9" t="s">
        <v>24</v>
      </c>
      <c r="F500" s="9">
        <v>917.0</v>
      </c>
      <c r="G500" s="9">
        <v>2772.0</v>
      </c>
      <c r="H500" s="9">
        <v>40.0</v>
      </c>
      <c r="I500" s="9">
        <v>0.0</v>
      </c>
      <c r="J500" s="9">
        <v>38.34528</v>
      </c>
      <c r="K500" s="9">
        <v>-121.12167</v>
      </c>
      <c r="L500" s="13">
        <v>22.1763896942139</v>
      </c>
      <c r="M500" s="12" t="str">
        <f>HYPERLINK("http://www.iaea.org/PRIS/CountryStatistics/ReactorDetails.aspx?current=651", "PRIS")</f>
        <v>PRIS</v>
      </c>
      <c r="N500" s="12" t="str">
        <f>HYPERLINK("http://maps.google.com/?q=38.3453,-121.122&amp;t=k", "Map")</f>
        <v>Map</v>
      </c>
    </row>
    <row r="501">
      <c r="A501" s="9" t="s">
        <v>1308</v>
      </c>
      <c r="B501" s="9" t="s">
        <v>1661</v>
      </c>
      <c r="C501" s="12" t="str">
        <f>HYPERLINK("https://www.google.com/search?q=ANO-1+nuclear+power+plant+in+UNITED+STATES", "ANO-1")</f>
        <v>ANO-1</v>
      </c>
      <c r="D501" s="9" t="s">
        <v>1311</v>
      </c>
      <c r="E501" s="9" t="s">
        <v>21</v>
      </c>
      <c r="F501" s="9">
        <v>903.0</v>
      </c>
      <c r="G501" s="9">
        <v>2568.0</v>
      </c>
      <c r="H501" s="9">
        <v>76.2</v>
      </c>
      <c r="I501" s="9">
        <v>60.7</v>
      </c>
      <c r="J501" s="9">
        <v>35.31028</v>
      </c>
      <c r="K501" s="9">
        <v>-93.23139</v>
      </c>
      <c r="L501" s="13">
        <v>76.8639297485352</v>
      </c>
      <c r="M501" s="12" t="str">
        <f>HYPERLINK("http://www.iaea.org/PRIS/CountryStatistics/ReactorDetails.aspx?current=652", "PRIS")</f>
        <v>PRIS</v>
      </c>
      <c r="N501" s="12" t="str">
        <f>HYPERLINK("http://maps.google.com/?q=35.3103,-93.2314&amp;t=k", "Map")</f>
        <v>Map</v>
      </c>
    </row>
    <row r="502">
      <c r="A502" s="9" t="s">
        <v>1308</v>
      </c>
      <c r="B502" s="9" t="s">
        <v>1661</v>
      </c>
      <c r="C502" s="12" t="str">
        <f>HYPERLINK("https://www.google.com/search?q=COOK-1+nuclear+power+plant+in+UNITED+STATES", "COOK-1")</f>
        <v>COOK-1</v>
      </c>
      <c r="D502" s="9" t="s">
        <v>1373</v>
      </c>
      <c r="E502" s="9" t="s">
        <v>21</v>
      </c>
      <c r="F502" s="9">
        <v>1100.0</v>
      </c>
      <c r="G502" s="9">
        <v>3304.0</v>
      </c>
      <c r="H502" s="9">
        <v>67.3</v>
      </c>
      <c r="I502" s="9">
        <v>87.0</v>
      </c>
      <c r="J502" s="9">
        <v>41.975391</v>
      </c>
      <c r="K502" s="9">
        <v>-86.565914</v>
      </c>
      <c r="L502" s="13">
        <v>145.140228271484</v>
      </c>
      <c r="M502" s="12" t="str">
        <f>HYPERLINK("http://www.iaea.org/PRIS/CountryStatistics/ReactorDetails.aspx?current=653", "PRIS")</f>
        <v>PRIS</v>
      </c>
      <c r="N502" s="12" t="str">
        <f t="shared" ref="N502:N503" si="118">HYPERLINK("http://maps.google.com/?q=41.9754,-86.5659&amp;t=k", "Map")</f>
        <v>Map</v>
      </c>
    </row>
    <row r="503">
      <c r="A503" s="9" t="s">
        <v>1308</v>
      </c>
      <c r="B503" s="9" t="s">
        <v>1661</v>
      </c>
      <c r="C503" s="12" t="str">
        <f>HYPERLINK("https://www.google.com/search?q=COOK-2+nuclear+power+plant+in+UNITED+STATES", "COOK-2")</f>
        <v>COOK-2</v>
      </c>
      <c r="D503" s="9" t="s">
        <v>1373</v>
      </c>
      <c r="E503" s="9" t="s">
        <v>21</v>
      </c>
      <c r="F503" s="9">
        <v>1151.0</v>
      </c>
      <c r="G503" s="9">
        <v>3468.0</v>
      </c>
      <c r="H503" s="9">
        <v>68.4</v>
      </c>
      <c r="I503" s="9">
        <v>89.4</v>
      </c>
      <c r="J503" s="9">
        <v>41.975391</v>
      </c>
      <c r="K503" s="9">
        <v>-86.565914</v>
      </c>
      <c r="L503" s="13">
        <v>145.140228271484</v>
      </c>
      <c r="M503" s="12" t="str">
        <f>HYPERLINK("http://www.iaea.org/PRIS/CountryStatistics/ReactorDetails.aspx?current=654", "PRIS")</f>
        <v>PRIS</v>
      </c>
      <c r="N503" s="12" t="str">
        <f t="shared" si="118"/>
        <v>Map</v>
      </c>
    </row>
    <row r="504">
      <c r="A504" s="9" t="s">
        <v>1308</v>
      </c>
      <c r="B504" s="9" t="s">
        <v>1661</v>
      </c>
      <c r="C504" s="12" t="str">
        <f>HYPERLINK("https://www.google.com/search?q=CALVERT+CLIFFS-1+nuclear+power+plant+in+UNITED+STATES", "CALVERT CLIFFS-1")</f>
        <v>CALVERT CLIFFS-1</v>
      </c>
      <c r="D504" s="9" t="s">
        <v>1352</v>
      </c>
      <c r="E504" s="9" t="s">
        <v>21</v>
      </c>
      <c r="F504" s="9">
        <v>918.0</v>
      </c>
      <c r="G504" s="9">
        <v>2737.0</v>
      </c>
      <c r="H504" s="9">
        <v>80.0</v>
      </c>
      <c r="I504" s="9">
        <v>103.0</v>
      </c>
      <c r="J504" s="9">
        <v>38.43194</v>
      </c>
      <c r="K504" s="9">
        <v>-76.44222</v>
      </c>
      <c r="L504" s="13">
        <v>-20.3279514312744</v>
      </c>
      <c r="M504" s="12" t="str">
        <f>HYPERLINK("http://www.iaea.org/PRIS/CountryStatistics/ReactorDetails.aspx?current=655", "PRIS")</f>
        <v>PRIS</v>
      </c>
      <c r="N504" s="12" t="str">
        <f t="shared" ref="N504:N505" si="119">HYPERLINK("http://maps.google.com/?q=38.4319,-76.4422&amp;t=k", "Map")</f>
        <v>Map</v>
      </c>
    </row>
    <row r="505">
      <c r="A505" s="9" t="s">
        <v>1308</v>
      </c>
      <c r="B505" s="9" t="s">
        <v>1661</v>
      </c>
      <c r="C505" s="12" t="str">
        <f>HYPERLINK("https://www.google.com/search?q=CALVERT+CLIFFS-2+nuclear+power+plant+in+UNITED+STATES", "CALVERT CLIFFS-2")</f>
        <v>CALVERT CLIFFS-2</v>
      </c>
      <c r="D505" s="9" t="s">
        <v>1352</v>
      </c>
      <c r="E505" s="9" t="s">
        <v>21</v>
      </c>
      <c r="F505" s="9">
        <v>911.0</v>
      </c>
      <c r="G505" s="9">
        <v>2737.0</v>
      </c>
      <c r="H505" s="9">
        <v>82.5</v>
      </c>
      <c r="I505" s="9">
        <v>87.1</v>
      </c>
      <c r="J505" s="9">
        <v>38.43194</v>
      </c>
      <c r="K505" s="9">
        <v>-76.44222</v>
      </c>
      <c r="L505" s="13">
        <v>-20.3279514312744</v>
      </c>
      <c r="M505" s="12" t="str">
        <f>HYPERLINK("http://www.iaea.org/PRIS/CountryStatistics/ReactorDetails.aspx?current=656", "PRIS")</f>
        <v>PRIS</v>
      </c>
      <c r="N505" s="12" t="str">
        <f t="shared" si="119"/>
        <v>Map</v>
      </c>
    </row>
    <row r="506">
      <c r="A506" s="9" t="s">
        <v>1308</v>
      </c>
      <c r="B506" s="9" t="s">
        <v>1661</v>
      </c>
      <c r="C506" s="12" t="str">
        <f>HYPERLINK("https://www.google.com/search?q=THREE+MILE+ISLAND-2+nuclear+power+plant+in+UNITED+STATES", "THREE MILE ISLAND-2")</f>
        <v>THREE MILE ISLAND-2</v>
      </c>
      <c r="D506" s="9" t="s">
        <v>1616</v>
      </c>
      <c r="E506" s="9" t="s">
        <v>24</v>
      </c>
      <c r="F506" s="9">
        <v>959.0</v>
      </c>
      <c r="G506" s="9">
        <v>2772.0</v>
      </c>
      <c r="H506" s="9">
        <v>69.3</v>
      </c>
      <c r="I506" s="9">
        <v>0.0</v>
      </c>
      <c r="J506" s="9">
        <v>40.153293</v>
      </c>
      <c r="K506" s="9">
        <v>-76.72534</v>
      </c>
      <c r="L506" s="13">
        <v>52.4499397277832</v>
      </c>
      <c r="M506" s="12" t="str">
        <f>HYPERLINK("http://www.iaea.org/PRIS/CountryStatistics/ReactorDetails.aspx?current=657", "PRIS")</f>
        <v>PRIS</v>
      </c>
      <c r="N506" s="12" t="str">
        <f>HYPERLINK("http://maps.google.com/?q=40.1533,-76.7253&amp;t=k", "Map")</f>
        <v>Map</v>
      </c>
    </row>
    <row r="507">
      <c r="A507" s="9" t="s">
        <v>1308</v>
      </c>
      <c r="B507" s="9" t="s">
        <v>1661</v>
      </c>
      <c r="C507" s="12" t="str">
        <f>HYPERLINK("https://www.google.com/search?q=HATCH-1+nuclear+power+plant+in+UNITED+STATES", "HATCH-1")</f>
        <v>HATCH-1</v>
      </c>
      <c r="D507" s="9" t="s">
        <v>1443</v>
      </c>
      <c r="E507" s="9" t="s">
        <v>21</v>
      </c>
      <c r="F507" s="9">
        <v>911.0</v>
      </c>
      <c r="G507" s="9">
        <v>2804.0</v>
      </c>
      <c r="H507" s="9">
        <v>79.5</v>
      </c>
      <c r="I507" s="9">
        <v>92.0</v>
      </c>
      <c r="J507" s="9">
        <v>31.93417</v>
      </c>
      <c r="K507" s="9">
        <v>-82.34389</v>
      </c>
      <c r="L507" s="13">
        <v>2.64089393615723</v>
      </c>
      <c r="M507" s="12" t="str">
        <f>HYPERLINK("http://www.iaea.org/PRIS/CountryStatistics/ReactorDetails.aspx?current=658", "PRIS")</f>
        <v>PRIS</v>
      </c>
      <c r="N507" s="12" t="str">
        <f>HYPERLINK("http://maps.google.com/?q=31.9342,-82.3439&amp;t=k", "Map")</f>
        <v>Map</v>
      </c>
    </row>
    <row r="508">
      <c r="A508" s="9" t="s">
        <v>1308</v>
      </c>
      <c r="B508" s="9" t="s">
        <v>1661</v>
      </c>
      <c r="C508" s="12" t="str">
        <f>HYPERLINK("https://www.google.com/search?q=SHOREHAM+nuclear+power+plant+in+UNITED+STATES", "SHOREHAM")</f>
        <v>SHOREHAM</v>
      </c>
      <c r="D508" s="9" t="s">
        <v>1587</v>
      </c>
      <c r="E508" s="9" t="s">
        <v>24</v>
      </c>
      <c r="F508" s="9">
        <v>849.0</v>
      </c>
      <c r="G508" s="9">
        <v>2436.0</v>
      </c>
      <c r="H508" s="9">
        <v>0.0</v>
      </c>
      <c r="I508" s="9">
        <v>0.0</v>
      </c>
      <c r="J508" s="9">
        <v>40.96111</v>
      </c>
      <c r="K508" s="9">
        <v>-72.865</v>
      </c>
      <c r="L508" s="13">
        <v>-13.8311309814453</v>
      </c>
      <c r="M508" s="12" t="str">
        <f>HYPERLINK("http://www.iaea.org/PRIS/CountryStatistics/ReactorDetails.aspx?current=659", "PRIS")</f>
        <v>PRIS</v>
      </c>
      <c r="N508" s="12" t="str">
        <f>HYPERLINK("http://maps.google.com/?q=40.9611,-72.865&amp;t=k", "Map")</f>
        <v>Map</v>
      </c>
    </row>
    <row r="509">
      <c r="A509" s="9" t="s">
        <v>1308</v>
      </c>
      <c r="B509" s="9" t="s">
        <v>1661</v>
      </c>
      <c r="C509" s="12" t="str">
        <f>HYPERLINK("https://www.google.com/search?q=DIABLO+CANYON-2+nuclear+power+plant+in+UNITED+STATES", "DIABLO CANYON-2")</f>
        <v>DIABLO CANYON-2</v>
      </c>
      <c r="D509" s="9" t="s">
        <v>1390</v>
      </c>
      <c r="E509" s="9" t="s">
        <v>21</v>
      </c>
      <c r="F509" s="9">
        <v>1197.0</v>
      </c>
      <c r="G509" s="9">
        <v>3411.0</v>
      </c>
      <c r="H509" s="9">
        <v>86.9</v>
      </c>
      <c r="I509" s="9">
        <v>86.0</v>
      </c>
      <c r="J509" s="9">
        <v>35.21083</v>
      </c>
      <c r="K509" s="9">
        <v>-120.85611</v>
      </c>
      <c r="L509" s="13">
        <v>63.3910140991211</v>
      </c>
      <c r="M509" s="12" t="str">
        <f>HYPERLINK("http://www.iaea.org/PRIS/CountryStatistics/ReactorDetails.aspx?current=660", "PRIS")</f>
        <v>PRIS</v>
      </c>
      <c r="N509" s="12" t="str">
        <f>HYPERLINK("http://maps.google.com/?q=35.2108,-120.856&amp;t=k", "Map")</f>
        <v>Map</v>
      </c>
    </row>
    <row r="510">
      <c r="A510" s="9" t="s">
        <v>1308</v>
      </c>
      <c r="B510" s="9" t="s">
        <v>1661</v>
      </c>
      <c r="C510" s="12" t="str">
        <f>HYPERLINK("https://www.google.com/search?q=BRUNSWICK-2+nuclear+power+plant+in+UNITED+STATES", "BRUNSWICK-2")</f>
        <v>BRUNSWICK-2</v>
      </c>
      <c r="D510" s="9" t="s">
        <v>1339</v>
      </c>
      <c r="E510" s="9" t="s">
        <v>21</v>
      </c>
      <c r="F510" s="9">
        <v>960.0</v>
      </c>
      <c r="G510" s="9">
        <v>2923.0</v>
      </c>
      <c r="H510" s="9">
        <v>71.6</v>
      </c>
      <c r="I510" s="9">
        <v>79.2</v>
      </c>
      <c r="J510" s="9">
        <v>33.95833</v>
      </c>
      <c r="K510" s="9">
        <v>-78.01028</v>
      </c>
      <c r="L510" s="13">
        <v>-32.4792823791504</v>
      </c>
      <c r="M510" s="12" t="str">
        <f>HYPERLINK("http://www.iaea.org/PRIS/CountryStatistics/ReactorDetails.aspx?current=661", "PRIS")</f>
        <v>PRIS</v>
      </c>
      <c r="N510" s="12" t="str">
        <f t="shared" ref="N510:N511" si="120">HYPERLINK("http://maps.google.com/?q=33.9583,-78.0103&amp;t=k", "Map")</f>
        <v>Map</v>
      </c>
    </row>
    <row r="511">
      <c r="A511" s="9" t="s">
        <v>1308</v>
      </c>
      <c r="B511" s="9" t="s">
        <v>1661</v>
      </c>
      <c r="C511" s="12" t="str">
        <f>HYPERLINK("https://www.google.com/search?q=BRUNSWICK-1+nuclear+power+plant+in+UNITED+STATES", "BRUNSWICK-1")</f>
        <v>BRUNSWICK-1</v>
      </c>
      <c r="D511" s="9" t="s">
        <v>1339</v>
      </c>
      <c r="E511" s="9" t="s">
        <v>21</v>
      </c>
      <c r="F511" s="9">
        <v>990.0</v>
      </c>
      <c r="G511" s="9">
        <v>2923.0</v>
      </c>
      <c r="H511" s="9">
        <v>74.2</v>
      </c>
      <c r="I511" s="9">
        <v>98.2</v>
      </c>
      <c r="J511" s="9">
        <v>33.95833</v>
      </c>
      <c r="K511" s="9">
        <v>-78.01028</v>
      </c>
      <c r="L511" s="13">
        <v>-32.4792823791504</v>
      </c>
      <c r="M511" s="12" t="str">
        <f>HYPERLINK("http://www.iaea.org/PRIS/CountryStatistics/ReactorDetails.aspx?current=662", "PRIS")</f>
        <v>PRIS</v>
      </c>
      <c r="N511" s="12" t="str">
        <f t="shared" si="120"/>
        <v>Map</v>
      </c>
    </row>
    <row r="512">
      <c r="A512" s="9" t="s">
        <v>1308</v>
      </c>
      <c r="B512" s="9" t="s">
        <v>1661</v>
      </c>
      <c r="C512" s="12" t="str">
        <f>HYPERLINK("https://www.google.com/search?q=SEQUOYAH-1+nuclear+power+plant+in+UNITED+STATES", "SEQUOYAH-1")</f>
        <v>SEQUOYAH-1</v>
      </c>
      <c r="D512" s="9" t="s">
        <v>1582</v>
      </c>
      <c r="E512" s="9" t="s">
        <v>21</v>
      </c>
      <c r="F512" s="9">
        <v>1221.0</v>
      </c>
      <c r="G512" s="9">
        <v>3455.0</v>
      </c>
      <c r="H512" s="9">
        <v>72.4</v>
      </c>
      <c r="I512" s="9">
        <v>87.2</v>
      </c>
      <c r="J512" s="9">
        <v>35.22639</v>
      </c>
      <c r="K512" s="9">
        <v>-85.09167</v>
      </c>
      <c r="L512" s="13">
        <v>178.037521362305</v>
      </c>
      <c r="M512" s="12" t="str">
        <f>HYPERLINK("http://www.iaea.org/PRIS/CountryStatistics/ReactorDetails.aspx?current=663", "PRIS")</f>
        <v>PRIS</v>
      </c>
      <c r="N512" s="12" t="str">
        <f t="shared" ref="N512:N513" si="121">HYPERLINK("http://maps.google.com/?q=35.2264,-85.0917&amp;t=k", "Map")</f>
        <v>Map</v>
      </c>
    </row>
    <row r="513">
      <c r="A513" s="9" t="s">
        <v>1308</v>
      </c>
      <c r="B513" s="9" t="s">
        <v>1661</v>
      </c>
      <c r="C513" s="12" t="str">
        <f>HYPERLINK("https://www.google.com/search?q=SEQUOYAH-2+nuclear+power+plant+in+UNITED+STATES", "SEQUOYAH-2")</f>
        <v>SEQUOYAH-2</v>
      </c>
      <c r="D513" s="9" t="s">
        <v>1582</v>
      </c>
      <c r="E513" s="9" t="s">
        <v>21</v>
      </c>
      <c r="F513" s="9">
        <v>1200.0</v>
      </c>
      <c r="G513" s="9">
        <v>3455.0</v>
      </c>
      <c r="H513" s="9">
        <v>75.2</v>
      </c>
      <c r="I513" s="9">
        <v>97.9</v>
      </c>
      <c r="J513" s="9">
        <v>35.22639</v>
      </c>
      <c r="K513" s="9">
        <v>-85.09167</v>
      </c>
      <c r="L513" s="13">
        <v>178.037521362305</v>
      </c>
      <c r="M513" s="12" t="str">
        <f>HYPERLINK("http://www.iaea.org/PRIS/CountryStatistics/ReactorDetails.aspx?current=664", "PRIS")</f>
        <v>PRIS</v>
      </c>
      <c r="N513" s="12" t="str">
        <f t="shared" si="121"/>
        <v>Map</v>
      </c>
    </row>
    <row r="514">
      <c r="A514" s="9" t="s">
        <v>1308</v>
      </c>
      <c r="B514" s="9" t="s">
        <v>1661</v>
      </c>
      <c r="C514" s="12" t="str">
        <f>HYPERLINK("https://www.google.com/search?q=DUANE+ARNOLD-1+nuclear+power+plant+in+UNITED+STATES", "DUANE ARNOLD-1")</f>
        <v>DUANE ARNOLD-1</v>
      </c>
      <c r="D514" s="9" t="s">
        <v>1402</v>
      </c>
      <c r="E514" s="9" t="s">
        <v>21</v>
      </c>
      <c r="F514" s="9">
        <v>624.0</v>
      </c>
      <c r="G514" s="9">
        <v>1912.0</v>
      </c>
      <c r="H514" s="9">
        <v>76.7</v>
      </c>
      <c r="I514" s="9">
        <v>101.0</v>
      </c>
      <c r="J514" s="9">
        <v>42.10056</v>
      </c>
      <c r="K514" s="9">
        <v>-91.77722</v>
      </c>
      <c r="L514" s="13">
        <v>202.230072021484</v>
      </c>
      <c r="M514" s="12" t="str">
        <f>HYPERLINK("http://www.iaea.org/PRIS/CountryStatistics/ReactorDetails.aspx?current=667", "PRIS")</f>
        <v>PRIS</v>
      </c>
      <c r="N514" s="12" t="str">
        <f>HYPERLINK("http://maps.google.com/?q=42.1006,-91.7772&amp;t=k", "Map")</f>
        <v>Map</v>
      </c>
    </row>
    <row r="515">
      <c r="A515" s="9" t="s">
        <v>1308</v>
      </c>
      <c r="B515" s="9" t="s">
        <v>1661</v>
      </c>
      <c r="C515" s="12" t="str">
        <f>HYPERLINK("https://www.google.com/search?q=FITZPATRICK+nuclear+power+plant+in+UNITED+STATES", "FITZPATRICK")</f>
        <v>FITZPATRICK</v>
      </c>
      <c r="D515" s="9" t="s">
        <v>1417</v>
      </c>
      <c r="E515" s="9" t="s">
        <v>21</v>
      </c>
      <c r="F515" s="9">
        <v>849.0</v>
      </c>
      <c r="G515" s="9">
        <v>2536.0</v>
      </c>
      <c r="H515" s="9">
        <v>76.1</v>
      </c>
      <c r="I515" s="9">
        <v>96.0</v>
      </c>
      <c r="J515" s="9">
        <v>43.5233</v>
      </c>
      <c r="K515" s="9">
        <v>-76.3983</v>
      </c>
      <c r="L515" s="13">
        <v>37.7380714416504</v>
      </c>
      <c r="M515" s="12" t="str">
        <f>HYPERLINK("http://www.iaea.org/PRIS/CountryStatistics/ReactorDetails.aspx?current=668", "PRIS")</f>
        <v>PRIS</v>
      </c>
      <c r="N515" s="12" t="str">
        <f>HYPERLINK("http://maps.google.com/?q=43.5233,-76.3983&amp;t=k", "Map")</f>
        <v>Map</v>
      </c>
    </row>
    <row r="516">
      <c r="A516" s="9" t="s">
        <v>1308</v>
      </c>
      <c r="B516" s="9" t="s">
        <v>1661</v>
      </c>
      <c r="C516" s="12" t="str">
        <f>HYPERLINK("https://www.google.com/search?q=BEAVER+VALLEY-1+nuclear+power+plant+in+UNITED+STATES", "BEAVER VALLEY-1")</f>
        <v>BEAVER VALLEY-1</v>
      </c>
      <c r="D516" s="9" t="s">
        <v>1316</v>
      </c>
      <c r="E516" s="9" t="s">
        <v>21</v>
      </c>
      <c r="F516" s="9">
        <v>959.0</v>
      </c>
      <c r="G516" s="9">
        <v>2900.0</v>
      </c>
      <c r="H516" s="9">
        <v>72.4</v>
      </c>
      <c r="I516" s="9">
        <v>88.9</v>
      </c>
      <c r="J516" s="9">
        <v>40.62333</v>
      </c>
      <c r="K516" s="9">
        <v>-80.43056</v>
      </c>
      <c r="L516" s="13">
        <v>211.227890014648</v>
      </c>
      <c r="M516" s="12" t="str">
        <f>HYPERLINK("http://www.iaea.org/PRIS/CountryStatistics/ReactorDetails.aspx?current=669", "PRIS")</f>
        <v>PRIS</v>
      </c>
      <c r="N516" s="12" t="str">
        <f>HYPERLINK("http://maps.google.com/?q=40.6233,-80.4306&amp;t=k", "Map")</f>
        <v>Map</v>
      </c>
    </row>
    <row r="517">
      <c r="A517" s="9" t="s">
        <v>1308</v>
      </c>
      <c r="B517" s="9" t="s">
        <v>1661</v>
      </c>
      <c r="C517" s="12" t="str">
        <f>HYPERLINK("https://www.google.com/search?q=ST.+LUCIE-1+nuclear+power+plant+in+UNITED+STATES", "ST. LUCIE-1")</f>
        <v>ST. LUCIE-1</v>
      </c>
      <c r="D517" s="9" t="s">
        <v>1595</v>
      </c>
      <c r="E517" s="9" t="s">
        <v>21</v>
      </c>
      <c r="F517" s="9">
        <v>1045.0</v>
      </c>
      <c r="G517" s="9">
        <v>3020.0</v>
      </c>
      <c r="H517" s="9">
        <v>81.5</v>
      </c>
      <c r="I517" s="9">
        <v>81.1</v>
      </c>
      <c r="J517" s="9">
        <v>27.34861</v>
      </c>
      <c r="K517" s="9">
        <v>-80.24639</v>
      </c>
      <c r="L517" s="13">
        <v>-29.644079208374</v>
      </c>
      <c r="M517" s="12" t="str">
        <f>HYPERLINK("http://www.iaea.org/PRIS/CountryStatistics/ReactorDetails.aspx?current=670", "PRIS")</f>
        <v>PRIS</v>
      </c>
      <c r="N517" s="12" t="str">
        <f>HYPERLINK("http://maps.google.com/?q=27.3486,-80.2464&amp;t=k", "Map")</f>
        <v>Map</v>
      </c>
    </row>
    <row r="518">
      <c r="A518" s="9" t="s">
        <v>1308</v>
      </c>
      <c r="B518" s="9" t="s">
        <v>1661</v>
      </c>
      <c r="C518" s="12" t="str">
        <f>HYPERLINK("https://www.google.com/search?q=MILLSTONE-2+nuclear+power+plant+in+UNITED+STATES", "MILLSTONE-2")</f>
        <v>MILLSTONE-2</v>
      </c>
      <c r="D518" s="9" t="s">
        <v>1485</v>
      </c>
      <c r="E518" s="9" t="s">
        <v>21</v>
      </c>
      <c r="F518" s="9">
        <v>918.0</v>
      </c>
      <c r="G518" s="9">
        <v>2700.0</v>
      </c>
      <c r="H518" s="9">
        <v>67.8</v>
      </c>
      <c r="I518" s="9">
        <v>99.6</v>
      </c>
      <c r="J518" s="9">
        <v>41.31194</v>
      </c>
      <c r="K518" s="9">
        <v>-72.16861</v>
      </c>
      <c r="L518" s="13">
        <v>-33.0998077392578</v>
      </c>
      <c r="M518" s="12" t="str">
        <f>HYPERLINK("http://www.iaea.org/PRIS/CountryStatistics/ReactorDetails.aspx?current=671", "PRIS")</f>
        <v>PRIS</v>
      </c>
      <c r="N518" s="12" t="str">
        <f>HYPERLINK("http://maps.google.com/?q=41.3119,-72.1686&amp;t=k", "Map")</f>
        <v>Map</v>
      </c>
    </row>
    <row r="519">
      <c r="A519" s="9" t="s">
        <v>1308</v>
      </c>
      <c r="B519" s="9" t="s">
        <v>1661</v>
      </c>
      <c r="C519" s="12" t="str">
        <f>HYPERLINK("https://www.google.com/search?q=NORTH+ANNA-1+nuclear+power+plant+in+UNITED+STATES", "NORTH ANNA-1")</f>
        <v>NORTH ANNA-1</v>
      </c>
      <c r="D519" s="9" t="s">
        <v>1499</v>
      </c>
      <c r="E519" s="9" t="s">
        <v>21</v>
      </c>
      <c r="F519" s="9">
        <v>990.0</v>
      </c>
      <c r="G519" s="9">
        <v>2940.0</v>
      </c>
      <c r="H519" s="9">
        <v>80.5</v>
      </c>
      <c r="I519" s="9">
        <v>92.9</v>
      </c>
      <c r="J519" s="9">
        <v>38.06056</v>
      </c>
      <c r="K519" s="9">
        <v>-77.78944</v>
      </c>
      <c r="L519" s="13">
        <v>57.7751007080078</v>
      </c>
      <c r="M519" s="12" t="str">
        <f>HYPERLINK("http://www.iaea.org/PRIS/CountryStatistics/ReactorDetails.aspx?current=672", "PRIS")</f>
        <v>PRIS</v>
      </c>
      <c r="N519" s="12" t="str">
        <f t="shared" ref="N519:N520" si="122">HYPERLINK("http://maps.google.com/?q=38.0606,-77.7894&amp;t=k", "Map")</f>
        <v>Map</v>
      </c>
    </row>
    <row r="520">
      <c r="A520" s="9" t="s">
        <v>1308</v>
      </c>
      <c r="B520" s="9" t="s">
        <v>1661</v>
      </c>
      <c r="C520" s="12" t="str">
        <f>HYPERLINK("https://www.google.com/search?q=NORTH+ANNA-2+nuclear+power+plant+in+UNITED+STATES", "NORTH ANNA-2")</f>
        <v>NORTH ANNA-2</v>
      </c>
      <c r="D520" s="9" t="s">
        <v>1499</v>
      </c>
      <c r="E520" s="9" t="s">
        <v>21</v>
      </c>
      <c r="F520" s="9">
        <v>1011.0</v>
      </c>
      <c r="G520" s="9">
        <v>2940.0</v>
      </c>
      <c r="H520" s="9">
        <v>83.6</v>
      </c>
      <c r="I520" s="9">
        <v>88.8</v>
      </c>
      <c r="J520" s="9">
        <v>38.06056</v>
      </c>
      <c r="K520" s="9">
        <v>-77.78944</v>
      </c>
      <c r="L520" s="13">
        <v>57.7751007080078</v>
      </c>
      <c r="M520" s="12" t="str">
        <f>HYPERLINK("http://www.iaea.org/PRIS/CountryStatistics/ReactorDetails.aspx?current=673", "PRIS")</f>
        <v>PRIS</v>
      </c>
      <c r="N520" s="12" t="str">
        <f t="shared" si="122"/>
        <v>Map</v>
      </c>
    </row>
    <row r="521">
      <c r="A521" s="9" t="s">
        <v>1308</v>
      </c>
      <c r="B521" s="9" t="s">
        <v>1661</v>
      </c>
      <c r="C521" s="12" t="str">
        <f>HYPERLINK("https://www.google.com/search?q=FERMI-2+nuclear+power+plant+in+UNITED+STATES", "FERMI-2")</f>
        <v>FERMI-2</v>
      </c>
      <c r="D521" s="9" t="s">
        <v>1412</v>
      </c>
      <c r="E521" s="9" t="s">
        <v>21</v>
      </c>
      <c r="F521" s="9">
        <v>1100.0</v>
      </c>
      <c r="G521" s="9">
        <v>3430.0</v>
      </c>
      <c r="H521" s="9">
        <v>75.1</v>
      </c>
      <c r="I521" s="9">
        <v>72.8</v>
      </c>
      <c r="J521" s="9">
        <v>41.96278</v>
      </c>
      <c r="K521" s="9">
        <v>-83.2575</v>
      </c>
      <c r="L521" s="13">
        <v>140.810028076172</v>
      </c>
      <c r="M521" s="12" t="str">
        <f>HYPERLINK("http://www.iaea.org/PRIS/CountryStatistics/ReactorDetails.aspx?current=674", "PRIS")</f>
        <v>PRIS</v>
      </c>
      <c r="N521" s="12" t="str">
        <f>HYPERLINK("http://maps.google.com/?q=41.9628,-83.2575&amp;t=k", "Map")</f>
        <v>Map</v>
      </c>
    </row>
    <row r="522">
      <c r="A522" s="9" t="s">
        <v>1308</v>
      </c>
      <c r="B522" s="9" t="s">
        <v>1661</v>
      </c>
      <c r="C522" s="12" t="str">
        <f>HYPERLINK("https://www.google.com/search?q=TROJAN+nuclear+power+plant+in+UNITED+STATES", "TROJAN")</f>
        <v>TROJAN</v>
      </c>
      <c r="D522" s="9" t="s">
        <v>1621</v>
      </c>
      <c r="E522" s="9" t="s">
        <v>24</v>
      </c>
      <c r="F522" s="9">
        <v>1155.0</v>
      </c>
      <c r="G522" s="9">
        <v>3411.0</v>
      </c>
      <c r="H522" s="9">
        <v>53.6</v>
      </c>
      <c r="I522" s="9">
        <v>0.0</v>
      </c>
      <c r="J522" s="9">
        <v>46.03833</v>
      </c>
      <c r="K522" s="9">
        <v>-122.885</v>
      </c>
      <c r="L522" s="13">
        <v>-13.9646034240723</v>
      </c>
      <c r="M522" s="12" t="str">
        <f>HYPERLINK("http://www.iaea.org/PRIS/CountryStatistics/ReactorDetails.aspx?current=675", "PRIS")</f>
        <v>PRIS</v>
      </c>
      <c r="N522" s="12" t="str">
        <f>HYPERLINK("http://maps.google.com/?q=46.0383,-122.885&amp;t=k", "Map")</f>
        <v>Map</v>
      </c>
    </row>
    <row r="523">
      <c r="A523" s="9" t="s">
        <v>1308</v>
      </c>
      <c r="B523" s="9" t="s">
        <v>1661</v>
      </c>
      <c r="C523" s="12" t="str">
        <f>HYPERLINK("https://www.google.com/search?q=DAVIS+BESSE-1+nuclear+power+plant+in+UNITED+STATES", "DAVIS BESSE-1")</f>
        <v>DAVIS BESSE-1</v>
      </c>
      <c r="D523" s="9" t="s">
        <v>1387</v>
      </c>
      <c r="E523" s="9" t="s">
        <v>21</v>
      </c>
      <c r="F523" s="9">
        <v>925.0</v>
      </c>
      <c r="G523" s="9">
        <v>2817.0</v>
      </c>
      <c r="H523" s="9">
        <v>68.5</v>
      </c>
      <c r="I523" s="9">
        <v>98.0</v>
      </c>
      <c r="J523" s="9">
        <v>41.59667</v>
      </c>
      <c r="K523" s="9">
        <v>-83.08639</v>
      </c>
      <c r="L523" s="13">
        <v>137.916290283203</v>
      </c>
      <c r="M523" s="12" t="str">
        <f>HYPERLINK("http://www.iaea.org/PRIS/CountryStatistics/ReactorDetails.aspx?current=676", "PRIS")</f>
        <v>PRIS</v>
      </c>
      <c r="N523" s="12" t="str">
        <f>HYPERLINK("http://maps.google.com/?q=41.5967,-83.0864&amp;t=k", "Map")</f>
        <v>Map</v>
      </c>
    </row>
    <row r="524">
      <c r="A524" s="9" t="s">
        <v>1308</v>
      </c>
      <c r="B524" s="9" t="s">
        <v>1661</v>
      </c>
      <c r="C524" s="12" t="str">
        <f>HYPERLINK("https://www.google.com/search?q=FARLEY-1+nuclear+power+plant+in+UNITED+STATES", "FARLEY-1")</f>
        <v>FARLEY-1</v>
      </c>
      <c r="D524" s="9" t="s">
        <v>1407</v>
      </c>
      <c r="E524" s="9" t="s">
        <v>21</v>
      </c>
      <c r="F524" s="9">
        <v>918.0</v>
      </c>
      <c r="G524" s="9">
        <v>2775.0</v>
      </c>
      <c r="H524" s="9">
        <v>82.9</v>
      </c>
      <c r="I524" s="9">
        <v>91.7</v>
      </c>
      <c r="J524" s="9">
        <v>31.22306</v>
      </c>
      <c r="K524" s="9">
        <v>-85.11167</v>
      </c>
      <c r="L524" s="13">
        <v>17.2902374267578</v>
      </c>
      <c r="M524" s="12" t="str">
        <f>HYPERLINK("http://www.iaea.org/PRIS/CountryStatistics/ReactorDetails.aspx?current=677", "PRIS")</f>
        <v>PRIS</v>
      </c>
      <c r="N524" s="12" t="str">
        <f>HYPERLINK("http://maps.google.com/?q=31.2231,-85.1117&amp;t=k", "Map")</f>
        <v>Map</v>
      </c>
    </row>
    <row r="525">
      <c r="A525" s="9" t="s">
        <v>1308</v>
      </c>
      <c r="B525" s="9" t="s">
        <v>1661</v>
      </c>
      <c r="C525" s="12" t="str">
        <f>HYPERLINK("https://www.google.com/search?q=LIMERICK-1+nuclear+power+plant+in+UNITED+STATES", "LIMERICK-1")</f>
        <v>LIMERICK-1</v>
      </c>
      <c r="D525" s="9" t="s">
        <v>1472</v>
      </c>
      <c r="E525" s="9" t="s">
        <v>21</v>
      </c>
      <c r="F525" s="9">
        <v>1194.0</v>
      </c>
      <c r="G525" s="9">
        <v>3515.0</v>
      </c>
      <c r="H525" s="9">
        <v>88.0</v>
      </c>
      <c r="I525" s="9">
        <v>102.5</v>
      </c>
      <c r="J525" s="9">
        <v>40.22667</v>
      </c>
      <c r="K525" s="9">
        <v>-75.58722</v>
      </c>
      <c r="L525" s="13">
        <v>25.4130439758301</v>
      </c>
      <c r="M525" s="12" t="str">
        <f>HYPERLINK("http://www.iaea.org/PRIS/CountryStatistics/ReactorDetails.aspx?current=678", "PRIS")</f>
        <v>PRIS</v>
      </c>
      <c r="N525" s="12" t="str">
        <f t="shared" ref="N525:N526" si="123">HYPERLINK("http://maps.google.com/?q=40.2267,-75.5872&amp;t=k", "Map")</f>
        <v>Map</v>
      </c>
    </row>
    <row r="526">
      <c r="A526" s="9" t="s">
        <v>1308</v>
      </c>
      <c r="B526" s="9" t="s">
        <v>1661</v>
      </c>
      <c r="C526" s="12" t="str">
        <f>HYPERLINK("https://www.google.com/search?q=LIMERICK-2+nuclear+power+plant+in+UNITED+STATES", "LIMERICK-2")</f>
        <v>LIMERICK-2</v>
      </c>
      <c r="D526" s="9" t="s">
        <v>1472</v>
      </c>
      <c r="E526" s="9" t="s">
        <v>21</v>
      </c>
      <c r="F526" s="9">
        <v>1194.0</v>
      </c>
      <c r="G526" s="9">
        <v>3515.0</v>
      </c>
      <c r="H526" s="9">
        <v>92.2</v>
      </c>
      <c r="I526" s="9">
        <v>95.0</v>
      </c>
      <c r="J526" s="9">
        <v>40.22667</v>
      </c>
      <c r="K526" s="9">
        <v>-75.58722</v>
      </c>
      <c r="L526" s="13">
        <v>25.4130439758301</v>
      </c>
      <c r="M526" s="12" t="str">
        <f>HYPERLINK("http://www.iaea.org/PRIS/CountryStatistics/ReactorDetails.aspx?current=679", "PRIS")</f>
        <v>PRIS</v>
      </c>
      <c r="N526" s="12" t="str">
        <f t="shared" si="123"/>
        <v>Map</v>
      </c>
    </row>
    <row r="527">
      <c r="A527" s="9" t="s">
        <v>1308</v>
      </c>
      <c r="B527" s="9" t="s">
        <v>1661</v>
      </c>
      <c r="C527" s="12" t="str">
        <f>HYPERLINK("https://www.google.com/search?q=HOPE+CREEK-1+nuclear+power+plant+in+UNITED+STATES", "HOPE CREEK-1")</f>
        <v>HOPE CREEK-1</v>
      </c>
      <c r="D527" s="9" t="s">
        <v>1448</v>
      </c>
      <c r="E527" s="9" t="s">
        <v>21</v>
      </c>
      <c r="F527" s="9">
        <v>1240.0</v>
      </c>
      <c r="G527" s="9">
        <v>3840.0</v>
      </c>
      <c r="H527" s="9">
        <v>85.3</v>
      </c>
      <c r="I527" s="9">
        <v>88.8</v>
      </c>
      <c r="J527" s="9">
        <v>39.46778</v>
      </c>
      <c r="K527" s="9">
        <v>-75.53806</v>
      </c>
      <c r="L527" s="13">
        <v>-34.1373825073242</v>
      </c>
      <c r="M527" s="12" t="str">
        <f>HYPERLINK("http://www.iaea.org/PRIS/CountryStatistics/ReactorDetails.aspx?current=680", "PRIS")</f>
        <v>PRIS</v>
      </c>
      <c r="N527" s="12" t="str">
        <f>HYPERLINK("http://maps.google.com/?q=39.4678,-75.5381&amp;t=k", "Map")</f>
        <v>Map</v>
      </c>
    </row>
    <row r="528">
      <c r="A528" s="9" t="s">
        <v>1308</v>
      </c>
      <c r="B528" s="9" t="s">
        <v>1661</v>
      </c>
      <c r="C528" s="12" t="str">
        <f>HYPERLINK("https://www.google.com/search?q=SAN+ONOFRE-2+nuclear+power+plant+in+UNITED+STATES", "SAN ONOFRE-2")</f>
        <v>SAN ONOFRE-2</v>
      </c>
      <c r="D528" s="9" t="s">
        <v>1570</v>
      </c>
      <c r="E528" s="9" t="s">
        <v>24</v>
      </c>
      <c r="F528" s="9">
        <v>1127.0</v>
      </c>
      <c r="G528" s="9">
        <v>3438.0</v>
      </c>
      <c r="H528" s="9">
        <v>78.0</v>
      </c>
      <c r="I528" s="9">
        <v>0.0</v>
      </c>
      <c r="J528" s="9">
        <v>33.36889</v>
      </c>
      <c r="K528" s="9">
        <v>-117.555</v>
      </c>
      <c r="L528" s="13">
        <v>-16.2297687530518</v>
      </c>
      <c r="M528" s="12" t="str">
        <f>HYPERLINK("http://www.iaea.org/PRIS/CountryStatistics/ReactorDetails.aspx?current=683", "PRIS")</f>
        <v>PRIS</v>
      </c>
      <c r="N528" s="12" t="str">
        <f t="shared" ref="N528:N529" si="124">HYPERLINK("http://maps.google.com/?q=33.3689,-117.555&amp;t=k", "Map")</f>
        <v>Map</v>
      </c>
    </row>
    <row r="529">
      <c r="A529" s="9" t="s">
        <v>1308</v>
      </c>
      <c r="B529" s="9" t="s">
        <v>1661</v>
      </c>
      <c r="C529" s="12" t="str">
        <f>HYPERLINK("https://www.google.com/search?q=SAN+ONOFRE-3+nuclear+power+plant+in+UNITED+STATES", "SAN ONOFRE-3")</f>
        <v>SAN ONOFRE-3</v>
      </c>
      <c r="D529" s="9" t="s">
        <v>1570</v>
      </c>
      <c r="E529" s="9" t="s">
        <v>24</v>
      </c>
      <c r="F529" s="9">
        <v>1127.0</v>
      </c>
      <c r="G529" s="9">
        <v>3438.0</v>
      </c>
      <c r="H529" s="9">
        <v>77.5</v>
      </c>
      <c r="I529" s="9">
        <v>0.0</v>
      </c>
      <c r="J529" s="9">
        <v>33.36889</v>
      </c>
      <c r="K529" s="9">
        <v>-117.555</v>
      </c>
      <c r="L529" s="13">
        <v>-16.2297687530518</v>
      </c>
      <c r="M529" s="12" t="str">
        <f>HYPERLINK("http://www.iaea.org/PRIS/CountryStatistics/ReactorDetails.aspx?current=684", "PRIS")</f>
        <v>PRIS</v>
      </c>
      <c r="N529" s="12" t="str">
        <f t="shared" si="124"/>
        <v>Map</v>
      </c>
    </row>
    <row r="530">
      <c r="A530" s="9" t="s">
        <v>1308</v>
      </c>
      <c r="B530" s="9" t="s">
        <v>1661</v>
      </c>
      <c r="C530" s="12" t="str">
        <f>HYPERLINK("https://www.google.com/search?q=FARLEY-2+nuclear+power+plant+in+UNITED+STATES", "FARLEY-2")</f>
        <v>FARLEY-2</v>
      </c>
      <c r="D530" s="9" t="s">
        <v>1407</v>
      </c>
      <c r="E530" s="9" t="s">
        <v>21</v>
      </c>
      <c r="F530" s="9">
        <v>928.0</v>
      </c>
      <c r="G530" s="9">
        <v>2775.0</v>
      </c>
      <c r="H530" s="9">
        <v>86.3</v>
      </c>
      <c r="I530" s="9">
        <v>91.5</v>
      </c>
      <c r="J530" s="9">
        <v>31.22306</v>
      </c>
      <c r="K530" s="9">
        <v>-85.11167</v>
      </c>
      <c r="L530" s="13">
        <v>17.2902374267578</v>
      </c>
      <c r="M530" s="12" t="str">
        <f>HYPERLINK("http://www.iaea.org/PRIS/CountryStatistics/ReactorDetails.aspx?current=686", "PRIS")</f>
        <v>PRIS</v>
      </c>
      <c r="N530" s="12" t="str">
        <f>HYPERLINK("http://maps.google.com/?q=31.2231,-85.1117&amp;t=k", "Map")</f>
        <v>Map</v>
      </c>
    </row>
    <row r="531">
      <c r="A531" s="9" t="s">
        <v>1308</v>
      </c>
      <c r="B531" s="9" t="s">
        <v>1661</v>
      </c>
      <c r="C531" s="12" t="str">
        <f>HYPERLINK("https://www.google.com/search?q=HATCH-2+nuclear+power+plant+in+UNITED+STATES", "HATCH-2")</f>
        <v>HATCH-2</v>
      </c>
      <c r="D531" s="9" t="s">
        <v>1443</v>
      </c>
      <c r="E531" s="9" t="s">
        <v>21</v>
      </c>
      <c r="F531" s="9">
        <v>921.0</v>
      </c>
      <c r="G531" s="9">
        <v>2804.0</v>
      </c>
      <c r="H531" s="9">
        <v>79.9</v>
      </c>
      <c r="I531" s="9">
        <v>87.5</v>
      </c>
      <c r="J531" s="9">
        <v>31.93417</v>
      </c>
      <c r="K531" s="9">
        <v>-82.34389</v>
      </c>
      <c r="L531" s="13">
        <v>2.64089393615723</v>
      </c>
      <c r="M531" s="12" t="str">
        <f>HYPERLINK("http://www.iaea.org/PRIS/CountryStatistics/ReactorDetails.aspx?current=687", "PRIS")</f>
        <v>PRIS</v>
      </c>
      <c r="N531" s="12" t="str">
        <f>HYPERLINK("http://maps.google.com/?q=31.9342,-82.3439&amp;t=k", "Map")</f>
        <v>Map</v>
      </c>
    </row>
    <row r="532">
      <c r="A532" s="9" t="s">
        <v>1308</v>
      </c>
      <c r="B532" s="9" t="s">
        <v>1661</v>
      </c>
      <c r="C532" s="12" t="str">
        <f>HYPERLINK("https://www.google.com/search?q=ANO-2+nuclear+power+plant+in+UNITED+STATES", "ANO-2")</f>
        <v>ANO-2</v>
      </c>
      <c r="D532" s="9" t="s">
        <v>1311</v>
      </c>
      <c r="E532" s="9" t="s">
        <v>21</v>
      </c>
      <c r="F532" s="9">
        <v>1065.0</v>
      </c>
      <c r="G532" s="9">
        <v>3026.0</v>
      </c>
      <c r="H532" s="9">
        <v>84.5</v>
      </c>
      <c r="I532" s="9">
        <v>86.6</v>
      </c>
      <c r="J532" s="9">
        <v>35.31028</v>
      </c>
      <c r="K532" s="9">
        <v>-93.23139</v>
      </c>
      <c r="L532" s="13">
        <v>76.8639297485352</v>
      </c>
      <c r="M532" s="12" t="str">
        <f>HYPERLINK("http://www.iaea.org/PRIS/CountryStatistics/ReactorDetails.aspx?current=689", "PRIS")</f>
        <v>PRIS</v>
      </c>
      <c r="N532" s="12" t="str">
        <f>HYPERLINK("http://maps.google.com/?q=35.3103,-93.2314&amp;t=k", "Map")</f>
        <v>Map</v>
      </c>
    </row>
    <row r="533">
      <c r="A533" s="9" t="s">
        <v>1308</v>
      </c>
      <c r="B533" s="9" t="s">
        <v>1661</v>
      </c>
      <c r="C533" s="12" t="str">
        <f>HYPERLINK("https://www.google.com/search?q=MCGUIRE-1+nuclear+power+plant+in+UNITED+STATES", "MCGUIRE-1")</f>
        <v>MCGUIRE-1</v>
      </c>
      <c r="D533" s="9" t="s">
        <v>1480</v>
      </c>
      <c r="E533" s="9" t="s">
        <v>21</v>
      </c>
      <c r="F533" s="9">
        <v>1215.0</v>
      </c>
      <c r="G533" s="9">
        <v>3411.0</v>
      </c>
      <c r="H533" s="9">
        <v>79.3</v>
      </c>
      <c r="I533" s="9">
        <v>86.6</v>
      </c>
      <c r="J533" s="9">
        <v>35.4325</v>
      </c>
      <c r="K533" s="9">
        <v>-80.94833</v>
      </c>
      <c r="L533" s="13">
        <v>191.182586669922</v>
      </c>
      <c r="M533" s="12" t="str">
        <f>HYPERLINK("http://www.iaea.org/PRIS/CountryStatistics/ReactorDetails.aspx?current=690", "PRIS")</f>
        <v>PRIS</v>
      </c>
      <c r="N533" s="12" t="str">
        <f t="shared" ref="N533:N534" si="125">HYPERLINK("http://maps.google.com/?q=35.4325,-80.9483&amp;t=k", "Map")</f>
        <v>Map</v>
      </c>
    </row>
    <row r="534">
      <c r="A534" s="9" t="s">
        <v>1308</v>
      </c>
      <c r="B534" s="9" t="s">
        <v>1661</v>
      </c>
      <c r="C534" s="12" t="str">
        <f>HYPERLINK("https://www.google.com/search?q=MCGUIRE-2+nuclear+power+plant+in+UNITED+STATES", "MCGUIRE-2")</f>
        <v>MCGUIRE-2</v>
      </c>
      <c r="D534" s="9" t="s">
        <v>1480</v>
      </c>
      <c r="E534" s="9" t="s">
        <v>21</v>
      </c>
      <c r="F534" s="9">
        <v>1215.0</v>
      </c>
      <c r="G534" s="9">
        <v>3411.0</v>
      </c>
      <c r="H534" s="9">
        <v>84.8</v>
      </c>
      <c r="I534" s="9">
        <v>99.7</v>
      </c>
      <c r="J534" s="9">
        <v>35.4325</v>
      </c>
      <c r="K534" s="9">
        <v>-80.94833</v>
      </c>
      <c r="L534" s="13">
        <v>191.182586669922</v>
      </c>
      <c r="M534" s="12" t="str">
        <f>HYPERLINK("http://www.iaea.org/PRIS/CountryStatistics/ReactorDetails.aspx?current=691", "PRIS")</f>
        <v>PRIS</v>
      </c>
      <c r="N534" s="12" t="str">
        <f t="shared" si="125"/>
        <v>Map</v>
      </c>
    </row>
    <row r="535">
      <c r="A535" s="9" t="s">
        <v>1308</v>
      </c>
      <c r="B535" s="9" t="s">
        <v>1661</v>
      </c>
      <c r="C535" s="12" t="str">
        <f>HYPERLINK("https://www.google.com/search?q=LASALLE-1+nuclear+power+plant+in+UNITED+STATES", "LASALLE-1")</f>
        <v>LASALLE-1</v>
      </c>
      <c r="D535" s="9" t="s">
        <v>1467</v>
      </c>
      <c r="E535" s="9" t="s">
        <v>21</v>
      </c>
      <c r="F535" s="9">
        <v>1207.0</v>
      </c>
      <c r="G535" s="9">
        <v>3546.0</v>
      </c>
      <c r="H535" s="9">
        <v>76.9</v>
      </c>
      <c r="I535" s="9">
        <v>98.1</v>
      </c>
      <c r="J535" s="9">
        <v>41.24556</v>
      </c>
      <c r="K535" s="9">
        <v>-88.66917</v>
      </c>
      <c r="L535" s="13">
        <v>184.865829467773</v>
      </c>
      <c r="M535" s="12" t="str">
        <f>HYPERLINK("http://www.iaea.org/PRIS/CountryStatistics/ReactorDetails.aspx?current=692", "PRIS")</f>
        <v>PRIS</v>
      </c>
      <c r="N535" s="12" t="str">
        <f t="shared" ref="N535:N536" si="126">HYPERLINK("http://maps.google.com/?q=41.2456,-88.6692&amp;t=k", "Map")</f>
        <v>Map</v>
      </c>
    </row>
    <row r="536">
      <c r="A536" s="9" t="s">
        <v>1308</v>
      </c>
      <c r="B536" s="9" t="s">
        <v>1661</v>
      </c>
      <c r="C536" s="12" t="str">
        <f>HYPERLINK("https://www.google.com/search?q=LASALLE-2+nuclear+power+plant+in+UNITED+STATES", "LASALLE-2")</f>
        <v>LASALLE-2</v>
      </c>
      <c r="D536" s="9" t="s">
        <v>1467</v>
      </c>
      <c r="E536" s="9" t="s">
        <v>21</v>
      </c>
      <c r="F536" s="9">
        <v>1207.0</v>
      </c>
      <c r="G536" s="9">
        <v>3546.0</v>
      </c>
      <c r="H536" s="9">
        <v>77.2</v>
      </c>
      <c r="I536" s="9">
        <v>90.0</v>
      </c>
      <c r="J536" s="9">
        <v>41.24556</v>
      </c>
      <c r="K536" s="9">
        <v>-88.66917</v>
      </c>
      <c r="L536" s="13">
        <v>184.865829467773</v>
      </c>
      <c r="M536" s="12" t="str">
        <f>HYPERLINK("http://www.iaea.org/PRIS/CountryStatistics/ReactorDetails.aspx?current=693", "PRIS")</f>
        <v>PRIS</v>
      </c>
      <c r="N536" s="12" t="str">
        <f t="shared" si="126"/>
        <v>Map</v>
      </c>
    </row>
    <row r="537">
      <c r="A537" s="9" t="s">
        <v>1308</v>
      </c>
      <c r="B537" s="9" t="s">
        <v>1661</v>
      </c>
      <c r="C537" s="12" t="str">
        <f>HYPERLINK("https://www.google.com/search?q=WATERFORD-3+nuclear+power+plant+in+UNITED+STATES", "WATERFORD-3")</f>
        <v>WATERFORD-3</v>
      </c>
      <c r="D537" s="9" t="s">
        <v>1641</v>
      </c>
      <c r="E537" s="9" t="s">
        <v>21</v>
      </c>
      <c r="F537" s="9">
        <v>1250.0</v>
      </c>
      <c r="G537" s="9">
        <v>3716.0</v>
      </c>
      <c r="H537" s="9">
        <v>86.9</v>
      </c>
      <c r="I537" s="9">
        <v>91.7</v>
      </c>
      <c r="J537" s="9">
        <v>29.99528</v>
      </c>
      <c r="K537" s="9">
        <v>-90.47111</v>
      </c>
      <c r="L537" s="13">
        <v>-23.5472984313965</v>
      </c>
      <c r="M537" s="12" t="str">
        <f>HYPERLINK("http://www.iaea.org/PRIS/CountryStatistics/ReactorDetails.aspx?current=695", "PRIS")</f>
        <v>PRIS</v>
      </c>
      <c r="N537" s="12" t="str">
        <f>HYPERLINK("http://maps.google.com/?q=29.9953,-90.4711&amp;t=k", "Map")</f>
        <v>Map</v>
      </c>
    </row>
    <row r="538">
      <c r="A538" s="9" t="s">
        <v>1308</v>
      </c>
      <c r="B538" s="9" t="s">
        <v>1661</v>
      </c>
      <c r="C538" s="12" t="str">
        <f>HYPERLINK("https://www.google.com/search?q=SUSQUEHANNA-1+nuclear+power+plant+in+UNITED+STATES", "SUSQUEHANNA-1")</f>
        <v>SUSQUEHANNA-1</v>
      </c>
      <c r="D538" s="9" t="s">
        <v>1448</v>
      </c>
      <c r="E538" s="9" t="s">
        <v>21</v>
      </c>
      <c r="F538" s="9">
        <v>1330.0</v>
      </c>
      <c r="G538" s="9">
        <v>3952.0</v>
      </c>
      <c r="H538" s="9">
        <v>82.5</v>
      </c>
      <c r="I538" s="9">
        <v>89.9</v>
      </c>
      <c r="J538" s="9">
        <v>41.08889</v>
      </c>
      <c r="K538" s="9">
        <v>-76.14889</v>
      </c>
      <c r="L538" s="13">
        <v>156.870300292969</v>
      </c>
      <c r="M538" s="12" t="str">
        <f>HYPERLINK("http://www.iaea.org/PRIS/CountryStatistics/ReactorDetails.aspx?current=696", "PRIS")</f>
        <v>PRIS</v>
      </c>
      <c r="N538" s="12" t="str">
        <f t="shared" ref="N538:N539" si="127">HYPERLINK("http://maps.google.com/?q=41.0889,-76.1489&amp;t=k", "Map")</f>
        <v>Map</v>
      </c>
    </row>
    <row r="539">
      <c r="A539" s="9" t="s">
        <v>1308</v>
      </c>
      <c r="B539" s="9" t="s">
        <v>1661</v>
      </c>
      <c r="C539" s="12" t="str">
        <f>HYPERLINK("https://www.google.com/search?q=SUSQUEHANNA-2+nuclear+power+plant+in+UNITED+STATES", "SUSQUEHANNA-2")</f>
        <v>SUSQUEHANNA-2</v>
      </c>
      <c r="D539" s="9" t="s">
        <v>1448</v>
      </c>
      <c r="E539" s="9" t="s">
        <v>21</v>
      </c>
      <c r="F539" s="9">
        <v>1330.0</v>
      </c>
      <c r="G539" s="9">
        <v>3952.0</v>
      </c>
      <c r="H539" s="9">
        <v>86.0</v>
      </c>
      <c r="I539" s="9">
        <v>82.4</v>
      </c>
      <c r="J539" s="9">
        <v>41.08889</v>
      </c>
      <c r="K539" s="9">
        <v>-76.14889</v>
      </c>
      <c r="L539" s="13">
        <v>156.870300292969</v>
      </c>
      <c r="M539" s="12" t="str">
        <f>HYPERLINK("http://www.iaea.org/PRIS/CountryStatistics/ReactorDetails.aspx?current=697", "PRIS")</f>
        <v>PRIS</v>
      </c>
      <c r="N539" s="12" t="str">
        <f t="shared" si="127"/>
        <v>Map</v>
      </c>
    </row>
    <row r="540">
      <c r="A540" s="9" t="s">
        <v>1308</v>
      </c>
      <c r="B540" s="9" t="s">
        <v>1661</v>
      </c>
      <c r="C540" s="12" t="str">
        <f>HYPERLINK("https://www.google.com/search?q=ST.+LUCIE-2+nuclear+power+plant+in+UNITED+STATES", "ST. LUCIE-2")</f>
        <v>ST. LUCIE-2</v>
      </c>
      <c r="D540" s="9" t="s">
        <v>1595</v>
      </c>
      <c r="E540" s="9" t="s">
        <v>21</v>
      </c>
      <c r="F540" s="9">
        <v>1050.0</v>
      </c>
      <c r="G540" s="9">
        <v>3020.0</v>
      </c>
      <c r="H540" s="9">
        <v>84.7</v>
      </c>
      <c r="I540" s="9">
        <v>99.9</v>
      </c>
      <c r="J540" s="9">
        <v>27.34861</v>
      </c>
      <c r="K540" s="9">
        <v>-80.24639</v>
      </c>
      <c r="L540" s="13">
        <v>-29.644079208374</v>
      </c>
      <c r="M540" s="12" t="str">
        <f>HYPERLINK("http://www.iaea.org/PRIS/CountryStatistics/ReactorDetails.aspx?current=698", "PRIS")</f>
        <v>PRIS</v>
      </c>
      <c r="N540" s="12" t="str">
        <f>HYPERLINK("http://maps.google.com/?q=27.3486,-80.2464&amp;t=k", "Map")</f>
        <v>Map</v>
      </c>
    </row>
    <row r="541">
      <c r="A541" s="9" t="s">
        <v>1308</v>
      </c>
      <c r="B541" s="9" t="s">
        <v>1661</v>
      </c>
      <c r="C541" s="12" t="str">
        <f>HYPERLINK("https://www.google.com/search?q=WATTS+BAR-1+nuclear+power+plant+in+UNITED+STATES", "WATTS BAR-1")</f>
        <v>WATTS BAR-1</v>
      </c>
      <c r="D541" s="9" t="s">
        <v>1644</v>
      </c>
      <c r="E541" s="9" t="s">
        <v>21</v>
      </c>
      <c r="F541" s="9">
        <v>1210.0</v>
      </c>
      <c r="G541" s="9">
        <v>3459.0</v>
      </c>
      <c r="H541" s="9">
        <v>90.3</v>
      </c>
      <c r="I541" s="9">
        <v>101.3</v>
      </c>
      <c r="J541" s="9">
        <v>35.60278</v>
      </c>
      <c r="K541" s="9">
        <v>-84.78944</v>
      </c>
      <c r="L541" s="13">
        <v>194.693328857422</v>
      </c>
      <c r="M541" s="12" t="str">
        <f>HYPERLINK("http://www.iaea.org/PRIS/CountryStatistics/ReactorDetails.aspx?current=699", "PRIS")</f>
        <v>PRIS</v>
      </c>
      <c r="N541" s="12" t="str">
        <f t="shared" ref="N541:N542" si="128">HYPERLINK("http://maps.google.com/?q=35.6028,-84.7894&amp;t=k", "Map")</f>
        <v>Map</v>
      </c>
    </row>
    <row r="542">
      <c r="A542" s="9" t="s">
        <v>1308</v>
      </c>
      <c r="B542" s="9" t="s">
        <v>1661</v>
      </c>
      <c r="C542" s="12" t="str">
        <f>HYPERLINK("https://www.google.com/search?q=WATTS+BAR-2+nuclear+power+plant+in+UNITED+STATES", "WATTS BAR-2")</f>
        <v>WATTS BAR-2</v>
      </c>
      <c r="D542" s="9" t="s">
        <v>1644</v>
      </c>
      <c r="E542" s="9" t="s">
        <v>26</v>
      </c>
      <c r="F542" s="9">
        <v>1218.0</v>
      </c>
      <c r="G542" s="9">
        <v>3425.0</v>
      </c>
      <c r="H542" s="9">
        <v>0.0</v>
      </c>
      <c r="I542" s="9">
        <v>0.0</v>
      </c>
      <c r="J542" s="9">
        <v>35.60278</v>
      </c>
      <c r="K542" s="9">
        <v>-84.78944</v>
      </c>
      <c r="L542" s="13">
        <v>194.693328857422</v>
      </c>
      <c r="M542" s="12" t="str">
        <f>HYPERLINK("http://www.iaea.org/PRIS/CountryStatistics/ReactorDetails.aspx?current=700", "PRIS")</f>
        <v>PRIS</v>
      </c>
      <c r="N542" s="12" t="str">
        <f t="shared" si="128"/>
        <v>Map</v>
      </c>
    </row>
    <row r="543">
      <c r="A543" s="9" t="s">
        <v>1308</v>
      </c>
      <c r="B543" s="9" t="s">
        <v>1661</v>
      </c>
      <c r="C543" s="12" t="str">
        <f>HYPERLINK("https://www.google.com/search?q=SUMMER-1+nuclear+power+plant+in+UNITED+STATES", "SUMMER-1")</f>
        <v>SUMMER-1</v>
      </c>
      <c r="D543" s="9" t="s">
        <v>1600</v>
      </c>
      <c r="E543" s="9" t="s">
        <v>21</v>
      </c>
      <c r="F543" s="9">
        <v>1006.0</v>
      </c>
      <c r="G543" s="9">
        <v>2900.0</v>
      </c>
      <c r="H543" s="9">
        <v>83.5</v>
      </c>
      <c r="I543" s="9">
        <v>98.4</v>
      </c>
      <c r="J543" s="9">
        <v>34.29861</v>
      </c>
      <c r="K543" s="9">
        <v>-81.31472</v>
      </c>
      <c r="L543" s="13">
        <v>96.278450012207</v>
      </c>
      <c r="M543" s="12" t="str">
        <f>HYPERLINK("http://www.iaea.org/PRIS/CountryStatistics/ReactorDetails.aspx?current=701", "PRIS")</f>
        <v>PRIS</v>
      </c>
      <c r="N543" s="12" t="str">
        <f>HYPERLINK("http://maps.google.com/?q=34.2986,-81.3147&amp;t=k", "Map")</f>
        <v>Map</v>
      </c>
    </row>
    <row r="544">
      <c r="A544" s="9" t="s">
        <v>1308</v>
      </c>
      <c r="B544" s="9" t="s">
        <v>1661</v>
      </c>
      <c r="C544" s="12" t="str">
        <f>HYPERLINK("https://www.google.com/search?q=COLUMBIA+nuclear+power+plant+in+UNITED+STATES", "COLUMBIA")</f>
        <v>COLUMBIA</v>
      </c>
      <c r="D544" s="9" t="s">
        <v>1365</v>
      </c>
      <c r="E544" s="9" t="s">
        <v>21</v>
      </c>
      <c r="F544" s="9">
        <v>1173.0</v>
      </c>
      <c r="G544" s="9">
        <v>3486.0</v>
      </c>
      <c r="H544" s="9">
        <v>72.9</v>
      </c>
      <c r="I544" s="9">
        <v>87.2</v>
      </c>
      <c r="J544" s="9">
        <v>46.47111</v>
      </c>
      <c r="K544" s="9">
        <v>-119.33389</v>
      </c>
      <c r="L544" s="13">
        <v>115.383422851563</v>
      </c>
      <c r="M544" s="12" t="str">
        <f>HYPERLINK("http://www.iaea.org/PRIS/CountryStatistics/ReactorDetails.aspx?current=702", "PRIS")</f>
        <v>PRIS</v>
      </c>
      <c r="N544" s="12" t="str">
        <f>HYPERLINK("http://maps.google.com/?q=46.4711,-119.334&amp;t=k", "Map")</f>
        <v>Map</v>
      </c>
    </row>
    <row r="545">
      <c r="A545" s="9" t="s">
        <v>1308</v>
      </c>
      <c r="B545" s="9" t="s">
        <v>1661</v>
      </c>
      <c r="C545" s="12" t="str">
        <f>HYPERLINK("https://www.google.com/search?q=BONUS+nuclear+power+plant+in+UNITED+STATES", "BONUS")</f>
        <v>BONUS</v>
      </c>
      <c r="D545" s="9" t="s">
        <v>1324</v>
      </c>
      <c r="E545" s="9" t="s">
        <v>24</v>
      </c>
      <c r="F545" s="9">
        <v>18.0</v>
      </c>
      <c r="G545" s="9">
        <v>50.0</v>
      </c>
      <c r="H545" s="9">
        <v>0.0</v>
      </c>
      <c r="I545" s="9">
        <v>0.0</v>
      </c>
      <c r="J545" s="9">
        <v>18.36639</v>
      </c>
      <c r="K545" s="9">
        <v>-67.26861</v>
      </c>
      <c r="L545" s="13">
        <v>-66.7285995483398</v>
      </c>
      <c r="M545" s="12" t="str">
        <f>HYPERLINK("http://www.iaea.org/PRIS/CountryStatistics/ReactorDetails.aspx?current=703", "PRIS")</f>
        <v>PRIS</v>
      </c>
      <c r="N545" s="12" t="str">
        <f>HYPERLINK("http://maps.google.com/?q=18.3664,-67.2686&amp;t=k", "Map")</f>
        <v>Map</v>
      </c>
    </row>
    <row r="546">
      <c r="A546" s="9" t="s">
        <v>1308</v>
      </c>
      <c r="B546" s="9" t="s">
        <v>1661</v>
      </c>
      <c r="C546" s="12" t="str">
        <f>HYPERLINK("https://www.google.com/search?q=HARRIS-1+nuclear+power+plant+in+UNITED+STATES", "HARRIS-1")</f>
        <v>HARRIS-1</v>
      </c>
      <c r="D546" s="9" t="s">
        <v>1440</v>
      </c>
      <c r="E546" s="9" t="s">
        <v>21</v>
      </c>
      <c r="F546" s="9">
        <v>960.0</v>
      </c>
      <c r="G546" s="9">
        <v>2900.0</v>
      </c>
      <c r="H546" s="9">
        <v>87.9</v>
      </c>
      <c r="I546" s="9">
        <v>84.7</v>
      </c>
      <c r="J546" s="9">
        <v>35.6333</v>
      </c>
      <c r="K546" s="9">
        <v>-78.955</v>
      </c>
      <c r="L546" s="13">
        <v>39.1987762451172</v>
      </c>
      <c r="M546" s="12" t="str">
        <f>HYPERLINK("http://www.iaea.org/PRIS/CountryStatistics/ReactorDetails.aspx?current=704", "PRIS")</f>
        <v>PRIS</v>
      </c>
      <c r="N546" s="12" t="str">
        <f>HYPERLINK("http://maps.google.com/?q=35.6333,-78.955&amp;t=k", "Map")</f>
        <v>Map</v>
      </c>
    </row>
    <row r="547">
      <c r="A547" s="9" t="s">
        <v>1308</v>
      </c>
      <c r="B547" s="9" t="s">
        <v>1661</v>
      </c>
      <c r="C547" s="12" t="str">
        <f>HYPERLINK("https://www.google.com/search?q=LACROSSE+nuclear+power+plant+in+UNITED+STATES", "LACROSSE")</f>
        <v>LACROSSE</v>
      </c>
      <c r="D547" s="9" t="s">
        <v>1464</v>
      </c>
      <c r="E547" s="9" t="s">
        <v>24</v>
      </c>
      <c r="F547" s="9">
        <v>55.0</v>
      </c>
      <c r="G547" s="9">
        <v>165.0</v>
      </c>
      <c r="H547" s="9">
        <v>51.0</v>
      </c>
      <c r="I547" s="9">
        <v>0.0</v>
      </c>
      <c r="J547" s="9">
        <v>43.560062</v>
      </c>
      <c r="K547" s="9">
        <v>-91.231485</v>
      </c>
      <c r="L547" s="13">
        <v>159.256912231445</v>
      </c>
      <c r="M547" s="12" t="str">
        <f>HYPERLINK("http://www.iaea.org/PRIS/CountryStatistics/ReactorDetails.aspx?current=710", "PRIS")</f>
        <v>PRIS</v>
      </c>
      <c r="N547" s="12" t="str">
        <f>HYPERLINK("http://maps.google.com/?q=43.5601,-91.2315&amp;t=k", "Map")</f>
        <v>Map</v>
      </c>
    </row>
    <row r="548">
      <c r="A548" s="9" t="s">
        <v>1308</v>
      </c>
      <c r="B548" s="9" t="s">
        <v>1661</v>
      </c>
      <c r="C548" s="12" t="str">
        <f>HYPERLINK("https://www.google.com/search?q=NINE+MILE+POINT-2+nuclear+power+plant+in+UNITED+STATES", "NINE MILE POINT-2")</f>
        <v>NINE MILE POINT-2</v>
      </c>
      <c r="D548" s="9" t="s">
        <v>1494</v>
      </c>
      <c r="E548" s="9" t="s">
        <v>21</v>
      </c>
      <c r="F548" s="9">
        <v>1320.0</v>
      </c>
      <c r="G548" s="9">
        <v>3988.0</v>
      </c>
      <c r="H548" s="9">
        <v>82.4</v>
      </c>
      <c r="I548" s="9">
        <v>97.8</v>
      </c>
      <c r="J548" s="9">
        <v>43.52083</v>
      </c>
      <c r="K548" s="9">
        <v>-76.40694</v>
      </c>
      <c r="L548" s="13">
        <v>35.8500137329102</v>
      </c>
      <c r="M548" s="12" t="str">
        <f>HYPERLINK("http://www.iaea.org/PRIS/CountryStatistics/ReactorDetails.aspx?current=711", "PRIS")</f>
        <v>PRIS</v>
      </c>
      <c r="N548" s="12" t="str">
        <f>HYPERLINK("http://maps.google.com/?q=43.5208,-76.4069&amp;t=k", "Map")</f>
        <v>Map</v>
      </c>
    </row>
    <row r="549">
      <c r="A549" s="9" t="s">
        <v>1308</v>
      </c>
      <c r="B549" s="9" t="s">
        <v>1661</v>
      </c>
      <c r="C549" s="12" t="str">
        <f>HYPERLINK("https://www.google.com/search?q=BEAVER+VALLEY-2+nuclear+power+plant+in+UNITED+STATES", "BEAVER VALLEY-2")</f>
        <v>BEAVER VALLEY-2</v>
      </c>
      <c r="D549" s="9" t="s">
        <v>1316</v>
      </c>
      <c r="E549" s="9" t="s">
        <v>21</v>
      </c>
      <c r="F549" s="9">
        <v>958.0</v>
      </c>
      <c r="G549" s="9">
        <v>2900.0</v>
      </c>
      <c r="H549" s="9">
        <v>84.7</v>
      </c>
      <c r="I549" s="9">
        <v>100.8</v>
      </c>
      <c r="J549" s="9">
        <v>40.62333</v>
      </c>
      <c r="K549" s="9">
        <v>-80.43056</v>
      </c>
      <c r="L549" s="13">
        <v>211.227890014648</v>
      </c>
      <c r="M549" s="12" t="str">
        <f>HYPERLINK("http://www.iaea.org/PRIS/CountryStatistics/ReactorDetails.aspx?current=712", "PRIS")</f>
        <v>PRIS</v>
      </c>
      <c r="N549" s="12" t="str">
        <f>HYPERLINK("http://maps.google.com/?q=40.6233,-80.4306&amp;t=k", "Map")</f>
        <v>Map</v>
      </c>
    </row>
    <row r="550">
      <c r="A550" s="9" t="s">
        <v>1308</v>
      </c>
      <c r="B550" s="9" t="s">
        <v>1661</v>
      </c>
      <c r="C550" s="12" t="str">
        <f>HYPERLINK("https://www.google.com/search?q=CATAWBA-1+nuclear+power+plant+in+UNITED+STATES", "CATAWBA-1")</f>
        <v>CATAWBA-1</v>
      </c>
      <c r="D550" s="9" t="s">
        <v>1357</v>
      </c>
      <c r="E550" s="9" t="s">
        <v>21</v>
      </c>
      <c r="F550" s="9">
        <v>1188.0</v>
      </c>
      <c r="G550" s="9">
        <v>3411.0</v>
      </c>
      <c r="H550" s="9">
        <v>84.7</v>
      </c>
      <c r="I550" s="9">
        <v>100.6</v>
      </c>
      <c r="J550" s="9">
        <v>35.0517</v>
      </c>
      <c r="K550" s="9">
        <v>-81.07</v>
      </c>
      <c r="L550" s="13">
        <v>148.666015625</v>
      </c>
      <c r="M550" s="12" t="str">
        <f>HYPERLINK("http://www.iaea.org/PRIS/CountryStatistics/ReactorDetails.aspx?current=713", "PRIS")</f>
        <v>PRIS</v>
      </c>
      <c r="N550" s="12" t="str">
        <f t="shared" ref="N550:N551" si="129">HYPERLINK("http://maps.google.com/?q=35.0517,-81.07&amp;t=k", "Map")</f>
        <v>Map</v>
      </c>
    </row>
    <row r="551">
      <c r="A551" s="9" t="s">
        <v>1308</v>
      </c>
      <c r="B551" s="9" t="s">
        <v>1661</v>
      </c>
      <c r="C551" s="12" t="str">
        <f>HYPERLINK("https://www.google.com/search?q=CATAWBA-2+nuclear+power+plant+in+UNITED+STATES", "CATAWBA-2")</f>
        <v>CATAWBA-2</v>
      </c>
      <c r="D551" s="9" t="s">
        <v>1357</v>
      </c>
      <c r="E551" s="9" t="s">
        <v>21</v>
      </c>
      <c r="F551" s="9">
        <v>1188.0</v>
      </c>
      <c r="G551" s="9">
        <v>3411.0</v>
      </c>
      <c r="H551" s="9">
        <v>85.5</v>
      </c>
      <c r="I551" s="9">
        <v>90.3</v>
      </c>
      <c r="J551" s="9">
        <v>35.0517</v>
      </c>
      <c r="K551" s="9">
        <v>-81.07</v>
      </c>
      <c r="L551" s="13">
        <v>148.666015625</v>
      </c>
      <c r="M551" s="12" t="str">
        <f>HYPERLINK("http://www.iaea.org/PRIS/CountryStatistics/ReactorDetails.aspx?current=714", "PRIS")</f>
        <v>PRIS</v>
      </c>
      <c r="N551" s="12" t="str">
        <f t="shared" si="129"/>
        <v>Map</v>
      </c>
    </row>
    <row r="552">
      <c r="A552" s="9" t="s">
        <v>1308</v>
      </c>
      <c r="B552" s="9" t="s">
        <v>1661</v>
      </c>
      <c r="C552" s="12" t="str">
        <f>HYPERLINK("https://www.google.com/search?q=GRAND+GULF-1+nuclear+power+plant+in+UNITED+STATES", "GRAND GULF-1")</f>
        <v>GRAND GULF-1</v>
      </c>
      <c r="D552" s="9" t="s">
        <v>1432</v>
      </c>
      <c r="E552" s="9" t="s">
        <v>21</v>
      </c>
      <c r="F552" s="9">
        <v>1500.0</v>
      </c>
      <c r="G552" s="9">
        <v>4408.0</v>
      </c>
      <c r="H552" s="9">
        <v>86.4</v>
      </c>
      <c r="I552" s="9">
        <v>86.8</v>
      </c>
      <c r="J552" s="9">
        <v>32.0067</v>
      </c>
      <c r="K552" s="9">
        <v>-91.0483</v>
      </c>
      <c r="L552" s="13">
        <v>8.06955909729004</v>
      </c>
      <c r="M552" s="12" t="str">
        <f>HYPERLINK("http://www.iaea.org/PRIS/CountryStatistics/ReactorDetails.aspx?current=715", "PRIS")</f>
        <v>PRIS</v>
      </c>
      <c r="N552" s="12" t="str">
        <f>HYPERLINK("http://maps.google.com/?q=32.0067,-91.0483&amp;t=k", "Map")</f>
        <v>Map</v>
      </c>
    </row>
    <row r="553">
      <c r="A553" s="9" t="s">
        <v>1308</v>
      </c>
      <c r="B553" s="9" t="s">
        <v>1661</v>
      </c>
      <c r="C553" s="12" t="str">
        <f>HYPERLINK("https://www.google.com/search?q=MILLSTONE-3+nuclear+power+plant+in+UNITED+STATES", "MILLSTONE-3")</f>
        <v>MILLSTONE-3</v>
      </c>
      <c r="D553" s="9" t="s">
        <v>1485</v>
      </c>
      <c r="E553" s="9" t="s">
        <v>21</v>
      </c>
      <c r="F553" s="9">
        <v>1280.0</v>
      </c>
      <c r="G553" s="9">
        <v>3650.0</v>
      </c>
      <c r="H553" s="9">
        <v>76.7</v>
      </c>
      <c r="I553" s="9">
        <v>89.9</v>
      </c>
      <c r="J553" s="9">
        <v>41.31194</v>
      </c>
      <c r="K553" s="9">
        <v>-72.16861</v>
      </c>
      <c r="L553" s="13">
        <v>-33.0998077392578</v>
      </c>
      <c r="M553" s="12" t="str">
        <f>HYPERLINK("http://www.iaea.org/PRIS/CountryStatistics/ReactorDetails.aspx?current=717", "PRIS")</f>
        <v>PRIS</v>
      </c>
      <c r="N553" s="12" t="str">
        <f>HYPERLINK("http://maps.google.com/?q=41.3119,-72.1686&amp;t=k", "Map")</f>
        <v>Map</v>
      </c>
    </row>
    <row r="554">
      <c r="A554" s="9" t="s">
        <v>1308</v>
      </c>
      <c r="B554" s="9" t="s">
        <v>1661</v>
      </c>
      <c r="C554" s="12" t="str">
        <f>HYPERLINK("https://www.google.com/search?q=VOGTLE-1+nuclear+power+plant+in+UNITED+STATES", "VOGTLE-1")</f>
        <v>VOGTLE-1</v>
      </c>
      <c r="D554" s="9" t="s">
        <v>1632</v>
      </c>
      <c r="E554" s="9" t="s">
        <v>21</v>
      </c>
      <c r="F554" s="9">
        <v>1229.0</v>
      </c>
      <c r="G554" s="9">
        <v>3626.0</v>
      </c>
      <c r="H554" s="9">
        <v>90.9</v>
      </c>
      <c r="I554" s="9">
        <v>101.5</v>
      </c>
      <c r="J554" s="9">
        <v>33.14333</v>
      </c>
      <c r="K554" s="9">
        <v>-81.76056</v>
      </c>
      <c r="L554" s="13">
        <v>5.94269752502441</v>
      </c>
      <c r="M554" s="12" t="str">
        <f>HYPERLINK("http://www.iaea.org/PRIS/CountryStatistics/ReactorDetails.aspx?current=718", "PRIS")</f>
        <v>PRIS</v>
      </c>
      <c r="N554" s="12" t="str">
        <f t="shared" ref="N554:N555" si="130">HYPERLINK("http://maps.google.com/?q=33.1433,-81.7606&amp;t=k", "Map")</f>
        <v>Map</v>
      </c>
    </row>
    <row r="555">
      <c r="A555" s="9" t="s">
        <v>1308</v>
      </c>
      <c r="B555" s="9" t="s">
        <v>1661</v>
      </c>
      <c r="C555" s="12" t="str">
        <f>HYPERLINK("https://www.google.com/search?q=VOGTLE-2+nuclear+power+plant+in+UNITED+STATES", "VOGTLE-2")</f>
        <v>VOGTLE-2</v>
      </c>
      <c r="D555" s="9" t="s">
        <v>1632</v>
      </c>
      <c r="E555" s="9" t="s">
        <v>21</v>
      </c>
      <c r="F555" s="9">
        <v>1229.0</v>
      </c>
      <c r="G555" s="9">
        <v>3626.0</v>
      </c>
      <c r="H555" s="9">
        <v>90.5</v>
      </c>
      <c r="I555" s="9">
        <v>87.8</v>
      </c>
      <c r="J555" s="9">
        <v>33.14333</v>
      </c>
      <c r="K555" s="9">
        <v>-81.76056</v>
      </c>
      <c r="L555" s="13">
        <v>5.94269752502441</v>
      </c>
      <c r="M555" s="12" t="str">
        <f>HYPERLINK("http://www.iaea.org/PRIS/CountryStatistics/ReactorDetails.aspx?current=719", "PRIS")</f>
        <v>PRIS</v>
      </c>
      <c r="N555" s="12" t="str">
        <f t="shared" si="130"/>
        <v>Map</v>
      </c>
    </row>
    <row r="556">
      <c r="A556" s="9" t="s">
        <v>1308</v>
      </c>
      <c r="B556" s="9" t="s">
        <v>1661</v>
      </c>
      <c r="C556" s="12" t="str">
        <f>HYPERLINK("https://www.google.com/search?q=PERRY-1+nuclear+power+plant+in+UNITED+STATES", "PERRY-1")</f>
        <v>PERRY-1</v>
      </c>
      <c r="D556" s="9" t="s">
        <v>1533</v>
      </c>
      <c r="E556" s="9" t="s">
        <v>21</v>
      </c>
      <c r="F556" s="9">
        <v>1303.0</v>
      </c>
      <c r="G556" s="9">
        <v>3758.0</v>
      </c>
      <c r="H556" s="9">
        <v>79.2</v>
      </c>
      <c r="I556" s="9">
        <v>77.1</v>
      </c>
      <c r="J556" s="9">
        <v>41.80083</v>
      </c>
      <c r="K556" s="9">
        <v>-81.14333</v>
      </c>
      <c r="L556" s="13">
        <v>147.714294433594</v>
      </c>
      <c r="M556" s="12" t="str">
        <f>HYPERLINK("http://www.iaea.org/PRIS/CountryStatistics/ReactorDetails.aspx?current=725", "PRIS")</f>
        <v>PRIS</v>
      </c>
      <c r="N556" s="12" t="str">
        <f>HYPERLINK("http://maps.google.com/?q=41.8008,-81.1433&amp;t=k", "Map")</f>
        <v>Map</v>
      </c>
    </row>
    <row r="557">
      <c r="A557" s="9" t="s">
        <v>1308</v>
      </c>
      <c r="B557" s="9" t="s">
        <v>1661</v>
      </c>
      <c r="C557" s="12" t="str">
        <f>HYPERLINK("https://www.google.com/search?q=SEABROOK-1+nuclear+power+plant+in+UNITED+STATES", "SEABROOK-1")</f>
        <v>SEABROOK-1</v>
      </c>
      <c r="D557" s="9" t="s">
        <v>1579</v>
      </c>
      <c r="E557" s="9" t="s">
        <v>21</v>
      </c>
      <c r="F557" s="9">
        <v>1296.0</v>
      </c>
      <c r="G557" s="9">
        <v>3648.0</v>
      </c>
      <c r="H557" s="9">
        <v>85.6</v>
      </c>
      <c r="I557" s="9">
        <v>100.1</v>
      </c>
      <c r="J557" s="9">
        <v>42.89889</v>
      </c>
      <c r="K557" s="9">
        <v>-70.85083</v>
      </c>
      <c r="L557" s="13">
        <v>-22.7091503143311</v>
      </c>
      <c r="M557" s="12" t="str">
        <f>HYPERLINK("http://www.iaea.org/PRIS/CountryStatistics/ReactorDetails.aspx?current=727", "PRIS")</f>
        <v>PRIS</v>
      </c>
      <c r="N557" s="12" t="str">
        <f>HYPERLINK("http://maps.google.com/?q=42.8989,-70.8508&amp;t=k", "Map")</f>
        <v>Map</v>
      </c>
    </row>
    <row r="558">
      <c r="A558" s="9" t="s">
        <v>1308</v>
      </c>
      <c r="B558" s="9" t="s">
        <v>1661</v>
      </c>
      <c r="C558" s="12" t="str">
        <f>HYPERLINK("https://www.google.com/search?q=COMANCHE+PEAK-1+nuclear+power+plant+in+UNITED+STATES", "COMANCHE PEAK-1")</f>
        <v>COMANCHE PEAK-1</v>
      </c>
      <c r="D558" s="9" t="s">
        <v>1368</v>
      </c>
      <c r="E558" s="9" t="s">
        <v>21</v>
      </c>
      <c r="F558" s="9">
        <v>1259.0</v>
      </c>
      <c r="G558" s="9">
        <v>3612.0</v>
      </c>
      <c r="H558" s="9">
        <v>86.6</v>
      </c>
      <c r="I558" s="9">
        <v>95.0</v>
      </c>
      <c r="J558" s="9">
        <v>32.2983</v>
      </c>
      <c r="K558" s="9">
        <v>-97.785</v>
      </c>
      <c r="L558" s="13">
        <v>216.504440307617</v>
      </c>
      <c r="M558" s="12" t="str">
        <f>HYPERLINK("http://www.iaea.org/PRIS/CountryStatistics/ReactorDetails.aspx?current=729", "PRIS")</f>
        <v>PRIS</v>
      </c>
      <c r="N558" s="12" t="str">
        <f t="shared" ref="N558:N559" si="131">HYPERLINK("http://maps.google.com/?q=32.2983,-97.785&amp;t=k", "Map")</f>
        <v>Map</v>
      </c>
    </row>
    <row r="559">
      <c r="A559" s="9" t="s">
        <v>1308</v>
      </c>
      <c r="B559" s="9" t="s">
        <v>1661</v>
      </c>
      <c r="C559" s="12" t="str">
        <f>HYPERLINK("https://www.google.com/search?q=COMANCHE+PEAK-2+nuclear+power+plant+in+UNITED+STATES", "COMANCHE PEAK-2")</f>
        <v>COMANCHE PEAK-2</v>
      </c>
      <c r="D559" s="9" t="s">
        <v>1368</v>
      </c>
      <c r="E559" s="9" t="s">
        <v>21</v>
      </c>
      <c r="F559" s="9">
        <v>1250.0</v>
      </c>
      <c r="G559" s="9">
        <v>3612.0</v>
      </c>
      <c r="H559" s="9">
        <v>89.8</v>
      </c>
      <c r="I559" s="9">
        <v>101.1</v>
      </c>
      <c r="J559" s="9">
        <v>32.2983</v>
      </c>
      <c r="K559" s="9">
        <v>-97.785</v>
      </c>
      <c r="L559" s="13">
        <v>216.504440307617</v>
      </c>
      <c r="M559" s="12" t="str">
        <f>HYPERLINK("http://www.iaea.org/PRIS/CountryStatistics/ReactorDetails.aspx?current=730", "PRIS")</f>
        <v>PRIS</v>
      </c>
      <c r="N559" s="12" t="str">
        <f t="shared" si="131"/>
        <v>Map</v>
      </c>
    </row>
    <row r="560">
      <c r="A560" s="9" t="s">
        <v>1308</v>
      </c>
      <c r="B560" s="9" t="s">
        <v>1661</v>
      </c>
      <c r="C560" s="12" t="str">
        <f>HYPERLINK("https://www.google.com/search?q=BYRON-1+nuclear+power+plant+in+UNITED+STATES", "BYRON-1")</f>
        <v>BYRON-1</v>
      </c>
      <c r="D560" s="9" t="s">
        <v>1344</v>
      </c>
      <c r="E560" s="9" t="s">
        <v>21</v>
      </c>
      <c r="F560" s="9">
        <v>1242.0</v>
      </c>
      <c r="G560" s="9">
        <v>3587.0</v>
      </c>
      <c r="H560" s="9">
        <v>85.5</v>
      </c>
      <c r="I560" s="9">
        <v>100.8</v>
      </c>
      <c r="J560" s="9">
        <v>42.07417</v>
      </c>
      <c r="K560" s="9">
        <v>-89.28194</v>
      </c>
      <c r="L560" s="13">
        <v>226.24609375</v>
      </c>
      <c r="M560" s="12" t="str">
        <f>HYPERLINK("http://www.iaea.org/PRIS/CountryStatistics/ReactorDetails.aspx?current=735", "PRIS")</f>
        <v>PRIS</v>
      </c>
      <c r="N560" s="12" t="str">
        <f t="shared" ref="N560:N561" si="132">HYPERLINK("http://maps.google.com/?q=42.0742,-89.2819&amp;t=k", "Map")</f>
        <v>Map</v>
      </c>
    </row>
    <row r="561">
      <c r="A561" s="9" t="s">
        <v>1308</v>
      </c>
      <c r="B561" s="9" t="s">
        <v>1661</v>
      </c>
      <c r="C561" s="12" t="str">
        <f>HYPERLINK("https://www.google.com/search?q=BYRON-2+nuclear+power+plant+in+UNITED+STATES", "BYRON-2")</f>
        <v>BYRON-2</v>
      </c>
      <c r="D561" s="9" t="s">
        <v>1344</v>
      </c>
      <c r="E561" s="9" t="s">
        <v>21</v>
      </c>
      <c r="F561" s="9">
        <v>1210.0</v>
      </c>
      <c r="G561" s="9">
        <v>3587.0</v>
      </c>
      <c r="H561" s="9">
        <v>89.1</v>
      </c>
      <c r="I561" s="9">
        <v>93.1</v>
      </c>
      <c r="J561" s="9">
        <v>42.07417</v>
      </c>
      <c r="K561" s="9">
        <v>-89.28194</v>
      </c>
      <c r="L561" s="13">
        <v>226.24609375</v>
      </c>
      <c r="M561" s="12" t="str">
        <f>HYPERLINK("http://www.iaea.org/PRIS/CountryStatistics/ReactorDetails.aspx?current=736", "PRIS")</f>
        <v>PRIS</v>
      </c>
      <c r="N561" s="12" t="str">
        <f t="shared" si="132"/>
        <v>Map</v>
      </c>
    </row>
    <row r="562">
      <c r="A562" s="9" t="s">
        <v>1308</v>
      </c>
      <c r="B562" s="9" t="s">
        <v>1661</v>
      </c>
      <c r="C562" s="12" t="str">
        <f>HYPERLINK("https://www.google.com/search?q=BRAIDWOOD-1+nuclear+power+plant+in+UNITED+STATES", "BRAIDWOOD-1")</f>
        <v>BRAIDWOOD-1</v>
      </c>
      <c r="D562" s="9" t="s">
        <v>1327</v>
      </c>
      <c r="E562" s="9" t="s">
        <v>21</v>
      </c>
      <c r="F562" s="9">
        <v>1242.0</v>
      </c>
      <c r="G562" s="9">
        <v>3587.0</v>
      </c>
      <c r="H562" s="9">
        <v>87.2</v>
      </c>
      <c r="I562" s="9">
        <v>94.5</v>
      </c>
      <c r="J562" s="9">
        <v>41.24361</v>
      </c>
      <c r="K562" s="9">
        <v>-88.22917</v>
      </c>
      <c r="L562" s="13">
        <v>146.887191772461</v>
      </c>
      <c r="M562" s="12" t="str">
        <f>HYPERLINK("http://www.iaea.org/PRIS/CountryStatistics/ReactorDetails.aspx?current=737", "PRIS")</f>
        <v>PRIS</v>
      </c>
      <c r="N562" s="12" t="str">
        <f t="shared" ref="N562:N563" si="133">HYPERLINK("http://maps.google.com/?q=41.2436,-88.2292&amp;t=k", "Map")</f>
        <v>Map</v>
      </c>
    </row>
    <row r="563">
      <c r="A563" s="9" t="s">
        <v>1308</v>
      </c>
      <c r="B563" s="9" t="s">
        <v>1661</v>
      </c>
      <c r="C563" s="12" t="str">
        <f>HYPERLINK("https://www.google.com/search?q=BRAIDWOOD-2+nuclear+power+plant+in+UNITED+STATES", "BRAIDWOOD-2")</f>
        <v>BRAIDWOOD-2</v>
      </c>
      <c r="D563" s="9" t="s">
        <v>1327</v>
      </c>
      <c r="E563" s="9" t="s">
        <v>21</v>
      </c>
      <c r="F563" s="9">
        <v>1210.0</v>
      </c>
      <c r="G563" s="9">
        <v>3587.0</v>
      </c>
      <c r="H563" s="9">
        <v>89.5</v>
      </c>
      <c r="I563" s="9">
        <v>98.1</v>
      </c>
      <c r="J563" s="9">
        <v>41.24361</v>
      </c>
      <c r="K563" s="9">
        <v>-88.22917</v>
      </c>
      <c r="L563" s="13">
        <v>146.887191772461</v>
      </c>
      <c r="M563" s="12" t="str">
        <f>HYPERLINK("http://www.iaea.org/PRIS/CountryStatistics/ReactorDetails.aspx?current=738", "PRIS")</f>
        <v>PRIS</v>
      </c>
      <c r="N563" s="12" t="str">
        <f t="shared" si="133"/>
        <v>Map</v>
      </c>
    </row>
    <row r="564">
      <c r="A564" s="9" t="s">
        <v>1308</v>
      </c>
      <c r="B564" s="9" t="s">
        <v>1661</v>
      </c>
      <c r="C564" s="12" t="str">
        <f>HYPERLINK("https://www.google.com/search?q=RIVER+BEND-1+nuclear+power+plant+in+UNITED+STATES", "RIVER BEND-1")</f>
        <v>RIVER BEND-1</v>
      </c>
      <c r="D564" s="9" t="s">
        <v>1560</v>
      </c>
      <c r="E564" s="9" t="s">
        <v>21</v>
      </c>
      <c r="F564" s="9">
        <v>1016.0</v>
      </c>
      <c r="G564" s="9">
        <v>3091.0</v>
      </c>
      <c r="H564" s="9">
        <v>81.2</v>
      </c>
      <c r="I564" s="9">
        <v>89.7</v>
      </c>
      <c r="J564" s="9">
        <v>30.7567</v>
      </c>
      <c r="K564" s="9">
        <v>-91.333</v>
      </c>
      <c r="L564" s="13">
        <v>7.27010345458984</v>
      </c>
      <c r="M564" s="12" t="str">
        <f>HYPERLINK("http://www.iaea.org/PRIS/CountryStatistics/ReactorDetails.aspx?current=739", "PRIS")</f>
        <v>PRIS</v>
      </c>
      <c r="N564" s="12" t="str">
        <f>HYPERLINK("http://maps.google.com/?q=30.7567,-91.333&amp;t=k", "Map")</f>
        <v>Map</v>
      </c>
    </row>
    <row r="565">
      <c r="A565" s="9" t="s">
        <v>1308</v>
      </c>
      <c r="B565" s="9" t="s">
        <v>1661</v>
      </c>
      <c r="C565" s="12" t="str">
        <f>HYPERLINK("https://www.google.com/search?q=CLINTON-1+nuclear+power+plant+in+UNITED+STATES", "CLINTON-1")</f>
        <v>CLINTON-1</v>
      </c>
      <c r="D565" s="9" t="s">
        <v>1362</v>
      </c>
      <c r="E565" s="9" t="s">
        <v>21</v>
      </c>
      <c r="F565" s="9">
        <v>1098.0</v>
      </c>
      <c r="G565" s="9">
        <v>3473.0</v>
      </c>
      <c r="H565" s="9">
        <v>76.2</v>
      </c>
      <c r="I565" s="9">
        <v>89.2</v>
      </c>
      <c r="J565" s="9">
        <v>40.17222</v>
      </c>
      <c r="K565" s="9">
        <v>-88.835</v>
      </c>
      <c r="L565" s="13">
        <v>191.163940429688</v>
      </c>
      <c r="M565" s="12" t="str">
        <f>HYPERLINK("http://www.iaea.org/PRIS/CountryStatistics/ReactorDetails.aspx?current=742", "PRIS")</f>
        <v>PRIS</v>
      </c>
      <c r="N565" s="12" t="str">
        <f>HYPERLINK("http://maps.google.com/?q=40.1722,-88.835&amp;t=k", "Map")</f>
        <v>Map</v>
      </c>
    </row>
    <row r="566">
      <c r="A566" s="9" t="s">
        <v>1308</v>
      </c>
      <c r="B566" s="9" t="s">
        <v>1661</v>
      </c>
      <c r="C566" s="12" t="str">
        <f>HYPERLINK("https://www.google.com/search?q=WOLF+CREEK+nuclear+power+plant+in+UNITED+STATES", "WOLF CREEK")</f>
        <v>WOLF CREEK</v>
      </c>
      <c r="D566" s="9" t="s">
        <v>1649</v>
      </c>
      <c r="E566" s="9" t="s">
        <v>21</v>
      </c>
      <c r="F566" s="9">
        <v>1280.0</v>
      </c>
      <c r="G566" s="9">
        <v>3565.0</v>
      </c>
      <c r="H566" s="9">
        <v>84.7</v>
      </c>
      <c r="I566" s="9">
        <v>68.5</v>
      </c>
      <c r="J566" s="9">
        <v>38.23889</v>
      </c>
      <c r="K566" s="9">
        <v>-95.68889</v>
      </c>
      <c r="L566" s="13">
        <v>301.355804443359</v>
      </c>
      <c r="M566" s="12" t="str">
        <f>HYPERLINK("http://www.iaea.org/PRIS/CountryStatistics/ReactorDetails.aspx?current=751", "PRIS")</f>
        <v>PRIS</v>
      </c>
      <c r="N566" s="12" t="str">
        <f>HYPERLINK("http://maps.google.com/?q=38.2389,-95.6889&amp;t=k", "Map")</f>
        <v>Map</v>
      </c>
    </row>
    <row r="567">
      <c r="A567" s="9" t="s">
        <v>1308</v>
      </c>
      <c r="B567" s="9" t="s">
        <v>1661</v>
      </c>
      <c r="C567" s="12" t="str">
        <f>HYPERLINK("https://www.google.com/search?q=CALLAWAY-1+nuclear+power+plant+in+UNITED+STATES", "CALLAWAY-1")</f>
        <v>CALLAWAY-1</v>
      </c>
      <c r="D567" s="9" t="s">
        <v>1349</v>
      </c>
      <c r="E567" s="9" t="s">
        <v>21</v>
      </c>
      <c r="F567" s="9">
        <v>1275.0</v>
      </c>
      <c r="G567" s="9">
        <v>3565.0</v>
      </c>
      <c r="H567" s="9">
        <v>87.6</v>
      </c>
      <c r="I567" s="9">
        <v>79.0</v>
      </c>
      <c r="J567" s="9">
        <v>38.7617</v>
      </c>
      <c r="K567" s="9">
        <v>-91.78</v>
      </c>
      <c r="L567" s="13">
        <v>220.447250366211</v>
      </c>
      <c r="M567" s="12" t="str">
        <f>HYPERLINK("http://www.iaea.org/PRIS/CountryStatistics/ReactorDetails.aspx?current=752", "PRIS")</f>
        <v>PRIS</v>
      </c>
      <c r="N567" s="12" t="str">
        <f>HYPERLINK("http://maps.google.com/?q=38.7617,-91.78&amp;t=k", "Map")</f>
        <v>Map</v>
      </c>
    </row>
    <row r="568">
      <c r="A568" s="9" t="s">
        <v>1308</v>
      </c>
      <c r="B568" s="9" t="s">
        <v>1661</v>
      </c>
      <c r="C568" s="12" t="str">
        <f>HYPERLINK("https://www.google.com/search?q=SOUTH+TEXAS-1+nuclear+power+plant+in+UNITED+STATES", "SOUTH TEXAS-1")</f>
        <v>SOUTH TEXAS-1</v>
      </c>
      <c r="D568" s="9" t="s">
        <v>1590</v>
      </c>
      <c r="E568" s="9" t="s">
        <v>21</v>
      </c>
      <c r="F568" s="9">
        <v>1354.0</v>
      </c>
      <c r="G568" s="9">
        <v>3853.0</v>
      </c>
      <c r="H568" s="9">
        <v>83.0</v>
      </c>
      <c r="I568" s="9">
        <v>98.3</v>
      </c>
      <c r="J568" s="9">
        <v>28.79556</v>
      </c>
      <c r="K568" s="9">
        <v>-96.04889</v>
      </c>
      <c r="L568" s="13">
        <v>-17.5631847381592</v>
      </c>
      <c r="M568" s="12" t="str">
        <f>HYPERLINK("http://www.iaea.org/PRIS/CountryStatistics/ReactorDetails.aspx?current=764", "PRIS")</f>
        <v>PRIS</v>
      </c>
      <c r="N568" s="12" t="str">
        <f t="shared" ref="N568:N569" si="134">HYPERLINK("http://maps.google.com/?q=28.7956,-96.0489&amp;t=k", "Map")</f>
        <v>Map</v>
      </c>
    </row>
    <row r="569">
      <c r="A569" s="9" t="s">
        <v>1308</v>
      </c>
      <c r="B569" s="9" t="s">
        <v>1661</v>
      </c>
      <c r="C569" s="12" t="str">
        <f>HYPERLINK("https://www.google.com/search?q=SOUTH+TEXAS-2+nuclear+power+plant+in+UNITED+STATES", "SOUTH TEXAS-2")</f>
        <v>SOUTH TEXAS-2</v>
      </c>
      <c r="D569" s="9" t="s">
        <v>1590</v>
      </c>
      <c r="E569" s="9" t="s">
        <v>21</v>
      </c>
      <c r="F569" s="9">
        <v>1354.0</v>
      </c>
      <c r="G569" s="9">
        <v>3853.0</v>
      </c>
      <c r="H569" s="9">
        <v>81.0</v>
      </c>
      <c r="I569" s="9">
        <v>62.8</v>
      </c>
      <c r="J569" s="9">
        <v>28.79556</v>
      </c>
      <c r="K569" s="9">
        <v>-96.04889</v>
      </c>
      <c r="L569" s="13">
        <v>-17.5631847381592</v>
      </c>
      <c r="M569" s="12" t="str">
        <f>HYPERLINK("http://www.iaea.org/PRIS/CountryStatistics/ReactorDetails.aspx?current=765", "PRIS")</f>
        <v>PRIS</v>
      </c>
      <c r="N569" s="12" t="str">
        <f t="shared" si="134"/>
        <v>Map</v>
      </c>
    </row>
    <row r="570">
      <c r="A570" s="9" t="s">
        <v>1308</v>
      </c>
      <c r="B570" s="9" t="s">
        <v>1661</v>
      </c>
      <c r="C570" s="12" t="str">
        <f>HYPERLINK("https://www.google.com/search?q=PALO+VERDE-1+nuclear+power+plant+in+UNITED+STATES", "PALO VERDE-1")</f>
        <v>PALO VERDE-1</v>
      </c>
      <c r="D570" s="9" t="s">
        <v>1517</v>
      </c>
      <c r="E570" s="9" t="s">
        <v>21</v>
      </c>
      <c r="F570" s="9">
        <v>1414.0</v>
      </c>
      <c r="G570" s="9">
        <v>3990.0</v>
      </c>
      <c r="H570" s="9">
        <v>77.8</v>
      </c>
      <c r="I570" s="9">
        <v>91.3</v>
      </c>
      <c r="J570" s="9">
        <v>33.38917</v>
      </c>
      <c r="K570" s="9">
        <v>-112.865</v>
      </c>
      <c r="L570" s="13">
        <v>258.181182861328</v>
      </c>
      <c r="M570" s="12" t="str">
        <f>HYPERLINK("http://www.iaea.org/PRIS/CountryStatistics/ReactorDetails.aspx?current=789", "PRIS")</f>
        <v>PRIS</v>
      </c>
      <c r="N570" s="12" t="str">
        <f t="shared" ref="N570:N572" si="135">HYPERLINK("http://maps.google.com/?q=33.3892,-112.865&amp;t=k", "Map")</f>
        <v>Map</v>
      </c>
    </row>
    <row r="571">
      <c r="A571" s="9" t="s">
        <v>1308</v>
      </c>
      <c r="B571" s="9" t="s">
        <v>1661</v>
      </c>
      <c r="C571" s="12" t="str">
        <f>HYPERLINK("https://www.google.com/search?q=PALO+VERDE-2+nuclear+power+plant+in+UNITED+STATES", "PALO VERDE-2")</f>
        <v>PALO VERDE-2</v>
      </c>
      <c r="D571" s="9" t="s">
        <v>1517</v>
      </c>
      <c r="E571" s="9" t="s">
        <v>21</v>
      </c>
      <c r="F571" s="9">
        <v>1414.0</v>
      </c>
      <c r="G571" s="9">
        <v>3990.0</v>
      </c>
      <c r="H571" s="9">
        <v>82.1</v>
      </c>
      <c r="I571" s="9">
        <v>97.6</v>
      </c>
      <c r="J571" s="9">
        <v>33.38917</v>
      </c>
      <c r="K571" s="9">
        <v>-112.865</v>
      </c>
      <c r="L571" s="13">
        <v>258.181182861328</v>
      </c>
      <c r="M571" s="12" t="str">
        <f>HYPERLINK("http://www.iaea.org/PRIS/CountryStatistics/ReactorDetails.aspx?current=790", "PRIS")</f>
        <v>PRIS</v>
      </c>
      <c r="N571" s="12" t="str">
        <f t="shared" si="135"/>
        <v>Map</v>
      </c>
    </row>
    <row r="572">
      <c r="A572" s="9" t="s">
        <v>1308</v>
      </c>
      <c r="B572" s="9" t="s">
        <v>1661</v>
      </c>
      <c r="C572" s="12" t="str">
        <f>HYPERLINK("https://www.google.com/search?q=PALO+VERDE-3+nuclear+power+plant+in+UNITED+STATES", "PALO VERDE-3")</f>
        <v>PALO VERDE-3</v>
      </c>
      <c r="D572" s="9" t="s">
        <v>1517</v>
      </c>
      <c r="E572" s="9" t="s">
        <v>21</v>
      </c>
      <c r="F572" s="9">
        <v>1414.0</v>
      </c>
      <c r="G572" s="9">
        <v>3990.0</v>
      </c>
      <c r="H572" s="9">
        <v>83.5</v>
      </c>
      <c r="I572" s="9">
        <v>84.5</v>
      </c>
      <c r="J572" s="9">
        <v>33.38917</v>
      </c>
      <c r="K572" s="9">
        <v>-112.865</v>
      </c>
      <c r="L572" s="13">
        <v>258.181182861328</v>
      </c>
      <c r="M572" s="12" t="str">
        <f>HYPERLINK("http://www.iaea.org/PRIS/CountryStatistics/ReactorDetails.aspx?current=791", "PRIS")</f>
        <v>PRIS</v>
      </c>
      <c r="N572" s="12" t="str">
        <f t="shared" si="135"/>
        <v>Map</v>
      </c>
    </row>
    <row r="573">
      <c r="A573" s="9" t="s">
        <v>1049</v>
      </c>
      <c r="B573" s="9" t="s">
        <v>1050</v>
      </c>
      <c r="C573" s="12" t="str">
        <f>HYPERLINK("https://www.google.com/search?q=KOEBERG-1+nuclear+power+plant+in+SOUTH+AFRICA", "KOEBERG-1")</f>
        <v>KOEBERG-1</v>
      </c>
      <c r="D573" s="9" t="s">
        <v>1052</v>
      </c>
      <c r="E573" s="9" t="s">
        <v>21</v>
      </c>
      <c r="F573" s="9">
        <v>970.0</v>
      </c>
      <c r="G573" s="9">
        <v>2775.0</v>
      </c>
      <c r="H573" s="9">
        <v>69.8</v>
      </c>
      <c r="I573" s="9">
        <v>67.8</v>
      </c>
      <c r="J573" s="9">
        <v>-33.676444</v>
      </c>
      <c r="K573" s="9">
        <v>18.4320472</v>
      </c>
      <c r="L573" s="13">
        <v>41.8786201477051</v>
      </c>
      <c r="M573" s="12" t="str">
        <f>HYPERLINK("http://www.iaea.org/PRIS/CountryStatistics/ReactorDetails.aspx?current=836", "PRIS")</f>
        <v>PRIS</v>
      </c>
      <c r="N573" s="12" t="str">
        <f t="shared" ref="N573:N574" si="136">HYPERLINK("http://maps.google.com/?q=-33.6764,18.432&amp;t=k", "Map")</f>
        <v>Map</v>
      </c>
    </row>
    <row r="574">
      <c r="A574" s="9" t="s">
        <v>1049</v>
      </c>
      <c r="B574" s="9" t="s">
        <v>1050</v>
      </c>
      <c r="C574" s="12" t="str">
        <f>HYPERLINK("https://www.google.com/search?q=KOEBERG-2+nuclear+power+plant+in+SOUTH+AFRICA", "KOEBERG-2")</f>
        <v>KOEBERG-2</v>
      </c>
      <c r="D574" s="9" t="s">
        <v>1052</v>
      </c>
      <c r="E574" s="9" t="s">
        <v>21</v>
      </c>
      <c r="F574" s="9">
        <v>970.0</v>
      </c>
      <c r="G574" s="9">
        <v>2775.0</v>
      </c>
      <c r="H574" s="9">
        <v>70.9</v>
      </c>
      <c r="I574" s="9">
        <v>99.6</v>
      </c>
      <c r="J574" s="9">
        <v>-33.676444</v>
      </c>
      <c r="K574" s="9">
        <v>18.4320472</v>
      </c>
      <c r="L574" s="13">
        <v>41.8786201477051</v>
      </c>
      <c r="M574" s="12" t="str">
        <f>HYPERLINK("http://www.iaea.org/PRIS/CountryStatistics/ReactorDetails.aspx?current=837", "PRIS")</f>
        <v>PRIS</v>
      </c>
      <c r="N574" s="12" t="str">
        <f t="shared" si="136"/>
        <v>Map</v>
      </c>
    </row>
    <row r="575">
      <c r="A575" s="9" t="s">
        <v>144</v>
      </c>
      <c r="B575" s="9" t="s">
        <v>145</v>
      </c>
      <c r="C575" s="12" t="str">
        <f>HYPERLINK("https://www.google.com/search?q=TIANWAN-1+nuclear+power+plant+in+CHINA", "TIANWAN-1")</f>
        <v>TIANWAN-1</v>
      </c>
      <c r="D575" s="9" t="s">
        <v>238</v>
      </c>
      <c r="E575" s="9" t="s">
        <v>21</v>
      </c>
      <c r="F575" s="9">
        <v>1060.0</v>
      </c>
      <c r="G575" s="9">
        <v>3000.0</v>
      </c>
      <c r="H575" s="9">
        <v>84.8</v>
      </c>
      <c r="I575" s="9">
        <v>90.7</v>
      </c>
      <c r="J575" s="9">
        <v>34.68694</v>
      </c>
      <c r="K575" s="9">
        <v>119.45972</v>
      </c>
      <c r="L575" s="13">
        <v>238.425308227539</v>
      </c>
      <c r="M575" s="12" t="str">
        <f>HYPERLINK("http://www.iaea.org/PRIS/CountryStatistics/ReactorDetails.aspx?current=838", "PRIS")</f>
        <v>PRIS</v>
      </c>
      <c r="N575" s="12" t="str">
        <f t="shared" ref="N575:N576" si="137">HYPERLINK("http://maps.google.com/?q=34.6869,119.46&amp;t=k", "Map")</f>
        <v>Map</v>
      </c>
    </row>
    <row r="576">
      <c r="A576" s="9" t="s">
        <v>144</v>
      </c>
      <c r="B576" s="9" t="s">
        <v>145</v>
      </c>
      <c r="C576" s="12" t="str">
        <f>HYPERLINK("https://www.google.com/search?q=TIANWAN-2+nuclear+power+plant+in+CHINA", "TIANWAN-2")</f>
        <v>TIANWAN-2</v>
      </c>
      <c r="D576" s="9" t="s">
        <v>238</v>
      </c>
      <c r="E576" s="9" t="s">
        <v>21</v>
      </c>
      <c r="F576" s="9">
        <v>1060.0</v>
      </c>
      <c r="G576" s="9">
        <v>3000.0</v>
      </c>
      <c r="H576" s="9">
        <v>87.9</v>
      </c>
      <c r="I576" s="9">
        <v>89.3</v>
      </c>
      <c r="J576" s="9">
        <v>34.68694</v>
      </c>
      <c r="K576" s="9">
        <v>119.45972</v>
      </c>
      <c r="L576" s="13">
        <v>238.425308227539</v>
      </c>
      <c r="M576" s="12" t="str">
        <f>HYPERLINK("http://www.iaea.org/PRIS/CountryStatistics/ReactorDetails.aspx?current=839", "PRIS")</f>
        <v>PRIS</v>
      </c>
      <c r="N576" s="12" t="str">
        <f t="shared" si="137"/>
        <v>Map</v>
      </c>
    </row>
    <row r="577">
      <c r="A577" s="9" t="s">
        <v>144</v>
      </c>
      <c r="B577" s="9" t="s">
        <v>145</v>
      </c>
      <c r="C577" s="12" t="str">
        <f>HYPERLINK("https://www.google.com/search?q=QINSHAN+3-2+nuclear+power+plant+in+CHINA", "QINSHAN 3-2")</f>
        <v>QINSHAN 3-2</v>
      </c>
      <c r="D577" s="9" t="s">
        <v>165</v>
      </c>
      <c r="E577" s="9" t="s">
        <v>21</v>
      </c>
      <c r="F577" s="9">
        <v>728.0</v>
      </c>
      <c r="G577" s="9">
        <v>2064.0</v>
      </c>
      <c r="H577" s="9">
        <v>92.4</v>
      </c>
      <c r="I577" s="9">
        <v>101.8</v>
      </c>
      <c r="J577" s="9">
        <v>30.43306</v>
      </c>
      <c r="K577" s="9">
        <v>120.95</v>
      </c>
      <c r="L577" s="13">
        <v>10.6533164978027</v>
      </c>
      <c r="M577" s="12" t="str">
        <f>HYPERLINK("http://www.iaea.org/PRIS/CountryStatistics/ReactorDetails.aspx?current=840", "PRIS")</f>
        <v>PRIS</v>
      </c>
      <c r="N577" s="12" t="str">
        <f>HYPERLINK("http://maps.google.com/?q=30.4331,120.95&amp;t=k", "Map")</f>
        <v>Map</v>
      </c>
    </row>
    <row r="578">
      <c r="A578" s="9" t="s">
        <v>652</v>
      </c>
      <c r="B578" s="9" t="s">
        <v>653</v>
      </c>
      <c r="C578" s="12" t="str">
        <f>HYPERLINK("https://www.google.com/search?q=HIGASHI+DORI-1+(TOHOKU)+nuclear+power+plant+in+JAPAN", "HIGASHI DORI-1 (TOHOKU)")</f>
        <v>HIGASHI DORI-1 (TOHOKU)</v>
      </c>
      <c r="D578" s="9" t="s">
        <v>704</v>
      </c>
      <c r="E578" s="9" t="s">
        <v>21</v>
      </c>
      <c r="F578" s="9">
        <v>1100.0</v>
      </c>
      <c r="G578" s="9">
        <v>3293.0</v>
      </c>
      <c r="H578" s="9">
        <v>52.3</v>
      </c>
      <c r="I578" s="9">
        <v>0.0</v>
      </c>
      <c r="J578" s="9">
        <v>41.18806</v>
      </c>
      <c r="K578" s="9">
        <v>141.39028</v>
      </c>
      <c r="L578" s="13">
        <v>102.815773010254</v>
      </c>
      <c r="M578" s="12" t="str">
        <f>HYPERLINK("http://www.iaea.org/PRIS/CountryStatistics/ReactorDetails.aspx?current=841", "PRIS")</f>
        <v>PRIS</v>
      </c>
      <c r="N578" s="12" t="str">
        <f>HYPERLINK("http://maps.google.com/?q=41.1881,141.39&amp;t=k", "Map")</f>
        <v>Map</v>
      </c>
    </row>
    <row r="579">
      <c r="A579" s="9" t="s">
        <v>652</v>
      </c>
      <c r="B579" s="9" t="s">
        <v>653</v>
      </c>
      <c r="C579" s="12" t="str">
        <f>HYPERLINK("https://www.google.com/search?q=SHIKA-2+nuclear+power+plant+in+JAPAN", "SHIKA-2")</f>
        <v>SHIKA-2</v>
      </c>
      <c r="D579" s="9" t="s">
        <v>764</v>
      </c>
      <c r="E579" s="9" t="s">
        <v>21</v>
      </c>
      <c r="F579" s="9">
        <v>1150.0</v>
      </c>
      <c r="G579" s="9">
        <v>3926.0</v>
      </c>
      <c r="H579" s="9">
        <v>33.3</v>
      </c>
      <c r="I579" s="9">
        <v>0.0</v>
      </c>
      <c r="J579" s="9">
        <v>37.06111</v>
      </c>
      <c r="K579" s="9">
        <v>136.72639</v>
      </c>
      <c r="L579" s="13">
        <v>56.3338241577148</v>
      </c>
      <c r="M579" s="12" t="str">
        <f>HYPERLINK("http://www.iaea.org/PRIS/CountryStatistics/ReactorDetails.aspx?current=842", "PRIS")</f>
        <v>PRIS</v>
      </c>
      <c r="N579" s="12" t="str">
        <f>HYPERLINK("http://maps.google.com/?q=37.0611,136.726&amp;t=k", "Map")</f>
        <v>Map</v>
      </c>
    </row>
    <row r="580">
      <c r="A580" s="9" t="s">
        <v>652</v>
      </c>
      <c r="B580" s="9" t="s">
        <v>653</v>
      </c>
      <c r="C580" s="12" t="str">
        <f>HYPERLINK("https://www.google.com/search?q=HAMAOKA-5+nuclear+power+plant+in+JAPAN", "HAMAOKA-5")</f>
        <v>HAMAOKA-5</v>
      </c>
      <c r="D580" s="9" t="s">
        <v>693</v>
      </c>
      <c r="E580" s="9" t="s">
        <v>21</v>
      </c>
      <c r="F580" s="9">
        <v>1380.0</v>
      </c>
      <c r="G580" s="9">
        <v>3926.0</v>
      </c>
      <c r="H580" s="9">
        <v>34.2</v>
      </c>
      <c r="I580" s="9">
        <v>0.0</v>
      </c>
      <c r="J580" s="9">
        <v>34.62361</v>
      </c>
      <c r="K580" s="9">
        <v>138.1425</v>
      </c>
      <c r="L580" s="13">
        <v>41.7749252319336</v>
      </c>
      <c r="M580" s="12" t="str">
        <f>HYPERLINK("http://www.iaea.org/PRIS/CountryStatistics/ReactorDetails.aspx?current=843", "PRIS")</f>
        <v>PRIS</v>
      </c>
      <c r="N580" s="12" t="str">
        <f>HYPERLINK("http://maps.google.com/?q=34.6236,138.143&amp;t=k", "Map")</f>
        <v>Map</v>
      </c>
    </row>
    <row r="581">
      <c r="A581" s="9" t="s">
        <v>565</v>
      </c>
      <c r="B581" s="9" t="s">
        <v>566</v>
      </c>
      <c r="C581" s="12" t="str">
        <f>HYPERLINK("https://www.google.com/search?q=KUDANKULAM-1+nuclear+power+plant+in+INDIA", "KUDANKULAM-1")</f>
        <v>KUDANKULAM-1</v>
      </c>
      <c r="D581" s="9" t="s">
        <v>586</v>
      </c>
      <c r="E581" s="9" t="s">
        <v>21</v>
      </c>
      <c r="F581" s="9">
        <v>1000.0</v>
      </c>
      <c r="G581" s="9">
        <v>3000.0</v>
      </c>
      <c r="H581" s="9">
        <v>0.0</v>
      </c>
      <c r="I581" s="9">
        <v>0.0</v>
      </c>
      <c r="J581" s="9">
        <v>8.16889</v>
      </c>
      <c r="K581" s="9">
        <v>77.7125</v>
      </c>
      <c r="L581" s="13">
        <v>-63.3179016113281</v>
      </c>
      <c r="M581" s="12" t="str">
        <f>HYPERLINK("http://www.iaea.org/PRIS/CountryStatistics/ReactorDetails.aspx?current=852", "PRIS")</f>
        <v>PRIS</v>
      </c>
      <c r="N581" s="12" t="str">
        <f t="shared" ref="N581:N582" si="138">HYPERLINK("http://maps.google.com/?q=8.16889,77.7125&amp;t=k", "Map")</f>
        <v>Map</v>
      </c>
    </row>
    <row r="582">
      <c r="A582" s="9" t="s">
        <v>565</v>
      </c>
      <c r="B582" s="9" t="s">
        <v>566</v>
      </c>
      <c r="C582" s="12" t="str">
        <f>HYPERLINK("https://www.google.com/search?q=KUDANKULAM-2+nuclear+power+plant+in+INDIA", "KUDANKULAM-2")</f>
        <v>KUDANKULAM-2</v>
      </c>
      <c r="D582" s="9" t="s">
        <v>586</v>
      </c>
      <c r="E582" s="9" t="s">
        <v>26</v>
      </c>
      <c r="F582" s="9">
        <v>1000.0</v>
      </c>
      <c r="G582" s="9">
        <v>3000.0</v>
      </c>
      <c r="H582" s="9">
        <v>0.0</v>
      </c>
      <c r="I582" s="9">
        <v>0.0</v>
      </c>
      <c r="J582" s="9">
        <v>8.16889</v>
      </c>
      <c r="K582" s="9">
        <v>77.7125</v>
      </c>
      <c r="L582" s="13">
        <v>-63.3179016113281</v>
      </c>
      <c r="M582" s="12" t="str">
        <f>HYPERLINK("http://www.iaea.org/PRIS/CountryStatistics/ReactorDetails.aspx?current=853", "PRIS")</f>
        <v>PRIS</v>
      </c>
      <c r="N582" s="12" t="str">
        <f t="shared" si="138"/>
        <v>Map</v>
      </c>
    </row>
    <row r="583">
      <c r="A583" s="9" t="s">
        <v>652</v>
      </c>
      <c r="B583" s="9" t="s">
        <v>653</v>
      </c>
      <c r="C583" s="12" t="str">
        <f>HYPERLINK("https://www.google.com/search?q=TOMARI-3+nuclear+power+plant+in+JAPAN", "TOMARI-3")</f>
        <v>TOMARI-3</v>
      </c>
      <c r="D583" s="9" t="s">
        <v>790</v>
      </c>
      <c r="E583" s="9" t="s">
        <v>21</v>
      </c>
      <c r="F583" s="9">
        <v>912.0</v>
      </c>
      <c r="G583" s="9">
        <v>2660.0</v>
      </c>
      <c r="H583" s="9">
        <v>56.6</v>
      </c>
      <c r="I583" s="9">
        <v>0.0</v>
      </c>
      <c r="J583" s="9">
        <v>43.03611</v>
      </c>
      <c r="K583" s="9">
        <v>140.5125</v>
      </c>
      <c r="L583" s="13">
        <v>128.231658935547</v>
      </c>
      <c r="M583" s="12" t="str">
        <f>HYPERLINK("http://www.iaea.org/PRIS/CountryStatistics/ReactorDetails.aspx?current=856", "PRIS")</f>
        <v>PRIS</v>
      </c>
      <c r="N583" s="12" t="str">
        <f>HYPERLINK("http://maps.google.com/?q=43.0361,140.512&amp;t=k", "Map")</f>
        <v>Map</v>
      </c>
    </row>
    <row r="584">
      <c r="A584" s="9" t="s">
        <v>565</v>
      </c>
      <c r="B584" s="9" t="s">
        <v>566</v>
      </c>
      <c r="C584" s="12" t="str">
        <f>HYPERLINK("https://www.google.com/search?q=PFBR+nuclear+power+plant+in+INDIA", "PFBR")</f>
        <v>PFBR</v>
      </c>
      <c r="D584" s="9" t="s">
        <v>591</v>
      </c>
      <c r="E584" s="9" t="s">
        <v>26</v>
      </c>
      <c r="F584" s="9">
        <v>500.0</v>
      </c>
      <c r="G584" s="9">
        <v>1253.0</v>
      </c>
      <c r="H584" s="9">
        <v>0.0</v>
      </c>
      <c r="I584" s="9">
        <v>0.0</v>
      </c>
      <c r="J584" s="9">
        <v>12.55306</v>
      </c>
      <c r="K584" s="9">
        <v>80.17333</v>
      </c>
      <c r="L584" s="13">
        <v>-91.7456588745117</v>
      </c>
      <c r="M584" s="12" t="str">
        <f>HYPERLINK("http://www.iaea.org/PRIS/CountryStatistics/ReactorDetails.aspx?current=859", "PRIS")</f>
        <v>PRIS</v>
      </c>
      <c r="N584" s="12" t="str">
        <f>HYPERLINK("http://maps.google.com/?q=12.5531,80.1733&amp;t=k", "Map")</f>
        <v>Map</v>
      </c>
    </row>
    <row r="585">
      <c r="A585" s="9" t="s">
        <v>275</v>
      </c>
      <c r="B585" s="9" t="s">
        <v>276</v>
      </c>
      <c r="C585" s="12" t="str">
        <f>HYPERLINK("https://www.google.com/search?q=OLKILUOTO-3+nuclear+power+plant+in+FINLAND", "OLKILUOTO-3")</f>
        <v>OLKILUOTO-3</v>
      </c>
      <c r="D585" s="9" t="s">
        <v>283</v>
      </c>
      <c r="E585" s="9" t="s">
        <v>26</v>
      </c>
      <c r="F585" s="9">
        <v>1720.0</v>
      </c>
      <c r="G585" s="9">
        <v>4300.0</v>
      </c>
      <c r="H585" s="9">
        <v>0.0</v>
      </c>
      <c r="I585" s="9">
        <v>0.0</v>
      </c>
      <c r="J585" s="9">
        <v>61.23694</v>
      </c>
      <c r="K585" s="9">
        <v>21.44083</v>
      </c>
      <c r="L585" s="13">
        <v>18.927339553833</v>
      </c>
      <c r="M585" s="12" t="str">
        <f>HYPERLINK("http://www.iaea.org/PRIS/CountryStatistics/ReactorDetails.aspx?current=860", "PRIS")</f>
        <v>PRIS</v>
      </c>
      <c r="N585" s="12" t="str">
        <f>HYPERLINK("http://maps.google.com/?q=61.2369,21.4408&amp;t=k", "Map")</f>
        <v>Map</v>
      </c>
    </row>
    <row r="586">
      <c r="A586" s="9" t="s">
        <v>652</v>
      </c>
      <c r="B586" s="9" t="s">
        <v>653</v>
      </c>
      <c r="C586" s="12" t="str">
        <f>HYPERLINK("https://www.google.com/search?q=SHIMANE-3+nuclear+power+plant+in+JAPAN", "SHIMANE-3")</f>
        <v>SHIMANE-3</v>
      </c>
      <c r="D586" s="9" t="s">
        <v>769</v>
      </c>
      <c r="E586" s="9" t="s">
        <v>26</v>
      </c>
      <c r="F586" s="9">
        <v>1373.0</v>
      </c>
      <c r="G586" s="9">
        <v>3926.0</v>
      </c>
      <c r="H586" s="9">
        <v>0.0</v>
      </c>
      <c r="I586" s="9">
        <v>0.0</v>
      </c>
      <c r="J586" s="9">
        <v>35.53833</v>
      </c>
      <c r="K586" s="9">
        <v>132.99917</v>
      </c>
      <c r="L586" s="13">
        <v>140.466827392578</v>
      </c>
      <c r="M586" s="12" t="str">
        <f>HYPERLINK("http://www.iaea.org/PRIS/CountryStatistics/ReactorDetails.aspx?current=862", "PRIS")</f>
        <v>PRIS</v>
      </c>
      <c r="N586" s="12" t="str">
        <f>HYPERLINK("http://maps.google.com/?q=35.5383,132.999&amp;t=k", "Map")</f>
        <v>Map</v>
      </c>
    </row>
    <row r="587">
      <c r="A587" s="9" t="s">
        <v>806</v>
      </c>
      <c r="B587" s="9" t="s">
        <v>1659</v>
      </c>
      <c r="C587" s="12" t="str">
        <f>HYPERLINK("https://www.google.com/search?q=SHIN-KORI-1+nuclear+power+plant+in+SOUTH+KOREA", "SHIN-KORI-1")</f>
        <v>SHIN-KORI-1</v>
      </c>
      <c r="D587" s="9" t="s">
        <v>848</v>
      </c>
      <c r="E587" s="9" t="s">
        <v>21</v>
      </c>
      <c r="F587" s="9">
        <v>1048.0</v>
      </c>
      <c r="G587" s="9">
        <v>2825.0</v>
      </c>
      <c r="H587" s="9">
        <v>67.3</v>
      </c>
      <c r="I587" s="9">
        <v>26.6</v>
      </c>
      <c r="J587" s="9">
        <v>35.319904</v>
      </c>
      <c r="K587" s="9">
        <v>129.290053</v>
      </c>
      <c r="L587" s="13">
        <v>34.6682090759277</v>
      </c>
      <c r="M587" s="12" t="str">
        <f>HYPERLINK("http://www.iaea.org/PRIS/CountryStatistics/ReactorDetails.aspx?current=864", "PRIS")</f>
        <v>PRIS</v>
      </c>
      <c r="N587" s="12" t="str">
        <f t="shared" ref="N587:N588" si="139">HYPERLINK("http://maps.google.com/?q=35.3199,129.29&amp;t=k", "Map")</f>
        <v>Map</v>
      </c>
    </row>
    <row r="588">
      <c r="A588" s="9" t="s">
        <v>806</v>
      </c>
      <c r="B588" s="9" t="s">
        <v>1659</v>
      </c>
      <c r="C588" s="12" t="str">
        <f>HYPERLINK("https://www.google.com/search?q=SHIN-KORI-2+nuclear+power+plant+in+SOUTH+KOREA", "SHIN-KORI-2")</f>
        <v>SHIN-KORI-2</v>
      </c>
      <c r="D588" s="9" t="s">
        <v>848</v>
      </c>
      <c r="E588" s="9" t="s">
        <v>21</v>
      </c>
      <c r="F588" s="9">
        <v>1045.0</v>
      </c>
      <c r="G588" s="9">
        <v>2825.0</v>
      </c>
      <c r="H588" s="9">
        <v>57.6</v>
      </c>
      <c r="I588" s="9">
        <v>40.6</v>
      </c>
      <c r="J588" s="9">
        <v>35.319904</v>
      </c>
      <c r="K588" s="9">
        <v>129.290053</v>
      </c>
      <c r="L588" s="13">
        <v>34.6682090759277</v>
      </c>
      <c r="M588" s="12" t="str">
        <f>HYPERLINK("http://www.iaea.org/PRIS/CountryStatistics/ReactorDetails.aspx?current=865", "PRIS")</f>
        <v>PRIS</v>
      </c>
      <c r="N588" s="12" t="str">
        <f t="shared" si="139"/>
        <v>Map</v>
      </c>
    </row>
    <row r="589">
      <c r="A589" s="9" t="s">
        <v>652</v>
      </c>
      <c r="B589" s="9" t="s">
        <v>653</v>
      </c>
      <c r="C589" s="12" t="str">
        <f>HYPERLINK("https://www.google.com/search?q=OHMA+nuclear+power+plant+in+JAPAN", "OHMA")</f>
        <v>OHMA</v>
      </c>
      <c r="D589" s="9" t="s">
        <v>749</v>
      </c>
      <c r="E589" s="9" t="s">
        <v>26</v>
      </c>
      <c r="F589" s="9">
        <v>1383.0</v>
      </c>
      <c r="G589" s="9">
        <v>3926.0</v>
      </c>
      <c r="H589" s="9">
        <v>0.0</v>
      </c>
      <c r="I589" s="9">
        <v>0.0</v>
      </c>
      <c r="J589" s="9">
        <v>41.50972</v>
      </c>
      <c r="K589" s="9">
        <v>140.91028</v>
      </c>
      <c r="L589" s="13">
        <v>34.7401390075684</v>
      </c>
      <c r="M589" s="12" t="str">
        <f>HYPERLINK("http://www.iaea.org/PRIS/CountryStatistics/ReactorDetails.aspx?current=867", "PRIS")</f>
        <v>PRIS</v>
      </c>
      <c r="N589" s="12" t="str">
        <f>HYPERLINK("http://maps.google.com/?q=41.5097,140.91&amp;t=k", "Map")</f>
        <v>Map</v>
      </c>
    </row>
    <row r="590">
      <c r="A590" s="9" t="s">
        <v>289</v>
      </c>
      <c r="B590" s="9" t="s">
        <v>290</v>
      </c>
      <c r="C590" s="12" t="str">
        <f>HYPERLINK("https://www.google.com/search?q=FLAMANVILLE-3+nuclear+power+plant+in+FRANCE", "FLAMANVILLE-3")</f>
        <v>FLAMANVILLE-3</v>
      </c>
      <c r="D590" s="9" t="s">
        <v>385</v>
      </c>
      <c r="E590" s="9" t="s">
        <v>26</v>
      </c>
      <c r="F590" s="9">
        <v>1650.0</v>
      </c>
      <c r="G590" s="9">
        <v>4300.0</v>
      </c>
      <c r="H590" s="9">
        <v>0.0</v>
      </c>
      <c r="I590" s="9">
        <v>0.0</v>
      </c>
      <c r="J590" s="9">
        <v>49.53639</v>
      </c>
      <c r="K590" s="9">
        <v>-1.88167</v>
      </c>
      <c r="L590" s="13">
        <v>42.18603515625</v>
      </c>
      <c r="M590" s="12" t="str">
        <f>HYPERLINK("http://www.iaea.org/PRIS/CountryStatistics/ReactorDetails.aspx?current=873", "PRIS")</f>
        <v>PRIS</v>
      </c>
      <c r="N590" s="12" t="str">
        <f>HYPERLINK("http://maps.google.com/?q=49.5364,-1.88167&amp;t=k", "Map")</f>
        <v>Map</v>
      </c>
    </row>
    <row r="591">
      <c r="A591" s="9" t="s">
        <v>144</v>
      </c>
      <c r="B591" s="9" t="s">
        <v>145</v>
      </c>
      <c r="C591" s="12" t="str">
        <f>HYPERLINK("https://www.google.com/search?q=LING+AO-4+nuclear+power+plant+in+CHINA", "LING AO-4")</f>
        <v>LING AO-4</v>
      </c>
      <c r="D591" s="9" t="s">
        <v>193</v>
      </c>
      <c r="E591" s="9" t="s">
        <v>21</v>
      </c>
      <c r="F591" s="9">
        <v>1080.0</v>
      </c>
      <c r="G591" s="9">
        <v>2905.0</v>
      </c>
      <c r="H591" s="9">
        <v>85.8</v>
      </c>
      <c r="I591" s="9">
        <v>89.2</v>
      </c>
      <c r="J591" s="9">
        <v>22.6047889</v>
      </c>
      <c r="K591" s="9">
        <v>114.5514889</v>
      </c>
      <c r="L591" s="13">
        <v>-2.55529165267944</v>
      </c>
      <c r="M591" s="12" t="str">
        <f>HYPERLINK("http://www.iaea.org/PRIS/CountryStatistics/ReactorDetails.aspx?current=875", "PRIS")</f>
        <v>PRIS</v>
      </c>
      <c r="N591" s="12" t="str">
        <f>HYPERLINK("http://maps.google.com/?q=22.6048,114.551&amp;t=k", "Map")</f>
        <v>Map</v>
      </c>
    </row>
    <row r="592">
      <c r="A592" s="9" t="s">
        <v>144</v>
      </c>
      <c r="B592" s="9" t="s">
        <v>145</v>
      </c>
      <c r="C592" s="12" t="str">
        <f>HYPERLINK("https://www.google.com/search?q=QINSHAN+2-3+nuclear+power+plant+in+CHINA", "QINSHAN 2-3")</f>
        <v>QINSHAN 2-3</v>
      </c>
      <c r="D592" s="9" t="s">
        <v>165</v>
      </c>
      <c r="E592" s="9" t="s">
        <v>21</v>
      </c>
      <c r="F592" s="9">
        <v>660.0</v>
      </c>
      <c r="G592" s="9">
        <v>1930.0</v>
      </c>
      <c r="H592" s="9">
        <v>90.0</v>
      </c>
      <c r="I592" s="9">
        <v>95.0</v>
      </c>
      <c r="J592" s="9">
        <v>30.43306</v>
      </c>
      <c r="K592" s="9">
        <v>120.95</v>
      </c>
      <c r="L592" s="13">
        <v>10.6533164978027</v>
      </c>
      <c r="M592" s="12" t="str">
        <f>HYPERLINK("http://www.iaea.org/PRIS/CountryStatistics/ReactorDetails.aspx?current=876", "PRIS")</f>
        <v>PRIS</v>
      </c>
      <c r="N592" s="12" t="str">
        <f t="shared" ref="N592:N593" si="140">HYPERLINK("http://maps.google.com/?q=30.4331,120.95&amp;t=k", "Map")</f>
        <v>Map</v>
      </c>
    </row>
    <row r="593">
      <c r="A593" s="9" t="s">
        <v>144</v>
      </c>
      <c r="B593" s="9" t="s">
        <v>145</v>
      </c>
      <c r="C593" s="12" t="str">
        <f>HYPERLINK("https://www.google.com/search?q=QINSHAN+2-4+nuclear+power+plant+in+CHINA", "QINSHAN 2-4")</f>
        <v>QINSHAN 2-4</v>
      </c>
      <c r="D593" s="9" t="s">
        <v>165</v>
      </c>
      <c r="E593" s="9" t="s">
        <v>21</v>
      </c>
      <c r="F593" s="9">
        <v>660.0</v>
      </c>
      <c r="G593" s="9">
        <v>1930.0</v>
      </c>
      <c r="H593" s="9">
        <v>91.4</v>
      </c>
      <c r="I593" s="9">
        <v>85.9</v>
      </c>
      <c r="J593" s="9">
        <v>30.43306</v>
      </c>
      <c r="K593" s="9">
        <v>120.95</v>
      </c>
      <c r="L593" s="13">
        <v>10.6533164978027</v>
      </c>
      <c r="M593" s="12" t="str">
        <f>HYPERLINK("http://www.iaea.org/PRIS/CountryStatistics/ReactorDetails.aspx?current=877", "PRIS")</f>
        <v>PRIS</v>
      </c>
      <c r="N593" s="12" t="str">
        <f t="shared" si="140"/>
        <v>Map</v>
      </c>
    </row>
    <row r="594">
      <c r="A594" s="9" t="s">
        <v>144</v>
      </c>
      <c r="B594" s="9" t="s">
        <v>145</v>
      </c>
      <c r="C594" s="12" t="str">
        <f>HYPERLINK("https://www.google.com/search?q=LING+AO-3+nuclear+power+plant+in+CHINA", "LING AO-3")</f>
        <v>LING AO-3</v>
      </c>
      <c r="D594" s="9" t="s">
        <v>193</v>
      </c>
      <c r="E594" s="9" t="s">
        <v>21</v>
      </c>
      <c r="F594" s="9">
        <v>1080.0</v>
      </c>
      <c r="G594" s="9">
        <v>2905.0</v>
      </c>
      <c r="H594" s="9">
        <v>80.8</v>
      </c>
      <c r="I594" s="9">
        <v>90.0</v>
      </c>
      <c r="J594" s="9">
        <v>22.6047889</v>
      </c>
      <c r="K594" s="9">
        <v>114.5514889</v>
      </c>
      <c r="L594" s="13">
        <v>-2.55529165267944</v>
      </c>
      <c r="M594" s="12" t="str">
        <f>HYPERLINK("http://www.iaea.org/PRIS/CountryStatistics/ReactorDetails.aspx?current=878", "PRIS")</f>
        <v>PRIS</v>
      </c>
      <c r="N594" s="12" t="str">
        <f>HYPERLINK("http://maps.google.com/?q=22.6048,114.551&amp;t=k", "Map")</f>
        <v>Map</v>
      </c>
    </row>
    <row r="595">
      <c r="A595" s="9" t="s">
        <v>144</v>
      </c>
      <c r="B595" s="9" t="s">
        <v>145</v>
      </c>
      <c r="C595" s="12" t="str">
        <f>HYPERLINK("https://www.google.com/search?q=SANMEN-1+nuclear+power+plant+in+CHINA", "SANMEN-1")</f>
        <v>SANMEN-1</v>
      </c>
      <c r="D595" s="9" t="s">
        <v>225</v>
      </c>
      <c r="E595" s="9" t="s">
        <v>26</v>
      </c>
      <c r="F595" s="9">
        <v>1250.0</v>
      </c>
      <c r="G595" s="9">
        <v>3400.0</v>
      </c>
      <c r="H595" s="9">
        <v>0.0</v>
      </c>
      <c r="I595" s="9">
        <v>0.0</v>
      </c>
      <c r="J595" s="9">
        <v>29.10111</v>
      </c>
      <c r="K595" s="9">
        <v>121.64194</v>
      </c>
      <c r="L595" s="13">
        <v>13.5484399795532</v>
      </c>
      <c r="M595" s="12" t="str">
        <f>HYPERLINK("http://www.iaea.org/PRIS/CountryStatistics/ReactorDetails.aspx?current=879", "PRIS")</f>
        <v>PRIS</v>
      </c>
      <c r="N595" s="12" t="str">
        <f t="shared" ref="N595:N596" si="141">HYPERLINK("http://maps.google.com/?q=29.1011,121.642&amp;t=k", "Map")</f>
        <v>Map</v>
      </c>
    </row>
    <row r="596">
      <c r="A596" s="9" t="s">
        <v>144</v>
      </c>
      <c r="B596" s="9" t="s">
        <v>145</v>
      </c>
      <c r="C596" s="12" t="str">
        <f>HYPERLINK("https://www.google.com/search?q=SANMEN-2+nuclear+power+plant+in+CHINA", "SANMEN-2")</f>
        <v>SANMEN-2</v>
      </c>
      <c r="D596" s="9" t="s">
        <v>225</v>
      </c>
      <c r="E596" s="9" t="s">
        <v>26</v>
      </c>
      <c r="F596" s="9">
        <v>1250.0</v>
      </c>
      <c r="G596" s="9">
        <v>3400.0</v>
      </c>
      <c r="H596" s="9">
        <v>0.0</v>
      </c>
      <c r="I596" s="9">
        <v>0.0</v>
      </c>
      <c r="J596" s="9">
        <v>29.10111</v>
      </c>
      <c r="K596" s="9">
        <v>121.64194</v>
      </c>
      <c r="L596" s="13">
        <v>13.5484399795532</v>
      </c>
      <c r="M596" s="12" t="str">
        <f>HYPERLINK("http://www.iaea.org/PRIS/CountryStatistics/ReactorDetails.aspx?current=880", "PRIS")</f>
        <v>PRIS</v>
      </c>
      <c r="N596" s="12" t="str">
        <f t="shared" si="141"/>
        <v>Map</v>
      </c>
    </row>
    <row r="597">
      <c r="A597" s="9" t="s">
        <v>144</v>
      </c>
      <c r="B597" s="9" t="s">
        <v>145</v>
      </c>
      <c r="C597" s="12" t="str">
        <f>HYPERLINK("https://www.google.com/search?q=YANGJIANG-1+nuclear+power+plant+in+CHINA", "YANGJIANG-1")</f>
        <v>YANGJIANG-1</v>
      </c>
      <c r="D597" s="9" t="s">
        <v>247</v>
      </c>
      <c r="E597" s="9" t="s">
        <v>21</v>
      </c>
      <c r="F597" s="9">
        <v>1086.0</v>
      </c>
      <c r="G597" s="9">
        <v>2905.0</v>
      </c>
      <c r="H597" s="9">
        <v>0.0</v>
      </c>
      <c r="I597" s="9">
        <v>0.0</v>
      </c>
      <c r="J597" s="9">
        <v>21.70833</v>
      </c>
      <c r="K597" s="9">
        <v>112.26111</v>
      </c>
      <c r="L597" s="13">
        <v>-8.07667636871338</v>
      </c>
      <c r="M597" s="12" t="str">
        <f>HYPERLINK("http://www.iaea.org/PRIS/CountryStatistics/ReactorDetails.aspx?current=881", "PRIS")</f>
        <v>PRIS</v>
      </c>
      <c r="N597" s="12" t="str">
        <f t="shared" ref="N597:N598" si="142">HYPERLINK("http://maps.google.com/?q=21.7083,112.261&amp;t=k", "Map")</f>
        <v>Map</v>
      </c>
    </row>
    <row r="598">
      <c r="A598" s="9" t="s">
        <v>144</v>
      </c>
      <c r="B598" s="9" t="s">
        <v>145</v>
      </c>
      <c r="C598" s="12" t="str">
        <f>HYPERLINK("https://www.google.com/search?q=YANGJIANG-2+nuclear+power+plant+in+CHINA", "YANGJIANG-2")</f>
        <v>YANGJIANG-2</v>
      </c>
      <c r="D598" s="9" t="s">
        <v>247</v>
      </c>
      <c r="E598" s="9" t="s">
        <v>26</v>
      </c>
      <c r="F598" s="9">
        <v>1080.0</v>
      </c>
      <c r="G598" s="9">
        <v>2905.0</v>
      </c>
      <c r="H598" s="9">
        <v>0.0</v>
      </c>
      <c r="I598" s="9">
        <v>0.0</v>
      </c>
      <c r="J598" s="9">
        <v>21.70833</v>
      </c>
      <c r="K598" s="9">
        <v>112.26111</v>
      </c>
      <c r="L598" s="13">
        <v>-8.07667636871338</v>
      </c>
      <c r="M598" s="12" t="str">
        <f>HYPERLINK("http://www.iaea.org/PRIS/CountryStatistics/ReactorDetails.aspx?current=882", "PRIS")</f>
        <v>PRIS</v>
      </c>
      <c r="N598" s="12" t="str">
        <f t="shared" si="142"/>
        <v>Map</v>
      </c>
    </row>
    <row r="599">
      <c r="A599" s="9" t="s">
        <v>806</v>
      </c>
      <c r="B599" s="9" t="s">
        <v>1659</v>
      </c>
      <c r="C599" s="12" t="str">
        <f>HYPERLINK("https://www.google.com/search?q=SHIN-WOLSONG-1+nuclear+power+plant+in+SOUTH+KOREA", "SHIN-WOLSONG-1")</f>
        <v>SHIN-WOLSONG-1</v>
      </c>
      <c r="D599" s="9" t="s">
        <v>858</v>
      </c>
      <c r="E599" s="9" t="s">
        <v>21</v>
      </c>
      <c r="F599" s="9">
        <v>1043.0</v>
      </c>
      <c r="G599" s="9">
        <v>2825.0</v>
      </c>
      <c r="H599" s="9">
        <v>54.8</v>
      </c>
      <c r="I599" s="9">
        <v>38.0</v>
      </c>
      <c r="J599" s="9">
        <v>35.71667</v>
      </c>
      <c r="K599" s="9">
        <v>129.47778</v>
      </c>
      <c r="L599" s="13">
        <v>106.076240539551</v>
      </c>
      <c r="M599" s="12" t="str">
        <f>HYPERLINK("http://www.iaea.org/PRIS/CountryStatistics/ReactorDetails.aspx?current=883", "PRIS")</f>
        <v>PRIS</v>
      </c>
      <c r="N599" s="12" t="str">
        <f t="shared" ref="N599:N600" si="143">HYPERLINK("http://maps.google.com/?q=35.7167,129.478&amp;t=k", "Map")</f>
        <v>Map</v>
      </c>
    </row>
    <row r="600">
      <c r="A600" s="9" t="s">
        <v>806</v>
      </c>
      <c r="B600" s="9" t="s">
        <v>1659</v>
      </c>
      <c r="C600" s="12" t="str">
        <f>HYPERLINK("https://www.google.com/search?q=SHIN-WOLSONG-2+nuclear+power+plant+in+SOUTH+KOREA", "SHIN-WOLSONG-2")</f>
        <v>SHIN-WOLSONG-2</v>
      </c>
      <c r="D600" s="9" t="s">
        <v>858</v>
      </c>
      <c r="E600" s="9" t="s">
        <v>26</v>
      </c>
      <c r="F600" s="9">
        <v>1000.0</v>
      </c>
      <c r="G600" s="9">
        <v>2825.0</v>
      </c>
      <c r="H600" s="9">
        <v>0.0</v>
      </c>
      <c r="I600" s="9">
        <v>0.0</v>
      </c>
      <c r="J600" s="9">
        <v>35.71667</v>
      </c>
      <c r="K600" s="9">
        <v>129.47778</v>
      </c>
      <c r="L600" s="13">
        <v>106.076240539551</v>
      </c>
      <c r="M600" s="12" t="str">
        <f>HYPERLINK("http://www.iaea.org/PRIS/CountryStatistics/ReactorDetails.aspx?current=884", "PRIS")</f>
        <v>PRIS</v>
      </c>
      <c r="N600" s="12" t="str">
        <f t="shared" si="143"/>
        <v>Map</v>
      </c>
    </row>
    <row r="601">
      <c r="A601" s="9" t="s">
        <v>806</v>
      </c>
      <c r="B601" s="9" t="s">
        <v>1659</v>
      </c>
      <c r="C601" s="12" t="str">
        <f>HYPERLINK("https://www.google.com/search?q=SHIN-KORI-3+nuclear+power+plant+in+SOUTH+KOREA", "SHIN-KORI-3")</f>
        <v>SHIN-KORI-3</v>
      </c>
      <c r="D601" s="9" t="s">
        <v>853</v>
      </c>
      <c r="E601" s="9" t="s">
        <v>26</v>
      </c>
      <c r="F601" s="9">
        <v>1400.0</v>
      </c>
      <c r="G601" s="9">
        <v>3983.0</v>
      </c>
      <c r="H601" s="9">
        <v>0.0</v>
      </c>
      <c r="I601" s="9">
        <v>0.0</v>
      </c>
      <c r="J601" s="9">
        <v>35.319904</v>
      </c>
      <c r="K601" s="9">
        <v>129.290053</v>
      </c>
      <c r="L601" s="13">
        <v>34.6682090759277</v>
      </c>
      <c r="M601" s="12" t="str">
        <f>HYPERLINK("http://www.iaea.org/PRIS/CountryStatistics/ReactorDetails.aspx?current=885", "PRIS")</f>
        <v>PRIS</v>
      </c>
      <c r="N601" s="12" t="str">
        <f t="shared" ref="N601:N602" si="144">HYPERLINK("http://maps.google.com/?q=35.3199,129.29&amp;t=k", "Map")</f>
        <v>Map</v>
      </c>
    </row>
    <row r="602">
      <c r="A602" s="9" t="s">
        <v>806</v>
      </c>
      <c r="B602" s="9" t="s">
        <v>1659</v>
      </c>
      <c r="C602" s="12" t="str">
        <f>HYPERLINK("https://www.google.com/search?q=SHIN-KORI-4+nuclear+power+plant+in+SOUTH+KOREA", "SHIN-KORI-4")</f>
        <v>SHIN-KORI-4</v>
      </c>
      <c r="D602" s="9" t="s">
        <v>853</v>
      </c>
      <c r="E602" s="9" t="s">
        <v>26</v>
      </c>
      <c r="F602" s="9">
        <v>1400.0</v>
      </c>
      <c r="G602" s="9">
        <v>3938.0</v>
      </c>
      <c r="H602" s="9">
        <v>0.0</v>
      </c>
      <c r="I602" s="9">
        <v>0.0</v>
      </c>
      <c r="J602" s="9">
        <v>35.319904</v>
      </c>
      <c r="K602" s="9">
        <v>129.290053</v>
      </c>
      <c r="L602" s="13">
        <v>34.6682090759277</v>
      </c>
      <c r="M602" s="12" t="str">
        <f>HYPERLINK("http://www.iaea.org/PRIS/CountryStatistics/ReactorDetails.aspx?current=886", "PRIS")</f>
        <v>PRIS</v>
      </c>
      <c r="N602" s="12" t="str">
        <f t="shared" si="144"/>
        <v>Map</v>
      </c>
    </row>
    <row r="603">
      <c r="A603" s="9" t="s">
        <v>806</v>
      </c>
      <c r="B603" s="9" t="s">
        <v>1659</v>
      </c>
      <c r="C603" s="12" t="str">
        <f>HYPERLINK("https://www.google.com/search?q=SHIN-HANUL-1+nuclear+power+plant+in+SOUTH+KOREA", "SHIN-HANUL-1")</f>
        <v>SHIN-HANUL-1</v>
      </c>
      <c r="D603" s="9" t="s">
        <v>822</v>
      </c>
      <c r="E603" s="9" t="s">
        <v>26</v>
      </c>
      <c r="F603" s="9">
        <v>1400.0</v>
      </c>
      <c r="G603" s="9">
        <v>3938.0</v>
      </c>
      <c r="H603" s="9">
        <v>0.0</v>
      </c>
      <c r="I603" s="9">
        <v>0.0</v>
      </c>
      <c r="J603" s="9">
        <v>37.09278</v>
      </c>
      <c r="K603" s="9">
        <v>129.38361</v>
      </c>
      <c r="L603" s="13">
        <v>84.8942184448242</v>
      </c>
      <c r="M603" s="12" t="str">
        <f>HYPERLINK("http://www.iaea.org/PRIS/CountryStatistics/ReactorDetails.aspx?current=887", "PRIS")</f>
        <v>PRIS</v>
      </c>
      <c r="N603" s="12" t="str">
        <f t="shared" ref="N603:N604" si="145">HYPERLINK("http://maps.google.com/?q=37.0928,129.384&amp;t=k", "Map")</f>
        <v>Map</v>
      </c>
    </row>
    <row r="604">
      <c r="A604" s="9" t="s">
        <v>806</v>
      </c>
      <c r="B604" s="9" t="s">
        <v>1659</v>
      </c>
      <c r="C604" s="12" t="str">
        <f>HYPERLINK("https://www.google.com/search?q=SHIN-HANUL-2+nuclear+power+plant+in+SOUTH+KOREA", "SHIN-HANUL-2")</f>
        <v>SHIN-HANUL-2</v>
      </c>
      <c r="D604" s="9" t="s">
        <v>822</v>
      </c>
      <c r="E604" s="9" t="s">
        <v>26</v>
      </c>
      <c r="F604" s="9">
        <v>1400.0</v>
      </c>
      <c r="G604" s="9">
        <v>3983.0</v>
      </c>
      <c r="H604" s="9">
        <v>0.0</v>
      </c>
      <c r="I604" s="9">
        <v>0.0</v>
      </c>
      <c r="J604" s="9">
        <v>37.09278</v>
      </c>
      <c r="K604" s="9">
        <v>129.38361</v>
      </c>
      <c r="L604" s="13">
        <v>84.8942184448242</v>
      </c>
      <c r="M604" s="12" t="str">
        <f>HYPERLINK("http://www.iaea.org/PRIS/CountryStatistics/ReactorDetails.aspx?current=888", "PRIS")</f>
        <v>PRIS</v>
      </c>
      <c r="N604" s="12" t="str">
        <f t="shared" si="145"/>
        <v>Map</v>
      </c>
    </row>
    <row r="605">
      <c r="A605" s="9" t="s">
        <v>1308</v>
      </c>
      <c r="B605" s="9" t="s">
        <v>1661</v>
      </c>
      <c r="C605" s="12" t="str">
        <f>HYPERLINK("https://www.google.com/search?q=SHIPPINGPORT+nuclear+power+plant+in+UNITED+STATES", "SHIPPINGPORT")</f>
        <v>SHIPPINGPORT</v>
      </c>
      <c r="D605" s="9" t="s">
        <v>1662</v>
      </c>
      <c r="E605" s="9" t="s">
        <v>24</v>
      </c>
      <c r="F605" s="9">
        <v>68.0</v>
      </c>
      <c r="G605" s="9">
        <v>236.0</v>
      </c>
      <c r="H605" s="9">
        <v>0.0</v>
      </c>
      <c r="I605" s="9">
        <v>0.0</v>
      </c>
      <c r="J605" s="9">
        <v>40.62111</v>
      </c>
      <c r="K605" s="9">
        <v>-80.43528</v>
      </c>
      <c r="L605" s="13">
        <v>252.560836791992</v>
      </c>
      <c r="M605" s="12" t="str">
        <f>HYPERLINK("http://www.iaea.org/PRIS/CountryStatistics/ReactorDetails.aspx?current=890", "PRIS")</f>
        <v>PRIS</v>
      </c>
      <c r="N605" s="12" t="str">
        <f>HYPERLINK("http://maps.google.com/?q=40.6211,-80.4353&amp;t=k", "Map")</f>
        <v>Map</v>
      </c>
    </row>
    <row r="606">
      <c r="A606" s="9" t="s">
        <v>1308</v>
      </c>
      <c r="B606" s="9" t="s">
        <v>1661</v>
      </c>
      <c r="C606" s="12" t="str">
        <f>HYPERLINK("https://www.google.com/search?q=HALLAM+nuclear+power+plant+in+UNITED+STATES", "HALLAM")</f>
        <v>HALLAM</v>
      </c>
      <c r="D606" s="9" t="s">
        <v>1437</v>
      </c>
      <c r="E606" s="9" t="s">
        <v>24</v>
      </c>
      <c r="F606" s="9">
        <v>84.0</v>
      </c>
      <c r="G606" s="9">
        <v>256.0</v>
      </c>
      <c r="H606" s="9">
        <v>0.0</v>
      </c>
      <c r="I606" s="9">
        <v>0.0</v>
      </c>
      <c r="J606" s="9">
        <v>40.55925</v>
      </c>
      <c r="K606" s="9">
        <v>-96.7847111</v>
      </c>
      <c r="L606" s="13">
        <v>398.426910400391</v>
      </c>
      <c r="M606" s="12" t="str">
        <f>HYPERLINK("http://www.iaea.org/PRIS/CountryStatistics/ReactorDetails.aspx?current=891", "PRIS")</f>
        <v>PRIS</v>
      </c>
      <c r="N606" s="12" t="str">
        <f>HYPERLINK("http://maps.google.com/?q=40.5592,-96.7847&amp;t=k", "Map")</f>
        <v>Map</v>
      </c>
    </row>
    <row r="607">
      <c r="A607" s="9" t="s">
        <v>1308</v>
      </c>
      <c r="B607" s="9" t="s">
        <v>1661</v>
      </c>
      <c r="C607" s="12" t="str">
        <f>HYPERLINK("https://www.google.com/search?q=SAXTON+nuclear+power+plant+in+UNITED+STATES", "SAXTON")</f>
        <v>SAXTON</v>
      </c>
      <c r="D607" s="9" t="s">
        <v>1662</v>
      </c>
      <c r="E607" s="9" t="s">
        <v>24</v>
      </c>
      <c r="F607" s="9">
        <v>3.0</v>
      </c>
      <c r="G607" s="9">
        <v>24.0</v>
      </c>
      <c r="H607" s="9">
        <v>0.0</v>
      </c>
      <c r="I607" s="9">
        <v>0.0</v>
      </c>
      <c r="J607" s="9">
        <v>40.22694</v>
      </c>
      <c r="K607" s="9">
        <v>-78.24194</v>
      </c>
      <c r="L607" s="13">
        <v>316.38330078125</v>
      </c>
      <c r="M607" s="12" t="str">
        <f>HYPERLINK("http://www.iaea.org/PRIS/CountryStatistics/ReactorDetails.aspx?current=892", "PRIS")</f>
        <v>PRIS</v>
      </c>
      <c r="N607" s="12" t="str">
        <f>HYPERLINK("http://maps.google.com/?q=40.2269,-78.2419&amp;t=k", "Map")</f>
        <v>Map</v>
      </c>
    </row>
    <row r="608">
      <c r="A608" s="9" t="s">
        <v>1308</v>
      </c>
      <c r="B608" s="9" t="s">
        <v>1661</v>
      </c>
      <c r="C608" s="12" t="str">
        <f>HYPERLINK("https://www.google.com/search?q=GE+VALLECITOS+nuclear+power+plant+in+UNITED+STATES", "GE VALLECITOS")</f>
        <v>GE VALLECITOS</v>
      </c>
      <c r="D608" s="9" t="s">
        <v>1426</v>
      </c>
      <c r="E608" s="9" t="s">
        <v>24</v>
      </c>
      <c r="F608" s="9">
        <v>24.0</v>
      </c>
      <c r="G608" s="9">
        <v>50.0</v>
      </c>
      <c r="H608" s="9">
        <v>0.0</v>
      </c>
      <c r="I608" s="9">
        <v>0.0</v>
      </c>
      <c r="J608" s="9">
        <v>37.6132667</v>
      </c>
      <c r="K608" s="9">
        <v>-121.8401639</v>
      </c>
      <c r="L608" s="13">
        <v>206.492401123047</v>
      </c>
      <c r="M608" s="12" t="str">
        <f>HYPERLINK("http://www.iaea.org/PRIS/CountryStatistics/ReactorDetails.aspx?current=893", "PRIS")</f>
        <v>PRIS</v>
      </c>
      <c r="N608" s="12" t="str">
        <f>HYPERLINK("http://maps.google.com/?q=37.6133,-121.84&amp;t=k", "Map")</f>
        <v>Map</v>
      </c>
    </row>
    <row r="609">
      <c r="A609" s="9" t="s">
        <v>1308</v>
      </c>
      <c r="B609" s="9" t="s">
        <v>1661</v>
      </c>
      <c r="C609" s="12" t="str">
        <f>HYPERLINK("https://www.google.com/search?q=PIQUA+nuclear+power+plant+in+UNITED+STATES", "PIQUA")</f>
        <v>PIQUA</v>
      </c>
      <c r="D609" s="9" t="s">
        <v>1539</v>
      </c>
      <c r="E609" s="9" t="s">
        <v>24</v>
      </c>
      <c r="F609" s="9">
        <v>12.0</v>
      </c>
      <c r="G609" s="9">
        <v>46.0</v>
      </c>
      <c r="H609" s="9">
        <v>0.0</v>
      </c>
      <c r="I609" s="9">
        <v>0.0</v>
      </c>
      <c r="J609" s="9">
        <v>40.1323167</v>
      </c>
      <c r="K609" s="9">
        <v>-84.2347667</v>
      </c>
      <c r="L609" s="13">
        <v>239.759552001953</v>
      </c>
      <c r="M609" s="12" t="str">
        <f>HYPERLINK("http://www.iaea.org/PRIS/CountryStatistics/ReactorDetails.aspx?current=894", "PRIS")</f>
        <v>PRIS</v>
      </c>
      <c r="N609" s="12" t="str">
        <f>HYPERLINK("http://maps.google.com/?q=40.1323,-84.2348&amp;t=k", "Map")</f>
        <v>Map</v>
      </c>
    </row>
    <row r="610">
      <c r="A610" s="9" t="s">
        <v>911</v>
      </c>
      <c r="B610" s="9" t="s">
        <v>912</v>
      </c>
      <c r="C610" s="12" t="str">
        <f>HYPERLINK("https://www.google.com/search?q=AKADEMIK+LOMONOSOV-1+nuclear+power+plant+in+RUSSIA", "AKADEMIK LOMONOSOV-1")</f>
        <v>AKADEMIK LOMONOSOV-1</v>
      </c>
      <c r="D610" s="9" t="s">
        <v>914</v>
      </c>
      <c r="E610" s="9" t="s">
        <v>26</v>
      </c>
      <c r="F610" s="9">
        <v>35.0</v>
      </c>
      <c r="G610" s="9">
        <v>150.0</v>
      </c>
      <c r="H610" s="9">
        <v>0.0</v>
      </c>
      <c r="I610" s="9">
        <v>0.0</v>
      </c>
      <c r="J610" s="9">
        <v>52.92028</v>
      </c>
      <c r="K610" s="9">
        <v>158.42472</v>
      </c>
      <c r="L610" s="13">
        <v>190.181838989258</v>
      </c>
      <c r="M610" s="12" t="str">
        <f>HYPERLINK("http://www.iaea.org/PRIS/CountryStatistics/ReactorDetails.aspx?current=895", "PRIS")</f>
        <v>PRIS</v>
      </c>
      <c r="N610" s="12" t="str">
        <f t="shared" ref="N610:N611" si="146">HYPERLINK("http://maps.google.com/?q=52.9203,158.425&amp;t=k", "Map")</f>
        <v>Map</v>
      </c>
    </row>
    <row r="611">
      <c r="A611" s="9" t="s">
        <v>911</v>
      </c>
      <c r="B611" s="9" t="s">
        <v>912</v>
      </c>
      <c r="C611" s="12" t="str">
        <f>HYPERLINK("https://www.google.com/search?q=AKADEMIK+LOMONOSOV-2+nuclear+power+plant+in+RUSSIA", "AKADEMIK LOMONOSOV-2")</f>
        <v>AKADEMIK LOMONOSOV-2</v>
      </c>
      <c r="D611" s="9" t="s">
        <v>914</v>
      </c>
      <c r="E611" s="9" t="s">
        <v>26</v>
      </c>
      <c r="F611" s="9">
        <v>35.0</v>
      </c>
      <c r="G611" s="9">
        <v>150.0</v>
      </c>
      <c r="H611" s="9">
        <v>0.0</v>
      </c>
      <c r="I611" s="9">
        <v>0.0</v>
      </c>
      <c r="J611" s="9">
        <v>52.92028</v>
      </c>
      <c r="K611" s="9">
        <v>158.42472</v>
      </c>
      <c r="L611" s="13">
        <v>190.181838989258</v>
      </c>
      <c r="M611" s="12" t="str">
        <f>HYPERLINK("http://www.iaea.org/PRIS/CountryStatistics/ReactorDetails.aspx?current=896", "PRIS")</f>
        <v>PRIS</v>
      </c>
      <c r="N611" s="12" t="str">
        <f t="shared" si="146"/>
        <v>Map</v>
      </c>
    </row>
    <row r="612">
      <c r="A612" s="9" t="s">
        <v>911</v>
      </c>
      <c r="B612" s="9" t="s">
        <v>912</v>
      </c>
      <c r="C612" s="12" t="str">
        <f>HYPERLINK("https://www.google.com/search?q=NOVOVORONEZH+2-1+nuclear+power+plant+in+RUSSIA", "NOVOVORONEZH 2-1")</f>
        <v>NOVOVORONEZH 2-1</v>
      </c>
      <c r="D612" s="9" t="s">
        <v>992</v>
      </c>
      <c r="E612" s="9" t="s">
        <v>26</v>
      </c>
      <c r="F612" s="9">
        <v>1199.0</v>
      </c>
      <c r="G612" s="9">
        <v>3200.0</v>
      </c>
      <c r="H612" s="9">
        <v>0.0</v>
      </c>
      <c r="I612" s="9">
        <v>0.0</v>
      </c>
      <c r="J612" s="9">
        <v>51.275</v>
      </c>
      <c r="K612" s="9">
        <v>39.2</v>
      </c>
      <c r="L612" s="13">
        <v>122.611419677734</v>
      </c>
      <c r="M612" s="12" t="str">
        <f>HYPERLINK("http://www.iaea.org/PRIS/CountryStatistics/ReactorDetails.aspx?current=898", "PRIS")</f>
        <v>PRIS</v>
      </c>
      <c r="N612" s="12" t="str">
        <f t="shared" ref="N612:N613" si="147">HYPERLINK("http://maps.google.com/?q=51.275,39.2&amp;t=k", "Map")</f>
        <v>Map</v>
      </c>
    </row>
    <row r="613">
      <c r="A613" s="9" t="s">
        <v>911</v>
      </c>
      <c r="B613" s="9" t="s">
        <v>912</v>
      </c>
      <c r="C613" s="12" t="str">
        <f>HYPERLINK("https://www.google.com/search?q=NOVOVORONEZH+2-2+nuclear+power+plant+in+RUSSIA", "NOVOVORONEZH 2-2")</f>
        <v>NOVOVORONEZH 2-2</v>
      </c>
      <c r="D613" s="9" t="s">
        <v>992</v>
      </c>
      <c r="E613" s="9" t="s">
        <v>26</v>
      </c>
      <c r="F613" s="9">
        <v>1199.0</v>
      </c>
      <c r="G613" s="9">
        <v>3200.0</v>
      </c>
      <c r="H613" s="9">
        <v>0.0</v>
      </c>
      <c r="I613" s="9">
        <v>0.0</v>
      </c>
      <c r="J613" s="9">
        <v>51.275</v>
      </c>
      <c r="K613" s="9">
        <v>39.2</v>
      </c>
      <c r="L613" s="13">
        <v>122.611419677734</v>
      </c>
      <c r="M613" s="12" t="str">
        <f>HYPERLINK("http://www.iaea.org/PRIS/CountryStatistics/ReactorDetails.aspx?current=899", "PRIS")</f>
        <v>PRIS</v>
      </c>
      <c r="N613" s="12" t="str">
        <f t="shared" si="147"/>
        <v>Map</v>
      </c>
    </row>
    <row r="614">
      <c r="A614" s="9" t="s">
        <v>911</v>
      </c>
      <c r="B614" s="9" t="s">
        <v>912</v>
      </c>
      <c r="C614" s="12" t="str">
        <f>HYPERLINK("https://www.google.com/search?q=LENINGRAD+2-1+nuclear+power+plant+in+RUSSIA", "LENINGRAD 2-1")</f>
        <v>LENINGRAD 2-1</v>
      </c>
      <c r="D614" s="9" t="s">
        <v>979</v>
      </c>
      <c r="E614" s="9" t="s">
        <v>26</v>
      </c>
      <c r="F614" s="9">
        <v>1170.0</v>
      </c>
      <c r="G614" s="9">
        <v>3200.0</v>
      </c>
      <c r="H614" s="9">
        <v>0.0</v>
      </c>
      <c r="I614" s="9">
        <v>0.0</v>
      </c>
      <c r="J614" s="9">
        <v>59.84722</v>
      </c>
      <c r="K614" s="9">
        <v>29.04361</v>
      </c>
      <c r="L614" s="13">
        <v>32.9031181335449</v>
      </c>
      <c r="M614" s="12" t="str">
        <f>HYPERLINK("http://www.iaea.org/PRIS/CountryStatistics/ReactorDetails.aspx?current=900", "PRIS")</f>
        <v>PRIS</v>
      </c>
      <c r="N614" s="12" t="str">
        <f t="shared" ref="N614:N615" si="148">HYPERLINK("http://maps.google.com/?q=59.8472,29.0436&amp;t=k", "Map")</f>
        <v>Map</v>
      </c>
    </row>
    <row r="615">
      <c r="A615" s="9" t="s">
        <v>911</v>
      </c>
      <c r="B615" s="9" t="s">
        <v>912</v>
      </c>
      <c r="C615" s="12" t="str">
        <f>HYPERLINK("https://www.google.com/search?q=LENINGRAD+2-2+nuclear+power+plant+in+RUSSIA", "LENINGRAD 2-2")</f>
        <v>LENINGRAD 2-2</v>
      </c>
      <c r="D615" s="9" t="s">
        <v>979</v>
      </c>
      <c r="E615" s="9" t="s">
        <v>26</v>
      </c>
      <c r="F615" s="9">
        <v>1170.0</v>
      </c>
      <c r="G615" s="9">
        <v>3200.0</v>
      </c>
      <c r="H615" s="9">
        <v>0.0</v>
      </c>
      <c r="I615" s="9">
        <v>0.0</v>
      </c>
      <c r="J615" s="9">
        <v>59.84722</v>
      </c>
      <c r="K615" s="9">
        <v>29.04361</v>
      </c>
      <c r="L615" s="13">
        <v>32.9031181335449</v>
      </c>
      <c r="M615" s="12" t="str">
        <f>HYPERLINK("http://www.iaea.org/PRIS/CountryStatistics/ReactorDetails.aspx?current=901", "PRIS")</f>
        <v>PRIS</v>
      </c>
      <c r="N615" s="12" t="str">
        <f t="shared" si="148"/>
        <v>Map</v>
      </c>
    </row>
    <row r="616">
      <c r="A616" s="9" t="s">
        <v>144</v>
      </c>
      <c r="B616" s="9" t="s">
        <v>145</v>
      </c>
      <c r="C616" s="12" t="str">
        <f>HYPERLINK("https://www.google.com/search?q=HONGYANHE-1+nuclear+power+plant+in+CHINA", "HONGYANHE-1")</f>
        <v>HONGYANHE-1</v>
      </c>
      <c r="D616" s="9" t="s">
        <v>184</v>
      </c>
      <c r="E616" s="9" t="s">
        <v>21</v>
      </c>
      <c r="F616" s="9">
        <v>1119.0</v>
      </c>
      <c r="G616" s="9">
        <v>2905.0</v>
      </c>
      <c r="H616" s="9">
        <v>104.7</v>
      </c>
      <c r="I616" s="9">
        <v>104.7</v>
      </c>
      <c r="J616" s="9">
        <v>39.79583</v>
      </c>
      <c r="K616" s="9">
        <v>121.48056</v>
      </c>
      <c r="L616" s="13">
        <v>20.9085426330566</v>
      </c>
      <c r="M616" s="12" t="str">
        <f>HYPERLINK("http://www.iaea.org/PRIS/CountryStatistics/ReactorDetails.aspx?current=904", "PRIS")</f>
        <v>PRIS</v>
      </c>
      <c r="N616" s="12" t="str">
        <f t="shared" ref="N616:N619" si="149">HYPERLINK("http://maps.google.com/?q=39.7958,121.481&amp;t=k", "Map")</f>
        <v>Map</v>
      </c>
    </row>
    <row r="617">
      <c r="A617" s="9" t="s">
        <v>144</v>
      </c>
      <c r="B617" s="9" t="s">
        <v>145</v>
      </c>
      <c r="C617" s="12" t="str">
        <f>HYPERLINK("https://www.google.com/search?q=HONGYANHE-2+nuclear+power+plant+in+CHINA", "HONGYANHE-2")</f>
        <v>HONGYANHE-2</v>
      </c>
      <c r="D617" s="9" t="s">
        <v>184</v>
      </c>
      <c r="E617" s="9" t="s">
        <v>21</v>
      </c>
      <c r="F617" s="9">
        <v>1119.0</v>
      </c>
      <c r="G617" s="9">
        <v>2905.0</v>
      </c>
      <c r="H617" s="9">
        <v>0.0</v>
      </c>
      <c r="I617" s="9">
        <v>0.0</v>
      </c>
      <c r="J617" s="9">
        <v>39.79583</v>
      </c>
      <c r="K617" s="9">
        <v>121.48056</v>
      </c>
      <c r="L617" s="13">
        <v>20.9085426330566</v>
      </c>
      <c r="M617" s="12" t="str">
        <f>HYPERLINK("http://www.iaea.org/PRIS/CountryStatistics/ReactorDetails.aspx?current=905", "PRIS")</f>
        <v>PRIS</v>
      </c>
      <c r="N617" s="12" t="str">
        <f t="shared" si="149"/>
        <v>Map</v>
      </c>
    </row>
    <row r="618">
      <c r="A618" s="9" t="s">
        <v>144</v>
      </c>
      <c r="B618" s="9" t="s">
        <v>145</v>
      </c>
      <c r="C618" s="12" t="str">
        <f>HYPERLINK("https://www.google.com/search?q=HONGYANHE-3+nuclear+power+plant+in+CHINA", "HONGYANHE-3")</f>
        <v>HONGYANHE-3</v>
      </c>
      <c r="D618" s="9" t="s">
        <v>184</v>
      </c>
      <c r="E618" s="9" t="s">
        <v>26</v>
      </c>
      <c r="F618" s="9">
        <v>1080.0</v>
      </c>
      <c r="G618" s="9">
        <v>2905.0</v>
      </c>
      <c r="H618" s="9">
        <v>0.0</v>
      </c>
      <c r="I618" s="9">
        <v>0.0</v>
      </c>
      <c r="J618" s="9">
        <v>39.79583</v>
      </c>
      <c r="K618" s="9">
        <v>121.48056</v>
      </c>
      <c r="L618" s="13">
        <v>20.9085426330566</v>
      </c>
      <c r="M618" s="12" t="str">
        <f>HYPERLINK("http://www.iaea.org/PRIS/CountryStatistics/ReactorDetails.aspx?current=906", "PRIS")</f>
        <v>PRIS</v>
      </c>
      <c r="N618" s="12" t="str">
        <f t="shared" si="149"/>
        <v>Map</v>
      </c>
    </row>
    <row r="619">
      <c r="A619" s="9" t="s">
        <v>144</v>
      </c>
      <c r="B619" s="9" t="s">
        <v>145</v>
      </c>
      <c r="C619" s="12" t="str">
        <f>HYPERLINK("https://www.google.com/search?q=HONGYANHE-4+nuclear+power+plant+in+CHINA", "HONGYANHE-4")</f>
        <v>HONGYANHE-4</v>
      </c>
      <c r="D619" s="9" t="s">
        <v>184</v>
      </c>
      <c r="E619" s="9" t="s">
        <v>26</v>
      </c>
      <c r="F619" s="9">
        <v>1080.0</v>
      </c>
      <c r="G619" s="9">
        <v>2905.0</v>
      </c>
      <c r="H619" s="9">
        <v>0.0</v>
      </c>
      <c r="I619" s="9">
        <v>0.0</v>
      </c>
      <c r="J619" s="9">
        <v>39.79583</v>
      </c>
      <c r="K619" s="9">
        <v>121.48056</v>
      </c>
      <c r="L619" s="13">
        <v>20.9085426330566</v>
      </c>
      <c r="M619" s="12" t="str">
        <f>HYPERLINK("http://www.iaea.org/PRIS/CountryStatistics/ReactorDetails.aspx?current=907", "PRIS")</f>
        <v>PRIS</v>
      </c>
      <c r="N619" s="12" t="str">
        <f t="shared" si="149"/>
        <v>Map</v>
      </c>
    </row>
    <row r="620">
      <c r="A620" s="9" t="s">
        <v>144</v>
      </c>
      <c r="B620" s="9" t="s">
        <v>145</v>
      </c>
      <c r="C620" s="12" t="str">
        <f>HYPERLINK("https://www.google.com/search?q=HAIYANG-1+nuclear+power+plant+in+CHINA", "HAIYANG-1")</f>
        <v>HAIYANG-1</v>
      </c>
      <c r="D620" s="9" t="s">
        <v>179</v>
      </c>
      <c r="E620" s="9" t="s">
        <v>26</v>
      </c>
      <c r="F620" s="9">
        <v>1250.0</v>
      </c>
      <c r="G620" s="9">
        <v>3451.0</v>
      </c>
      <c r="H620" s="9">
        <v>0.0</v>
      </c>
      <c r="I620" s="9">
        <v>0.0</v>
      </c>
      <c r="J620" s="9">
        <v>36.7083</v>
      </c>
      <c r="K620" s="9">
        <v>121.383</v>
      </c>
      <c r="L620" s="13">
        <v>4.76456737518311</v>
      </c>
      <c r="M620" s="12" t="str">
        <f>HYPERLINK("http://www.iaea.org/PRIS/CountryStatistics/ReactorDetails.aspx?current=908", "PRIS")</f>
        <v>PRIS</v>
      </c>
      <c r="N620" s="12" t="str">
        <f t="shared" ref="N620:N621" si="150">HYPERLINK("http://maps.google.com/?q=36.7083,121.383&amp;t=k", "Map")</f>
        <v>Map</v>
      </c>
    </row>
    <row r="621">
      <c r="A621" s="9" t="s">
        <v>144</v>
      </c>
      <c r="B621" s="9" t="s">
        <v>145</v>
      </c>
      <c r="C621" s="12" t="str">
        <f>HYPERLINK("https://www.google.com/search?q=HAIYANG-2+nuclear+power+plant+in+CHINA", "HAIYANG-2")</f>
        <v>HAIYANG-2</v>
      </c>
      <c r="D621" s="9" t="s">
        <v>179</v>
      </c>
      <c r="E621" s="9" t="s">
        <v>26</v>
      </c>
      <c r="F621" s="9">
        <v>1250.0</v>
      </c>
      <c r="G621" s="9">
        <v>3415.0</v>
      </c>
      <c r="H621" s="9">
        <v>0.0</v>
      </c>
      <c r="I621" s="9">
        <v>0.0</v>
      </c>
      <c r="J621" s="9">
        <v>36.7083</v>
      </c>
      <c r="K621" s="9">
        <v>121.383</v>
      </c>
      <c r="L621" s="13">
        <v>4.76456737518311</v>
      </c>
      <c r="M621" s="12" t="str">
        <f>HYPERLINK("http://www.iaea.org/PRIS/CountryStatistics/ReactorDetails.aspx?current=909", "PRIS")</f>
        <v>PRIS</v>
      </c>
      <c r="N621" s="12" t="str">
        <f t="shared" si="150"/>
        <v>Map</v>
      </c>
    </row>
    <row r="622">
      <c r="A622" s="9" t="s">
        <v>144</v>
      </c>
      <c r="B622" s="9" t="s">
        <v>145</v>
      </c>
      <c r="C622" s="12" t="str">
        <f>HYPERLINK("https://www.google.com/search?q=FANGJIASHAN-1+nuclear+power+plant+in+CHINA", "FANGJIASHAN-1")</f>
        <v>FANGJIASHAN-1</v>
      </c>
      <c r="D622" s="9" t="s">
        <v>165</v>
      </c>
      <c r="E622" s="9" t="s">
        <v>21</v>
      </c>
      <c r="F622" s="9">
        <v>1080.0</v>
      </c>
      <c r="G622" s="9">
        <v>2905.0</v>
      </c>
      <c r="H622" s="9">
        <v>0.0</v>
      </c>
      <c r="I622" s="9">
        <v>0.0</v>
      </c>
      <c r="J622" s="9">
        <v>30.441342</v>
      </c>
      <c r="K622" s="9">
        <v>120.941758</v>
      </c>
      <c r="L622" s="13">
        <v>11.7903900146484</v>
      </c>
      <c r="M622" s="12" t="str">
        <f>HYPERLINK("http://www.iaea.org/PRIS/CountryStatistics/ReactorDetails.aspx?current=912", "PRIS")</f>
        <v>PRIS</v>
      </c>
      <c r="N622" s="12" t="str">
        <f t="shared" ref="N622:N623" si="151">HYPERLINK("http://maps.google.com/?q=30.4413,120.942&amp;t=k", "Map")</f>
        <v>Map</v>
      </c>
    </row>
    <row r="623">
      <c r="A623" s="9" t="s">
        <v>144</v>
      </c>
      <c r="B623" s="9" t="s">
        <v>145</v>
      </c>
      <c r="C623" s="12" t="str">
        <f>HYPERLINK("https://www.google.com/search?q=FANGJIASHAN-2+nuclear+power+plant+in+CHINA", "FANGJIASHAN-2")</f>
        <v>FANGJIASHAN-2</v>
      </c>
      <c r="D623" s="9" t="s">
        <v>165</v>
      </c>
      <c r="E623" s="9" t="s">
        <v>26</v>
      </c>
      <c r="F623" s="9">
        <v>1080.0</v>
      </c>
      <c r="G623" s="9">
        <v>2905.0</v>
      </c>
      <c r="H623" s="9">
        <v>0.0</v>
      </c>
      <c r="I623" s="9">
        <v>0.0</v>
      </c>
      <c r="J623" s="9">
        <v>30.441342</v>
      </c>
      <c r="K623" s="9">
        <v>120.941758</v>
      </c>
      <c r="L623" s="13">
        <v>11.7903900146484</v>
      </c>
      <c r="M623" s="12" t="str">
        <f>HYPERLINK("http://www.iaea.org/PRIS/CountryStatistics/ReactorDetails.aspx?current=913", "PRIS")</f>
        <v>PRIS</v>
      </c>
      <c r="N623" s="12" t="str">
        <f t="shared" si="151"/>
        <v>Map</v>
      </c>
    </row>
    <row r="624">
      <c r="A624" s="9" t="s">
        <v>144</v>
      </c>
      <c r="B624" s="9" t="s">
        <v>145</v>
      </c>
      <c r="C624" s="12" t="str">
        <f>HYPERLINK("https://www.google.com/search?q=FUQING-1+nuclear+power+plant+in+CHINA", "FUQING-1")</f>
        <v>FUQING-1</v>
      </c>
      <c r="D624" s="9" t="s">
        <v>170</v>
      </c>
      <c r="E624" s="9" t="s">
        <v>21</v>
      </c>
      <c r="F624" s="9">
        <v>1080.0</v>
      </c>
      <c r="G624" s="9">
        <v>2905.0</v>
      </c>
      <c r="H624" s="9">
        <v>0.0</v>
      </c>
      <c r="I624" s="9">
        <v>0.0</v>
      </c>
      <c r="J624" s="9">
        <v>25.44583</v>
      </c>
      <c r="K624" s="9">
        <v>119.44722</v>
      </c>
      <c r="L624" s="13">
        <v>12.22021484375</v>
      </c>
      <c r="M624" s="12" t="str">
        <f>HYPERLINK("http://www.iaea.org/PRIS/CountryStatistics/ReactorDetails.aspx?current=914", "PRIS")</f>
        <v>PRIS</v>
      </c>
      <c r="N624" s="12" t="str">
        <f t="shared" ref="N624:N625" si="152">HYPERLINK("http://maps.google.com/?q=25.4458,119.447&amp;t=k", "Map")</f>
        <v>Map</v>
      </c>
    </row>
    <row r="625">
      <c r="A625" s="9" t="s">
        <v>144</v>
      </c>
      <c r="B625" s="9" t="s">
        <v>145</v>
      </c>
      <c r="C625" s="12" t="str">
        <f>HYPERLINK("https://www.google.com/search?q=FUQING-2+nuclear+power+plant+in+CHINA", "FUQING-2")</f>
        <v>FUQING-2</v>
      </c>
      <c r="D625" s="9" t="s">
        <v>170</v>
      </c>
      <c r="E625" s="9" t="s">
        <v>26</v>
      </c>
      <c r="F625" s="9">
        <v>1080.0</v>
      </c>
      <c r="G625" s="9">
        <v>2905.0</v>
      </c>
      <c r="H625" s="9">
        <v>0.0</v>
      </c>
      <c r="I625" s="9">
        <v>0.0</v>
      </c>
      <c r="J625" s="9">
        <v>25.44583</v>
      </c>
      <c r="K625" s="9">
        <v>119.44722</v>
      </c>
      <c r="L625" s="13">
        <v>12.22021484375</v>
      </c>
      <c r="M625" s="12" t="str">
        <f>HYPERLINK("http://www.iaea.org/PRIS/CountryStatistics/ReactorDetails.aspx?current=915", "PRIS")</f>
        <v>PRIS</v>
      </c>
      <c r="N625" s="12" t="str">
        <f t="shared" si="152"/>
        <v>Map</v>
      </c>
    </row>
    <row r="626">
      <c r="A626" s="9" t="s">
        <v>144</v>
      </c>
      <c r="B626" s="9" t="s">
        <v>145</v>
      </c>
      <c r="C626" s="12" t="str">
        <f>HYPERLINK("https://www.google.com/search?q=TAISHAN-1+nuclear+power+plant+in+CHINA", "TAISHAN-1")</f>
        <v>TAISHAN-1</v>
      </c>
      <c r="D626" s="9" t="s">
        <v>233</v>
      </c>
      <c r="E626" s="9" t="s">
        <v>26</v>
      </c>
      <c r="F626" s="9">
        <v>1750.0</v>
      </c>
      <c r="G626" s="9">
        <v>4590.0</v>
      </c>
      <c r="H626" s="9">
        <v>0.0</v>
      </c>
      <c r="I626" s="9">
        <v>0.0</v>
      </c>
      <c r="J626" s="9">
        <v>21.91778</v>
      </c>
      <c r="K626" s="9">
        <v>112.98194</v>
      </c>
      <c r="L626" s="13">
        <v>82.4625091552734</v>
      </c>
      <c r="M626" s="12" t="str">
        <f>HYPERLINK("http://www.iaea.org/PRIS/CountryStatistics/ReactorDetails.aspx?current=918", "PRIS")</f>
        <v>PRIS</v>
      </c>
      <c r="N626" s="12" t="str">
        <f t="shared" ref="N626:N627" si="153">HYPERLINK("http://maps.google.com/?q=21.9178,112.982&amp;t=k", "Map")</f>
        <v>Map</v>
      </c>
    </row>
    <row r="627">
      <c r="A627" s="9" t="s">
        <v>144</v>
      </c>
      <c r="B627" s="9" t="s">
        <v>145</v>
      </c>
      <c r="C627" s="12" t="str">
        <f>HYPERLINK("https://www.google.com/search?q=TAISHAN-2+nuclear+power+plant+in+CHINA", "TAISHAN-2")</f>
        <v>TAISHAN-2</v>
      </c>
      <c r="D627" s="9" t="s">
        <v>233</v>
      </c>
      <c r="E627" s="9" t="s">
        <v>26</v>
      </c>
      <c r="F627" s="9">
        <v>1750.0</v>
      </c>
      <c r="G627" s="9">
        <v>4590.0</v>
      </c>
      <c r="H627" s="9">
        <v>0.0</v>
      </c>
      <c r="I627" s="9">
        <v>0.0</v>
      </c>
      <c r="J627" s="9">
        <v>21.91778</v>
      </c>
      <c r="K627" s="9">
        <v>112.98194</v>
      </c>
      <c r="L627" s="13">
        <v>82.4625091552734</v>
      </c>
      <c r="M627" s="12" t="str">
        <f>HYPERLINK("http://www.iaea.org/PRIS/CountryStatistics/ReactorDetails.aspx?current=919", "PRIS")</f>
        <v>PRIS</v>
      </c>
      <c r="N627" s="12" t="str">
        <f t="shared" si="153"/>
        <v>Map</v>
      </c>
    </row>
    <row r="628">
      <c r="A628" s="9" t="s">
        <v>144</v>
      </c>
      <c r="B628" s="9" t="s">
        <v>145</v>
      </c>
      <c r="C628" s="12" t="str">
        <f>HYPERLINK("https://www.google.com/search?q=NINGDE-1+nuclear+power+plant+in+CHINA", "NINGDE-1")</f>
        <v>NINGDE-1</v>
      </c>
      <c r="D628" s="9" t="s">
        <v>202</v>
      </c>
      <c r="E628" s="9" t="s">
        <v>21</v>
      </c>
      <c r="F628" s="9">
        <v>1080.0</v>
      </c>
      <c r="G628" s="9">
        <v>2905.0</v>
      </c>
      <c r="H628" s="9">
        <v>96.6</v>
      </c>
      <c r="I628" s="9">
        <v>96.6</v>
      </c>
      <c r="J628" s="9">
        <v>27.04444</v>
      </c>
      <c r="K628" s="9">
        <v>120.28333</v>
      </c>
      <c r="L628" s="13">
        <v>49.6677436828613</v>
      </c>
      <c r="M628" s="12" t="str">
        <f>HYPERLINK("http://www.iaea.org/PRIS/CountryStatistics/ReactorDetails.aspx?current=921", "PRIS")</f>
        <v>PRIS</v>
      </c>
      <c r="N628" s="12" t="str">
        <f t="shared" ref="N628:N631" si="154">HYPERLINK("http://maps.google.com/?q=27.0444,120.283&amp;t=k", "Map")</f>
        <v>Map</v>
      </c>
    </row>
    <row r="629">
      <c r="A629" s="9" t="s">
        <v>144</v>
      </c>
      <c r="B629" s="9" t="s">
        <v>145</v>
      </c>
      <c r="C629" s="12" t="str">
        <f>HYPERLINK("https://www.google.com/search?q=NINGDE-2+nuclear+power+plant+in+CHINA", "NINGDE-2")</f>
        <v>NINGDE-2</v>
      </c>
      <c r="D629" s="9" t="s">
        <v>202</v>
      </c>
      <c r="E629" s="9" t="s">
        <v>21</v>
      </c>
      <c r="F629" s="9">
        <v>1080.0</v>
      </c>
      <c r="G629" s="9">
        <v>2905.0</v>
      </c>
      <c r="H629" s="9">
        <v>0.0</v>
      </c>
      <c r="I629" s="9">
        <v>0.0</v>
      </c>
      <c r="J629" s="9">
        <v>27.04444</v>
      </c>
      <c r="K629" s="9">
        <v>120.28333</v>
      </c>
      <c r="L629" s="13">
        <v>49.6677436828613</v>
      </c>
      <c r="M629" s="12" t="str">
        <f>HYPERLINK("http://www.iaea.org/PRIS/CountryStatistics/ReactorDetails.aspx?current=922", "PRIS")</f>
        <v>PRIS</v>
      </c>
      <c r="N629" s="12" t="str">
        <f t="shared" si="154"/>
        <v>Map</v>
      </c>
    </row>
    <row r="630">
      <c r="A630" s="9" t="s">
        <v>144</v>
      </c>
      <c r="B630" s="9" t="s">
        <v>145</v>
      </c>
      <c r="C630" s="12" t="str">
        <f>HYPERLINK("https://www.google.com/search?q=NINGDE-3+nuclear+power+plant+in+CHINA", "NINGDE-3")</f>
        <v>NINGDE-3</v>
      </c>
      <c r="D630" s="9" t="s">
        <v>202</v>
      </c>
      <c r="E630" s="9" t="s">
        <v>26</v>
      </c>
      <c r="F630" s="9">
        <v>1080.0</v>
      </c>
      <c r="G630" s="9">
        <v>2905.0</v>
      </c>
      <c r="H630" s="9">
        <v>0.0</v>
      </c>
      <c r="I630" s="9">
        <v>0.0</v>
      </c>
      <c r="J630" s="9">
        <v>27.04444</v>
      </c>
      <c r="K630" s="9">
        <v>120.28333</v>
      </c>
      <c r="L630" s="13">
        <v>49.6677436828613</v>
      </c>
      <c r="M630" s="12" t="str">
        <f>HYPERLINK("http://www.iaea.org/PRIS/CountryStatistics/ReactorDetails.aspx?current=923", "PRIS")</f>
        <v>PRIS</v>
      </c>
      <c r="N630" s="12" t="str">
        <f t="shared" si="154"/>
        <v>Map</v>
      </c>
    </row>
    <row r="631">
      <c r="A631" s="9" t="s">
        <v>144</v>
      </c>
      <c r="B631" s="9" t="s">
        <v>145</v>
      </c>
      <c r="C631" s="12" t="str">
        <f>HYPERLINK("https://www.google.com/search?q=NINGDE-4+nuclear+power+plant+in+CHINA", "NINGDE-4")</f>
        <v>NINGDE-4</v>
      </c>
      <c r="D631" s="9" t="s">
        <v>202</v>
      </c>
      <c r="E631" s="9" t="s">
        <v>26</v>
      </c>
      <c r="F631" s="9">
        <v>1080.0</v>
      </c>
      <c r="G631" s="9">
        <v>2905.0</v>
      </c>
      <c r="H631" s="9">
        <v>0.0</v>
      </c>
      <c r="I631" s="9">
        <v>0.0</v>
      </c>
      <c r="J631" s="9">
        <v>27.04444</v>
      </c>
      <c r="K631" s="9">
        <v>120.28333</v>
      </c>
      <c r="L631" s="13">
        <v>49.6677436828613</v>
      </c>
      <c r="M631" s="12" t="str">
        <f>HYPERLINK("http://www.iaea.org/PRIS/CountryStatistics/ReactorDetails.aspx?current=924", "PRIS")</f>
        <v>PRIS</v>
      </c>
      <c r="N631" s="12" t="str">
        <f t="shared" si="154"/>
        <v>Map</v>
      </c>
    </row>
    <row r="632">
      <c r="A632" s="9" t="s">
        <v>144</v>
      </c>
      <c r="B632" s="9" t="s">
        <v>145</v>
      </c>
      <c r="C632" s="12" t="str">
        <f>HYPERLINK("https://www.google.com/search?q=YANGJIANG-3+nuclear+power+plant+in+CHINA", "YANGJIANG-3")</f>
        <v>YANGJIANG-3</v>
      </c>
      <c r="D632" s="9" t="s">
        <v>247</v>
      </c>
      <c r="E632" s="9" t="s">
        <v>26</v>
      </c>
      <c r="F632" s="9">
        <v>1080.0</v>
      </c>
      <c r="G632" s="9">
        <v>2905.0</v>
      </c>
      <c r="H632" s="9">
        <v>0.0</v>
      </c>
      <c r="I632" s="9">
        <v>0.0</v>
      </c>
      <c r="J632" s="9">
        <v>21.70833</v>
      </c>
      <c r="K632" s="9">
        <v>112.26111</v>
      </c>
      <c r="L632" s="13">
        <v>-8.07667636871338</v>
      </c>
      <c r="M632" s="12" t="str">
        <f>HYPERLINK("http://www.iaea.org/PRIS/CountryStatistics/ReactorDetails.aspx?current=931", "PRIS")</f>
        <v>PRIS</v>
      </c>
      <c r="N632" s="12" t="str">
        <f t="shared" ref="N632:N635" si="155">HYPERLINK("http://maps.google.com/?q=21.7083,112.261&amp;t=k", "Map")</f>
        <v>Map</v>
      </c>
    </row>
    <row r="633">
      <c r="A633" s="9" t="s">
        <v>144</v>
      </c>
      <c r="B633" s="9" t="s">
        <v>145</v>
      </c>
      <c r="C633" s="12" t="str">
        <f>HYPERLINK("https://www.google.com/search?q=YANGJIANG-4+nuclear+power+plant+in+CHINA", "YANGJIANG-4")</f>
        <v>YANGJIANG-4</v>
      </c>
      <c r="D633" s="9" t="s">
        <v>247</v>
      </c>
      <c r="E633" s="9" t="s">
        <v>26</v>
      </c>
      <c r="F633" s="9">
        <v>1080.0</v>
      </c>
      <c r="G633" s="9">
        <v>2905.0</v>
      </c>
      <c r="H633" s="9">
        <v>0.0</v>
      </c>
      <c r="I633" s="9">
        <v>0.0</v>
      </c>
      <c r="J633" s="9">
        <v>21.70833</v>
      </c>
      <c r="K633" s="9">
        <v>112.26111</v>
      </c>
      <c r="L633" s="13">
        <v>-8.07667636871338</v>
      </c>
      <c r="M633" s="12" t="str">
        <f>HYPERLINK("http://www.iaea.org/PRIS/CountryStatistics/ReactorDetails.aspx?current=932", "PRIS")</f>
        <v>PRIS</v>
      </c>
      <c r="N633" s="12" t="str">
        <f t="shared" si="155"/>
        <v>Map</v>
      </c>
    </row>
    <row r="634">
      <c r="A634" s="9" t="s">
        <v>144</v>
      </c>
      <c r="B634" s="9" t="s">
        <v>145</v>
      </c>
      <c r="C634" s="12" t="str">
        <f>HYPERLINK("https://www.google.com/search?q=YANGJIANG-5+nuclear+power+plant+in+CHINA", "YANGJIANG-5")</f>
        <v>YANGJIANG-5</v>
      </c>
      <c r="D634" s="9" t="s">
        <v>247</v>
      </c>
      <c r="E634" s="9" t="s">
        <v>26</v>
      </c>
      <c r="F634" s="9">
        <v>1087.0</v>
      </c>
      <c r="G634" s="9">
        <v>2905.0</v>
      </c>
      <c r="H634" s="9">
        <v>0.0</v>
      </c>
      <c r="I634" s="9">
        <v>0.0</v>
      </c>
      <c r="J634" s="9">
        <v>21.70833</v>
      </c>
      <c r="K634" s="9">
        <v>112.26111</v>
      </c>
      <c r="L634" s="13">
        <v>-8.07667636871338</v>
      </c>
      <c r="M634" s="12" t="str">
        <f>HYPERLINK("http://www.iaea.org/PRIS/CountryStatistics/ReactorDetails.aspx?current=933", "PRIS")</f>
        <v>PRIS</v>
      </c>
      <c r="N634" s="12" t="str">
        <f t="shared" si="155"/>
        <v>Map</v>
      </c>
    </row>
    <row r="635">
      <c r="A635" s="9" t="s">
        <v>144</v>
      </c>
      <c r="B635" s="9" t="s">
        <v>145</v>
      </c>
      <c r="C635" s="12" t="str">
        <f>HYPERLINK("https://www.google.com/search?q=YANGJIANG-6+nuclear+power+plant+in+CHINA", "YANGJIANG-6")</f>
        <v>YANGJIANG-6</v>
      </c>
      <c r="D635" s="9" t="s">
        <v>247</v>
      </c>
      <c r="E635" s="9" t="s">
        <v>26</v>
      </c>
      <c r="F635" s="9">
        <v>1087.0</v>
      </c>
      <c r="G635" s="9">
        <v>2905.0</v>
      </c>
      <c r="H635" s="9">
        <v>0.0</v>
      </c>
      <c r="I635" s="9">
        <v>0.0</v>
      </c>
      <c r="J635" s="9">
        <v>21.70833</v>
      </c>
      <c r="K635" s="9">
        <v>112.26111</v>
      </c>
      <c r="L635" s="13">
        <v>-8.07667636871338</v>
      </c>
      <c r="M635" s="12" t="str">
        <f>HYPERLINK("http://www.iaea.org/PRIS/CountryStatistics/ReactorDetails.aspx?current=934", "PRIS")</f>
        <v>PRIS</v>
      </c>
      <c r="N635" s="12" t="str">
        <f t="shared" si="155"/>
        <v>Map</v>
      </c>
    </row>
    <row r="636">
      <c r="A636" s="9" t="s">
        <v>144</v>
      </c>
      <c r="B636" s="9" t="s">
        <v>145</v>
      </c>
      <c r="C636" s="12" t="str">
        <f>HYPERLINK("https://www.google.com/search?q=FUQING-3+nuclear+power+plant+in+CHINA", "FUQING-3")</f>
        <v>FUQING-3</v>
      </c>
      <c r="D636" s="9" t="s">
        <v>170</v>
      </c>
      <c r="E636" s="9" t="s">
        <v>26</v>
      </c>
      <c r="F636" s="9">
        <v>1080.0</v>
      </c>
      <c r="G636" s="9">
        <v>2905.0</v>
      </c>
      <c r="H636" s="9">
        <v>0.0</v>
      </c>
      <c r="I636" s="9">
        <v>0.0</v>
      </c>
      <c r="J636" s="9">
        <v>25.44583</v>
      </c>
      <c r="K636" s="9">
        <v>119.44722</v>
      </c>
      <c r="L636" s="13">
        <v>12.22021484375</v>
      </c>
      <c r="M636" s="12" t="str">
        <f>HYPERLINK("http://www.iaea.org/PRIS/CountryStatistics/ReactorDetails.aspx?current=935", "PRIS")</f>
        <v>PRIS</v>
      </c>
      <c r="N636" s="12" t="str">
        <f t="shared" ref="N636:N637" si="156">HYPERLINK("http://maps.google.com/?q=25.4458,119.447&amp;t=k", "Map")</f>
        <v>Map</v>
      </c>
    </row>
    <row r="637">
      <c r="A637" s="9" t="s">
        <v>144</v>
      </c>
      <c r="B637" s="9" t="s">
        <v>145</v>
      </c>
      <c r="C637" s="12" t="str">
        <f>HYPERLINK("https://www.google.com/search?q=FUQING-4+nuclear+power+plant+in+CHINA", "FUQING-4")</f>
        <v>FUQING-4</v>
      </c>
      <c r="D637" s="9" t="s">
        <v>170</v>
      </c>
      <c r="E637" s="9" t="s">
        <v>26</v>
      </c>
      <c r="F637" s="9">
        <v>1080.0</v>
      </c>
      <c r="G637" s="9">
        <v>2905.0</v>
      </c>
      <c r="H637" s="9">
        <v>0.0</v>
      </c>
      <c r="I637" s="9">
        <v>0.0</v>
      </c>
      <c r="J637" s="9">
        <v>25.44583</v>
      </c>
      <c r="K637" s="9">
        <v>119.44722</v>
      </c>
      <c r="L637" s="13">
        <v>12.22021484375</v>
      </c>
      <c r="M637" s="12" t="str">
        <f>HYPERLINK("http://www.iaea.org/PRIS/CountryStatistics/ReactorDetails.aspx?current=936", "PRIS")</f>
        <v>PRIS</v>
      </c>
      <c r="N637" s="12" t="str">
        <f t="shared" si="156"/>
        <v>Map</v>
      </c>
    </row>
    <row r="638">
      <c r="A638" s="9" t="s">
        <v>144</v>
      </c>
      <c r="B638" s="9" t="s">
        <v>145</v>
      </c>
      <c r="C638" s="12" t="str">
        <f>HYPERLINK("https://www.google.com/search?q=CHANGJIANG-1+nuclear+power+plant+in+CHINA", "CHANGJIANG-1")</f>
        <v>CHANGJIANG-1</v>
      </c>
      <c r="D638" s="9" t="s">
        <v>150</v>
      </c>
      <c r="E638" s="9" t="s">
        <v>26</v>
      </c>
      <c r="F638" s="9">
        <v>650.0</v>
      </c>
      <c r="G638" s="9">
        <v>1930.0</v>
      </c>
      <c r="H638" s="9">
        <v>0.0</v>
      </c>
      <c r="I638" s="9">
        <v>0.0</v>
      </c>
      <c r="J638" s="9">
        <v>19.46075</v>
      </c>
      <c r="K638" s="9">
        <v>108.8999167</v>
      </c>
      <c r="L638" s="13">
        <v>11.9180107116699</v>
      </c>
      <c r="M638" s="12" t="str">
        <f>HYPERLINK("http://www.iaea.org/PRIS/CountryStatistics/ReactorDetails.aspx?current=939", "PRIS")</f>
        <v>PRIS</v>
      </c>
      <c r="N638" s="12" t="str">
        <f t="shared" ref="N638:N639" si="157">HYPERLINK("http://maps.google.com/?q=19.4608,108.9&amp;t=k", "Map")</f>
        <v>Map</v>
      </c>
    </row>
    <row r="639">
      <c r="A639" s="9" t="s">
        <v>144</v>
      </c>
      <c r="B639" s="9" t="s">
        <v>145</v>
      </c>
      <c r="C639" s="12" t="str">
        <f>HYPERLINK("https://www.google.com/search?q=CHANGJIANG-2+nuclear+power+plant+in+CHINA", "CHANGJIANG-2")</f>
        <v>CHANGJIANG-2</v>
      </c>
      <c r="D639" s="9" t="s">
        <v>150</v>
      </c>
      <c r="E639" s="9" t="s">
        <v>26</v>
      </c>
      <c r="F639" s="9">
        <v>650.0</v>
      </c>
      <c r="G639" s="9">
        <v>1930.0</v>
      </c>
      <c r="H639" s="9">
        <v>0.0</v>
      </c>
      <c r="I639" s="9">
        <v>0.0</v>
      </c>
      <c r="J639" s="9">
        <v>19.46075</v>
      </c>
      <c r="K639" s="9">
        <v>108.8999167</v>
      </c>
      <c r="L639" s="13">
        <v>11.9180107116699</v>
      </c>
      <c r="M639" s="12" t="str">
        <f>HYPERLINK("http://www.iaea.org/PRIS/CountryStatistics/ReactorDetails.aspx?current=940", "PRIS")</f>
        <v>PRIS</v>
      </c>
      <c r="N639" s="12" t="str">
        <f t="shared" si="157"/>
        <v>Map</v>
      </c>
    </row>
    <row r="640">
      <c r="A640" s="9" t="s">
        <v>144</v>
      </c>
      <c r="B640" s="9" t="s">
        <v>145</v>
      </c>
      <c r="C640" s="12" t="str">
        <f>HYPERLINK("https://www.google.com/search?q=FANGCHENGGANG-1+nuclear+power+plant+in+CHINA", "FANGCHENGGANG-1")</f>
        <v>FANGCHENGGANG-1</v>
      </c>
      <c r="D640" s="9" t="s">
        <v>160</v>
      </c>
      <c r="E640" s="9" t="s">
        <v>26</v>
      </c>
      <c r="F640" s="9">
        <v>1080.0</v>
      </c>
      <c r="G640" s="9">
        <v>2905.0</v>
      </c>
      <c r="H640" s="9">
        <v>0.0</v>
      </c>
      <c r="I640" s="9">
        <v>0.0</v>
      </c>
      <c r="J640" s="9">
        <v>21.667</v>
      </c>
      <c r="K640" s="9">
        <v>108.567</v>
      </c>
      <c r="L640" s="13">
        <v>-21.2391338348389</v>
      </c>
      <c r="M640" s="12" t="str">
        <f>HYPERLINK("http://www.iaea.org/PRIS/CountryStatistics/ReactorDetails.aspx?current=943", "PRIS")</f>
        <v>PRIS</v>
      </c>
      <c r="N640" s="12" t="str">
        <f t="shared" ref="N640:N641" si="158">HYPERLINK("http://maps.google.com/?q=21.667,108.567&amp;t=k", "Map")</f>
        <v>Map</v>
      </c>
    </row>
    <row r="641">
      <c r="A641" s="9" t="s">
        <v>144</v>
      </c>
      <c r="B641" s="9" t="s">
        <v>145</v>
      </c>
      <c r="C641" s="12" t="str">
        <f>HYPERLINK("https://www.google.com/search?q=FANGCHENGGANG-2+nuclear+power+plant+in+CHINA", "FANGCHENGGANG-2")</f>
        <v>FANGCHENGGANG-2</v>
      </c>
      <c r="D641" s="9" t="s">
        <v>160</v>
      </c>
      <c r="E641" s="9" t="s">
        <v>26</v>
      </c>
      <c r="F641" s="9">
        <v>1080.0</v>
      </c>
      <c r="G641" s="9">
        <v>2905.0</v>
      </c>
      <c r="H641" s="9">
        <v>0.0</v>
      </c>
      <c r="I641" s="9">
        <v>0.0</v>
      </c>
      <c r="J641" s="9">
        <v>21.667</v>
      </c>
      <c r="K641" s="9">
        <v>108.567</v>
      </c>
      <c r="L641" s="13">
        <v>-21.2391338348389</v>
      </c>
      <c r="M641" s="12" t="str">
        <f>HYPERLINK("http://www.iaea.org/PRIS/CountryStatistics/ReactorDetails.aspx?current=944", "PRIS")</f>
        <v>PRIS</v>
      </c>
      <c r="N641" s="12" t="str">
        <f t="shared" si="158"/>
        <v>Map</v>
      </c>
    </row>
    <row r="642">
      <c r="A642" s="9" t="s">
        <v>144</v>
      </c>
      <c r="B642" s="9" t="s">
        <v>145</v>
      </c>
      <c r="C642" s="12" t="str">
        <f>HYPERLINK("https://www.google.com/search?q=SHIDAO+BAY-1+nuclear+power+plant+in+CHINA", "SHIDAO BAY-1")</f>
        <v>SHIDAO BAY-1</v>
      </c>
      <c r="D642" s="9" t="s">
        <v>230</v>
      </c>
      <c r="E642" s="9" t="s">
        <v>26</v>
      </c>
      <c r="F642" s="9">
        <v>211.0</v>
      </c>
      <c r="G642" s="9">
        <v>500.0</v>
      </c>
      <c r="H642" s="9">
        <v>0.0</v>
      </c>
      <c r="I642" s="9">
        <v>0.0</v>
      </c>
      <c r="J642" s="9">
        <v>22.59722</v>
      </c>
      <c r="K642" s="9">
        <v>114.54444</v>
      </c>
      <c r="L642" s="13">
        <v>-2.39636421203613</v>
      </c>
      <c r="M642" s="12" t="str">
        <f>HYPERLINK("http://www.iaea.org/PRIS/CountryStatistics/ReactorDetails.aspx?current=957", "PRIS")</f>
        <v>PRIS</v>
      </c>
      <c r="N642" s="12" t="str">
        <f>HYPERLINK("http://maps.google.com/?q=22.5972,114.544&amp;t=k", "Map")</f>
        <v>Map</v>
      </c>
    </row>
    <row r="643">
      <c r="A643" s="9" t="s">
        <v>298</v>
      </c>
      <c r="B643" s="9" t="s">
        <v>299</v>
      </c>
      <c r="C643" s="12" t="str">
        <f>HYPERLINK("https://www.google.com/search?q=LUCENS+nuclear+power+plant+in+SWITZERLAND", "LUCENS")</f>
        <v>LUCENS</v>
      </c>
      <c r="D643" s="9" t="s">
        <v>1114</v>
      </c>
      <c r="E643" s="9" t="s">
        <v>24</v>
      </c>
      <c r="F643" s="9">
        <v>7.0</v>
      </c>
      <c r="G643" s="9">
        <v>28.0</v>
      </c>
      <c r="H643" s="9">
        <v>0.0</v>
      </c>
      <c r="I643" s="9">
        <v>0.0</v>
      </c>
      <c r="J643" s="9">
        <v>46.69278</v>
      </c>
      <c r="K643" s="9">
        <v>6.8275</v>
      </c>
      <c r="L643" s="13">
        <v>772.2177734375</v>
      </c>
      <c r="M643" s="12" t="str">
        <f>HYPERLINK("http://www.iaea.org/PRIS/CountryStatistics/ReactorDetails.aspx?current=966", "PRIS")</f>
        <v>PRIS</v>
      </c>
      <c r="N643" s="12" t="str">
        <f>HYPERLINK("http://maps.google.com/?q=46.6928,6.8275&amp;t=k", "Map")</f>
        <v>Map</v>
      </c>
    </row>
    <row r="644">
      <c r="A644" s="9" t="s">
        <v>911</v>
      </c>
      <c r="B644" s="9" t="s">
        <v>912</v>
      </c>
      <c r="C644" s="12" t="str">
        <f>HYPERLINK("https://www.google.com/search?q=BALTIC-1+nuclear+power+plant+in+RUSSIA", "BALTIC-1")</f>
        <v>BALTIC-1</v>
      </c>
      <c r="D644" s="9" t="s">
        <v>931</v>
      </c>
      <c r="E644" s="9" t="s">
        <v>26</v>
      </c>
      <c r="F644" s="9">
        <v>1194.0</v>
      </c>
      <c r="G644" s="9">
        <v>3200.0</v>
      </c>
      <c r="H644" s="9">
        <v>0.0</v>
      </c>
      <c r="I644" s="9">
        <v>0.0</v>
      </c>
      <c r="J644" s="9">
        <v>54.93889</v>
      </c>
      <c r="K644" s="9">
        <v>22.16111</v>
      </c>
      <c r="L644" s="13">
        <v>52.9321365356445</v>
      </c>
      <c r="M644" s="12" t="str">
        <f>HYPERLINK("http://www.iaea.org/PRIS/CountryStatistics/ReactorDetails.aspx?current=968", "PRIS")</f>
        <v>PRIS</v>
      </c>
      <c r="N644" s="12" t="str">
        <f>HYPERLINK("http://maps.google.com/?q=54.9389,22.1611&amp;t=k", "Map")</f>
        <v>Map</v>
      </c>
    </row>
    <row r="645">
      <c r="A645" s="9" t="s">
        <v>144</v>
      </c>
      <c r="B645" s="9" t="s">
        <v>145</v>
      </c>
      <c r="C645" s="12" t="str">
        <f>HYPERLINK("https://www.google.com/search?q=TIANWAN-3+nuclear+power+plant+in+CHINA", "TIANWAN-3")</f>
        <v>TIANWAN-3</v>
      </c>
      <c r="D645" s="9" t="s">
        <v>238</v>
      </c>
      <c r="E645" s="9" t="s">
        <v>26</v>
      </c>
      <c r="F645" s="9">
        <v>1060.0</v>
      </c>
      <c r="G645" s="9">
        <v>3000.0</v>
      </c>
      <c r="H645" s="9">
        <v>0.0</v>
      </c>
      <c r="I645" s="9">
        <v>0.0</v>
      </c>
      <c r="J645" s="9">
        <v>34.68694</v>
      </c>
      <c r="K645" s="9">
        <v>119.45972</v>
      </c>
      <c r="L645" s="13">
        <v>238.425308227539</v>
      </c>
      <c r="M645" s="12" t="str">
        <f>HYPERLINK("http://www.iaea.org/PRIS/CountryStatistics/ReactorDetails.aspx?current=973", "PRIS")</f>
        <v>PRIS</v>
      </c>
      <c r="N645" s="12" t="str">
        <f t="shared" ref="N645:N646" si="159">HYPERLINK("http://maps.google.com/?q=34.6869,119.46&amp;t=k", "Map")</f>
        <v>Map</v>
      </c>
    </row>
    <row r="646">
      <c r="A646" s="9" t="s">
        <v>144</v>
      </c>
      <c r="B646" s="9" t="s">
        <v>145</v>
      </c>
      <c r="C646" s="12" t="str">
        <f>HYPERLINK("https://www.google.com/search?q=TIANWAN-4+nuclear+power+plant+in+CHINA", "TIANWAN-4")</f>
        <v>TIANWAN-4</v>
      </c>
      <c r="D646" s="9" t="s">
        <v>238</v>
      </c>
      <c r="E646" s="9" t="s">
        <v>26</v>
      </c>
      <c r="F646" s="9">
        <v>1060.0</v>
      </c>
      <c r="G646" s="9">
        <v>3000.0</v>
      </c>
      <c r="H646" s="9">
        <v>0.0</v>
      </c>
      <c r="I646" s="9">
        <v>0.0</v>
      </c>
      <c r="J646" s="9">
        <v>34.68694</v>
      </c>
      <c r="K646" s="9">
        <v>119.45972</v>
      </c>
      <c r="L646" s="13">
        <v>238.425308227539</v>
      </c>
      <c r="M646" s="12" t="str">
        <f>HYPERLINK("http://www.iaea.org/PRIS/CountryStatistics/ReactorDetails.aspx?current=974", "PRIS")</f>
        <v>PRIS</v>
      </c>
      <c r="N646" s="12" t="str">
        <f t="shared" si="159"/>
        <v>Map</v>
      </c>
    </row>
    <row r="647">
      <c r="A647" s="9" t="s">
        <v>565</v>
      </c>
      <c r="B647" s="9" t="s">
        <v>566</v>
      </c>
      <c r="C647" s="12" t="str">
        <f>HYPERLINK("https://www.google.com/search?q=KAKRAPAR-3+nuclear+power+plant+in+INDIA", "KAKRAPAR-3")</f>
        <v>KAKRAPAR-3</v>
      </c>
      <c r="D647" s="9" t="s">
        <v>577</v>
      </c>
      <c r="E647" s="9" t="s">
        <v>26</v>
      </c>
      <c r="F647" s="9">
        <v>700.0</v>
      </c>
      <c r="G647" s="9">
        <v>2166.0</v>
      </c>
      <c r="H647" s="9">
        <v>0.0</v>
      </c>
      <c r="I647" s="9">
        <v>0.0</v>
      </c>
      <c r="J647" s="9">
        <v>21.23861</v>
      </c>
      <c r="K647" s="9">
        <v>73.35</v>
      </c>
      <c r="L647" s="13">
        <v>-5.86601257324219</v>
      </c>
      <c r="M647" s="12" t="str">
        <f>HYPERLINK("http://www.iaea.org/PRIS/CountryStatistics/ReactorDetails.aspx?current=986", "PRIS")</f>
        <v>PRIS</v>
      </c>
      <c r="N647" s="12" t="str">
        <f t="shared" ref="N647:N648" si="160">HYPERLINK("http://maps.google.com/?q=21.2386,73.35&amp;t=k", "Map")</f>
        <v>Map</v>
      </c>
    </row>
    <row r="648">
      <c r="A648" s="9" t="s">
        <v>565</v>
      </c>
      <c r="B648" s="9" t="s">
        <v>566</v>
      </c>
      <c r="C648" s="12" t="str">
        <f>HYPERLINK("https://www.google.com/search?q=KAKRAPAR-4+nuclear+power+plant+in+INDIA", "KAKRAPAR-4")</f>
        <v>KAKRAPAR-4</v>
      </c>
      <c r="D648" s="9" t="s">
        <v>577</v>
      </c>
      <c r="E648" s="9" t="s">
        <v>26</v>
      </c>
      <c r="F648" s="9">
        <v>700.0</v>
      </c>
      <c r="G648" s="9">
        <v>2166.0</v>
      </c>
      <c r="H648" s="9">
        <v>0.0</v>
      </c>
      <c r="I648" s="9">
        <v>0.0</v>
      </c>
      <c r="J648" s="9">
        <v>21.23861</v>
      </c>
      <c r="K648" s="9">
        <v>73.35</v>
      </c>
      <c r="L648" s="13">
        <v>-5.86601257324219</v>
      </c>
      <c r="M648" s="12" t="str">
        <f>HYPERLINK("http://www.iaea.org/PRIS/CountryStatistics/ReactorDetails.aspx?current=987", "PRIS")</f>
        <v>PRIS</v>
      </c>
      <c r="N648" s="12" t="str">
        <f t="shared" si="160"/>
        <v>Map</v>
      </c>
    </row>
    <row r="649">
      <c r="A649" s="9" t="s">
        <v>1308</v>
      </c>
      <c r="B649" s="9" t="s">
        <v>1661</v>
      </c>
      <c r="C649" s="12" t="str">
        <f>HYPERLINK("https://www.google.com/search?q=SUMMER-2+nuclear+power+plant+in+UNITED+STATES", "SUMMER-2")</f>
        <v>SUMMER-2</v>
      </c>
      <c r="D649" s="9" t="s">
        <v>1600</v>
      </c>
      <c r="E649" s="9" t="s">
        <v>26</v>
      </c>
      <c r="F649" s="9">
        <v>1250.0</v>
      </c>
      <c r="G649" s="9">
        <v>3400.0</v>
      </c>
      <c r="H649" s="9">
        <v>0.0</v>
      </c>
      <c r="I649" s="9">
        <v>0.0</v>
      </c>
      <c r="J649" s="9">
        <v>34.29861</v>
      </c>
      <c r="K649" s="9">
        <v>-81.31472</v>
      </c>
      <c r="L649" s="13">
        <v>77.2907104492188</v>
      </c>
      <c r="M649" s="12" t="str">
        <f>HYPERLINK("http://www.iaea.org/PRIS/CountryStatistics/ReactorDetails.aspx?current=1038", "PRIS")</f>
        <v>PRIS</v>
      </c>
      <c r="N649" s="12" t="str">
        <f t="shared" ref="N649:N650" si="161">HYPERLINK("http://maps.google.com/?q=34.2986,-81.3147&amp;t=k", "Map")</f>
        <v>Map</v>
      </c>
    </row>
    <row r="650">
      <c r="A650" s="9" t="s">
        <v>1308</v>
      </c>
      <c r="B650" s="9" t="s">
        <v>1661</v>
      </c>
      <c r="C650" s="12" t="str">
        <f>HYPERLINK("https://www.google.com/search?q=SUMMER-3+nuclear+power+plant+in+UNITED+STATES", "SUMMER-3")</f>
        <v>SUMMER-3</v>
      </c>
      <c r="D650" s="9" t="s">
        <v>1600</v>
      </c>
      <c r="E650" s="9" t="s">
        <v>26</v>
      </c>
      <c r="F650" s="9">
        <v>1250.0</v>
      </c>
      <c r="G650" s="9">
        <v>3400.0</v>
      </c>
      <c r="H650" s="9">
        <v>0.0</v>
      </c>
      <c r="I650" s="9">
        <v>0.0</v>
      </c>
      <c r="J650" s="9">
        <v>34.29861</v>
      </c>
      <c r="K650" s="9">
        <v>-81.31472</v>
      </c>
      <c r="L650" s="13">
        <v>77.2907104492188</v>
      </c>
      <c r="M650" s="12" t="str">
        <f>HYPERLINK("http://www.iaea.org/PRIS/CountryStatistics/ReactorDetails.aspx?current=1039", "PRIS")</f>
        <v>PRIS</v>
      </c>
      <c r="N650" s="12" t="str">
        <f t="shared" si="161"/>
        <v>Map</v>
      </c>
    </row>
    <row r="651">
      <c r="A651" s="9" t="s">
        <v>1308</v>
      </c>
      <c r="B651" s="9" t="s">
        <v>1661</v>
      </c>
      <c r="C651" s="12" t="str">
        <f>HYPERLINK("https://www.google.com/search?q=VOGTLE-3+nuclear+power+plant+in+UNITED+STATES", "VOGTLE-3")</f>
        <v>VOGTLE-3</v>
      </c>
      <c r="D651" s="9" t="s">
        <v>1632</v>
      </c>
      <c r="E651" s="9" t="s">
        <v>26</v>
      </c>
      <c r="F651" s="9">
        <v>1250.0</v>
      </c>
      <c r="G651" s="9">
        <v>3400.0</v>
      </c>
      <c r="H651" s="9">
        <v>0.0</v>
      </c>
      <c r="I651" s="9">
        <v>0.0</v>
      </c>
      <c r="J651" s="9">
        <v>33.14333</v>
      </c>
      <c r="K651" s="9">
        <v>-81.76056</v>
      </c>
      <c r="L651" s="13">
        <v>22.9787921905518</v>
      </c>
      <c r="M651" s="12" t="str">
        <f>HYPERLINK("http://www.iaea.org/PRIS/CountryStatistics/ReactorDetails.aspx?current=1042", "PRIS")</f>
        <v>PRIS</v>
      </c>
      <c r="N651" s="12" t="str">
        <f t="shared" ref="N651:N652" si="162">HYPERLINK("http://maps.google.com/?q=33.1433,-81.7606&amp;t=k", "Map")</f>
        <v>Map</v>
      </c>
    </row>
    <row r="652">
      <c r="A652" s="9" t="s">
        <v>1308</v>
      </c>
      <c r="B652" s="9" t="s">
        <v>1661</v>
      </c>
      <c r="C652" s="12" t="str">
        <f>HYPERLINK("https://www.google.com/search?q=VOGTLE-4+nuclear+power+plant+in+UNITED+STATES", "VOGTLE-4")</f>
        <v>VOGTLE-4</v>
      </c>
      <c r="D652" s="9" t="s">
        <v>1632</v>
      </c>
      <c r="E652" s="9" t="s">
        <v>26</v>
      </c>
      <c r="F652" s="9">
        <v>1250.0</v>
      </c>
      <c r="G652" s="9">
        <v>3400.0</v>
      </c>
      <c r="H652" s="9">
        <v>0.0</v>
      </c>
      <c r="I652" s="9">
        <v>0.0</v>
      </c>
      <c r="J652" s="9">
        <v>33.14333</v>
      </c>
      <c r="K652" s="9">
        <v>-81.76056</v>
      </c>
      <c r="L652" s="13">
        <v>22.9787921905518</v>
      </c>
      <c r="M652" s="12" t="str">
        <f>HYPERLINK("http://www.iaea.org/PRIS/CountryStatistics/ReactorDetails.aspx?current=1043", "PRIS")</f>
        <v>PRIS</v>
      </c>
      <c r="N652" s="12" t="str">
        <f t="shared" si="162"/>
        <v>Map</v>
      </c>
    </row>
    <row r="653">
      <c r="A653" s="9" t="s">
        <v>890</v>
      </c>
      <c r="B653" s="9" t="s">
        <v>891</v>
      </c>
      <c r="C653" s="12" t="str">
        <f>HYPERLINK("https://www.google.com/search?q=CHASNUPP-3+nuclear+power+plant+in+PAKISTAN", "CHASNUPP-3")</f>
        <v>CHASNUPP-3</v>
      </c>
      <c r="D653" s="9" t="s">
        <v>893</v>
      </c>
      <c r="E653" s="9" t="s">
        <v>26</v>
      </c>
      <c r="F653" s="9">
        <v>340.0</v>
      </c>
      <c r="G653" s="9">
        <v>999.0</v>
      </c>
      <c r="H653" s="9">
        <v>0.0</v>
      </c>
      <c r="I653" s="9">
        <v>0.0</v>
      </c>
      <c r="J653" s="9">
        <v>32.39028</v>
      </c>
      <c r="K653" s="9">
        <v>71.4625</v>
      </c>
      <c r="L653" s="13">
        <v>152.569900512695</v>
      </c>
      <c r="M653" s="12" t="str">
        <f>HYPERLINK("http://www.iaea.org/PRIS/CountryStatistics/ReactorDetails.aspx?current=1044", "PRIS")</f>
        <v>PRIS</v>
      </c>
      <c r="N653" s="12" t="str">
        <f t="shared" ref="N653:N654" si="163">HYPERLINK("http://maps.google.com/?q=32.3903,71.4625&amp;t=k", "Map")</f>
        <v>Map</v>
      </c>
    </row>
    <row r="654">
      <c r="A654" s="9" t="s">
        <v>890</v>
      </c>
      <c r="B654" s="9" t="s">
        <v>891</v>
      </c>
      <c r="C654" s="12" t="str">
        <f>HYPERLINK("https://www.google.com/search?q=CHASNUPP-4+nuclear+power+plant+in+PAKISTAN", "CHASNUPP-4")</f>
        <v>CHASNUPP-4</v>
      </c>
      <c r="D654" s="9" t="s">
        <v>893</v>
      </c>
      <c r="E654" s="9" t="s">
        <v>26</v>
      </c>
      <c r="F654" s="9">
        <v>340.0</v>
      </c>
      <c r="G654" s="9">
        <v>999.0</v>
      </c>
      <c r="H654" s="9">
        <v>0.0</v>
      </c>
      <c r="I654" s="9">
        <v>0.0</v>
      </c>
      <c r="J654" s="9">
        <v>32.39028</v>
      </c>
      <c r="K654" s="9">
        <v>71.4625</v>
      </c>
      <c r="L654" s="13">
        <v>152.569900512695</v>
      </c>
      <c r="M654" s="12" t="str">
        <f>HYPERLINK("http://www.iaea.org/PRIS/CountryStatistics/ReactorDetails.aspx?current=1045", "PRIS")</f>
        <v>PRIS</v>
      </c>
      <c r="N654" s="12" t="str">
        <f t="shared" si="163"/>
        <v>Map</v>
      </c>
    </row>
    <row r="655">
      <c r="A655" s="9" t="s">
        <v>144</v>
      </c>
      <c r="B655" s="9" t="s">
        <v>145</v>
      </c>
      <c r="C655" s="12" t="str">
        <f>HYPERLINK("https://www.google.com/search?q=CEFR+nuclear+power+plant+in+CHINA", "CEFR")</f>
        <v>CEFR</v>
      </c>
      <c r="D655" s="9" t="s">
        <v>147</v>
      </c>
      <c r="E655" s="9" t="s">
        <v>21</v>
      </c>
      <c r="F655" s="9">
        <v>25.0</v>
      </c>
      <c r="G655" s="9">
        <v>65.0</v>
      </c>
      <c r="H655" s="9">
        <v>0.0</v>
      </c>
      <c r="I655" s="9">
        <v>0.0</v>
      </c>
      <c r="J655" s="9">
        <v>39.740929</v>
      </c>
      <c r="K655" s="9">
        <v>116.030139</v>
      </c>
      <c r="L655" s="13">
        <v>52.1240196228027</v>
      </c>
      <c r="M655" s="12" t="str">
        <f>HYPERLINK("http://www.iaea.org/PRIS/CountryStatistics/ReactorDetails.aspx?current=1047", "PRIS")</f>
        <v>PRIS</v>
      </c>
      <c r="N655" s="12" t="str">
        <f>HYPERLINK("http://maps.google.com/?q=39.7409,116.03&amp;t=k", "Map")</f>
        <v>Map</v>
      </c>
    </row>
    <row r="656">
      <c r="A656" s="9" t="s">
        <v>1198</v>
      </c>
      <c r="B656" s="9" t="s">
        <v>1199</v>
      </c>
      <c r="C656" s="12" t="str">
        <f>HYPERLINK("https://www.google.com/search?q=BARAKAH-1+nuclear+power+plant+in+UNITED+ARAB+EMIRATES", "BARAKAH-1")</f>
        <v>BARAKAH-1</v>
      </c>
      <c r="D656" s="9" t="s">
        <v>1201</v>
      </c>
      <c r="E656" s="9" t="s">
        <v>26</v>
      </c>
      <c r="F656" s="9">
        <v>1400.0</v>
      </c>
      <c r="G656" s="9">
        <v>3983.0</v>
      </c>
      <c r="H656" s="9">
        <v>0.0</v>
      </c>
      <c r="I656" s="9">
        <v>0.0</v>
      </c>
      <c r="J656" s="9">
        <v>23.9849361</v>
      </c>
      <c r="K656" s="9">
        <v>52.2837194</v>
      </c>
      <c r="L656" s="13">
        <v>-32.1751441955566</v>
      </c>
      <c r="M656" s="12" t="str">
        <f>HYPERLINK("http://www.iaea.org/PRIS/CountryStatistics/ReactorDetails.aspx?current=1050", "PRIS")</f>
        <v>PRIS</v>
      </c>
      <c r="N656" s="12" t="str">
        <f t="shared" ref="N656:N658" si="164">HYPERLINK("http://maps.google.com/?q=23.9849,52.2837&amp;t=k", "Map")</f>
        <v>Map</v>
      </c>
    </row>
    <row r="657">
      <c r="A657" s="9" t="s">
        <v>1198</v>
      </c>
      <c r="B657" s="9" t="s">
        <v>1199</v>
      </c>
      <c r="C657" s="12" t="str">
        <f>HYPERLINK("https://www.google.com/search?q=BARAKAH-2+nuclear+power+plant+in+UNITED+ARAB+EMIRATES", "BARAKAH-2")</f>
        <v>BARAKAH-2</v>
      </c>
      <c r="D657" s="9" t="s">
        <v>1201</v>
      </c>
      <c r="E657" s="9" t="s">
        <v>26</v>
      </c>
      <c r="F657" s="9">
        <v>1400.0</v>
      </c>
      <c r="G657" s="9">
        <v>3983.0</v>
      </c>
      <c r="H657" s="9">
        <v>0.0</v>
      </c>
      <c r="I657" s="9">
        <v>0.0</v>
      </c>
      <c r="J657" s="9">
        <v>23.9849361</v>
      </c>
      <c r="K657" s="9">
        <v>52.2837194</v>
      </c>
      <c r="L657" s="13">
        <v>-32.1751441955566</v>
      </c>
      <c r="M657" s="12" t="str">
        <f>HYPERLINK("http://www.iaea.org/PRIS/CountryStatistics/ReactorDetails.aspx?current=1051", "PRIS")</f>
        <v>PRIS</v>
      </c>
      <c r="N657" s="12" t="str">
        <f t="shared" si="164"/>
        <v>Map</v>
      </c>
    </row>
    <row r="658">
      <c r="A658" s="9" t="s">
        <v>1198</v>
      </c>
      <c r="B658" s="9" t="s">
        <v>1199</v>
      </c>
      <c r="C658" s="12" t="str">
        <f>HYPERLINK("https://www.google.com/search?q=BARAKAH-3+nuclear+power+plant+in+UNITED+ARAB+EMIRATES", "BARAKAH-3")</f>
        <v>BARAKAH-3</v>
      </c>
      <c r="D658" s="9" t="s">
        <v>1201</v>
      </c>
      <c r="E658" s="9" t="s">
        <v>26</v>
      </c>
      <c r="F658" s="9">
        <v>1400.0</v>
      </c>
      <c r="G658" s="9">
        <v>3983.0</v>
      </c>
      <c r="H658" s="9">
        <v>0.0</v>
      </c>
      <c r="I658" s="9">
        <v>0.0</v>
      </c>
      <c r="J658" s="9">
        <v>23.9849361</v>
      </c>
      <c r="K658" s="9">
        <v>52.2837194</v>
      </c>
      <c r="L658" s="13">
        <v>-32.1751441955566</v>
      </c>
      <c r="M658" s="12" t="str">
        <f>HYPERLINK("http://www.iaea.org/PRIS/CountryStatistics/ReactorDetails.aspx?current=1052", "PRIS")</f>
        <v>PRIS</v>
      </c>
      <c r="N658" s="12" t="str">
        <f t="shared" si="164"/>
        <v>Map</v>
      </c>
    </row>
    <row r="659">
      <c r="A659" s="9" t="s">
        <v>15</v>
      </c>
      <c r="B659" s="9" t="s">
        <v>18</v>
      </c>
      <c r="C659" s="12" t="str">
        <f>HYPERLINK("https://www.google.com/search?q=CAREM25+nuclear+power+plant+in+ARGENTINA", "CAREM25")</f>
        <v>CAREM25</v>
      </c>
      <c r="D659" s="9" t="s">
        <v>20</v>
      </c>
      <c r="E659" s="9" t="s">
        <v>26</v>
      </c>
      <c r="F659" s="9">
        <v>29.0</v>
      </c>
      <c r="G659" s="9">
        <v>100.0</v>
      </c>
      <c r="H659" s="9">
        <v>0.0</v>
      </c>
      <c r="I659" s="9">
        <v>0.0</v>
      </c>
      <c r="J659" s="9">
        <v>0.0</v>
      </c>
      <c r="K659" s="9">
        <v>0.0</v>
      </c>
      <c r="L659" s="13">
        <v>-4924.587890625</v>
      </c>
      <c r="M659" s="12" t="str">
        <f>HYPERLINK("http://www.iaea.org/PRIS/CountryStatistics/ReactorDetails.aspx?current=1055", "PRIS")</f>
        <v>PRIS</v>
      </c>
      <c r="N659" s="12" t="str">
        <f>HYPERLINK("http://maps.google.com/?q=0,0&amp;t=k", "Map")</f>
        <v>Map</v>
      </c>
    </row>
    <row r="660">
      <c r="A660" s="9" t="s">
        <v>36</v>
      </c>
      <c r="B660" s="9" t="s">
        <v>37</v>
      </c>
      <c r="C660" s="12" t="str">
        <f>HYPERLINK("https://www.google.com/search?q=BELARUSIAN-1+nuclear+power+plant+in+BELARUS", "BELARUSIAN-1")</f>
        <v>BELARUSIAN-1</v>
      </c>
      <c r="D660" s="9" t="s">
        <v>39</v>
      </c>
      <c r="E660" s="9" t="s">
        <v>26</v>
      </c>
      <c r="F660" s="9">
        <v>1194.0</v>
      </c>
      <c r="G660" s="9">
        <v>3200.0</v>
      </c>
      <c r="H660" s="9">
        <v>0.0</v>
      </c>
      <c r="I660" s="9">
        <v>0.0</v>
      </c>
      <c r="J660" s="9">
        <v>54.75833</v>
      </c>
      <c r="K660" s="9">
        <v>26.09167</v>
      </c>
      <c r="L660" s="13">
        <v>203.061874389648</v>
      </c>
      <c r="M660" s="12" t="str">
        <f>HYPERLINK("http://www.iaea.org/PRIS/CountryStatistics/ReactorDetails.aspx?current=1056", "PRIS")</f>
        <v>PRIS</v>
      </c>
      <c r="N660" s="12" t="str">
        <f t="shared" ref="N660:N661" si="165">HYPERLINK("http://maps.google.com/?q=54.7583,26.0917&amp;t=k", "Map")</f>
        <v>Map</v>
      </c>
    </row>
    <row r="661">
      <c r="A661" s="9" t="s">
        <v>36</v>
      </c>
      <c r="B661" s="9" t="s">
        <v>37</v>
      </c>
      <c r="C661" s="12" t="str">
        <f>HYPERLINK("https://www.google.com/search?q=BELARUSIAN-2+nuclear+power+plant+in+BELARUS", "BELARUSIAN-2")</f>
        <v>BELARUSIAN-2</v>
      </c>
      <c r="D661" s="9" t="s">
        <v>39</v>
      </c>
      <c r="E661" s="9" t="s">
        <v>26</v>
      </c>
      <c r="F661" s="9">
        <v>1194.0</v>
      </c>
      <c r="G661" s="9">
        <v>3200.0</v>
      </c>
      <c r="H661" s="9">
        <v>0.0</v>
      </c>
      <c r="I661" s="9">
        <v>0.0</v>
      </c>
      <c r="J661" s="9">
        <v>54.75833</v>
      </c>
      <c r="K661" s="9">
        <v>26.09167</v>
      </c>
      <c r="L661" s="13">
        <v>203.061874389648</v>
      </c>
      <c r="M661" s="12" t="str">
        <f>HYPERLINK("http://www.iaea.org/PRIS/CountryStatistics/ReactorDetails.aspx?current=1061", "PRIS")</f>
        <v>PRIS</v>
      </c>
      <c r="N661" s="12" t="str">
        <f t="shared" si="165"/>
        <v>Map</v>
      </c>
    </row>
    <row r="662">
      <c r="L662" s="16"/>
    </row>
    <row r="663">
      <c r="L663" s="16"/>
    </row>
    <row r="664">
      <c r="L664" s="16"/>
    </row>
    <row r="665">
      <c r="L665" s="16"/>
    </row>
    <row r="666">
      <c r="L666" s="16"/>
    </row>
    <row r="667">
      <c r="L667" s="16"/>
    </row>
    <row r="668">
      <c r="L668" s="16"/>
    </row>
    <row r="669">
      <c r="L669" s="16"/>
    </row>
    <row r="670">
      <c r="L670" s="16"/>
    </row>
    <row r="671">
      <c r="L671" s="16"/>
    </row>
    <row r="672">
      <c r="L672" s="16"/>
    </row>
    <row r="673">
      <c r="L673" s="16"/>
    </row>
    <row r="674">
      <c r="L674" s="16"/>
    </row>
    <row r="675">
      <c r="L675" s="16"/>
    </row>
    <row r="676">
      <c r="L676" s="16"/>
    </row>
    <row r="677">
      <c r="L677" s="16"/>
    </row>
    <row r="678">
      <c r="L678" s="16"/>
    </row>
    <row r="679">
      <c r="L679" s="16"/>
    </row>
    <row r="680">
      <c r="L680" s="16"/>
    </row>
    <row r="681">
      <c r="L681" s="16"/>
    </row>
    <row r="682">
      <c r="L682" s="16"/>
    </row>
    <row r="683">
      <c r="L683" s="16"/>
    </row>
    <row r="684">
      <c r="L684" s="16"/>
    </row>
    <row r="685">
      <c r="L685" s="16"/>
    </row>
    <row r="686">
      <c r="L686" s="16"/>
    </row>
    <row r="687">
      <c r="L687" s="16"/>
    </row>
    <row r="688">
      <c r="L688" s="16"/>
    </row>
    <row r="689">
      <c r="L689" s="16"/>
    </row>
    <row r="690">
      <c r="L690" s="16"/>
    </row>
    <row r="691">
      <c r="L691" s="16"/>
    </row>
    <row r="692">
      <c r="L692" s="16"/>
    </row>
    <row r="693">
      <c r="L693" s="16"/>
    </row>
    <row r="694">
      <c r="L694" s="16"/>
    </row>
    <row r="695">
      <c r="L695" s="16"/>
    </row>
    <row r="696">
      <c r="L696" s="16"/>
    </row>
    <row r="697">
      <c r="L697" s="16"/>
    </row>
    <row r="698">
      <c r="L698" s="16"/>
    </row>
    <row r="699">
      <c r="L699" s="16"/>
    </row>
    <row r="700">
      <c r="L700" s="16"/>
    </row>
    <row r="701">
      <c r="L701" s="16"/>
    </row>
    <row r="702">
      <c r="L702" s="16"/>
    </row>
    <row r="703">
      <c r="L703" s="16"/>
    </row>
    <row r="704">
      <c r="L704" s="16"/>
    </row>
    <row r="705">
      <c r="L705" s="16"/>
    </row>
    <row r="706">
      <c r="L706" s="16"/>
    </row>
    <row r="707">
      <c r="L707" s="16"/>
    </row>
    <row r="708">
      <c r="L708" s="16"/>
    </row>
    <row r="709">
      <c r="L709" s="16"/>
    </row>
    <row r="710">
      <c r="L710" s="16"/>
    </row>
    <row r="711">
      <c r="L711" s="16"/>
    </row>
    <row r="712">
      <c r="L712" s="16"/>
    </row>
    <row r="713">
      <c r="L713" s="16"/>
    </row>
    <row r="714">
      <c r="L714" s="16"/>
    </row>
    <row r="715">
      <c r="L715" s="16"/>
    </row>
    <row r="716">
      <c r="L716" s="16"/>
    </row>
    <row r="717">
      <c r="L717" s="16"/>
    </row>
    <row r="718">
      <c r="L718" s="16"/>
    </row>
    <row r="719">
      <c r="L719" s="16"/>
    </row>
    <row r="720">
      <c r="L720" s="16"/>
    </row>
    <row r="721">
      <c r="L721" s="16"/>
    </row>
    <row r="722">
      <c r="L722" s="16"/>
    </row>
    <row r="723">
      <c r="L723" s="16"/>
    </row>
    <row r="724">
      <c r="L724" s="16"/>
    </row>
    <row r="725">
      <c r="L725" s="16"/>
    </row>
    <row r="726">
      <c r="L726" s="16"/>
    </row>
    <row r="727">
      <c r="L727" s="16"/>
    </row>
    <row r="728">
      <c r="L728" s="16"/>
    </row>
    <row r="729">
      <c r="L729" s="16"/>
    </row>
    <row r="730">
      <c r="L730" s="16"/>
    </row>
    <row r="731">
      <c r="L731" s="16"/>
    </row>
    <row r="732">
      <c r="L732" s="16"/>
    </row>
    <row r="733">
      <c r="L733" s="16"/>
    </row>
    <row r="734">
      <c r="L734" s="16"/>
    </row>
    <row r="735">
      <c r="L735" s="16"/>
    </row>
    <row r="736">
      <c r="L736" s="16"/>
    </row>
    <row r="737">
      <c r="L737" s="16"/>
    </row>
    <row r="738">
      <c r="L738" s="16"/>
    </row>
    <row r="739">
      <c r="L739" s="16"/>
    </row>
    <row r="740">
      <c r="L740" s="16"/>
    </row>
    <row r="741">
      <c r="L741" s="16"/>
    </row>
    <row r="742">
      <c r="L742" s="16"/>
    </row>
    <row r="743">
      <c r="L743" s="16"/>
    </row>
    <row r="744">
      <c r="L744" s="16"/>
    </row>
    <row r="745">
      <c r="L745" s="16"/>
    </row>
    <row r="746">
      <c r="L746" s="16"/>
    </row>
    <row r="747">
      <c r="L747" s="16"/>
    </row>
    <row r="748">
      <c r="L748" s="16"/>
    </row>
    <row r="749">
      <c r="L749" s="16"/>
    </row>
    <row r="750">
      <c r="L750" s="16"/>
    </row>
    <row r="751">
      <c r="L751" s="16"/>
    </row>
    <row r="752">
      <c r="L752" s="16"/>
    </row>
    <row r="753">
      <c r="L753" s="16"/>
    </row>
    <row r="754">
      <c r="L754" s="16"/>
    </row>
    <row r="755">
      <c r="L755" s="16"/>
    </row>
    <row r="756">
      <c r="L756" s="16"/>
    </row>
    <row r="757">
      <c r="L757" s="16"/>
    </row>
    <row r="758">
      <c r="L758" s="16"/>
    </row>
    <row r="759">
      <c r="L759" s="16"/>
    </row>
    <row r="760">
      <c r="L760" s="16"/>
    </row>
    <row r="761">
      <c r="L761" s="16"/>
    </row>
    <row r="762">
      <c r="L762" s="16"/>
    </row>
    <row r="763">
      <c r="L763" s="16"/>
    </row>
    <row r="764">
      <c r="L764" s="16"/>
    </row>
    <row r="765">
      <c r="L765" s="16"/>
    </row>
    <row r="766">
      <c r="L766" s="16"/>
    </row>
    <row r="767">
      <c r="L767" s="16"/>
    </row>
    <row r="768">
      <c r="L768" s="16"/>
    </row>
    <row r="769">
      <c r="L769" s="16"/>
    </row>
    <row r="770">
      <c r="L770" s="16"/>
    </row>
    <row r="771">
      <c r="L771" s="16"/>
    </row>
    <row r="772">
      <c r="L772" s="16"/>
    </row>
    <row r="773">
      <c r="L773" s="16"/>
    </row>
    <row r="774">
      <c r="L774" s="16"/>
    </row>
    <row r="775">
      <c r="L775" s="16"/>
    </row>
    <row r="776">
      <c r="L776" s="16"/>
    </row>
    <row r="777">
      <c r="L777" s="16"/>
    </row>
    <row r="778">
      <c r="L778" s="16"/>
    </row>
    <row r="779">
      <c r="L779" s="16"/>
    </row>
    <row r="780">
      <c r="L780" s="16"/>
    </row>
    <row r="781">
      <c r="L781" s="16"/>
    </row>
    <row r="782">
      <c r="L782" s="16"/>
    </row>
    <row r="783">
      <c r="L783" s="16"/>
    </row>
    <row r="784">
      <c r="L784" s="16"/>
    </row>
    <row r="785">
      <c r="L785" s="16"/>
    </row>
    <row r="786">
      <c r="L786" s="16"/>
    </row>
    <row r="787">
      <c r="L787" s="16"/>
    </row>
    <row r="788">
      <c r="L788" s="16"/>
    </row>
    <row r="789">
      <c r="L789" s="16"/>
    </row>
    <row r="790">
      <c r="L790" s="16"/>
    </row>
    <row r="791">
      <c r="L791" s="16"/>
    </row>
    <row r="792">
      <c r="L792" s="16"/>
    </row>
    <row r="793">
      <c r="L793" s="16"/>
    </row>
    <row r="794">
      <c r="L794" s="16"/>
    </row>
    <row r="795">
      <c r="L795" s="16"/>
    </row>
    <row r="796">
      <c r="L796" s="16"/>
    </row>
    <row r="797">
      <c r="L797" s="16"/>
    </row>
    <row r="798">
      <c r="L798" s="16"/>
    </row>
    <row r="799">
      <c r="L799" s="16"/>
    </row>
    <row r="800">
      <c r="L800" s="16"/>
    </row>
    <row r="801">
      <c r="L801" s="16"/>
    </row>
    <row r="802">
      <c r="L802" s="16"/>
    </row>
    <row r="803">
      <c r="L803" s="16"/>
    </row>
    <row r="804">
      <c r="L804" s="16"/>
    </row>
    <row r="805">
      <c r="L805" s="16"/>
    </row>
    <row r="806">
      <c r="L806" s="16"/>
    </row>
    <row r="807">
      <c r="L807" s="16"/>
    </row>
    <row r="808">
      <c r="L808" s="16"/>
    </row>
    <row r="809">
      <c r="L809" s="16"/>
    </row>
    <row r="810">
      <c r="L810" s="16"/>
    </row>
    <row r="811">
      <c r="L811" s="16"/>
    </row>
    <row r="812">
      <c r="L812" s="16"/>
    </row>
    <row r="813">
      <c r="L813" s="16"/>
    </row>
    <row r="814">
      <c r="L814" s="16"/>
    </row>
    <row r="815">
      <c r="L815" s="16"/>
    </row>
    <row r="816">
      <c r="L816" s="16"/>
    </row>
    <row r="817">
      <c r="L817" s="16"/>
    </row>
    <row r="818">
      <c r="L818" s="16"/>
    </row>
    <row r="819">
      <c r="L819" s="16"/>
    </row>
    <row r="820">
      <c r="L820" s="16"/>
    </row>
    <row r="821">
      <c r="L821" s="16"/>
    </row>
    <row r="822">
      <c r="L822" s="16"/>
    </row>
    <row r="823">
      <c r="L823" s="16"/>
    </row>
    <row r="824">
      <c r="L824" s="16"/>
    </row>
    <row r="825">
      <c r="L825" s="16"/>
    </row>
    <row r="826">
      <c r="L826" s="16"/>
    </row>
    <row r="827">
      <c r="L827" s="16"/>
    </row>
    <row r="828">
      <c r="L828" s="16"/>
    </row>
    <row r="829">
      <c r="L829" s="16"/>
    </row>
    <row r="830">
      <c r="L830" s="16"/>
    </row>
    <row r="831">
      <c r="L831" s="16"/>
    </row>
    <row r="832">
      <c r="L832" s="16"/>
    </row>
    <row r="833">
      <c r="L833" s="16"/>
    </row>
    <row r="834">
      <c r="L834" s="16"/>
    </row>
    <row r="835">
      <c r="L835" s="16"/>
    </row>
    <row r="836">
      <c r="L836" s="16"/>
    </row>
    <row r="837">
      <c r="L837" s="16"/>
    </row>
    <row r="838">
      <c r="L838" s="16"/>
    </row>
    <row r="839">
      <c r="L839" s="16"/>
    </row>
    <row r="840">
      <c r="L840" s="16"/>
    </row>
    <row r="841">
      <c r="L841" s="16"/>
    </row>
    <row r="842">
      <c r="L842" s="16"/>
    </row>
    <row r="843">
      <c r="L843" s="16"/>
    </row>
    <row r="844">
      <c r="L844" s="16"/>
    </row>
    <row r="845">
      <c r="L845" s="16"/>
    </row>
    <row r="846">
      <c r="L846" s="16"/>
    </row>
    <row r="847">
      <c r="L847" s="16"/>
    </row>
    <row r="848">
      <c r="L848" s="16"/>
    </row>
    <row r="849">
      <c r="L849" s="16"/>
    </row>
    <row r="850">
      <c r="L850" s="16"/>
    </row>
    <row r="851">
      <c r="L851" s="16"/>
    </row>
    <row r="852">
      <c r="L852" s="16"/>
    </row>
    <row r="853">
      <c r="L853" s="16"/>
    </row>
    <row r="854">
      <c r="L854" s="16"/>
    </row>
    <row r="855">
      <c r="L855" s="16"/>
    </row>
    <row r="856">
      <c r="L856" s="16"/>
    </row>
    <row r="857">
      <c r="L857" s="16"/>
    </row>
    <row r="858">
      <c r="L858" s="16"/>
    </row>
    <row r="859">
      <c r="L859" s="16"/>
    </row>
    <row r="860">
      <c r="L860" s="16"/>
    </row>
    <row r="861">
      <c r="L861" s="16"/>
    </row>
    <row r="862">
      <c r="L862" s="16"/>
    </row>
    <row r="863">
      <c r="L863" s="16"/>
    </row>
    <row r="864">
      <c r="L864" s="16"/>
    </row>
    <row r="865">
      <c r="L865" s="16"/>
    </row>
    <row r="866">
      <c r="L866" s="16"/>
    </row>
    <row r="867">
      <c r="L867" s="16"/>
    </row>
    <row r="868">
      <c r="L868" s="16"/>
    </row>
    <row r="869">
      <c r="L869" s="16"/>
    </row>
    <row r="870">
      <c r="L870" s="16"/>
    </row>
    <row r="871">
      <c r="L871" s="16"/>
    </row>
    <row r="872">
      <c r="L872" s="16"/>
    </row>
    <row r="873">
      <c r="L873" s="16"/>
    </row>
    <row r="874">
      <c r="L874" s="16"/>
    </row>
    <row r="875">
      <c r="L875" s="16"/>
    </row>
    <row r="876">
      <c r="L876" s="16"/>
    </row>
    <row r="877">
      <c r="L877" s="16"/>
    </row>
    <row r="878">
      <c r="L878" s="16"/>
    </row>
    <row r="879">
      <c r="L879" s="16"/>
    </row>
    <row r="880">
      <c r="L880" s="16"/>
    </row>
    <row r="881">
      <c r="L881" s="16"/>
    </row>
    <row r="882">
      <c r="L882" s="16"/>
    </row>
    <row r="883">
      <c r="L883" s="16"/>
    </row>
    <row r="884">
      <c r="L884" s="16"/>
    </row>
    <row r="885">
      <c r="L885" s="16"/>
    </row>
    <row r="886">
      <c r="L886" s="16"/>
    </row>
    <row r="887">
      <c r="L887" s="16"/>
    </row>
    <row r="888">
      <c r="L888" s="16"/>
    </row>
    <row r="889">
      <c r="L889" s="16"/>
    </row>
    <row r="890">
      <c r="L890" s="16"/>
    </row>
    <row r="891">
      <c r="L891" s="16"/>
    </row>
    <row r="892">
      <c r="L892" s="16"/>
    </row>
    <row r="893">
      <c r="L893" s="16"/>
    </row>
    <row r="894">
      <c r="L894" s="16"/>
    </row>
    <row r="895">
      <c r="L895" s="16"/>
    </row>
    <row r="896">
      <c r="L896" s="16"/>
    </row>
    <row r="897">
      <c r="L897" s="16"/>
    </row>
    <row r="898">
      <c r="L898" s="16"/>
    </row>
    <row r="899">
      <c r="L899" s="16"/>
    </row>
    <row r="900">
      <c r="L900" s="16"/>
    </row>
    <row r="901">
      <c r="L901" s="16"/>
    </row>
    <row r="902">
      <c r="L902" s="16"/>
    </row>
    <row r="903">
      <c r="L903" s="16"/>
    </row>
    <row r="904">
      <c r="L904" s="16"/>
    </row>
    <row r="905">
      <c r="L905" s="16"/>
    </row>
    <row r="906">
      <c r="L906" s="16"/>
    </row>
    <row r="907">
      <c r="L907" s="16"/>
    </row>
    <row r="908">
      <c r="L908" s="16"/>
    </row>
    <row r="909">
      <c r="L909" s="16"/>
    </row>
    <row r="910">
      <c r="L910" s="16"/>
    </row>
    <row r="911">
      <c r="L911" s="16"/>
    </row>
    <row r="912">
      <c r="L912" s="16"/>
    </row>
    <row r="913">
      <c r="L913" s="16"/>
    </row>
    <row r="914">
      <c r="L914" s="16"/>
    </row>
    <row r="915">
      <c r="L915" s="16"/>
    </row>
    <row r="916">
      <c r="L916" s="16"/>
    </row>
    <row r="917">
      <c r="L917" s="16"/>
    </row>
    <row r="918">
      <c r="L918" s="16"/>
    </row>
    <row r="919">
      <c r="L919" s="16"/>
    </row>
    <row r="920">
      <c r="L920" s="16"/>
    </row>
    <row r="921">
      <c r="L921" s="16"/>
    </row>
    <row r="922">
      <c r="L922" s="16"/>
    </row>
    <row r="923">
      <c r="L923" s="16"/>
    </row>
    <row r="924">
      <c r="L924" s="16"/>
    </row>
    <row r="925">
      <c r="L925" s="16"/>
    </row>
    <row r="926">
      <c r="L926" s="16"/>
    </row>
    <row r="927">
      <c r="L927" s="16"/>
    </row>
    <row r="928">
      <c r="L928" s="16"/>
    </row>
    <row r="929">
      <c r="L929" s="16"/>
    </row>
    <row r="930">
      <c r="L930" s="16"/>
    </row>
    <row r="931">
      <c r="L931" s="16"/>
    </row>
    <row r="932">
      <c r="L932" s="16"/>
    </row>
    <row r="933">
      <c r="L933" s="16"/>
    </row>
    <row r="934">
      <c r="L934" s="16"/>
    </row>
    <row r="935">
      <c r="L935" s="16"/>
    </row>
    <row r="936">
      <c r="L936" s="16"/>
    </row>
    <row r="937">
      <c r="L937" s="16"/>
    </row>
    <row r="938">
      <c r="L938" s="16"/>
    </row>
    <row r="939">
      <c r="L939" s="16"/>
    </row>
    <row r="940">
      <c r="L940" s="16"/>
    </row>
    <row r="941">
      <c r="L941" s="16"/>
    </row>
    <row r="942">
      <c r="L942" s="16"/>
    </row>
    <row r="943">
      <c r="L943" s="16"/>
    </row>
    <row r="944">
      <c r="L944" s="16"/>
    </row>
    <row r="945">
      <c r="L945" s="16"/>
    </row>
    <row r="946">
      <c r="L946" s="16"/>
    </row>
    <row r="947">
      <c r="L947" s="16"/>
    </row>
    <row r="948">
      <c r="L948" s="16"/>
    </row>
    <row r="949">
      <c r="L949" s="16"/>
    </row>
    <row r="950">
      <c r="L950" s="16"/>
    </row>
    <row r="951">
      <c r="L951" s="16"/>
    </row>
    <row r="952">
      <c r="L952" s="16"/>
    </row>
    <row r="953">
      <c r="L953" s="16"/>
    </row>
    <row r="954">
      <c r="L954" s="16"/>
    </row>
    <row r="955">
      <c r="L955" s="16"/>
    </row>
    <row r="956">
      <c r="L956" s="16"/>
    </row>
    <row r="957">
      <c r="L957" s="16"/>
    </row>
    <row r="958">
      <c r="L958" s="16"/>
    </row>
    <row r="959">
      <c r="L959" s="16"/>
    </row>
    <row r="960">
      <c r="L960" s="16"/>
    </row>
    <row r="961">
      <c r="L961" s="16"/>
    </row>
    <row r="962">
      <c r="L962" s="16"/>
    </row>
    <row r="963">
      <c r="L963" s="16"/>
    </row>
    <row r="964">
      <c r="L964" s="16"/>
    </row>
    <row r="965">
      <c r="L965" s="16"/>
    </row>
    <row r="966">
      <c r="L966" s="16"/>
    </row>
    <row r="967">
      <c r="L967" s="16"/>
    </row>
    <row r="968">
      <c r="L968" s="16"/>
    </row>
    <row r="969">
      <c r="L969" s="16"/>
    </row>
    <row r="970">
      <c r="L970" s="16"/>
    </row>
    <row r="971">
      <c r="L971" s="16"/>
    </row>
    <row r="972">
      <c r="L972" s="16"/>
    </row>
    <row r="973">
      <c r="L973" s="16"/>
    </row>
    <row r="974">
      <c r="L974" s="16"/>
    </row>
    <row r="975">
      <c r="L975" s="16"/>
    </row>
    <row r="976">
      <c r="L976" s="16"/>
    </row>
    <row r="977">
      <c r="L977" s="16"/>
    </row>
    <row r="978">
      <c r="L978" s="16"/>
    </row>
    <row r="979">
      <c r="L979" s="16"/>
    </row>
    <row r="980">
      <c r="L980" s="16"/>
    </row>
    <row r="981">
      <c r="L981" s="16"/>
    </row>
    <row r="982">
      <c r="L982" s="16"/>
    </row>
    <row r="983">
      <c r="L983" s="16"/>
    </row>
    <row r="984">
      <c r="L984" s="16"/>
    </row>
    <row r="985">
      <c r="L985" s="16"/>
    </row>
    <row r="986">
      <c r="L986" s="16"/>
    </row>
    <row r="987">
      <c r="L987" s="16"/>
    </row>
    <row r="988">
      <c r="L988" s="16"/>
    </row>
    <row r="989">
      <c r="L989" s="16"/>
    </row>
    <row r="990">
      <c r="L990" s="16"/>
    </row>
    <row r="991">
      <c r="L991" s="16"/>
    </row>
    <row r="992">
      <c r="L992" s="16"/>
    </row>
    <row r="993">
      <c r="L993" s="16"/>
    </row>
    <row r="994">
      <c r="L994" s="16"/>
    </row>
    <row r="995">
      <c r="L995" s="16"/>
    </row>
    <row r="996">
      <c r="L996" s="16"/>
    </row>
    <row r="997">
      <c r="L997" s="16"/>
    </row>
    <row r="998">
      <c r="L998" s="16"/>
    </row>
    <row r="999">
      <c r="L999" s="16"/>
    </row>
    <row r="1000">
      <c r="L1000" s="16"/>
    </row>
    <row r="1001">
      <c r="L1001" s="16"/>
    </row>
  </sheetData>
  <conditionalFormatting sqref="F:I">
    <cfRule type="cellIs" dxfId="0" priority="1" operator="equal">
      <formula>0</formula>
    </cfRule>
  </conditionalFormatting>
  <conditionalFormatting sqref="J:L">
    <cfRule type="cellIs" dxfId="1" priority="2" operator="equal">
      <formula>0</formula>
    </cfRule>
  </conditionalFormatting>
  <conditionalFormatting sqref="E1 E3:E553 E554:E1001">
    <cfRule type="containsText" dxfId="1" priority="3" operator="containsText" text="Permanent">
      <formula>NOT(ISERROR(SEARCH(("Permanent"),(E1))))</formula>
    </cfRule>
  </conditionalFormatting>
  <conditionalFormatting sqref="E1 E3:E553 E554:E1001">
    <cfRule type="containsText" dxfId="2" priority="4" operator="containsText" text="Operational">
      <formula>NOT(ISERROR(SEARCH(("Operational"),(E1))))</formula>
    </cfRule>
  </conditionalFormatting>
  <hyperlinks>
    <hyperlink r:id="rId1" ref="C2"/>
    <hyperlink r:id="rId2" ref="M2"/>
    <hyperlink r:id="rId3" ref="N2"/>
    <hyperlink r:id="rId4" ref="C3"/>
    <hyperlink r:id="rId5" ref="M3"/>
    <hyperlink r:id="rId6" ref="N3"/>
    <hyperlink r:id="rId7" ref="C4"/>
    <hyperlink r:id="rId8" ref="M4"/>
    <hyperlink r:id="rId9" ref="N4"/>
    <hyperlink r:id="rId10" ref="C5"/>
    <hyperlink r:id="rId11" ref="M5"/>
    <hyperlink r:id="rId12" ref="N5"/>
    <hyperlink r:id="rId13" ref="C6"/>
    <hyperlink r:id="rId14" ref="M6"/>
    <hyperlink r:id="rId15" ref="N6"/>
    <hyperlink r:id="rId16" ref="C7"/>
    <hyperlink r:id="rId17" ref="M7"/>
    <hyperlink r:id="rId18" ref="N7"/>
    <hyperlink r:id="rId19" ref="C8"/>
    <hyperlink r:id="rId20" ref="M8"/>
    <hyperlink r:id="rId21" ref="N8"/>
    <hyperlink r:id="rId22" ref="C9"/>
    <hyperlink r:id="rId23" ref="M9"/>
    <hyperlink r:id="rId24" ref="N9"/>
    <hyperlink r:id="rId25" ref="C10"/>
    <hyperlink r:id="rId26" ref="M10"/>
    <hyperlink r:id="rId27" ref="N10"/>
    <hyperlink r:id="rId28" ref="C11"/>
    <hyperlink r:id="rId29" ref="M11"/>
    <hyperlink r:id="rId30" ref="N11"/>
    <hyperlink r:id="rId31" ref="C12"/>
    <hyperlink r:id="rId32" ref="M12"/>
    <hyperlink r:id="rId33" ref="N12"/>
    <hyperlink r:id="rId34" ref="C13"/>
    <hyperlink r:id="rId35" ref="M13"/>
    <hyperlink r:id="rId36" ref="N13"/>
    <hyperlink r:id="rId37" ref="C14"/>
    <hyperlink r:id="rId38" ref="M14"/>
    <hyperlink r:id="rId39" ref="N14"/>
    <hyperlink r:id="rId40" ref="C15"/>
    <hyperlink r:id="rId41" ref="M15"/>
    <hyperlink r:id="rId42" ref="N15"/>
    <hyperlink r:id="rId43" ref="C16"/>
    <hyperlink r:id="rId44" ref="M16"/>
    <hyperlink r:id="rId45" ref="N16"/>
    <hyperlink r:id="rId46" ref="C17"/>
    <hyperlink r:id="rId47" ref="M17"/>
    <hyperlink r:id="rId48" ref="N17"/>
    <hyperlink r:id="rId49" ref="C18"/>
    <hyperlink r:id="rId50" ref="M18"/>
    <hyperlink r:id="rId51" ref="N18"/>
    <hyperlink r:id="rId52" ref="C19"/>
    <hyperlink r:id="rId53" ref="M19"/>
    <hyperlink r:id="rId54" ref="N19"/>
    <hyperlink r:id="rId55" ref="C20"/>
    <hyperlink r:id="rId56" ref="M20"/>
    <hyperlink r:id="rId57" ref="N20"/>
    <hyperlink r:id="rId58" ref="C21"/>
    <hyperlink r:id="rId59" ref="M21"/>
    <hyperlink r:id="rId60" ref="N21"/>
    <hyperlink r:id="rId61" ref="C22"/>
    <hyperlink r:id="rId62" ref="M22"/>
    <hyperlink r:id="rId63" ref="N22"/>
    <hyperlink r:id="rId64" ref="C23"/>
    <hyperlink r:id="rId65" ref="M23"/>
    <hyperlink r:id="rId66" ref="N23"/>
    <hyperlink r:id="rId67" ref="C24"/>
    <hyperlink r:id="rId68" ref="M24"/>
    <hyperlink r:id="rId69" ref="N24"/>
    <hyperlink r:id="rId70" ref="C25"/>
    <hyperlink r:id="rId71" ref="M25"/>
    <hyperlink r:id="rId72" ref="N25"/>
    <hyperlink r:id="rId73" ref="C26"/>
    <hyperlink r:id="rId74" ref="M26"/>
    <hyperlink r:id="rId75" ref="N26"/>
    <hyperlink r:id="rId76" ref="C27"/>
    <hyperlink r:id="rId77" ref="M27"/>
    <hyperlink r:id="rId78" ref="N27"/>
    <hyperlink r:id="rId79" ref="C28"/>
    <hyperlink r:id="rId80" ref="M28"/>
    <hyperlink r:id="rId81" ref="N28"/>
    <hyperlink r:id="rId82" ref="C29"/>
    <hyperlink r:id="rId83" ref="M29"/>
    <hyperlink r:id="rId84" ref="N29"/>
    <hyperlink r:id="rId85" ref="C30"/>
    <hyperlink r:id="rId86" ref="M30"/>
    <hyperlink r:id="rId87" ref="N30"/>
    <hyperlink r:id="rId88" ref="C31"/>
    <hyperlink r:id="rId89" ref="M31"/>
    <hyperlink r:id="rId90" ref="N31"/>
    <hyperlink r:id="rId91" ref="C32"/>
    <hyperlink r:id="rId92" ref="M32"/>
    <hyperlink r:id="rId93" ref="N32"/>
    <hyperlink r:id="rId94" ref="C33"/>
    <hyperlink r:id="rId95" ref="M33"/>
    <hyperlink r:id="rId96" ref="N33"/>
    <hyperlink r:id="rId97" ref="C34"/>
    <hyperlink r:id="rId98" ref="M34"/>
    <hyperlink r:id="rId99" ref="N34"/>
    <hyperlink r:id="rId100" ref="C35"/>
    <hyperlink r:id="rId101" ref="M35"/>
    <hyperlink r:id="rId102" ref="N35"/>
    <hyperlink r:id="rId103" ref="C36"/>
    <hyperlink r:id="rId104" ref="M36"/>
    <hyperlink r:id="rId105" ref="N36"/>
    <hyperlink r:id="rId106" ref="C37"/>
    <hyperlink r:id="rId107" ref="M37"/>
    <hyperlink r:id="rId108" ref="N37"/>
    <hyperlink r:id="rId109" ref="C38"/>
    <hyperlink r:id="rId110" ref="M38"/>
    <hyperlink r:id="rId111" ref="N38"/>
    <hyperlink r:id="rId112" ref="C39"/>
    <hyperlink r:id="rId113" ref="M39"/>
    <hyperlink r:id="rId114" ref="N39"/>
    <hyperlink r:id="rId115" ref="C40"/>
    <hyperlink r:id="rId116" ref="M40"/>
    <hyperlink r:id="rId117" ref="N40"/>
    <hyperlink r:id="rId118" ref="C41"/>
    <hyperlink r:id="rId119" ref="M41"/>
    <hyperlink r:id="rId120" ref="N41"/>
    <hyperlink r:id="rId121" ref="C42"/>
    <hyperlink r:id="rId122" ref="M42"/>
    <hyperlink r:id="rId123" ref="N42"/>
    <hyperlink r:id="rId124" ref="C43"/>
    <hyperlink r:id="rId125" ref="M43"/>
    <hyperlink r:id="rId126" ref="N43"/>
    <hyperlink r:id="rId127" ref="C44"/>
    <hyperlink r:id="rId128" ref="M44"/>
    <hyperlink r:id="rId129" ref="N44"/>
    <hyperlink r:id="rId130" ref="C45"/>
    <hyperlink r:id="rId131" ref="M45"/>
    <hyperlink r:id="rId132" ref="N45"/>
    <hyperlink r:id="rId133" ref="C46"/>
    <hyperlink r:id="rId134" ref="M46"/>
    <hyperlink r:id="rId135" ref="N46"/>
    <hyperlink r:id="rId136" ref="C47"/>
    <hyperlink r:id="rId137" ref="M47"/>
    <hyperlink r:id="rId138" ref="N47"/>
    <hyperlink r:id="rId139" ref="C48"/>
    <hyperlink r:id="rId140" ref="M48"/>
    <hyperlink r:id="rId141" ref="N48"/>
    <hyperlink r:id="rId142" ref="C49"/>
    <hyperlink r:id="rId143" ref="M49"/>
    <hyperlink r:id="rId144" ref="N49"/>
    <hyperlink r:id="rId145" ref="C50"/>
    <hyperlink r:id="rId146" ref="M50"/>
    <hyperlink r:id="rId147" ref="N50"/>
    <hyperlink r:id="rId148" ref="C51"/>
    <hyperlink r:id="rId149" ref="M51"/>
    <hyperlink r:id="rId150" ref="N51"/>
    <hyperlink r:id="rId151" ref="C52"/>
    <hyperlink r:id="rId152" ref="M52"/>
    <hyperlink r:id="rId153" ref="N52"/>
    <hyperlink r:id="rId154" ref="C53"/>
    <hyperlink r:id="rId155" ref="M53"/>
    <hyperlink r:id="rId156" ref="N53"/>
    <hyperlink r:id="rId157" ref="C54"/>
    <hyperlink r:id="rId158" ref="M54"/>
    <hyperlink r:id="rId159" ref="N54"/>
    <hyperlink r:id="rId160" ref="C55"/>
    <hyperlink r:id="rId161" ref="M55"/>
    <hyperlink r:id="rId162" ref="N55"/>
    <hyperlink r:id="rId163" ref="C56"/>
    <hyperlink r:id="rId164" ref="M56"/>
    <hyperlink r:id="rId165" ref="N56"/>
    <hyperlink r:id="rId166" ref="C57"/>
    <hyperlink r:id="rId167" ref="M57"/>
    <hyperlink r:id="rId168" ref="N57"/>
    <hyperlink r:id="rId169" ref="C58"/>
    <hyperlink r:id="rId170" ref="M58"/>
    <hyperlink r:id="rId171" ref="N58"/>
    <hyperlink r:id="rId172" ref="C59"/>
    <hyperlink r:id="rId173" ref="M59"/>
    <hyperlink r:id="rId174" ref="N59"/>
    <hyperlink r:id="rId175" ref="C60"/>
    <hyperlink r:id="rId176" ref="M60"/>
    <hyperlink r:id="rId177" ref="N60"/>
    <hyperlink r:id="rId178" ref="C61"/>
    <hyperlink r:id="rId179" ref="M61"/>
    <hyperlink r:id="rId180" ref="N61"/>
    <hyperlink r:id="rId181" ref="C62"/>
    <hyperlink r:id="rId182" ref="M62"/>
    <hyperlink r:id="rId183" ref="N62"/>
    <hyperlink r:id="rId184" ref="C63"/>
    <hyperlink r:id="rId185" ref="M63"/>
    <hyperlink r:id="rId186" ref="N63"/>
    <hyperlink r:id="rId187" ref="C64"/>
    <hyperlink r:id="rId188" ref="M64"/>
    <hyperlink r:id="rId189" ref="N64"/>
    <hyperlink r:id="rId190" ref="C65"/>
    <hyperlink r:id="rId191" ref="M65"/>
    <hyperlink r:id="rId192" ref="N65"/>
    <hyperlink r:id="rId193" ref="C66"/>
    <hyperlink r:id="rId194" ref="M66"/>
    <hyperlink r:id="rId195" ref="N66"/>
    <hyperlink r:id="rId196" ref="C67"/>
    <hyperlink r:id="rId197" ref="M67"/>
    <hyperlink r:id="rId198" ref="N67"/>
    <hyperlink r:id="rId199" ref="C68"/>
    <hyperlink r:id="rId200" ref="M68"/>
    <hyperlink r:id="rId201" ref="N68"/>
    <hyperlink r:id="rId202" ref="C69"/>
    <hyperlink r:id="rId203" ref="M69"/>
    <hyperlink r:id="rId204" ref="N69"/>
    <hyperlink r:id="rId205" ref="C70"/>
    <hyperlink r:id="rId206" ref="M70"/>
    <hyperlink r:id="rId207" ref="N70"/>
    <hyperlink r:id="rId208" ref="C71"/>
    <hyperlink r:id="rId209" ref="M71"/>
    <hyperlink r:id="rId210" ref="N71"/>
    <hyperlink r:id="rId211" ref="C72"/>
    <hyperlink r:id="rId212" ref="M72"/>
    <hyperlink r:id="rId213" ref="N72"/>
    <hyperlink r:id="rId214" ref="C73"/>
    <hyperlink r:id="rId215" ref="M73"/>
    <hyperlink r:id="rId216" ref="N73"/>
    <hyperlink r:id="rId217" ref="C74"/>
    <hyperlink r:id="rId218" ref="M74"/>
    <hyperlink r:id="rId219" ref="N74"/>
    <hyperlink r:id="rId220" ref="C75"/>
    <hyperlink r:id="rId221" ref="M75"/>
    <hyperlink r:id="rId222" ref="N75"/>
    <hyperlink r:id="rId223" ref="C76"/>
    <hyperlink r:id="rId224" ref="M76"/>
    <hyperlink r:id="rId225" ref="N76"/>
    <hyperlink r:id="rId226" ref="C77"/>
    <hyperlink r:id="rId227" ref="M77"/>
    <hyperlink r:id="rId228" ref="N77"/>
    <hyperlink r:id="rId229" ref="C78"/>
    <hyperlink r:id="rId230" ref="M78"/>
    <hyperlink r:id="rId231" ref="N78"/>
    <hyperlink r:id="rId232" ref="C79"/>
    <hyperlink r:id="rId233" ref="M79"/>
    <hyperlink r:id="rId234" ref="N79"/>
    <hyperlink r:id="rId235" ref="C80"/>
    <hyperlink r:id="rId236" ref="M80"/>
    <hyperlink r:id="rId237" ref="N80"/>
    <hyperlink r:id="rId238" ref="C81"/>
    <hyperlink r:id="rId239" ref="M81"/>
    <hyperlink r:id="rId240" ref="N81"/>
    <hyperlink r:id="rId241" ref="C82"/>
    <hyperlink r:id="rId242" ref="M82"/>
    <hyperlink r:id="rId243" ref="N82"/>
    <hyperlink r:id="rId244" ref="C83"/>
    <hyperlink r:id="rId245" ref="M83"/>
    <hyperlink r:id="rId246" ref="N83"/>
    <hyperlink r:id="rId247" ref="C84"/>
    <hyperlink r:id="rId248" ref="M84"/>
    <hyperlink r:id="rId249" ref="N84"/>
    <hyperlink r:id="rId250" ref="C85"/>
    <hyperlink r:id="rId251" ref="M85"/>
    <hyperlink r:id="rId252" ref="N85"/>
    <hyperlink r:id="rId253" ref="C86"/>
    <hyperlink r:id="rId254" ref="M86"/>
    <hyperlink r:id="rId255" ref="N86"/>
    <hyperlink r:id="rId256" ref="C87"/>
    <hyperlink r:id="rId257" ref="M87"/>
    <hyperlink r:id="rId258" ref="N87"/>
    <hyperlink r:id="rId259" ref="C88"/>
    <hyperlink r:id="rId260" ref="M88"/>
    <hyperlink r:id="rId261" ref="N88"/>
    <hyperlink r:id="rId262" ref="C89"/>
    <hyperlink r:id="rId263" ref="M89"/>
    <hyperlink r:id="rId264" ref="N89"/>
    <hyperlink r:id="rId265" ref="C90"/>
    <hyperlink r:id="rId266" ref="M90"/>
    <hyperlink r:id="rId267" ref="N90"/>
    <hyperlink r:id="rId268" ref="C91"/>
    <hyperlink r:id="rId269" ref="M91"/>
    <hyperlink r:id="rId270" ref="N91"/>
    <hyperlink r:id="rId271" ref="C92"/>
    <hyperlink r:id="rId272" ref="M92"/>
    <hyperlink r:id="rId273" ref="N92"/>
    <hyperlink r:id="rId274" ref="C93"/>
    <hyperlink r:id="rId275" ref="M93"/>
    <hyperlink r:id="rId276" ref="N93"/>
    <hyperlink r:id="rId277" ref="C94"/>
    <hyperlink r:id="rId278" ref="M94"/>
    <hyperlink r:id="rId279" ref="N94"/>
    <hyperlink r:id="rId280" ref="C95"/>
    <hyperlink r:id="rId281" ref="M95"/>
    <hyperlink r:id="rId282" ref="N95"/>
    <hyperlink r:id="rId283" ref="C96"/>
    <hyperlink r:id="rId284" ref="M96"/>
    <hyperlink r:id="rId285" ref="N96"/>
    <hyperlink r:id="rId286" ref="C97"/>
    <hyperlink r:id="rId287" ref="M97"/>
    <hyperlink r:id="rId288" ref="N97"/>
    <hyperlink r:id="rId289" ref="C98"/>
    <hyperlink r:id="rId290" ref="M98"/>
    <hyperlink r:id="rId291" ref="N98"/>
    <hyperlink r:id="rId292" ref="C99"/>
    <hyperlink r:id="rId293" ref="M99"/>
    <hyperlink r:id="rId294" ref="N99"/>
    <hyperlink r:id="rId295" ref="C100"/>
    <hyperlink r:id="rId296" ref="M100"/>
    <hyperlink r:id="rId297" ref="N100"/>
    <hyperlink r:id="rId298" ref="C101"/>
    <hyperlink r:id="rId299" ref="M101"/>
    <hyperlink r:id="rId300" ref="N101"/>
    <hyperlink r:id="rId301" ref="C102"/>
    <hyperlink r:id="rId302" ref="M102"/>
    <hyperlink r:id="rId303" ref="N102"/>
    <hyperlink r:id="rId304" ref="C103"/>
    <hyperlink r:id="rId305" ref="M103"/>
    <hyperlink r:id="rId306" ref="N103"/>
    <hyperlink r:id="rId307" ref="C104"/>
    <hyperlink r:id="rId308" ref="M104"/>
    <hyperlink r:id="rId309" ref="N104"/>
    <hyperlink r:id="rId310" ref="C105"/>
    <hyperlink r:id="rId311" ref="M105"/>
    <hyperlink r:id="rId312" ref="N105"/>
    <hyperlink r:id="rId313" ref="C106"/>
    <hyperlink r:id="rId314" ref="M106"/>
    <hyperlink r:id="rId315" ref="N106"/>
    <hyperlink r:id="rId316" ref="C107"/>
    <hyperlink r:id="rId317" ref="M107"/>
    <hyperlink r:id="rId318" ref="N107"/>
    <hyperlink r:id="rId319" ref="C108"/>
    <hyperlink r:id="rId320" ref="M108"/>
    <hyperlink r:id="rId321" ref="N108"/>
    <hyperlink r:id="rId322" ref="C109"/>
    <hyperlink r:id="rId323" ref="M109"/>
    <hyperlink r:id="rId324" ref="N109"/>
    <hyperlink r:id="rId325" ref="C110"/>
    <hyperlink r:id="rId326" ref="M110"/>
    <hyperlink r:id="rId327" ref="N110"/>
    <hyperlink r:id="rId328" ref="C111"/>
    <hyperlink r:id="rId329" ref="M111"/>
    <hyperlink r:id="rId330" ref="N111"/>
    <hyperlink r:id="rId331" ref="C112"/>
    <hyperlink r:id="rId332" ref="M112"/>
    <hyperlink r:id="rId333" ref="N112"/>
    <hyperlink r:id="rId334" ref="C113"/>
    <hyperlink r:id="rId335" ref="M113"/>
    <hyperlink r:id="rId336" ref="N113"/>
    <hyperlink r:id="rId337" ref="C114"/>
    <hyperlink r:id="rId338" ref="M114"/>
    <hyperlink r:id="rId339" ref="N114"/>
    <hyperlink r:id="rId340" ref="C115"/>
    <hyperlink r:id="rId341" ref="M115"/>
    <hyperlink r:id="rId342" ref="N115"/>
    <hyperlink r:id="rId343" ref="C116"/>
    <hyperlink r:id="rId344" ref="M116"/>
    <hyperlink r:id="rId345" ref="N116"/>
    <hyperlink r:id="rId346" ref="C117"/>
    <hyperlink r:id="rId347" ref="M117"/>
    <hyperlink r:id="rId348" ref="N117"/>
    <hyperlink r:id="rId349" ref="C118"/>
    <hyperlink r:id="rId350" ref="M118"/>
    <hyperlink r:id="rId351" ref="N118"/>
    <hyperlink r:id="rId352" ref="C119"/>
    <hyperlink r:id="rId353" ref="M119"/>
    <hyperlink r:id="rId354" ref="N119"/>
    <hyperlink r:id="rId355" ref="C120"/>
    <hyperlink r:id="rId356" ref="M120"/>
    <hyperlink r:id="rId357" ref="N120"/>
    <hyperlink r:id="rId358" ref="C121"/>
    <hyperlink r:id="rId359" ref="M121"/>
    <hyperlink r:id="rId360" ref="N121"/>
    <hyperlink r:id="rId361" ref="C122"/>
    <hyperlink r:id="rId362" ref="M122"/>
    <hyperlink r:id="rId363" ref="N122"/>
    <hyperlink r:id="rId364" ref="C123"/>
    <hyperlink r:id="rId365" ref="M123"/>
    <hyperlink r:id="rId366" ref="N123"/>
    <hyperlink r:id="rId367" ref="C124"/>
    <hyperlink r:id="rId368" ref="M124"/>
    <hyperlink r:id="rId369" ref="N124"/>
    <hyperlink r:id="rId370" ref="C125"/>
    <hyperlink r:id="rId371" ref="M125"/>
    <hyperlink r:id="rId372" ref="N125"/>
    <hyperlink r:id="rId373" ref="C126"/>
    <hyperlink r:id="rId374" ref="M126"/>
    <hyperlink r:id="rId375" ref="N126"/>
    <hyperlink r:id="rId376" ref="C127"/>
    <hyperlink r:id="rId377" ref="M127"/>
    <hyperlink r:id="rId378" ref="N127"/>
    <hyperlink r:id="rId379" ref="C128"/>
    <hyperlink r:id="rId380" ref="M128"/>
    <hyperlink r:id="rId381" ref="N128"/>
    <hyperlink r:id="rId382" ref="C129"/>
    <hyperlink r:id="rId383" ref="M129"/>
    <hyperlink r:id="rId384" ref="N129"/>
    <hyperlink r:id="rId385" ref="C130"/>
    <hyperlink r:id="rId386" ref="M130"/>
    <hyperlink r:id="rId387" ref="N130"/>
    <hyperlink r:id="rId388" ref="C131"/>
    <hyperlink r:id="rId389" ref="M131"/>
    <hyperlink r:id="rId390" ref="N131"/>
    <hyperlink r:id="rId391" ref="C132"/>
    <hyperlink r:id="rId392" ref="M132"/>
    <hyperlink r:id="rId393" ref="N132"/>
    <hyperlink r:id="rId394" ref="C133"/>
    <hyperlink r:id="rId395" ref="M133"/>
    <hyperlink r:id="rId396" ref="N133"/>
    <hyperlink r:id="rId397" ref="C134"/>
    <hyperlink r:id="rId398" ref="M134"/>
    <hyperlink r:id="rId399" ref="N134"/>
    <hyperlink r:id="rId400" ref="C135"/>
    <hyperlink r:id="rId401" ref="M135"/>
    <hyperlink r:id="rId402" ref="N135"/>
    <hyperlink r:id="rId403" ref="C136"/>
    <hyperlink r:id="rId404" ref="M136"/>
    <hyperlink r:id="rId405" ref="N136"/>
    <hyperlink r:id="rId406" ref="C137"/>
    <hyperlink r:id="rId407" ref="M137"/>
    <hyperlink r:id="rId408" ref="N137"/>
    <hyperlink r:id="rId409" ref="C138"/>
    <hyperlink r:id="rId410" ref="M138"/>
    <hyperlink r:id="rId411" ref="N138"/>
    <hyperlink r:id="rId412" ref="C139"/>
    <hyperlink r:id="rId413" ref="M139"/>
    <hyperlink r:id="rId414" ref="N139"/>
    <hyperlink r:id="rId415" ref="C140"/>
    <hyperlink r:id="rId416" ref="M140"/>
    <hyperlink r:id="rId417" ref="N140"/>
    <hyperlink r:id="rId418" ref="C141"/>
    <hyperlink r:id="rId419" ref="M141"/>
    <hyperlink r:id="rId420" ref="N141"/>
    <hyperlink r:id="rId421" ref="C142"/>
    <hyperlink r:id="rId422" ref="M142"/>
    <hyperlink r:id="rId423" ref="N142"/>
    <hyperlink r:id="rId424" ref="C143"/>
    <hyperlink r:id="rId425" ref="M143"/>
    <hyperlink r:id="rId426" ref="N143"/>
    <hyperlink r:id="rId427" ref="C144"/>
    <hyperlink r:id="rId428" ref="M144"/>
    <hyperlink r:id="rId429" ref="N144"/>
    <hyperlink r:id="rId430" ref="C145"/>
    <hyperlink r:id="rId431" ref="M145"/>
    <hyperlink r:id="rId432" ref="N145"/>
    <hyperlink r:id="rId433" ref="C146"/>
    <hyperlink r:id="rId434" ref="M146"/>
    <hyperlink r:id="rId435" ref="N146"/>
    <hyperlink r:id="rId436" ref="C147"/>
    <hyperlink r:id="rId437" ref="M147"/>
    <hyperlink r:id="rId438" ref="N147"/>
    <hyperlink r:id="rId439" ref="C148"/>
    <hyperlink r:id="rId440" ref="M148"/>
    <hyperlink r:id="rId441" ref="N148"/>
    <hyperlink r:id="rId442" ref="C149"/>
    <hyperlink r:id="rId443" ref="M149"/>
    <hyperlink r:id="rId444" ref="N149"/>
    <hyperlink r:id="rId445" ref="C150"/>
    <hyperlink r:id="rId446" ref="M150"/>
    <hyperlink r:id="rId447" ref="N150"/>
    <hyperlink r:id="rId448" ref="C151"/>
    <hyperlink r:id="rId449" ref="M151"/>
    <hyperlink r:id="rId450" ref="N151"/>
    <hyperlink r:id="rId451" ref="C152"/>
    <hyperlink r:id="rId452" ref="M152"/>
    <hyperlink r:id="rId453" ref="N152"/>
    <hyperlink r:id="rId454" ref="C153"/>
    <hyperlink r:id="rId455" ref="M153"/>
    <hyperlink r:id="rId456" ref="N153"/>
    <hyperlink r:id="rId457" ref="C154"/>
    <hyperlink r:id="rId458" ref="M154"/>
    <hyperlink r:id="rId459" ref="N154"/>
    <hyperlink r:id="rId460" ref="C155"/>
    <hyperlink r:id="rId461" ref="M155"/>
    <hyperlink r:id="rId462" ref="N155"/>
    <hyperlink r:id="rId463" ref="C156"/>
    <hyperlink r:id="rId464" ref="M156"/>
    <hyperlink r:id="rId465" ref="N156"/>
    <hyperlink r:id="rId466" ref="C157"/>
    <hyperlink r:id="rId467" ref="M157"/>
    <hyperlink r:id="rId468" ref="N157"/>
    <hyperlink r:id="rId469" ref="C158"/>
    <hyperlink r:id="rId470" ref="M158"/>
    <hyperlink r:id="rId471" ref="N158"/>
    <hyperlink r:id="rId472" ref="C159"/>
    <hyperlink r:id="rId473" ref="M159"/>
    <hyperlink r:id="rId474" ref="N159"/>
    <hyperlink r:id="rId475" ref="C160"/>
    <hyperlink r:id="rId476" ref="M160"/>
    <hyperlink r:id="rId477" ref="N160"/>
    <hyperlink r:id="rId478" ref="C161"/>
    <hyperlink r:id="rId479" ref="M161"/>
    <hyperlink r:id="rId480" ref="N161"/>
    <hyperlink r:id="rId481" ref="C162"/>
    <hyperlink r:id="rId482" ref="M162"/>
    <hyperlink r:id="rId483" ref="N162"/>
    <hyperlink r:id="rId484" ref="C163"/>
    <hyperlink r:id="rId485" ref="M163"/>
    <hyperlink r:id="rId486" ref="N163"/>
    <hyperlink r:id="rId487" ref="C164"/>
    <hyperlink r:id="rId488" ref="M164"/>
    <hyperlink r:id="rId489" ref="N164"/>
    <hyperlink r:id="rId490" ref="C165"/>
    <hyperlink r:id="rId491" ref="M165"/>
    <hyperlink r:id="rId492" ref="N165"/>
    <hyperlink r:id="rId493" ref="C166"/>
    <hyperlink r:id="rId494" ref="M166"/>
    <hyperlink r:id="rId495" ref="N166"/>
    <hyperlink r:id="rId496" ref="C167"/>
    <hyperlink r:id="rId497" ref="M167"/>
    <hyperlink r:id="rId498" ref="N167"/>
    <hyperlink r:id="rId499" ref="C168"/>
    <hyperlink r:id="rId500" ref="M168"/>
    <hyperlink r:id="rId501" ref="N168"/>
    <hyperlink r:id="rId502" ref="C169"/>
    <hyperlink r:id="rId503" ref="M169"/>
    <hyperlink r:id="rId504" ref="N169"/>
    <hyperlink r:id="rId505" ref="C170"/>
    <hyperlink r:id="rId506" ref="M170"/>
    <hyperlink r:id="rId507" ref="N170"/>
    <hyperlink r:id="rId508" ref="C171"/>
    <hyperlink r:id="rId509" ref="M171"/>
    <hyperlink r:id="rId510" ref="N171"/>
    <hyperlink r:id="rId511" ref="C172"/>
    <hyperlink r:id="rId512" ref="M172"/>
    <hyperlink r:id="rId513" ref="N172"/>
    <hyperlink r:id="rId514" ref="C173"/>
    <hyperlink r:id="rId515" ref="M173"/>
    <hyperlink r:id="rId516" ref="N173"/>
    <hyperlink r:id="rId517" ref="C174"/>
    <hyperlink r:id="rId518" ref="M174"/>
    <hyperlink r:id="rId519" ref="N174"/>
    <hyperlink r:id="rId520" ref="C175"/>
    <hyperlink r:id="rId521" ref="M175"/>
    <hyperlink r:id="rId522" ref="N175"/>
    <hyperlink r:id="rId523" ref="C176"/>
    <hyperlink r:id="rId524" ref="M176"/>
    <hyperlink r:id="rId525" ref="N176"/>
    <hyperlink r:id="rId526" ref="C177"/>
    <hyperlink r:id="rId527" ref="M177"/>
    <hyperlink r:id="rId528" ref="N177"/>
    <hyperlink r:id="rId529" ref="C178"/>
    <hyperlink r:id="rId530" ref="M178"/>
    <hyperlink r:id="rId531" ref="N178"/>
    <hyperlink r:id="rId532" ref="C179"/>
    <hyperlink r:id="rId533" ref="M179"/>
    <hyperlink r:id="rId534" ref="N179"/>
    <hyperlink r:id="rId535" ref="C180"/>
    <hyperlink r:id="rId536" ref="M180"/>
    <hyperlink r:id="rId537" ref="N180"/>
    <hyperlink r:id="rId538" ref="C181"/>
    <hyperlink r:id="rId539" ref="M181"/>
    <hyperlink r:id="rId540" ref="N181"/>
    <hyperlink r:id="rId541" ref="C182"/>
    <hyperlink r:id="rId542" ref="M182"/>
    <hyperlink r:id="rId543" ref="N182"/>
    <hyperlink r:id="rId544" ref="C183"/>
    <hyperlink r:id="rId545" ref="M183"/>
    <hyperlink r:id="rId546" ref="N183"/>
    <hyperlink r:id="rId547" ref="C184"/>
    <hyperlink r:id="rId548" ref="M184"/>
    <hyperlink r:id="rId549" ref="N184"/>
    <hyperlink r:id="rId550" ref="C185"/>
    <hyperlink r:id="rId551" ref="M185"/>
    <hyperlink r:id="rId552" ref="N185"/>
    <hyperlink r:id="rId553" ref="C186"/>
    <hyperlink r:id="rId554" ref="M186"/>
    <hyperlink r:id="rId555" ref="N186"/>
    <hyperlink r:id="rId556" ref="C187"/>
    <hyperlink r:id="rId557" ref="M187"/>
    <hyperlink r:id="rId558" ref="N187"/>
    <hyperlink r:id="rId559" ref="C188"/>
    <hyperlink r:id="rId560" ref="M188"/>
    <hyperlink r:id="rId561" ref="N188"/>
    <hyperlink r:id="rId562" ref="C189"/>
    <hyperlink r:id="rId563" ref="M189"/>
    <hyperlink r:id="rId564" ref="N189"/>
    <hyperlink r:id="rId565" ref="C190"/>
    <hyperlink r:id="rId566" ref="M190"/>
    <hyperlink r:id="rId567" ref="N190"/>
    <hyperlink r:id="rId568" ref="C191"/>
    <hyperlink r:id="rId569" ref="M191"/>
    <hyperlink r:id="rId570" ref="N191"/>
    <hyperlink r:id="rId571" ref="C192"/>
    <hyperlink r:id="rId572" ref="M192"/>
    <hyperlink r:id="rId573" ref="N192"/>
    <hyperlink r:id="rId574" ref="C193"/>
    <hyperlink r:id="rId575" ref="M193"/>
    <hyperlink r:id="rId576" ref="N193"/>
    <hyperlink r:id="rId577" ref="C194"/>
    <hyperlink r:id="rId578" ref="M194"/>
    <hyperlink r:id="rId579" ref="N194"/>
    <hyperlink r:id="rId580" ref="C195"/>
    <hyperlink r:id="rId581" ref="M195"/>
    <hyperlink r:id="rId582" ref="N195"/>
    <hyperlink r:id="rId583" ref="C196"/>
    <hyperlink r:id="rId584" ref="M196"/>
    <hyperlink r:id="rId585" ref="N196"/>
    <hyperlink r:id="rId586" ref="C197"/>
    <hyperlink r:id="rId587" ref="M197"/>
    <hyperlink r:id="rId588" ref="N197"/>
    <hyperlink r:id="rId589" ref="C198"/>
    <hyperlink r:id="rId590" ref="M198"/>
    <hyperlink r:id="rId591" ref="N198"/>
    <hyperlink r:id="rId592" ref="C199"/>
    <hyperlink r:id="rId593" ref="M199"/>
    <hyperlink r:id="rId594" ref="N199"/>
    <hyperlink r:id="rId595" ref="C200"/>
    <hyperlink r:id="rId596" ref="M200"/>
    <hyperlink r:id="rId597" ref="N200"/>
    <hyperlink r:id="rId598" ref="C201"/>
    <hyperlink r:id="rId599" ref="M201"/>
    <hyperlink r:id="rId600" ref="N201"/>
    <hyperlink r:id="rId601" ref="C202"/>
    <hyperlink r:id="rId602" ref="M202"/>
    <hyperlink r:id="rId603" ref="N202"/>
    <hyperlink r:id="rId604" ref="C203"/>
    <hyperlink r:id="rId605" ref="M203"/>
    <hyperlink r:id="rId606" ref="N203"/>
    <hyperlink r:id="rId607" ref="C204"/>
    <hyperlink r:id="rId608" ref="M204"/>
    <hyperlink r:id="rId609" ref="N204"/>
    <hyperlink r:id="rId610" ref="C205"/>
    <hyperlink r:id="rId611" ref="M205"/>
    <hyperlink r:id="rId612" ref="N205"/>
    <hyperlink r:id="rId613" ref="C206"/>
    <hyperlink r:id="rId614" ref="M206"/>
    <hyperlink r:id="rId615" ref="N206"/>
    <hyperlink r:id="rId616" ref="C207"/>
    <hyperlink r:id="rId617" ref="M207"/>
    <hyperlink r:id="rId618" ref="N207"/>
    <hyperlink r:id="rId619" ref="C208"/>
    <hyperlink r:id="rId620" ref="M208"/>
    <hyperlink r:id="rId621" ref="N208"/>
    <hyperlink r:id="rId622" ref="C209"/>
    <hyperlink r:id="rId623" ref="M209"/>
    <hyperlink r:id="rId624" ref="N209"/>
    <hyperlink r:id="rId625" ref="C210"/>
    <hyperlink r:id="rId626" ref="M210"/>
    <hyperlink r:id="rId627" ref="N210"/>
    <hyperlink r:id="rId628" ref="C211"/>
    <hyperlink r:id="rId629" ref="M211"/>
    <hyperlink r:id="rId630" ref="N211"/>
    <hyperlink r:id="rId631" ref="C212"/>
    <hyperlink r:id="rId632" ref="M212"/>
    <hyperlink r:id="rId633" ref="N212"/>
    <hyperlink r:id="rId634" ref="C213"/>
    <hyperlink r:id="rId635" ref="M213"/>
    <hyperlink r:id="rId636" ref="N213"/>
    <hyperlink r:id="rId637" ref="C214"/>
    <hyperlink r:id="rId638" ref="M214"/>
    <hyperlink r:id="rId639" ref="N214"/>
    <hyperlink r:id="rId640" ref="C215"/>
    <hyperlink r:id="rId641" ref="M215"/>
    <hyperlink r:id="rId642" ref="N215"/>
    <hyperlink r:id="rId643" ref="C216"/>
    <hyperlink r:id="rId644" ref="M216"/>
    <hyperlink r:id="rId645" ref="N216"/>
    <hyperlink r:id="rId646" ref="C217"/>
    <hyperlink r:id="rId647" ref="M217"/>
    <hyperlink r:id="rId648" ref="N217"/>
    <hyperlink r:id="rId649" ref="C218"/>
    <hyperlink r:id="rId650" ref="M218"/>
    <hyperlink r:id="rId651" ref="N218"/>
    <hyperlink r:id="rId652" ref="C219"/>
    <hyperlink r:id="rId653" ref="M219"/>
    <hyperlink r:id="rId654" ref="N219"/>
    <hyperlink r:id="rId655" ref="C220"/>
    <hyperlink r:id="rId656" ref="M220"/>
    <hyperlink r:id="rId657" ref="N220"/>
    <hyperlink r:id="rId658" ref="C221"/>
    <hyperlink r:id="rId659" ref="M221"/>
    <hyperlink r:id="rId660" ref="N221"/>
    <hyperlink r:id="rId661" ref="C222"/>
    <hyperlink r:id="rId662" ref="M222"/>
    <hyperlink r:id="rId663" ref="N222"/>
    <hyperlink r:id="rId664" ref="C223"/>
    <hyperlink r:id="rId665" ref="M223"/>
    <hyperlink r:id="rId666" ref="N223"/>
    <hyperlink r:id="rId667" ref="C224"/>
    <hyperlink r:id="rId668" ref="M224"/>
    <hyperlink r:id="rId669" ref="N224"/>
    <hyperlink r:id="rId670" ref="C225"/>
    <hyperlink r:id="rId671" ref="M225"/>
    <hyperlink r:id="rId672" ref="N225"/>
    <hyperlink r:id="rId673" ref="C226"/>
    <hyperlink r:id="rId674" ref="M226"/>
    <hyperlink r:id="rId675" ref="N226"/>
    <hyperlink r:id="rId676" ref="C227"/>
    <hyperlink r:id="rId677" ref="M227"/>
    <hyperlink r:id="rId678" ref="N227"/>
    <hyperlink r:id="rId679" ref="C228"/>
    <hyperlink r:id="rId680" ref="M228"/>
    <hyperlink r:id="rId681" ref="N228"/>
    <hyperlink r:id="rId682" ref="C229"/>
    <hyperlink r:id="rId683" ref="M229"/>
    <hyperlink r:id="rId684" ref="N229"/>
    <hyperlink r:id="rId685" ref="C230"/>
    <hyperlink r:id="rId686" ref="M230"/>
    <hyperlink r:id="rId687" ref="N230"/>
    <hyperlink r:id="rId688" ref="C231"/>
    <hyperlink r:id="rId689" ref="M231"/>
    <hyperlink r:id="rId690" ref="N231"/>
    <hyperlink r:id="rId691" ref="C232"/>
    <hyperlink r:id="rId692" ref="M232"/>
    <hyperlink r:id="rId693" ref="N232"/>
    <hyperlink r:id="rId694" ref="C233"/>
    <hyperlink r:id="rId695" ref="M233"/>
    <hyperlink r:id="rId696" ref="N233"/>
    <hyperlink r:id="rId697" ref="C234"/>
    <hyperlink r:id="rId698" ref="M234"/>
    <hyperlink r:id="rId699" ref="N234"/>
    <hyperlink r:id="rId700" ref="C235"/>
    <hyperlink r:id="rId701" ref="M235"/>
    <hyperlink r:id="rId702" ref="N235"/>
    <hyperlink r:id="rId703" ref="C236"/>
    <hyperlink r:id="rId704" ref="M236"/>
    <hyperlink r:id="rId705" ref="N236"/>
    <hyperlink r:id="rId706" ref="C237"/>
    <hyperlink r:id="rId707" ref="M237"/>
    <hyperlink r:id="rId708" ref="N237"/>
    <hyperlink r:id="rId709" ref="C238"/>
    <hyperlink r:id="rId710" ref="M238"/>
    <hyperlink r:id="rId711" ref="N238"/>
    <hyperlink r:id="rId712" ref="C239"/>
    <hyperlink r:id="rId713" ref="M239"/>
    <hyperlink r:id="rId714" ref="N239"/>
    <hyperlink r:id="rId715" ref="C240"/>
    <hyperlink r:id="rId716" ref="M240"/>
    <hyperlink r:id="rId717" ref="N240"/>
    <hyperlink r:id="rId718" ref="C241"/>
    <hyperlink r:id="rId719" ref="M241"/>
    <hyperlink r:id="rId720" ref="N241"/>
    <hyperlink r:id="rId721" ref="C242"/>
    <hyperlink r:id="rId722" ref="M242"/>
    <hyperlink r:id="rId723" ref="N242"/>
    <hyperlink r:id="rId724" ref="C243"/>
    <hyperlink r:id="rId725" ref="M243"/>
    <hyperlink r:id="rId726" ref="N243"/>
    <hyperlink r:id="rId727" ref="C244"/>
    <hyperlink r:id="rId728" ref="M244"/>
    <hyperlink r:id="rId729" ref="N244"/>
    <hyperlink r:id="rId730" ref="C245"/>
    <hyperlink r:id="rId731" ref="M245"/>
    <hyperlink r:id="rId732" ref="N245"/>
    <hyperlink r:id="rId733" ref="C246"/>
    <hyperlink r:id="rId734" ref="M246"/>
    <hyperlink r:id="rId735" ref="N246"/>
    <hyperlink r:id="rId736" ref="C247"/>
    <hyperlink r:id="rId737" ref="M247"/>
    <hyperlink r:id="rId738" ref="N247"/>
    <hyperlink r:id="rId739" ref="C248"/>
    <hyperlink r:id="rId740" ref="M248"/>
    <hyperlink r:id="rId741" ref="N248"/>
    <hyperlink r:id="rId742" ref="C249"/>
    <hyperlink r:id="rId743" ref="M249"/>
    <hyperlink r:id="rId744" ref="N249"/>
    <hyperlink r:id="rId745" ref="C250"/>
    <hyperlink r:id="rId746" ref="M250"/>
    <hyperlink r:id="rId747" ref="N250"/>
    <hyperlink r:id="rId748" ref="C251"/>
    <hyperlink r:id="rId749" ref="M251"/>
    <hyperlink r:id="rId750" ref="N251"/>
    <hyperlink r:id="rId751" ref="C252"/>
    <hyperlink r:id="rId752" ref="M252"/>
    <hyperlink r:id="rId753" ref="N252"/>
    <hyperlink r:id="rId754" ref="C253"/>
    <hyperlink r:id="rId755" ref="M253"/>
    <hyperlink r:id="rId756" ref="N253"/>
    <hyperlink r:id="rId757" ref="C254"/>
    <hyperlink r:id="rId758" ref="M254"/>
    <hyperlink r:id="rId759" ref="N254"/>
    <hyperlink r:id="rId760" ref="C255"/>
    <hyperlink r:id="rId761" ref="M255"/>
    <hyperlink r:id="rId762" ref="N255"/>
    <hyperlink r:id="rId763" ref="C256"/>
    <hyperlink r:id="rId764" ref="M256"/>
    <hyperlink r:id="rId765" ref="N256"/>
    <hyperlink r:id="rId766" ref="C257"/>
    <hyperlink r:id="rId767" ref="M257"/>
    <hyperlink r:id="rId768" ref="N257"/>
    <hyperlink r:id="rId769" ref="C258"/>
    <hyperlink r:id="rId770" ref="M258"/>
    <hyperlink r:id="rId771" ref="N258"/>
    <hyperlink r:id="rId772" ref="C259"/>
    <hyperlink r:id="rId773" ref="M259"/>
    <hyperlink r:id="rId774" ref="N259"/>
    <hyperlink r:id="rId775" ref="C260"/>
    <hyperlink r:id="rId776" ref="M260"/>
    <hyperlink r:id="rId777" ref="N260"/>
    <hyperlink r:id="rId778" ref="C261"/>
    <hyperlink r:id="rId779" ref="M261"/>
    <hyperlink r:id="rId780" ref="N261"/>
    <hyperlink r:id="rId781" ref="C262"/>
    <hyperlink r:id="rId782" ref="M262"/>
    <hyperlink r:id="rId783" ref="N262"/>
    <hyperlink r:id="rId784" ref="C263"/>
    <hyperlink r:id="rId785" ref="M263"/>
    <hyperlink r:id="rId786" ref="N263"/>
    <hyperlink r:id="rId787" ref="C264"/>
    <hyperlink r:id="rId788" ref="M264"/>
    <hyperlink r:id="rId789" ref="N264"/>
    <hyperlink r:id="rId790" ref="C265"/>
    <hyperlink r:id="rId791" ref="M265"/>
    <hyperlink r:id="rId792" ref="N265"/>
    <hyperlink r:id="rId793" ref="C266"/>
    <hyperlink r:id="rId794" ref="M266"/>
    <hyperlink r:id="rId795" ref="N266"/>
    <hyperlink r:id="rId796" ref="C267"/>
    <hyperlink r:id="rId797" ref="M267"/>
    <hyperlink r:id="rId798" ref="N267"/>
    <hyperlink r:id="rId799" ref="C268"/>
    <hyperlink r:id="rId800" ref="M268"/>
    <hyperlink r:id="rId801" ref="N268"/>
    <hyperlink r:id="rId802" ref="C269"/>
    <hyperlink r:id="rId803" ref="M269"/>
    <hyperlink r:id="rId804" ref="N269"/>
    <hyperlink r:id="rId805" ref="C270"/>
    <hyperlink r:id="rId806" ref="M270"/>
    <hyperlink r:id="rId807" ref="N270"/>
    <hyperlink r:id="rId808" ref="C271"/>
    <hyperlink r:id="rId809" ref="M271"/>
    <hyperlink r:id="rId810" ref="N271"/>
    <hyperlink r:id="rId811" ref="C272"/>
    <hyperlink r:id="rId812" ref="M272"/>
    <hyperlink r:id="rId813" ref="N272"/>
    <hyperlink r:id="rId814" ref="C273"/>
    <hyperlink r:id="rId815" ref="M273"/>
    <hyperlink r:id="rId816" ref="N273"/>
    <hyperlink r:id="rId817" ref="C274"/>
    <hyperlink r:id="rId818" ref="M274"/>
    <hyperlink r:id="rId819" ref="N274"/>
    <hyperlink r:id="rId820" ref="C275"/>
    <hyperlink r:id="rId821" ref="M275"/>
    <hyperlink r:id="rId822" ref="N275"/>
    <hyperlink r:id="rId823" ref="C276"/>
    <hyperlink r:id="rId824" ref="M276"/>
    <hyperlink r:id="rId825" ref="N276"/>
    <hyperlink r:id="rId826" ref="C277"/>
    <hyperlink r:id="rId827" ref="M277"/>
    <hyperlink r:id="rId828" ref="N277"/>
    <hyperlink r:id="rId829" ref="C278"/>
    <hyperlink r:id="rId830" ref="M278"/>
    <hyperlink r:id="rId831" ref="N278"/>
    <hyperlink r:id="rId832" ref="C279"/>
    <hyperlink r:id="rId833" ref="M279"/>
    <hyperlink r:id="rId834" ref="N279"/>
    <hyperlink r:id="rId835" ref="C280"/>
    <hyperlink r:id="rId836" ref="M280"/>
    <hyperlink r:id="rId837" ref="N280"/>
    <hyperlink r:id="rId838" ref="C281"/>
    <hyperlink r:id="rId839" ref="M281"/>
    <hyperlink r:id="rId840" ref="N281"/>
    <hyperlink r:id="rId841" ref="C282"/>
    <hyperlink r:id="rId842" ref="M282"/>
    <hyperlink r:id="rId843" ref="N282"/>
    <hyperlink r:id="rId844" ref="C283"/>
    <hyperlink r:id="rId845" ref="M283"/>
    <hyperlink r:id="rId846" ref="N283"/>
    <hyperlink r:id="rId847" ref="C284"/>
    <hyperlink r:id="rId848" ref="M284"/>
    <hyperlink r:id="rId849" ref="N284"/>
    <hyperlink r:id="rId850" ref="C285"/>
    <hyperlink r:id="rId851" ref="M285"/>
    <hyperlink r:id="rId852" ref="N285"/>
    <hyperlink r:id="rId853" ref="C286"/>
    <hyperlink r:id="rId854" ref="M286"/>
    <hyperlink r:id="rId855" ref="N286"/>
    <hyperlink r:id="rId856" ref="C287"/>
    <hyperlink r:id="rId857" ref="M287"/>
    <hyperlink r:id="rId858" ref="N287"/>
    <hyperlink r:id="rId859" ref="C288"/>
    <hyperlink r:id="rId860" ref="M288"/>
    <hyperlink r:id="rId861" ref="N288"/>
    <hyperlink r:id="rId862" ref="C289"/>
    <hyperlink r:id="rId863" ref="M289"/>
    <hyperlink r:id="rId864" ref="N289"/>
    <hyperlink r:id="rId865" ref="C290"/>
    <hyperlink r:id="rId866" ref="M290"/>
    <hyperlink r:id="rId867" ref="N290"/>
    <hyperlink r:id="rId868" ref="C291"/>
    <hyperlink r:id="rId869" ref="M291"/>
    <hyperlink r:id="rId870" ref="N291"/>
    <hyperlink r:id="rId871" ref="C292"/>
    <hyperlink r:id="rId872" ref="M292"/>
    <hyperlink r:id="rId873" ref="N292"/>
    <hyperlink r:id="rId874" ref="C293"/>
    <hyperlink r:id="rId875" ref="M293"/>
    <hyperlink r:id="rId876" ref="N293"/>
    <hyperlink r:id="rId877" ref="C294"/>
    <hyperlink r:id="rId878" ref="M294"/>
    <hyperlink r:id="rId879" ref="N294"/>
    <hyperlink r:id="rId880" ref="C295"/>
    <hyperlink r:id="rId881" ref="M295"/>
    <hyperlink r:id="rId882" ref="N295"/>
    <hyperlink r:id="rId883" ref="C296"/>
    <hyperlink r:id="rId884" ref="M296"/>
    <hyperlink r:id="rId885" ref="N296"/>
    <hyperlink r:id="rId886" ref="C297"/>
    <hyperlink r:id="rId887" ref="M297"/>
    <hyperlink r:id="rId888" ref="N297"/>
    <hyperlink r:id="rId889" ref="C298"/>
    <hyperlink r:id="rId890" ref="M298"/>
    <hyperlink r:id="rId891" ref="N298"/>
    <hyperlink r:id="rId892" ref="C299"/>
    <hyperlink r:id="rId893" ref="M299"/>
    <hyperlink r:id="rId894" ref="N299"/>
    <hyperlink r:id="rId895" ref="C300"/>
    <hyperlink r:id="rId896" ref="M300"/>
    <hyperlink r:id="rId897" ref="N300"/>
    <hyperlink r:id="rId898" ref="C301"/>
    <hyperlink r:id="rId899" ref="M301"/>
    <hyperlink r:id="rId900" ref="N301"/>
    <hyperlink r:id="rId901" ref="C302"/>
    <hyperlink r:id="rId902" ref="M302"/>
    <hyperlink r:id="rId903" ref="N302"/>
    <hyperlink r:id="rId904" ref="C303"/>
    <hyperlink r:id="rId905" ref="M303"/>
    <hyperlink r:id="rId906" ref="N303"/>
    <hyperlink r:id="rId907" ref="C304"/>
    <hyperlink r:id="rId908" ref="M304"/>
    <hyperlink r:id="rId909" ref="N304"/>
    <hyperlink r:id="rId910" ref="C305"/>
    <hyperlink r:id="rId911" ref="M305"/>
    <hyperlink r:id="rId912" ref="N305"/>
    <hyperlink r:id="rId913" ref="C306"/>
    <hyperlink r:id="rId914" ref="M306"/>
    <hyperlink r:id="rId915" ref="N306"/>
    <hyperlink r:id="rId916" ref="C307"/>
    <hyperlink r:id="rId917" ref="M307"/>
    <hyperlink r:id="rId918" ref="N307"/>
    <hyperlink r:id="rId919" ref="C308"/>
    <hyperlink r:id="rId920" ref="M308"/>
    <hyperlink r:id="rId921" ref="N308"/>
    <hyperlink r:id="rId922" ref="C309"/>
    <hyperlink r:id="rId923" ref="M309"/>
    <hyperlink r:id="rId924" ref="N309"/>
    <hyperlink r:id="rId925" ref="C310"/>
    <hyperlink r:id="rId926" ref="M310"/>
    <hyperlink r:id="rId927" ref="N310"/>
    <hyperlink r:id="rId928" ref="C311"/>
    <hyperlink r:id="rId929" ref="M311"/>
    <hyperlink r:id="rId930" ref="N311"/>
    <hyperlink r:id="rId931" ref="C312"/>
    <hyperlink r:id="rId932" ref="M312"/>
    <hyperlink r:id="rId933" ref="N312"/>
    <hyperlink r:id="rId934" ref="C313"/>
    <hyperlink r:id="rId935" ref="M313"/>
    <hyperlink r:id="rId936" ref="N313"/>
    <hyperlink r:id="rId937" ref="C314"/>
    <hyperlink r:id="rId938" ref="M314"/>
    <hyperlink r:id="rId939" ref="N314"/>
    <hyperlink r:id="rId940" ref="C315"/>
    <hyperlink r:id="rId941" ref="M315"/>
    <hyperlink r:id="rId942" ref="N315"/>
    <hyperlink r:id="rId943" ref="C316"/>
    <hyperlink r:id="rId944" ref="M316"/>
    <hyperlink r:id="rId945" ref="N316"/>
    <hyperlink r:id="rId946" ref="C317"/>
    <hyperlink r:id="rId947" ref="M317"/>
    <hyperlink r:id="rId948" ref="N317"/>
    <hyperlink r:id="rId949" ref="C318"/>
    <hyperlink r:id="rId950" ref="M318"/>
    <hyperlink r:id="rId951" ref="N318"/>
    <hyperlink r:id="rId952" ref="C319"/>
    <hyperlink r:id="rId953" ref="M319"/>
    <hyperlink r:id="rId954" ref="N319"/>
    <hyperlink r:id="rId955" ref="C320"/>
    <hyperlink r:id="rId956" ref="M320"/>
    <hyperlink r:id="rId957" ref="N320"/>
    <hyperlink r:id="rId958" ref="C321"/>
    <hyperlink r:id="rId959" ref="M321"/>
    <hyperlink r:id="rId960" ref="N321"/>
    <hyperlink r:id="rId961" ref="C322"/>
    <hyperlink r:id="rId962" ref="M322"/>
    <hyperlink r:id="rId963" ref="N322"/>
    <hyperlink r:id="rId964" ref="C323"/>
    <hyperlink r:id="rId965" ref="M323"/>
    <hyperlink r:id="rId966" ref="N323"/>
    <hyperlink r:id="rId967" ref="C324"/>
    <hyperlink r:id="rId968" ref="M324"/>
    <hyperlink r:id="rId969" ref="N324"/>
    <hyperlink r:id="rId970" ref="C325"/>
    <hyperlink r:id="rId971" ref="M325"/>
    <hyperlink r:id="rId972" ref="N325"/>
    <hyperlink r:id="rId973" ref="C326"/>
    <hyperlink r:id="rId974" ref="M326"/>
    <hyperlink r:id="rId975" ref="N326"/>
    <hyperlink r:id="rId976" ref="C327"/>
    <hyperlink r:id="rId977" ref="M327"/>
    <hyperlink r:id="rId978" ref="N327"/>
    <hyperlink r:id="rId979" ref="C328"/>
    <hyperlink r:id="rId980" ref="M328"/>
    <hyperlink r:id="rId981" ref="N328"/>
    <hyperlink r:id="rId982" ref="C329"/>
    <hyperlink r:id="rId983" ref="M329"/>
    <hyperlink r:id="rId984" ref="N329"/>
    <hyperlink r:id="rId985" ref="C330"/>
    <hyperlink r:id="rId986" ref="M330"/>
    <hyperlink r:id="rId987" ref="N330"/>
    <hyperlink r:id="rId988" ref="C331"/>
    <hyperlink r:id="rId989" ref="M331"/>
    <hyperlink r:id="rId990" ref="N331"/>
    <hyperlink r:id="rId991" ref="C332"/>
    <hyperlink r:id="rId992" ref="M332"/>
    <hyperlink r:id="rId993" ref="N332"/>
    <hyperlink r:id="rId994" ref="C333"/>
    <hyperlink r:id="rId995" ref="M333"/>
    <hyperlink r:id="rId996" ref="N333"/>
    <hyperlink r:id="rId997" ref="C334"/>
    <hyperlink r:id="rId998" ref="M334"/>
    <hyperlink r:id="rId999" ref="N334"/>
    <hyperlink r:id="rId1000" ref="C335"/>
    <hyperlink r:id="rId1001" ref="M335"/>
    <hyperlink r:id="rId1002" ref="N335"/>
    <hyperlink r:id="rId1003" ref="C336"/>
    <hyperlink r:id="rId1004" ref="M336"/>
    <hyperlink r:id="rId1005" ref="N336"/>
    <hyperlink r:id="rId1006" ref="C337"/>
    <hyperlink r:id="rId1007" ref="M337"/>
    <hyperlink r:id="rId1008" ref="N337"/>
    <hyperlink r:id="rId1009" ref="C338"/>
    <hyperlink r:id="rId1010" ref="M338"/>
    <hyperlink r:id="rId1011" ref="N338"/>
    <hyperlink r:id="rId1012" ref="C339"/>
    <hyperlink r:id="rId1013" ref="M339"/>
    <hyperlink r:id="rId1014" ref="N339"/>
    <hyperlink r:id="rId1015" ref="C340"/>
    <hyperlink r:id="rId1016" ref="M340"/>
    <hyperlink r:id="rId1017" ref="N340"/>
    <hyperlink r:id="rId1018" ref="C341"/>
    <hyperlink r:id="rId1019" ref="M341"/>
    <hyperlink r:id="rId1020" ref="N341"/>
    <hyperlink r:id="rId1021" ref="C342"/>
    <hyperlink r:id="rId1022" ref="M342"/>
    <hyperlink r:id="rId1023" ref="N342"/>
    <hyperlink r:id="rId1024" ref="C343"/>
    <hyperlink r:id="rId1025" ref="M343"/>
    <hyperlink r:id="rId1026" ref="N343"/>
    <hyperlink r:id="rId1027" ref="C344"/>
    <hyperlink r:id="rId1028" ref="M344"/>
    <hyperlink r:id="rId1029" ref="N344"/>
    <hyperlink r:id="rId1030" ref="C345"/>
    <hyperlink r:id="rId1031" ref="M345"/>
    <hyperlink r:id="rId1032" ref="N345"/>
    <hyperlink r:id="rId1033" ref="C346"/>
    <hyperlink r:id="rId1034" ref="M346"/>
    <hyperlink r:id="rId1035" ref="N346"/>
    <hyperlink r:id="rId1036" ref="C347"/>
    <hyperlink r:id="rId1037" ref="M347"/>
    <hyperlink r:id="rId1038" ref="N347"/>
    <hyperlink r:id="rId1039" ref="C348"/>
    <hyperlink r:id="rId1040" ref="M348"/>
    <hyperlink r:id="rId1041" ref="N348"/>
    <hyperlink r:id="rId1042" ref="C349"/>
    <hyperlink r:id="rId1043" ref="M349"/>
    <hyperlink r:id="rId1044" ref="N349"/>
    <hyperlink r:id="rId1045" ref="C350"/>
    <hyperlink r:id="rId1046" ref="M350"/>
    <hyperlink r:id="rId1047" ref="N350"/>
    <hyperlink r:id="rId1048" ref="C351"/>
    <hyperlink r:id="rId1049" ref="M351"/>
    <hyperlink r:id="rId1050" ref="N351"/>
    <hyperlink r:id="rId1051" ref="C352"/>
    <hyperlink r:id="rId1052" ref="M352"/>
    <hyperlink r:id="rId1053" ref="N352"/>
    <hyperlink r:id="rId1054" ref="C353"/>
    <hyperlink r:id="rId1055" ref="M353"/>
    <hyperlink r:id="rId1056" ref="N353"/>
    <hyperlink r:id="rId1057" ref="C354"/>
    <hyperlink r:id="rId1058" ref="M354"/>
    <hyperlink r:id="rId1059" ref="N354"/>
    <hyperlink r:id="rId1060" ref="C355"/>
    <hyperlink r:id="rId1061" ref="M355"/>
    <hyperlink r:id="rId1062" ref="N355"/>
    <hyperlink r:id="rId1063" ref="C356"/>
    <hyperlink r:id="rId1064" ref="M356"/>
    <hyperlink r:id="rId1065" ref="N356"/>
    <hyperlink r:id="rId1066" ref="C357"/>
    <hyperlink r:id="rId1067" ref="M357"/>
    <hyperlink r:id="rId1068" ref="N357"/>
    <hyperlink r:id="rId1069" ref="C358"/>
    <hyperlink r:id="rId1070" ref="M358"/>
    <hyperlink r:id="rId1071" ref="N358"/>
    <hyperlink r:id="rId1072" ref="C359"/>
    <hyperlink r:id="rId1073" ref="M359"/>
    <hyperlink r:id="rId1074" ref="N359"/>
    <hyperlink r:id="rId1075" ref="C360"/>
    <hyperlink r:id="rId1076" ref="M360"/>
    <hyperlink r:id="rId1077" ref="N360"/>
    <hyperlink r:id="rId1078" ref="C361"/>
    <hyperlink r:id="rId1079" ref="M361"/>
    <hyperlink r:id="rId1080" ref="N361"/>
    <hyperlink r:id="rId1081" ref="C362"/>
    <hyperlink r:id="rId1082" ref="M362"/>
    <hyperlink r:id="rId1083" ref="N362"/>
    <hyperlink r:id="rId1084" ref="C363"/>
    <hyperlink r:id="rId1085" ref="M363"/>
    <hyperlink r:id="rId1086" ref="N363"/>
    <hyperlink r:id="rId1087" ref="C364"/>
    <hyperlink r:id="rId1088" ref="M364"/>
    <hyperlink r:id="rId1089" ref="N364"/>
    <hyperlink r:id="rId1090" ref="C365"/>
    <hyperlink r:id="rId1091" ref="M365"/>
    <hyperlink r:id="rId1092" ref="N365"/>
    <hyperlink r:id="rId1093" ref="C366"/>
    <hyperlink r:id="rId1094" ref="M366"/>
    <hyperlink r:id="rId1095" ref="N366"/>
    <hyperlink r:id="rId1096" ref="C367"/>
    <hyperlink r:id="rId1097" ref="M367"/>
    <hyperlink r:id="rId1098" ref="N367"/>
    <hyperlink r:id="rId1099" ref="C368"/>
    <hyperlink r:id="rId1100" ref="M368"/>
    <hyperlink r:id="rId1101" ref="N368"/>
    <hyperlink r:id="rId1102" ref="C369"/>
    <hyperlink r:id="rId1103" ref="M369"/>
    <hyperlink r:id="rId1104" ref="N369"/>
    <hyperlink r:id="rId1105" ref="C370"/>
    <hyperlink r:id="rId1106" ref="M370"/>
    <hyperlink r:id="rId1107" ref="N370"/>
    <hyperlink r:id="rId1108" ref="C371"/>
    <hyperlink r:id="rId1109" ref="M371"/>
    <hyperlink r:id="rId1110" ref="N371"/>
    <hyperlink r:id="rId1111" ref="C372"/>
    <hyperlink r:id="rId1112" ref="M372"/>
    <hyperlink r:id="rId1113" ref="N372"/>
    <hyperlink r:id="rId1114" ref="C373"/>
    <hyperlink r:id="rId1115" ref="M373"/>
    <hyperlink r:id="rId1116" ref="N373"/>
    <hyperlink r:id="rId1117" ref="C374"/>
    <hyperlink r:id="rId1118" ref="M374"/>
    <hyperlink r:id="rId1119" ref="N374"/>
    <hyperlink r:id="rId1120" ref="C375"/>
    <hyperlink r:id="rId1121" ref="M375"/>
    <hyperlink r:id="rId1122" ref="N375"/>
    <hyperlink r:id="rId1123" ref="C376"/>
    <hyperlink r:id="rId1124" ref="M376"/>
    <hyperlink r:id="rId1125" ref="N376"/>
    <hyperlink r:id="rId1126" ref="C377"/>
    <hyperlink r:id="rId1127" ref="M377"/>
    <hyperlink r:id="rId1128" ref="N377"/>
    <hyperlink r:id="rId1129" ref="C378"/>
    <hyperlink r:id="rId1130" ref="M378"/>
    <hyperlink r:id="rId1131" ref="N378"/>
    <hyperlink r:id="rId1132" ref="C379"/>
    <hyperlink r:id="rId1133" ref="M379"/>
    <hyperlink r:id="rId1134" ref="N379"/>
    <hyperlink r:id="rId1135" ref="C380"/>
    <hyperlink r:id="rId1136" ref="M380"/>
    <hyperlink r:id="rId1137" ref="N380"/>
    <hyperlink r:id="rId1138" ref="C381"/>
    <hyperlink r:id="rId1139" ref="M381"/>
    <hyperlink r:id="rId1140" ref="N381"/>
    <hyperlink r:id="rId1141" ref="C382"/>
    <hyperlink r:id="rId1142" ref="M382"/>
    <hyperlink r:id="rId1143" ref="N382"/>
    <hyperlink r:id="rId1144" ref="C383"/>
    <hyperlink r:id="rId1145" ref="M383"/>
    <hyperlink r:id="rId1146" ref="N383"/>
    <hyperlink r:id="rId1147" ref="C384"/>
    <hyperlink r:id="rId1148" ref="M384"/>
    <hyperlink r:id="rId1149" ref="N384"/>
    <hyperlink r:id="rId1150" ref="C385"/>
    <hyperlink r:id="rId1151" ref="M385"/>
    <hyperlink r:id="rId1152" ref="N385"/>
    <hyperlink r:id="rId1153" ref="C386"/>
    <hyperlink r:id="rId1154" ref="M386"/>
    <hyperlink r:id="rId1155" ref="N386"/>
    <hyperlink r:id="rId1156" ref="C387"/>
    <hyperlink r:id="rId1157" ref="M387"/>
    <hyperlink r:id="rId1158" ref="N387"/>
    <hyperlink r:id="rId1159" ref="C388"/>
    <hyperlink r:id="rId1160" ref="M388"/>
    <hyperlink r:id="rId1161" ref="N388"/>
    <hyperlink r:id="rId1162" ref="C389"/>
    <hyperlink r:id="rId1163" ref="M389"/>
    <hyperlink r:id="rId1164" ref="N389"/>
    <hyperlink r:id="rId1165" ref="C390"/>
    <hyperlink r:id="rId1166" ref="M390"/>
    <hyperlink r:id="rId1167" ref="N390"/>
    <hyperlink r:id="rId1168" ref="C391"/>
    <hyperlink r:id="rId1169" ref="M391"/>
    <hyperlink r:id="rId1170" ref="N391"/>
    <hyperlink r:id="rId1171" ref="C392"/>
    <hyperlink r:id="rId1172" ref="M392"/>
    <hyperlink r:id="rId1173" ref="N392"/>
    <hyperlink r:id="rId1174" ref="C393"/>
    <hyperlink r:id="rId1175" ref="M393"/>
    <hyperlink r:id="rId1176" ref="N393"/>
    <hyperlink r:id="rId1177" ref="C394"/>
    <hyperlink r:id="rId1178" ref="M394"/>
    <hyperlink r:id="rId1179" ref="N394"/>
    <hyperlink r:id="rId1180" ref="C395"/>
    <hyperlink r:id="rId1181" ref="M395"/>
    <hyperlink r:id="rId1182" ref="N395"/>
    <hyperlink r:id="rId1183" ref="C396"/>
    <hyperlink r:id="rId1184" ref="M396"/>
    <hyperlink r:id="rId1185" ref="N396"/>
    <hyperlink r:id="rId1186" ref="C397"/>
    <hyperlink r:id="rId1187" ref="M397"/>
    <hyperlink r:id="rId1188" ref="N397"/>
    <hyperlink r:id="rId1189" ref="C398"/>
    <hyperlink r:id="rId1190" ref="M398"/>
    <hyperlink r:id="rId1191" ref="N398"/>
    <hyperlink r:id="rId1192" ref="C399"/>
    <hyperlink r:id="rId1193" ref="M399"/>
    <hyperlink r:id="rId1194" ref="N399"/>
    <hyperlink r:id="rId1195" ref="C400"/>
    <hyperlink r:id="rId1196" ref="M400"/>
    <hyperlink r:id="rId1197" ref="N400"/>
    <hyperlink r:id="rId1198" ref="C401"/>
    <hyperlink r:id="rId1199" ref="M401"/>
    <hyperlink r:id="rId1200" ref="N401"/>
    <hyperlink r:id="rId1201" ref="C402"/>
    <hyperlink r:id="rId1202" ref="M402"/>
    <hyperlink r:id="rId1203" ref="N402"/>
    <hyperlink r:id="rId1204" ref="C403"/>
    <hyperlink r:id="rId1205" ref="M403"/>
    <hyperlink r:id="rId1206" ref="N403"/>
    <hyperlink r:id="rId1207" ref="C404"/>
    <hyperlink r:id="rId1208" ref="M404"/>
    <hyperlink r:id="rId1209" ref="N404"/>
    <hyperlink r:id="rId1210" ref="C405"/>
    <hyperlink r:id="rId1211" ref="M405"/>
    <hyperlink r:id="rId1212" ref="N405"/>
    <hyperlink r:id="rId1213" ref="C406"/>
    <hyperlink r:id="rId1214" ref="M406"/>
    <hyperlink r:id="rId1215" ref="N406"/>
    <hyperlink r:id="rId1216" ref="C407"/>
    <hyperlink r:id="rId1217" ref="M407"/>
    <hyperlink r:id="rId1218" ref="N407"/>
    <hyperlink r:id="rId1219" ref="C408"/>
    <hyperlink r:id="rId1220" ref="M408"/>
    <hyperlink r:id="rId1221" ref="N408"/>
    <hyperlink r:id="rId1222" ref="C409"/>
    <hyperlink r:id="rId1223" ref="M409"/>
    <hyperlink r:id="rId1224" ref="N409"/>
    <hyperlink r:id="rId1225" ref="C410"/>
    <hyperlink r:id="rId1226" ref="M410"/>
    <hyperlink r:id="rId1227" ref="N410"/>
    <hyperlink r:id="rId1228" ref="C411"/>
    <hyperlink r:id="rId1229" ref="M411"/>
    <hyperlink r:id="rId1230" ref="N411"/>
    <hyperlink r:id="rId1231" ref="C412"/>
    <hyperlink r:id="rId1232" ref="M412"/>
    <hyperlink r:id="rId1233" ref="N412"/>
    <hyperlink r:id="rId1234" ref="C413"/>
    <hyperlink r:id="rId1235" ref="M413"/>
    <hyperlink r:id="rId1236" ref="N413"/>
    <hyperlink r:id="rId1237" ref="C414"/>
    <hyperlink r:id="rId1238" ref="M414"/>
    <hyperlink r:id="rId1239" ref="N414"/>
    <hyperlink r:id="rId1240" ref="C415"/>
    <hyperlink r:id="rId1241" ref="M415"/>
    <hyperlink r:id="rId1242" ref="N415"/>
    <hyperlink r:id="rId1243" ref="C416"/>
    <hyperlink r:id="rId1244" ref="M416"/>
    <hyperlink r:id="rId1245" ref="N416"/>
    <hyperlink r:id="rId1246" ref="C417"/>
    <hyperlink r:id="rId1247" ref="M417"/>
    <hyperlink r:id="rId1248" ref="N417"/>
    <hyperlink r:id="rId1249" ref="C418"/>
    <hyperlink r:id="rId1250" ref="M418"/>
    <hyperlink r:id="rId1251" ref="N418"/>
    <hyperlink r:id="rId1252" ref="C419"/>
    <hyperlink r:id="rId1253" ref="M419"/>
    <hyperlink r:id="rId1254" ref="N419"/>
    <hyperlink r:id="rId1255" ref="C420"/>
    <hyperlink r:id="rId1256" ref="M420"/>
    <hyperlink r:id="rId1257" ref="N420"/>
    <hyperlink r:id="rId1258" ref="C421"/>
    <hyperlink r:id="rId1259" ref="M421"/>
    <hyperlink r:id="rId1260" ref="N421"/>
    <hyperlink r:id="rId1261" ref="C422"/>
    <hyperlink r:id="rId1262" ref="M422"/>
    <hyperlink r:id="rId1263" ref="N422"/>
    <hyperlink r:id="rId1264" ref="C423"/>
    <hyperlink r:id="rId1265" ref="M423"/>
    <hyperlink r:id="rId1266" ref="N423"/>
    <hyperlink r:id="rId1267" ref="C424"/>
    <hyperlink r:id="rId1268" ref="M424"/>
    <hyperlink r:id="rId1269" ref="N424"/>
    <hyperlink r:id="rId1270" ref="C425"/>
    <hyperlink r:id="rId1271" ref="M425"/>
    <hyperlink r:id="rId1272" ref="N425"/>
    <hyperlink r:id="rId1273" ref="C426"/>
    <hyperlink r:id="rId1274" ref="M426"/>
    <hyperlink r:id="rId1275" ref="N426"/>
    <hyperlink r:id="rId1276" ref="C427"/>
    <hyperlink r:id="rId1277" ref="M427"/>
    <hyperlink r:id="rId1278" ref="N427"/>
    <hyperlink r:id="rId1279" ref="C428"/>
    <hyperlink r:id="rId1280" ref="M428"/>
    <hyperlink r:id="rId1281" ref="N428"/>
    <hyperlink r:id="rId1282" ref="C429"/>
    <hyperlink r:id="rId1283" ref="M429"/>
    <hyperlink r:id="rId1284" ref="N429"/>
    <hyperlink r:id="rId1285" ref="C430"/>
    <hyperlink r:id="rId1286" ref="M430"/>
    <hyperlink r:id="rId1287" ref="N430"/>
    <hyperlink r:id="rId1288" ref="C431"/>
    <hyperlink r:id="rId1289" ref="M431"/>
    <hyperlink r:id="rId1290" ref="N431"/>
    <hyperlink r:id="rId1291" ref="C432"/>
    <hyperlink r:id="rId1292" ref="M432"/>
    <hyperlink r:id="rId1293" ref="N432"/>
    <hyperlink r:id="rId1294" ref="C433"/>
    <hyperlink r:id="rId1295" ref="M433"/>
    <hyperlink r:id="rId1296" ref="N433"/>
    <hyperlink r:id="rId1297" ref="C434"/>
    <hyperlink r:id="rId1298" ref="M434"/>
    <hyperlink r:id="rId1299" ref="N434"/>
    <hyperlink r:id="rId1300" ref="C435"/>
    <hyperlink r:id="rId1301" ref="M435"/>
    <hyperlink r:id="rId1302" ref="N435"/>
    <hyperlink r:id="rId1303" ref="C436"/>
    <hyperlink r:id="rId1304" ref="M436"/>
    <hyperlink r:id="rId1305" ref="N436"/>
    <hyperlink r:id="rId1306" ref="C437"/>
    <hyperlink r:id="rId1307" ref="M437"/>
    <hyperlink r:id="rId1308" ref="N437"/>
    <hyperlink r:id="rId1309" ref="C438"/>
    <hyperlink r:id="rId1310" ref="M438"/>
    <hyperlink r:id="rId1311" ref="N438"/>
    <hyperlink r:id="rId1312" ref="C439"/>
    <hyperlink r:id="rId1313" ref="M439"/>
    <hyperlink r:id="rId1314" ref="N439"/>
    <hyperlink r:id="rId1315" ref="C440"/>
    <hyperlink r:id="rId1316" ref="M440"/>
    <hyperlink r:id="rId1317" ref="N440"/>
    <hyperlink r:id="rId1318" ref="C441"/>
    <hyperlink r:id="rId1319" ref="M441"/>
    <hyperlink r:id="rId1320" ref="N441"/>
    <hyperlink r:id="rId1321" ref="C442"/>
    <hyperlink r:id="rId1322" ref="M442"/>
    <hyperlink r:id="rId1323" ref="N442"/>
    <hyperlink r:id="rId1324" ref="C443"/>
    <hyperlink r:id="rId1325" ref="M443"/>
    <hyperlink r:id="rId1326" ref="N443"/>
    <hyperlink r:id="rId1327" ref="C444"/>
    <hyperlink r:id="rId1328" ref="M444"/>
    <hyperlink r:id="rId1329" ref="N444"/>
    <hyperlink r:id="rId1330" ref="C445"/>
    <hyperlink r:id="rId1331" ref="M445"/>
    <hyperlink r:id="rId1332" ref="N445"/>
    <hyperlink r:id="rId1333" ref="C446"/>
    <hyperlink r:id="rId1334" ref="M446"/>
    <hyperlink r:id="rId1335" ref="N446"/>
    <hyperlink r:id="rId1336" ref="C447"/>
    <hyperlink r:id="rId1337" ref="M447"/>
    <hyperlink r:id="rId1338" ref="N447"/>
    <hyperlink r:id="rId1339" ref="C448"/>
    <hyperlink r:id="rId1340" ref="M448"/>
    <hyperlink r:id="rId1341" ref="N448"/>
    <hyperlink r:id="rId1342" ref="C449"/>
    <hyperlink r:id="rId1343" ref="M449"/>
    <hyperlink r:id="rId1344" ref="N449"/>
    <hyperlink r:id="rId1345" ref="C450"/>
    <hyperlink r:id="rId1346" ref="M450"/>
    <hyperlink r:id="rId1347" ref="N450"/>
    <hyperlink r:id="rId1348" ref="C451"/>
    <hyperlink r:id="rId1349" ref="M451"/>
    <hyperlink r:id="rId1350" ref="N451"/>
    <hyperlink r:id="rId1351" ref="C452"/>
    <hyperlink r:id="rId1352" ref="M452"/>
    <hyperlink r:id="rId1353" ref="N452"/>
    <hyperlink r:id="rId1354" ref="C453"/>
    <hyperlink r:id="rId1355" ref="M453"/>
    <hyperlink r:id="rId1356" ref="N453"/>
    <hyperlink r:id="rId1357" ref="C454"/>
    <hyperlink r:id="rId1358" ref="M454"/>
    <hyperlink r:id="rId1359" ref="N454"/>
    <hyperlink r:id="rId1360" ref="C455"/>
    <hyperlink r:id="rId1361" ref="M455"/>
    <hyperlink r:id="rId1362" ref="N455"/>
    <hyperlink r:id="rId1363" ref="C456"/>
    <hyperlink r:id="rId1364" ref="M456"/>
    <hyperlink r:id="rId1365" ref="N456"/>
    <hyperlink r:id="rId1366" ref="C457"/>
    <hyperlink r:id="rId1367" ref="M457"/>
    <hyperlink r:id="rId1368" ref="N457"/>
    <hyperlink r:id="rId1369" ref="C458"/>
    <hyperlink r:id="rId1370" ref="M458"/>
    <hyperlink r:id="rId1371" ref="N458"/>
    <hyperlink r:id="rId1372" ref="C459"/>
    <hyperlink r:id="rId1373" ref="M459"/>
    <hyperlink r:id="rId1374" ref="N459"/>
    <hyperlink r:id="rId1375" ref="C460"/>
    <hyperlink r:id="rId1376" ref="M460"/>
    <hyperlink r:id="rId1377" ref="N460"/>
    <hyperlink r:id="rId1378" ref="C461"/>
    <hyperlink r:id="rId1379" ref="M461"/>
    <hyperlink r:id="rId1380" ref="N461"/>
    <hyperlink r:id="rId1381" ref="C462"/>
    <hyperlink r:id="rId1382" ref="M462"/>
    <hyperlink r:id="rId1383" ref="N462"/>
    <hyperlink r:id="rId1384" ref="C463"/>
    <hyperlink r:id="rId1385" ref="M463"/>
    <hyperlink r:id="rId1386" ref="N463"/>
    <hyperlink r:id="rId1387" ref="C464"/>
    <hyperlink r:id="rId1388" ref="M464"/>
    <hyperlink r:id="rId1389" ref="N464"/>
    <hyperlink r:id="rId1390" ref="C465"/>
    <hyperlink r:id="rId1391" ref="M465"/>
    <hyperlink r:id="rId1392" ref="N465"/>
    <hyperlink r:id="rId1393" ref="C466"/>
    <hyperlink r:id="rId1394" ref="M466"/>
    <hyperlink r:id="rId1395" ref="N466"/>
    <hyperlink r:id="rId1396" ref="C467"/>
    <hyperlink r:id="rId1397" ref="M467"/>
    <hyperlink r:id="rId1398" ref="N467"/>
    <hyperlink r:id="rId1399" ref="C468"/>
    <hyperlink r:id="rId1400" ref="M468"/>
    <hyperlink r:id="rId1401" ref="N468"/>
    <hyperlink r:id="rId1402" ref="C469"/>
    <hyperlink r:id="rId1403" ref="M469"/>
    <hyperlink r:id="rId1404" ref="N469"/>
    <hyperlink r:id="rId1405" ref="C470"/>
    <hyperlink r:id="rId1406" ref="M470"/>
    <hyperlink r:id="rId1407" ref="N470"/>
    <hyperlink r:id="rId1408" ref="C471"/>
    <hyperlink r:id="rId1409" ref="M471"/>
    <hyperlink r:id="rId1410" ref="N471"/>
    <hyperlink r:id="rId1411" ref="C472"/>
    <hyperlink r:id="rId1412" ref="M472"/>
    <hyperlink r:id="rId1413" ref="N472"/>
    <hyperlink r:id="rId1414" ref="C473"/>
    <hyperlink r:id="rId1415" ref="M473"/>
    <hyperlink r:id="rId1416" ref="N473"/>
    <hyperlink r:id="rId1417" ref="C474"/>
    <hyperlink r:id="rId1418" ref="M474"/>
    <hyperlink r:id="rId1419" ref="N474"/>
    <hyperlink r:id="rId1420" ref="C475"/>
    <hyperlink r:id="rId1421" ref="M475"/>
    <hyperlink r:id="rId1422" ref="N475"/>
    <hyperlink r:id="rId1423" ref="C476"/>
    <hyperlink r:id="rId1424" ref="M476"/>
    <hyperlink r:id="rId1425" ref="N476"/>
    <hyperlink r:id="rId1426" ref="C477"/>
    <hyperlink r:id="rId1427" ref="M477"/>
    <hyperlink r:id="rId1428" ref="N477"/>
    <hyperlink r:id="rId1429" ref="C478"/>
    <hyperlink r:id="rId1430" ref="M478"/>
    <hyperlink r:id="rId1431" ref="N478"/>
    <hyperlink r:id="rId1432" ref="C479"/>
    <hyperlink r:id="rId1433" ref="M479"/>
    <hyperlink r:id="rId1434" ref="N479"/>
    <hyperlink r:id="rId1435" ref="C480"/>
    <hyperlink r:id="rId1436" ref="M480"/>
    <hyperlink r:id="rId1437" ref="N480"/>
    <hyperlink r:id="rId1438" ref="C481"/>
    <hyperlink r:id="rId1439" ref="M481"/>
    <hyperlink r:id="rId1440" ref="N481"/>
    <hyperlink r:id="rId1441" ref="C482"/>
    <hyperlink r:id="rId1442" ref="M482"/>
    <hyperlink r:id="rId1443" ref="N482"/>
    <hyperlink r:id="rId1444" ref="C483"/>
    <hyperlink r:id="rId1445" ref="M483"/>
    <hyperlink r:id="rId1446" ref="N483"/>
    <hyperlink r:id="rId1447" ref="C484"/>
    <hyperlink r:id="rId1448" ref="M484"/>
    <hyperlink r:id="rId1449" ref="N484"/>
    <hyperlink r:id="rId1450" ref="C485"/>
    <hyperlink r:id="rId1451" ref="M485"/>
    <hyperlink r:id="rId1452" ref="N485"/>
    <hyperlink r:id="rId1453" ref="C486"/>
    <hyperlink r:id="rId1454" ref="M486"/>
    <hyperlink r:id="rId1455" ref="N486"/>
    <hyperlink r:id="rId1456" ref="C487"/>
    <hyperlink r:id="rId1457" ref="M487"/>
    <hyperlink r:id="rId1458" ref="N487"/>
    <hyperlink r:id="rId1459" ref="C488"/>
    <hyperlink r:id="rId1460" ref="M488"/>
    <hyperlink r:id="rId1461" ref="N488"/>
    <hyperlink r:id="rId1462" ref="C489"/>
    <hyperlink r:id="rId1463" ref="M489"/>
    <hyperlink r:id="rId1464" ref="N489"/>
    <hyperlink r:id="rId1465" ref="C490"/>
    <hyperlink r:id="rId1466" ref="M490"/>
    <hyperlink r:id="rId1467" ref="N490"/>
    <hyperlink r:id="rId1468" ref="C491"/>
    <hyperlink r:id="rId1469" ref="M491"/>
    <hyperlink r:id="rId1470" ref="N491"/>
    <hyperlink r:id="rId1471" ref="C492"/>
    <hyperlink r:id="rId1472" ref="M492"/>
    <hyperlink r:id="rId1473" ref="N492"/>
    <hyperlink r:id="rId1474" ref="C493"/>
    <hyperlink r:id="rId1475" ref="M493"/>
    <hyperlink r:id="rId1476" ref="N493"/>
    <hyperlink r:id="rId1477" ref="C494"/>
    <hyperlink r:id="rId1478" ref="M494"/>
    <hyperlink r:id="rId1479" ref="N494"/>
    <hyperlink r:id="rId1480" ref="C495"/>
    <hyperlink r:id="rId1481" ref="M495"/>
    <hyperlink r:id="rId1482" ref="N495"/>
    <hyperlink r:id="rId1483" ref="C496"/>
    <hyperlink r:id="rId1484" ref="M496"/>
    <hyperlink r:id="rId1485" ref="N496"/>
    <hyperlink r:id="rId1486" ref="C497"/>
    <hyperlink r:id="rId1487" ref="M497"/>
    <hyperlink r:id="rId1488" ref="N497"/>
    <hyperlink r:id="rId1489" ref="C498"/>
    <hyperlink r:id="rId1490" ref="M498"/>
    <hyperlink r:id="rId1491" ref="N498"/>
    <hyperlink r:id="rId1492" ref="C499"/>
    <hyperlink r:id="rId1493" ref="M499"/>
    <hyperlink r:id="rId1494" ref="N499"/>
    <hyperlink r:id="rId1495" ref="C500"/>
    <hyperlink r:id="rId1496" ref="M500"/>
    <hyperlink r:id="rId1497" ref="N500"/>
    <hyperlink r:id="rId1498" ref="C501"/>
    <hyperlink r:id="rId1499" ref="M501"/>
    <hyperlink r:id="rId1500" ref="N501"/>
    <hyperlink r:id="rId1501" ref="C502"/>
    <hyperlink r:id="rId1502" ref="M502"/>
    <hyperlink r:id="rId1503" ref="N502"/>
    <hyperlink r:id="rId1504" ref="C503"/>
    <hyperlink r:id="rId1505" ref="M503"/>
    <hyperlink r:id="rId1506" ref="N503"/>
    <hyperlink r:id="rId1507" ref="C504"/>
    <hyperlink r:id="rId1508" ref="M504"/>
    <hyperlink r:id="rId1509" ref="N504"/>
    <hyperlink r:id="rId1510" ref="C505"/>
    <hyperlink r:id="rId1511" ref="M505"/>
    <hyperlink r:id="rId1512" ref="N505"/>
    <hyperlink r:id="rId1513" ref="C506"/>
    <hyperlink r:id="rId1514" ref="M506"/>
    <hyperlink r:id="rId1515" ref="N506"/>
    <hyperlink r:id="rId1516" ref="C507"/>
    <hyperlink r:id="rId1517" ref="M507"/>
    <hyperlink r:id="rId1518" ref="N507"/>
    <hyperlink r:id="rId1519" ref="C508"/>
    <hyperlink r:id="rId1520" ref="M508"/>
    <hyperlink r:id="rId1521" ref="N508"/>
    <hyperlink r:id="rId1522" ref="C509"/>
    <hyperlink r:id="rId1523" ref="M509"/>
    <hyperlink r:id="rId1524" ref="N509"/>
    <hyperlink r:id="rId1525" ref="C510"/>
    <hyperlink r:id="rId1526" ref="M510"/>
    <hyperlink r:id="rId1527" ref="N510"/>
    <hyperlink r:id="rId1528" ref="C511"/>
    <hyperlink r:id="rId1529" ref="M511"/>
    <hyperlink r:id="rId1530" ref="N511"/>
    <hyperlink r:id="rId1531" ref="C512"/>
    <hyperlink r:id="rId1532" ref="M512"/>
    <hyperlink r:id="rId1533" ref="N512"/>
    <hyperlink r:id="rId1534" ref="C513"/>
    <hyperlink r:id="rId1535" ref="M513"/>
    <hyperlink r:id="rId1536" ref="N513"/>
    <hyperlink r:id="rId1537" ref="C514"/>
    <hyperlink r:id="rId1538" ref="M514"/>
    <hyperlink r:id="rId1539" ref="N514"/>
    <hyperlink r:id="rId1540" ref="C515"/>
    <hyperlink r:id="rId1541" ref="M515"/>
    <hyperlink r:id="rId1542" ref="N515"/>
    <hyperlink r:id="rId1543" ref="C516"/>
    <hyperlink r:id="rId1544" ref="M516"/>
    <hyperlink r:id="rId1545" ref="N516"/>
    <hyperlink r:id="rId1546" ref="C517"/>
    <hyperlink r:id="rId1547" ref="M517"/>
    <hyperlink r:id="rId1548" ref="N517"/>
    <hyperlink r:id="rId1549" ref="C518"/>
    <hyperlink r:id="rId1550" ref="M518"/>
    <hyperlink r:id="rId1551" ref="N518"/>
    <hyperlink r:id="rId1552" ref="C519"/>
    <hyperlink r:id="rId1553" ref="M519"/>
    <hyperlink r:id="rId1554" ref="N519"/>
    <hyperlink r:id="rId1555" ref="C520"/>
    <hyperlink r:id="rId1556" ref="M520"/>
    <hyperlink r:id="rId1557" ref="N520"/>
    <hyperlink r:id="rId1558" ref="C521"/>
    <hyperlink r:id="rId1559" ref="M521"/>
    <hyperlink r:id="rId1560" ref="N521"/>
    <hyperlink r:id="rId1561" ref="C522"/>
    <hyperlink r:id="rId1562" ref="M522"/>
    <hyperlink r:id="rId1563" ref="N522"/>
    <hyperlink r:id="rId1564" ref="C523"/>
    <hyperlink r:id="rId1565" ref="M523"/>
    <hyperlink r:id="rId1566" ref="N523"/>
    <hyperlink r:id="rId1567" ref="C524"/>
    <hyperlink r:id="rId1568" ref="M524"/>
    <hyperlink r:id="rId1569" ref="N524"/>
    <hyperlink r:id="rId1570" ref="C525"/>
    <hyperlink r:id="rId1571" ref="M525"/>
    <hyperlink r:id="rId1572" ref="N525"/>
    <hyperlink r:id="rId1573" ref="C526"/>
    <hyperlink r:id="rId1574" ref="M526"/>
    <hyperlink r:id="rId1575" ref="N526"/>
    <hyperlink r:id="rId1576" ref="C527"/>
    <hyperlink r:id="rId1577" ref="M527"/>
    <hyperlink r:id="rId1578" ref="N527"/>
    <hyperlink r:id="rId1579" ref="C528"/>
    <hyperlink r:id="rId1580" ref="M528"/>
    <hyperlink r:id="rId1581" ref="N528"/>
    <hyperlink r:id="rId1582" ref="C529"/>
    <hyperlink r:id="rId1583" ref="M529"/>
    <hyperlink r:id="rId1584" ref="N529"/>
    <hyperlink r:id="rId1585" ref="C530"/>
    <hyperlink r:id="rId1586" ref="M530"/>
    <hyperlink r:id="rId1587" ref="N530"/>
    <hyperlink r:id="rId1588" ref="C531"/>
    <hyperlink r:id="rId1589" ref="M531"/>
    <hyperlink r:id="rId1590" ref="N531"/>
    <hyperlink r:id="rId1591" ref="C532"/>
    <hyperlink r:id="rId1592" ref="M532"/>
    <hyperlink r:id="rId1593" ref="N532"/>
    <hyperlink r:id="rId1594" ref="C533"/>
    <hyperlink r:id="rId1595" ref="M533"/>
    <hyperlink r:id="rId1596" ref="N533"/>
    <hyperlink r:id="rId1597" ref="C534"/>
    <hyperlink r:id="rId1598" ref="M534"/>
    <hyperlink r:id="rId1599" ref="N534"/>
    <hyperlink r:id="rId1600" ref="C535"/>
    <hyperlink r:id="rId1601" ref="M535"/>
    <hyperlink r:id="rId1602" ref="N535"/>
    <hyperlink r:id="rId1603" ref="C536"/>
    <hyperlink r:id="rId1604" ref="M536"/>
    <hyperlink r:id="rId1605" ref="N536"/>
    <hyperlink r:id="rId1606" ref="C537"/>
    <hyperlink r:id="rId1607" ref="M537"/>
    <hyperlink r:id="rId1608" ref="N537"/>
    <hyperlink r:id="rId1609" ref="C538"/>
    <hyperlink r:id="rId1610" ref="M538"/>
    <hyperlink r:id="rId1611" ref="N538"/>
    <hyperlink r:id="rId1612" ref="C539"/>
    <hyperlink r:id="rId1613" ref="M539"/>
    <hyperlink r:id="rId1614" ref="N539"/>
    <hyperlink r:id="rId1615" ref="C540"/>
    <hyperlink r:id="rId1616" ref="M540"/>
    <hyperlink r:id="rId1617" ref="N540"/>
    <hyperlink r:id="rId1618" ref="C541"/>
    <hyperlink r:id="rId1619" ref="M541"/>
    <hyperlink r:id="rId1620" ref="N541"/>
    <hyperlink r:id="rId1621" ref="C542"/>
    <hyperlink r:id="rId1622" ref="M542"/>
    <hyperlink r:id="rId1623" ref="N542"/>
    <hyperlink r:id="rId1624" ref="C543"/>
    <hyperlink r:id="rId1625" ref="M543"/>
    <hyperlink r:id="rId1626" ref="N543"/>
    <hyperlink r:id="rId1627" ref="C544"/>
    <hyperlink r:id="rId1628" ref="M544"/>
    <hyperlink r:id="rId1629" ref="N544"/>
    <hyperlink r:id="rId1630" ref="C545"/>
    <hyperlink r:id="rId1631" ref="M545"/>
    <hyperlink r:id="rId1632" ref="N545"/>
    <hyperlink r:id="rId1633" ref="C546"/>
    <hyperlink r:id="rId1634" ref="M546"/>
    <hyperlink r:id="rId1635" ref="N546"/>
    <hyperlink r:id="rId1636" ref="C547"/>
    <hyperlink r:id="rId1637" ref="M547"/>
    <hyperlink r:id="rId1638" ref="N547"/>
    <hyperlink r:id="rId1639" ref="C548"/>
    <hyperlink r:id="rId1640" ref="M548"/>
    <hyperlink r:id="rId1641" ref="N548"/>
    <hyperlink r:id="rId1642" ref="C549"/>
    <hyperlink r:id="rId1643" ref="M549"/>
    <hyperlink r:id="rId1644" ref="N549"/>
    <hyperlink r:id="rId1645" ref="C550"/>
    <hyperlink r:id="rId1646" ref="M550"/>
    <hyperlink r:id="rId1647" ref="N550"/>
    <hyperlink r:id="rId1648" ref="C551"/>
    <hyperlink r:id="rId1649" ref="M551"/>
    <hyperlink r:id="rId1650" ref="N551"/>
    <hyperlink r:id="rId1651" ref="C552"/>
    <hyperlink r:id="rId1652" ref="M552"/>
    <hyperlink r:id="rId1653" ref="N552"/>
    <hyperlink r:id="rId1654" ref="C553"/>
    <hyperlink r:id="rId1655" ref="M553"/>
    <hyperlink r:id="rId1656" ref="N553"/>
    <hyperlink r:id="rId1657" ref="C554"/>
    <hyperlink r:id="rId1658" ref="M554"/>
    <hyperlink r:id="rId1659" ref="N554"/>
    <hyperlink r:id="rId1660" ref="C555"/>
    <hyperlink r:id="rId1661" ref="M555"/>
    <hyperlink r:id="rId1662" ref="N555"/>
    <hyperlink r:id="rId1663" ref="C556"/>
    <hyperlink r:id="rId1664" ref="M556"/>
    <hyperlink r:id="rId1665" ref="N556"/>
    <hyperlink r:id="rId1666" ref="C557"/>
    <hyperlink r:id="rId1667" ref="M557"/>
    <hyperlink r:id="rId1668" ref="N557"/>
    <hyperlink r:id="rId1669" ref="C558"/>
    <hyperlink r:id="rId1670" ref="M558"/>
    <hyperlink r:id="rId1671" ref="N558"/>
    <hyperlink r:id="rId1672" ref="C559"/>
    <hyperlink r:id="rId1673" ref="M559"/>
    <hyperlink r:id="rId1674" ref="N559"/>
    <hyperlink r:id="rId1675" ref="C560"/>
    <hyperlink r:id="rId1676" ref="M560"/>
    <hyperlink r:id="rId1677" ref="N560"/>
    <hyperlink r:id="rId1678" ref="C561"/>
    <hyperlink r:id="rId1679" ref="M561"/>
    <hyperlink r:id="rId1680" ref="N561"/>
    <hyperlink r:id="rId1681" ref="C562"/>
    <hyperlink r:id="rId1682" ref="M562"/>
    <hyperlink r:id="rId1683" ref="N562"/>
    <hyperlink r:id="rId1684" ref="C563"/>
    <hyperlink r:id="rId1685" ref="M563"/>
    <hyperlink r:id="rId1686" ref="N563"/>
    <hyperlink r:id="rId1687" ref="C564"/>
    <hyperlink r:id="rId1688" ref="M564"/>
    <hyperlink r:id="rId1689" ref="N564"/>
    <hyperlink r:id="rId1690" ref="C565"/>
    <hyperlink r:id="rId1691" ref="M565"/>
    <hyperlink r:id="rId1692" ref="N565"/>
    <hyperlink r:id="rId1693" ref="C566"/>
    <hyperlink r:id="rId1694" ref="M566"/>
    <hyperlink r:id="rId1695" ref="N566"/>
    <hyperlink r:id="rId1696" ref="C567"/>
    <hyperlink r:id="rId1697" ref="M567"/>
    <hyperlink r:id="rId1698" ref="N567"/>
    <hyperlink r:id="rId1699" ref="C568"/>
    <hyperlink r:id="rId1700" ref="M568"/>
    <hyperlink r:id="rId1701" ref="N568"/>
    <hyperlink r:id="rId1702" ref="C569"/>
    <hyperlink r:id="rId1703" ref="M569"/>
    <hyperlink r:id="rId1704" ref="N569"/>
    <hyperlink r:id="rId1705" ref="C570"/>
    <hyperlink r:id="rId1706" ref="M570"/>
    <hyperlink r:id="rId1707" ref="N570"/>
    <hyperlink r:id="rId1708" ref="C571"/>
    <hyperlink r:id="rId1709" ref="M571"/>
    <hyperlink r:id="rId1710" ref="N571"/>
    <hyperlink r:id="rId1711" ref="C572"/>
    <hyperlink r:id="rId1712" ref="M572"/>
    <hyperlink r:id="rId1713" ref="N572"/>
    <hyperlink r:id="rId1714" ref="C573"/>
    <hyperlink r:id="rId1715" ref="M573"/>
    <hyperlink r:id="rId1716" ref="N573"/>
    <hyperlink r:id="rId1717" ref="C574"/>
    <hyperlink r:id="rId1718" ref="M574"/>
    <hyperlink r:id="rId1719" ref="N574"/>
    <hyperlink r:id="rId1720" ref="C575"/>
    <hyperlink r:id="rId1721" ref="M575"/>
    <hyperlink r:id="rId1722" ref="N575"/>
    <hyperlink r:id="rId1723" ref="C576"/>
    <hyperlink r:id="rId1724" ref="M576"/>
    <hyperlink r:id="rId1725" ref="N576"/>
    <hyperlink r:id="rId1726" ref="C577"/>
    <hyperlink r:id="rId1727" ref="M577"/>
    <hyperlink r:id="rId1728" ref="N577"/>
    <hyperlink r:id="rId1729" ref="C578"/>
    <hyperlink r:id="rId1730" ref="M578"/>
    <hyperlink r:id="rId1731" ref="N578"/>
    <hyperlink r:id="rId1732" ref="C579"/>
    <hyperlink r:id="rId1733" ref="M579"/>
    <hyperlink r:id="rId1734" ref="N579"/>
    <hyperlink r:id="rId1735" ref="C580"/>
    <hyperlink r:id="rId1736" ref="M580"/>
    <hyperlink r:id="rId1737" ref="N580"/>
    <hyperlink r:id="rId1738" ref="C581"/>
    <hyperlink r:id="rId1739" ref="M581"/>
    <hyperlink r:id="rId1740" ref="N581"/>
    <hyperlink r:id="rId1741" ref="C582"/>
    <hyperlink r:id="rId1742" ref="M582"/>
    <hyperlink r:id="rId1743" ref="N582"/>
    <hyperlink r:id="rId1744" ref="C583"/>
    <hyperlink r:id="rId1745" ref="M583"/>
    <hyperlink r:id="rId1746" ref="N583"/>
    <hyperlink r:id="rId1747" ref="C584"/>
    <hyperlink r:id="rId1748" ref="M584"/>
    <hyperlink r:id="rId1749" ref="N584"/>
    <hyperlink r:id="rId1750" ref="C585"/>
    <hyperlink r:id="rId1751" ref="M585"/>
    <hyperlink r:id="rId1752" ref="N585"/>
    <hyperlink r:id="rId1753" ref="C586"/>
    <hyperlink r:id="rId1754" ref="M586"/>
    <hyperlink r:id="rId1755" ref="N586"/>
    <hyperlink r:id="rId1756" ref="C587"/>
    <hyperlink r:id="rId1757" ref="M587"/>
    <hyperlink r:id="rId1758" ref="N587"/>
    <hyperlink r:id="rId1759" ref="C588"/>
    <hyperlink r:id="rId1760" ref="M588"/>
    <hyperlink r:id="rId1761" ref="N588"/>
    <hyperlink r:id="rId1762" ref="C589"/>
    <hyperlink r:id="rId1763" ref="M589"/>
    <hyperlink r:id="rId1764" ref="N589"/>
    <hyperlink r:id="rId1765" ref="C590"/>
    <hyperlink r:id="rId1766" ref="M590"/>
    <hyperlink r:id="rId1767" ref="N590"/>
    <hyperlink r:id="rId1768" ref="C591"/>
    <hyperlink r:id="rId1769" ref="M591"/>
    <hyperlink r:id="rId1770" ref="N591"/>
    <hyperlink r:id="rId1771" ref="C592"/>
    <hyperlink r:id="rId1772" ref="M592"/>
    <hyperlink r:id="rId1773" ref="N592"/>
    <hyperlink r:id="rId1774" ref="C593"/>
    <hyperlink r:id="rId1775" ref="M593"/>
    <hyperlink r:id="rId1776" ref="N593"/>
    <hyperlink r:id="rId1777" ref="C594"/>
    <hyperlink r:id="rId1778" ref="M594"/>
    <hyperlink r:id="rId1779" ref="N594"/>
    <hyperlink r:id="rId1780" ref="C595"/>
    <hyperlink r:id="rId1781" ref="M595"/>
    <hyperlink r:id="rId1782" ref="N595"/>
    <hyperlink r:id="rId1783" ref="C596"/>
    <hyperlink r:id="rId1784" ref="M596"/>
    <hyperlink r:id="rId1785" ref="N596"/>
    <hyperlink r:id="rId1786" ref="C597"/>
    <hyperlink r:id="rId1787" ref="M597"/>
    <hyperlink r:id="rId1788" ref="N597"/>
    <hyperlink r:id="rId1789" ref="C598"/>
    <hyperlink r:id="rId1790" ref="M598"/>
    <hyperlink r:id="rId1791" ref="N598"/>
    <hyperlink r:id="rId1792" ref="C599"/>
    <hyperlink r:id="rId1793" ref="M599"/>
    <hyperlink r:id="rId1794" ref="N599"/>
    <hyperlink r:id="rId1795" ref="C600"/>
    <hyperlink r:id="rId1796" ref="M600"/>
    <hyperlink r:id="rId1797" ref="N600"/>
    <hyperlink r:id="rId1798" ref="C601"/>
    <hyperlink r:id="rId1799" ref="M601"/>
    <hyperlink r:id="rId1800" ref="N601"/>
    <hyperlink r:id="rId1801" ref="C602"/>
    <hyperlink r:id="rId1802" ref="M602"/>
    <hyperlink r:id="rId1803" ref="N602"/>
    <hyperlink r:id="rId1804" ref="C603"/>
    <hyperlink r:id="rId1805" ref="M603"/>
    <hyperlink r:id="rId1806" ref="N603"/>
    <hyperlink r:id="rId1807" ref="C604"/>
    <hyperlink r:id="rId1808" ref="M604"/>
    <hyperlink r:id="rId1809" ref="N604"/>
    <hyperlink r:id="rId1810" ref="C605"/>
    <hyperlink r:id="rId1811" ref="M605"/>
    <hyperlink r:id="rId1812" ref="N605"/>
    <hyperlink r:id="rId1813" ref="C606"/>
    <hyperlink r:id="rId1814" ref="M606"/>
    <hyperlink r:id="rId1815" ref="N606"/>
    <hyperlink r:id="rId1816" ref="C607"/>
    <hyperlink r:id="rId1817" ref="M607"/>
    <hyperlink r:id="rId1818" ref="N607"/>
    <hyperlink r:id="rId1819" ref="C608"/>
    <hyperlink r:id="rId1820" ref="M608"/>
    <hyperlink r:id="rId1821" ref="N608"/>
    <hyperlink r:id="rId1822" ref="C609"/>
    <hyperlink r:id="rId1823" ref="M609"/>
    <hyperlink r:id="rId1824" ref="N609"/>
    <hyperlink r:id="rId1825" ref="C610"/>
    <hyperlink r:id="rId1826" ref="M610"/>
    <hyperlink r:id="rId1827" ref="N610"/>
    <hyperlink r:id="rId1828" ref="C611"/>
    <hyperlink r:id="rId1829" ref="M611"/>
    <hyperlink r:id="rId1830" ref="N611"/>
    <hyperlink r:id="rId1831" ref="C612"/>
    <hyperlink r:id="rId1832" ref="M612"/>
    <hyperlink r:id="rId1833" ref="N612"/>
    <hyperlink r:id="rId1834" ref="C613"/>
    <hyperlink r:id="rId1835" ref="M613"/>
    <hyperlink r:id="rId1836" ref="N613"/>
    <hyperlink r:id="rId1837" ref="C614"/>
    <hyperlink r:id="rId1838" ref="M614"/>
    <hyperlink r:id="rId1839" ref="N614"/>
    <hyperlink r:id="rId1840" ref="C615"/>
    <hyperlink r:id="rId1841" ref="M615"/>
    <hyperlink r:id="rId1842" ref="N615"/>
    <hyperlink r:id="rId1843" ref="C616"/>
    <hyperlink r:id="rId1844" ref="M616"/>
    <hyperlink r:id="rId1845" ref="N616"/>
    <hyperlink r:id="rId1846" ref="C617"/>
    <hyperlink r:id="rId1847" ref="M617"/>
    <hyperlink r:id="rId1848" ref="N617"/>
    <hyperlink r:id="rId1849" ref="C618"/>
    <hyperlink r:id="rId1850" ref="M618"/>
    <hyperlink r:id="rId1851" ref="N618"/>
    <hyperlink r:id="rId1852" ref="C619"/>
    <hyperlink r:id="rId1853" ref="M619"/>
    <hyperlink r:id="rId1854" ref="N619"/>
    <hyperlink r:id="rId1855" ref="C620"/>
    <hyperlink r:id="rId1856" ref="M620"/>
    <hyperlink r:id="rId1857" ref="N620"/>
    <hyperlink r:id="rId1858" ref="C621"/>
    <hyperlink r:id="rId1859" ref="M621"/>
    <hyperlink r:id="rId1860" ref="N621"/>
    <hyperlink r:id="rId1861" ref="C622"/>
    <hyperlink r:id="rId1862" ref="M622"/>
    <hyperlink r:id="rId1863" ref="N622"/>
    <hyperlink r:id="rId1864" ref="C623"/>
    <hyperlink r:id="rId1865" ref="M623"/>
    <hyperlink r:id="rId1866" ref="N623"/>
    <hyperlink r:id="rId1867" ref="C624"/>
    <hyperlink r:id="rId1868" ref="M624"/>
    <hyperlink r:id="rId1869" ref="N624"/>
    <hyperlink r:id="rId1870" ref="C625"/>
    <hyperlink r:id="rId1871" ref="M625"/>
    <hyperlink r:id="rId1872" ref="N625"/>
    <hyperlink r:id="rId1873" ref="C626"/>
    <hyperlink r:id="rId1874" ref="M626"/>
    <hyperlink r:id="rId1875" ref="N626"/>
    <hyperlink r:id="rId1876" ref="C627"/>
    <hyperlink r:id="rId1877" ref="M627"/>
    <hyperlink r:id="rId1878" ref="N627"/>
    <hyperlink r:id="rId1879" ref="C628"/>
    <hyperlink r:id="rId1880" ref="M628"/>
    <hyperlink r:id="rId1881" ref="N628"/>
    <hyperlink r:id="rId1882" ref="C629"/>
    <hyperlink r:id="rId1883" ref="M629"/>
    <hyperlink r:id="rId1884" ref="N629"/>
    <hyperlink r:id="rId1885" ref="C630"/>
    <hyperlink r:id="rId1886" ref="M630"/>
    <hyperlink r:id="rId1887" ref="N630"/>
    <hyperlink r:id="rId1888" ref="C631"/>
    <hyperlink r:id="rId1889" ref="M631"/>
    <hyperlink r:id="rId1890" ref="N631"/>
    <hyperlink r:id="rId1891" ref="C632"/>
    <hyperlink r:id="rId1892" ref="M632"/>
    <hyperlink r:id="rId1893" ref="N632"/>
    <hyperlink r:id="rId1894" ref="C633"/>
    <hyperlink r:id="rId1895" ref="M633"/>
    <hyperlink r:id="rId1896" ref="N633"/>
    <hyperlink r:id="rId1897" ref="C634"/>
    <hyperlink r:id="rId1898" ref="M634"/>
    <hyperlink r:id="rId1899" ref="N634"/>
    <hyperlink r:id="rId1900" ref="C635"/>
    <hyperlink r:id="rId1901" ref="M635"/>
    <hyperlink r:id="rId1902" ref="N635"/>
    <hyperlink r:id="rId1903" ref="C636"/>
    <hyperlink r:id="rId1904" ref="M636"/>
    <hyperlink r:id="rId1905" ref="N636"/>
    <hyperlink r:id="rId1906" ref="C637"/>
    <hyperlink r:id="rId1907" ref="M637"/>
    <hyperlink r:id="rId1908" ref="N637"/>
    <hyperlink r:id="rId1909" ref="C638"/>
    <hyperlink r:id="rId1910" ref="M638"/>
    <hyperlink r:id="rId1911" ref="N638"/>
    <hyperlink r:id="rId1912" ref="C639"/>
    <hyperlink r:id="rId1913" ref="M639"/>
    <hyperlink r:id="rId1914" ref="N639"/>
    <hyperlink r:id="rId1915" ref="C640"/>
    <hyperlink r:id="rId1916" ref="M640"/>
    <hyperlink r:id="rId1917" ref="N640"/>
    <hyperlink r:id="rId1918" ref="C641"/>
    <hyperlink r:id="rId1919" ref="M641"/>
    <hyperlink r:id="rId1920" ref="N641"/>
    <hyperlink r:id="rId1921" ref="C642"/>
    <hyperlink r:id="rId1922" ref="M642"/>
    <hyperlink r:id="rId1923" ref="N642"/>
    <hyperlink r:id="rId1924" ref="C643"/>
    <hyperlink r:id="rId1925" ref="M643"/>
    <hyperlink r:id="rId1926" ref="N643"/>
    <hyperlink r:id="rId1927" ref="C644"/>
    <hyperlink r:id="rId1928" ref="M644"/>
    <hyperlink r:id="rId1929" ref="N644"/>
    <hyperlink r:id="rId1930" ref="C645"/>
    <hyperlink r:id="rId1931" ref="M645"/>
    <hyperlink r:id="rId1932" ref="N645"/>
    <hyperlink r:id="rId1933" ref="C646"/>
    <hyperlink r:id="rId1934" ref="M646"/>
    <hyperlink r:id="rId1935" ref="N646"/>
    <hyperlink r:id="rId1936" ref="C647"/>
    <hyperlink r:id="rId1937" ref="M647"/>
    <hyperlink r:id="rId1938" ref="N647"/>
    <hyperlink r:id="rId1939" ref="C648"/>
    <hyperlink r:id="rId1940" ref="M648"/>
    <hyperlink r:id="rId1941" ref="N648"/>
    <hyperlink r:id="rId1942" ref="C649"/>
    <hyperlink r:id="rId1943" ref="M649"/>
    <hyperlink r:id="rId1944" ref="N649"/>
    <hyperlink r:id="rId1945" ref="C650"/>
    <hyperlink r:id="rId1946" ref="M650"/>
    <hyperlink r:id="rId1947" ref="N650"/>
    <hyperlink r:id="rId1948" ref="C651"/>
    <hyperlink r:id="rId1949" ref="M651"/>
    <hyperlink r:id="rId1950" ref="N651"/>
    <hyperlink r:id="rId1951" ref="C652"/>
    <hyperlink r:id="rId1952" ref="M652"/>
    <hyperlink r:id="rId1953" ref="N652"/>
    <hyperlink r:id="rId1954" ref="C653"/>
    <hyperlink r:id="rId1955" ref="M653"/>
    <hyperlink r:id="rId1956" ref="N653"/>
    <hyperlink r:id="rId1957" ref="C654"/>
    <hyperlink r:id="rId1958" ref="M654"/>
    <hyperlink r:id="rId1959" ref="N654"/>
    <hyperlink r:id="rId1960" ref="C655"/>
    <hyperlink r:id="rId1961" ref="M655"/>
    <hyperlink r:id="rId1962" ref="N655"/>
    <hyperlink r:id="rId1963" ref="C656"/>
    <hyperlink r:id="rId1964" ref="M656"/>
    <hyperlink r:id="rId1965" ref="N656"/>
    <hyperlink r:id="rId1966" ref="C657"/>
    <hyperlink r:id="rId1967" ref="M657"/>
    <hyperlink r:id="rId1968" ref="N657"/>
    <hyperlink r:id="rId1969" ref="C658"/>
    <hyperlink r:id="rId1970" ref="M658"/>
    <hyperlink r:id="rId1971" ref="N658"/>
    <hyperlink r:id="rId1972" ref="C659"/>
    <hyperlink r:id="rId1973" ref="M659"/>
    <hyperlink r:id="rId1974" ref="N659"/>
    <hyperlink r:id="rId1975" ref="C660"/>
    <hyperlink r:id="rId1976" ref="M660"/>
    <hyperlink r:id="rId1977" ref="N660"/>
    <hyperlink r:id="rId1978" ref="C661"/>
    <hyperlink r:id="rId1979" ref="M661"/>
    <hyperlink r:id="rId1980" ref="N661"/>
  </hyperlinks>
  <drawing r:id="rId1981"/>
</worksheet>
</file>