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13_ncr:1_{522FD538-55E1-4529-A873-1F152094E8E4}" xr6:coauthVersionLast="47" xr6:coauthVersionMax="47" xr10:uidLastSave="{00000000-0000-0000-0000-000000000000}"/>
  <bookViews>
    <workbookView xWindow="-120" yWindow="-120" windowWidth="28110" windowHeight="16440" tabRatio="804" xr2:uid="{01F75957-F9B6-4623-B11D-0188291AAABD}"/>
  </bookViews>
  <sheets>
    <sheet name="103" sheetId="1" r:id="rId1"/>
    <sheet name="107" sheetId="12" r:id="rId2"/>
    <sheet name="110" sheetId="11" r:id="rId3"/>
    <sheet name="111" sheetId="10" r:id="rId4"/>
    <sheet name="112" sheetId="9" r:id="rId5"/>
    <sheet name="204" sheetId="8" r:id="rId6"/>
    <sheet name="207" sheetId="7" r:id="rId7"/>
    <sheet name="301" sheetId="6" r:id="rId8"/>
    <sheet name="302" sheetId="5" r:id="rId9"/>
    <sheet name="307" sheetId="4" r:id="rId10"/>
    <sheet name="308" sheetId="3" r:id="rId11"/>
    <sheet name="3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I27" i="5"/>
  <c r="H27" i="5"/>
  <c r="J27" i="5"/>
  <c r="G26" i="5"/>
  <c r="K26" i="5"/>
  <c r="J26" i="5"/>
  <c r="I25" i="5"/>
  <c r="G25" i="5"/>
  <c r="K25" i="5"/>
  <c r="I24" i="5"/>
  <c r="G24" i="5"/>
  <c r="J24" i="5"/>
  <c r="H23" i="5"/>
  <c r="G23" i="5"/>
  <c r="K23" i="5"/>
  <c r="H22" i="5"/>
  <c r="G22" i="5"/>
  <c r="J22" i="5"/>
  <c r="Q21" i="5"/>
  <c r="P21" i="5"/>
  <c r="I21" i="5"/>
  <c r="H21" i="5"/>
  <c r="G21" i="5"/>
  <c r="Q20" i="5"/>
  <c r="P20" i="5"/>
  <c r="K20" i="5"/>
  <c r="J20" i="5"/>
  <c r="Q19" i="5"/>
  <c r="P19" i="5"/>
  <c r="I19" i="5"/>
  <c r="K19" i="5"/>
  <c r="Q18" i="5"/>
  <c r="P18" i="5"/>
  <c r="I18" i="5"/>
  <c r="J18" i="5"/>
  <c r="Q17" i="5"/>
  <c r="P17" i="5"/>
  <c r="H17" i="5"/>
  <c r="K17" i="5"/>
  <c r="Q16" i="5"/>
  <c r="P16" i="5"/>
  <c r="H16" i="5"/>
  <c r="J16" i="5"/>
  <c r="Q15" i="5"/>
  <c r="P15" i="5"/>
  <c r="I15" i="5"/>
  <c r="H15" i="5"/>
  <c r="G14" i="5"/>
  <c r="K14" i="5"/>
  <c r="H11" i="5"/>
  <c r="G11" i="5"/>
  <c r="Q12" i="5"/>
  <c r="P12" i="5"/>
  <c r="I12" i="5"/>
  <c r="G12" i="5"/>
  <c r="G13" i="5"/>
  <c r="J13" i="5"/>
  <c r="K10" i="5"/>
  <c r="J9" i="5"/>
  <c r="F5" i="5"/>
  <c r="C5" i="5"/>
  <c r="F4" i="1"/>
  <c r="I25" i="1" l="1"/>
  <c r="J9" i="1" l="1"/>
  <c r="D4" i="1" l="1"/>
  <c r="I36" i="1"/>
  <c r="H36" i="1"/>
  <c r="G36" i="1"/>
  <c r="K36" i="1"/>
  <c r="J36" i="1"/>
  <c r="I35" i="1" l="1"/>
  <c r="H35" i="1"/>
  <c r="K35" i="1"/>
  <c r="J35" i="1"/>
  <c r="I31" i="1"/>
  <c r="H31" i="1"/>
  <c r="G32" i="1"/>
  <c r="G31" i="1"/>
  <c r="J31" i="1"/>
  <c r="I34" i="1" l="1"/>
  <c r="G34" i="1"/>
  <c r="J34" i="1"/>
  <c r="K34" i="1"/>
  <c r="I32" i="1" l="1"/>
  <c r="H32" i="1"/>
  <c r="K32" i="1"/>
  <c r="I30" i="1" l="1"/>
  <c r="K30" i="1"/>
  <c r="J30" i="1"/>
  <c r="H29" i="1" l="1"/>
  <c r="K29" i="1"/>
  <c r="J29" i="1"/>
  <c r="H28" i="1" l="1"/>
  <c r="K28" i="1"/>
  <c r="I27" i="1" l="1"/>
  <c r="H27" i="1"/>
  <c r="J27" i="1"/>
  <c r="H22" i="1"/>
  <c r="G22" i="1"/>
  <c r="J22" i="1"/>
  <c r="H33" i="1" l="1"/>
  <c r="G33" i="1"/>
  <c r="K33" i="1"/>
  <c r="J33" i="1"/>
  <c r="G26" i="1"/>
  <c r="G25" i="1"/>
  <c r="K25" i="1"/>
  <c r="K26" i="1" l="1"/>
  <c r="J26" i="1"/>
  <c r="G24" i="1" l="1"/>
  <c r="J24" i="1"/>
  <c r="I24" i="1"/>
  <c r="H23" i="1" l="1"/>
  <c r="G23" i="1"/>
  <c r="K23" i="1"/>
  <c r="K19" i="1" l="1"/>
  <c r="H17" i="1" l="1"/>
  <c r="K17" i="1"/>
  <c r="G14" i="1" l="1"/>
  <c r="K14" i="1"/>
  <c r="K20" i="1" l="1"/>
  <c r="J20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7" i="1"/>
  <c r="R6" i="1"/>
  <c r="D3" i="10" l="1"/>
  <c r="C3" i="10"/>
  <c r="S35" i="13" l="1"/>
  <c r="R35" i="13"/>
  <c r="O35" i="13"/>
  <c r="U35" i="13" s="1"/>
  <c r="S34" i="13"/>
  <c r="R34" i="13"/>
  <c r="O34" i="13"/>
  <c r="U34" i="13" s="1"/>
  <c r="U33" i="13"/>
  <c r="T33" i="13"/>
  <c r="S33" i="13"/>
  <c r="R33" i="13"/>
  <c r="O33" i="13"/>
  <c r="S32" i="13"/>
  <c r="R32" i="13"/>
  <c r="O32" i="13"/>
  <c r="U32" i="13" s="1"/>
  <c r="T31" i="13"/>
  <c r="S31" i="13"/>
  <c r="R31" i="13"/>
  <c r="U31" i="13" s="1"/>
  <c r="O31" i="13"/>
  <c r="S30" i="13"/>
  <c r="R30" i="13"/>
  <c r="O30" i="13"/>
  <c r="U30" i="13" s="1"/>
  <c r="S29" i="13"/>
  <c r="R29" i="13"/>
  <c r="O29" i="13"/>
  <c r="U29" i="13" s="1"/>
  <c r="U28" i="13"/>
  <c r="S28" i="13"/>
  <c r="R28" i="13"/>
  <c r="O28" i="13"/>
  <c r="T28" i="13" s="1"/>
  <c r="S27" i="13"/>
  <c r="R27" i="13"/>
  <c r="O27" i="13"/>
  <c r="U27" i="13" s="1"/>
  <c r="U26" i="13"/>
  <c r="T26" i="13"/>
  <c r="S26" i="13"/>
  <c r="R26" i="13"/>
  <c r="O26" i="13"/>
  <c r="S25" i="13"/>
  <c r="R25" i="13"/>
  <c r="U25" i="13" s="1"/>
  <c r="O25" i="13"/>
  <c r="T25" i="13" s="1"/>
  <c r="S24" i="13"/>
  <c r="R24" i="13"/>
  <c r="O24" i="13"/>
  <c r="U24" i="13" s="1"/>
  <c r="S23" i="13"/>
  <c r="R23" i="13"/>
  <c r="O23" i="13"/>
  <c r="U23" i="13" s="1"/>
  <c r="S22" i="13"/>
  <c r="R22" i="13"/>
  <c r="O22" i="13"/>
  <c r="U22" i="13" s="1"/>
  <c r="U21" i="13"/>
  <c r="T21" i="13"/>
  <c r="S21" i="13"/>
  <c r="R21" i="13"/>
  <c r="O21" i="13"/>
  <c r="S20" i="13"/>
  <c r="R20" i="13"/>
  <c r="O20" i="13"/>
  <c r="U20" i="13" s="1"/>
  <c r="T19" i="13"/>
  <c r="S19" i="13"/>
  <c r="R19" i="13"/>
  <c r="U19" i="13" s="1"/>
  <c r="O19" i="13"/>
  <c r="S18" i="13"/>
  <c r="R18" i="13"/>
  <c r="O18" i="13"/>
  <c r="U18" i="13" s="1"/>
  <c r="S17" i="13"/>
  <c r="R17" i="13"/>
  <c r="O17" i="13"/>
  <c r="U17" i="13" s="1"/>
  <c r="U16" i="13"/>
  <c r="S16" i="13"/>
  <c r="R16" i="13"/>
  <c r="O16" i="13"/>
  <c r="T16" i="13" s="1"/>
  <c r="S15" i="13"/>
  <c r="R15" i="13"/>
  <c r="O15" i="13"/>
  <c r="U15" i="13" s="1"/>
  <c r="U14" i="13"/>
  <c r="T14" i="13"/>
  <c r="S14" i="13"/>
  <c r="R14" i="13"/>
  <c r="O14" i="13"/>
  <c r="S13" i="13"/>
  <c r="R13" i="13"/>
  <c r="U13" i="13" s="1"/>
  <c r="O13" i="13"/>
  <c r="T13" i="13" s="1"/>
  <c r="S12" i="13"/>
  <c r="R12" i="13"/>
  <c r="O12" i="13"/>
  <c r="U12" i="13" s="1"/>
  <c r="S11" i="13"/>
  <c r="R11" i="13"/>
  <c r="O11" i="13"/>
  <c r="U11" i="13" s="1"/>
  <c r="S10" i="13"/>
  <c r="R10" i="13"/>
  <c r="O10" i="13"/>
  <c r="U10" i="13" s="1"/>
  <c r="U9" i="13"/>
  <c r="T9" i="13"/>
  <c r="S9" i="13"/>
  <c r="R9" i="13"/>
  <c r="O9" i="13"/>
  <c r="S8" i="13"/>
  <c r="R8" i="13"/>
  <c r="O8" i="13"/>
  <c r="U8" i="13" s="1"/>
  <c r="T7" i="13"/>
  <c r="S7" i="13"/>
  <c r="R7" i="13"/>
  <c r="U7" i="13" s="1"/>
  <c r="O7" i="13"/>
  <c r="S6" i="13"/>
  <c r="R6" i="13"/>
  <c r="O6" i="13"/>
  <c r="U6" i="13" s="1"/>
  <c r="S5" i="13"/>
  <c r="R5" i="13"/>
  <c r="O5" i="13"/>
  <c r="U5" i="13" s="1"/>
  <c r="U4" i="13"/>
  <c r="S4" i="13"/>
  <c r="R4" i="13"/>
  <c r="O4" i="13"/>
  <c r="T4" i="13" s="1"/>
  <c r="S3" i="13"/>
  <c r="R3" i="13"/>
  <c r="O3" i="13"/>
  <c r="U3" i="13" s="1"/>
  <c r="S35" i="3"/>
  <c r="R35" i="3"/>
  <c r="O35" i="3"/>
  <c r="U35" i="3" s="1"/>
  <c r="S34" i="3"/>
  <c r="R34" i="3"/>
  <c r="O34" i="3"/>
  <c r="U34" i="3" s="1"/>
  <c r="U33" i="3"/>
  <c r="T33" i="3"/>
  <c r="S33" i="3"/>
  <c r="R33" i="3"/>
  <c r="O33" i="3"/>
  <c r="S32" i="3"/>
  <c r="R32" i="3"/>
  <c r="O32" i="3"/>
  <c r="U32" i="3" s="1"/>
  <c r="T31" i="3"/>
  <c r="S31" i="3"/>
  <c r="R31" i="3"/>
  <c r="U31" i="3" s="1"/>
  <c r="O31" i="3"/>
  <c r="T30" i="3"/>
  <c r="S30" i="3"/>
  <c r="R30" i="3"/>
  <c r="O30" i="3"/>
  <c r="U30" i="3" s="1"/>
  <c r="S29" i="3"/>
  <c r="R29" i="3"/>
  <c r="O29" i="3"/>
  <c r="U29" i="3" s="1"/>
  <c r="U28" i="3"/>
  <c r="S28" i="3"/>
  <c r="R28" i="3"/>
  <c r="O28" i="3"/>
  <c r="T28" i="3" s="1"/>
  <c r="S27" i="3"/>
  <c r="R27" i="3"/>
  <c r="O27" i="3"/>
  <c r="U27" i="3" s="1"/>
  <c r="U26" i="3"/>
  <c r="T26" i="3"/>
  <c r="S26" i="3"/>
  <c r="R26" i="3"/>
  <c r="O26" i="3"/>
  <c r="S25" i="3"/>
  <c r="R25" i="3"/>
  <c r="O25" i="3"/>
  <c r="U25" i="3" s="1"/>
  <c r="S24" i="3"/>
  <c r="R24" i="3"/>
  <c r="O24" i="3"/>
  <c r="U24" i="3" s="1"/>
  <c r="S23" i="3"/>
  <c r="R23" i="3"/>
  <c r="O23" i="3"/>
  <c r="U23" i="3" s="1"/>
  <c r="S22" i="3"/>
  <c r="R22" i="3"/>
  <c r="O22" i="3"/>
  <c r="U22" i="3" s="1"/>
  <c r="U21" i="3"/>
  <c r="T21" i="3"/>
  <c r="S21" i="3"/>
  <c r="R21" i="3"/>
  <c r="O21" i="3"/>
  <c r="T20" i="3"/>
  <c r="S20" i="3"/>
  <c r="R20" i="3"/>
  <c r="O20" i="3"/>
  <c r="U20" i="3" s="1"/>
  <c r="T19" i="3"/>
  <c r="S19" i="3"/>
  <c r="R19" i="3"/>
  <c r="U19" i="3" s="1"/>
  <c r="O19" i="3"/>
  <c r="T18" i="3"/>
  <c r="S18" i="3"/>
  <c r="R18" i="3"/>
  <c r="O18" i="3"/>
  <c r="U18" i="3" s="1"/>
  <c r="S17" i="3"/>
  <c r="R17" i="3"/>
  <c r="O17" i="3"/>
  <c r="U17" i="3" s="1"/>
  <c r="U16" i="3"/>
  <c r="S16" i="3"/>
  <c r="R16" i="3"/>
  <c r="O16" i="3"/>
  <c r="T16" i="3" s="1"/>
  <c r="S15" i="3"/>
  <c r="R15" i="3"/>
  <c r="O15" i="3"/>
  <c r="U15" i="3" s="1"/>
  <c r="U14" i="3"/>
  <c r="T14" i="3"/>
  <c r="S14" i="3"/>
  <c r="R14" i="3"/>
  <c r="O14" i="3"/>
  <c r="S13" i="3"/>
  <c r="R13" i="3"/>
  <c r="O13" i="3"/>
  <c r="U13" i="3" s="1"/>
  <c r="S12" i="3"/>
  <c r="R12" i="3"/>
  <c r="O12" i="3"/>
  <c r="U12" i="3" s="1"/>
  <c r="S11" i="3"/>
  <c r="R11" i="3"/>
  <c r="O11" i="3"/>
  <c r="U11" i="3" s="1"/>
  <c r="S10" i="3"/>
  <c r="R10" i="3"/>
  <c r="O10" i="3"/>
  <c r="U10" i="3" s="1"/>
  <c r="U9" i="3"/>
  <c r="T9" i="3"/>
  <c r="S9" i="3"/>
  <c r="R9" i="3"/>
  <c r="O9" i="3"/>
  <c r="T8" i="3"/>
  <c r="S8" i="3"/>
  <c r="R8" i="3"/>
  <c r="O8" i="3"/>
  <c r="U8" i="3" s="1"/>
  <c r="T7" i="3"/>
  <c r="S7" i="3"/>
  <c r="R7" i="3"/>
  <c r="U7" i="3" s="1"/>
  <c r="O7" i="3"/>
  <c r="T6" i="3"/>
  <c r="S6" i="3"/>
  <c r="R6" i="3"/>
  <c r="O6" i="3"/>
  <c r="U6" i="3" s="1"/>
  <c r="S5" i="3"/>
  <c r="R5" i="3"/>
  <c r="O5" i="3"/>
  <c r="U5" i="3" s="1"/>
  <c r="U4" i="3"/>
  <c r="S4" i="3"/>
  <c r="R4" i="3"/>
  <c r="O4" i="3"/>
  <c r="T4" i="3" s="1"/>
  <c r="S3" i="3"/>
  <c r="R3" i="3"/>
  <c r="O3" i="3"/>
  <c r="U3" i="3" s="1"/>
  <c r="T35" i="4"/>
  <c r="S35" i="4"/>
  <c r="R35" i="4"/>
  <c r="O35" i="4"/>
  <c r="U35" i="4" s="1"/>
  <c r="S34" i="4"/>
  <c r="R34" i="4"/>
  <c r="O34" i="4"/>
  <c r="U34" i="4" s="1"/>
  <c r="T33" i="4"/>
  <c r="S33" i="4"/>
  <c r="R33" i="4"/>
  <c r="U33" i="4" s="1"/>
  <c r="O33" i="4"/>
  <c r="S32" i="4"/>
  <c r="R32" i="4"/>
  <c r="O32" i="4"/>
  <c r="U32" i="4" s="1"/>
  <c r="U31" i="4"/>
  <c r="T31" i="4"/>
  <c r="S31" i="4"/>
  <c r="R31" i="4"/>
  <c r="O31" i="4"/>
  <c r="U30" i="4"/>
  <c r="T30" i="4"/>
  <c r="S30" i="4"/>
  <c r="R30" i="4"/>
  <c r="O30" i="4"/>
  <c r="S29" i="4"/>
  <c r="R29" i="4"/>
  <c r="O29" i="4"/>
  <c r="U29" i="4" s="1"/>
  <c r="U28" i="4"/>
  <c r="S28" i="4"/>
  <c r="R28" i="4"/>
  <c r="O28" i="4"/>
  <c r="T28" i="4" s="1"/>
  <c r="S27" i="4"/>
  <c r="R27" i="4"/>
  <c r="O27" i="4"/>
  <c r="U27" i="4" s="1"/>
  <c r="U26" i="4"/>
  <c r="S26" i="4"/>
  <c r="R26" i="4"/>
  <c r="O26" i="4"/>
  <c r="T26" i="4" s="1"/>
  <c r="U25" i="4"/>
  <c r="T25" i="4"/>
  <c r="S25" i="4"/>
  <c r="R25" i="4"/>
  <c r="O25" i="4"/>
  <c r="T24" i="4"/>
  <c r="S24" i="4"/>
  <c r="R24" i="4"/>
  <c r="O24" i="4"/>
  <c r="U24" i="4" s="1"/>
  <c r="T23" i="4"/>
  <c r="S23" i="4"/>
  <c r="R23" i="4"/>
  <c r="O23" i="4"/>
  <c r="U23" i="4" s="1"/>
  <c r="S22" i="4"/>
  <c r="R22" i="4"/>
  <c r="O22" i="4"/>
  <c r="U22" i="4" s="1"/>
  <c r="T21" i="4"/>
  <c r="S21" i="4"/>
  <c r="R21" i="4"/>
  <c r="U21" i="4" s="1"/>
  <c r="O21" i="4"/>
  <c r="S20" i="4"/>
  <c r="R20" i="4"/>
  <c r="O20" i="4"/>
  <c r="U20" i="4" s="1"/>
  <c r="U19" i="4"/>
  <c r="T19" i="4"/>
  <c r="S19" i="4"/>
  <c r="R19" i="4"/>
  <c r="O19" i="4"/>
  <c r="U18" i="4"/>
  <c r="T18" i="4"/>
  <c r="S18" i="4"/>
  <c r="R18" i="4"/>
  <c r="O18" i="4"/>
  <c r="S17" i="4"/>
  <c r="R17" i="4"/>
  <c r="O17" i="4"/>
  <c r="U17" i="4" s="1"/>
  <c r="U16" i="4"/>
  <c r="S16" i="4"/>
  <c r="R16" i="4"/>
  <c r="O16" i="4"/>
  <c r="T16" i="4" s="1"/>
  <c r="S15" i="4"/>
  <c r="R15" i="4"/>
  <c r="O15" i="4"/>
  <c r="U15" i="4" s="1"/>
  <c r="U14" i="4"/>
  <c r="S14" i="4"/>
  <c r="R14" i="4"/>
  <c r="O14" i="4"/>
  <c r="T14" i="4" s="1"/>
  <c r="U13" i="4"/>
  <c r="T13" i="4"/>
  <c r="S13" i="4"/>
  <c r="R13" i="4"/>
  <c r="O13" i="4"/>
  <c r="T12" i="4"/>
  <c r="S12" i="4"/>
  <c r="R12" i="4"/>
  <c r="O12" i="4"/>
  <c r="U12" i="4" s="1"/>
  <c r="T11" i="4"/>
  <c r="S11" i="4"/>
  <c r="R11" i="4"/>
  <c r="O11" i="4"/>
  <c r="U11" i="4" s="1"/>
  <c r="S10" i="4"/>
  <c r="R10" i="4"/>
  <c r="O10" i="4"/>
  <c r="U10" i="4" s="1"/>
  <c r="T9" i="4"/>
  <c r="S9" i="4"/>
  <c r="R9" i="4"/>
  <c r="U9" i="4" s="1"/>
  <c r="O9" i="4"/>
  <c r="S8" i="4"/>
  <c r="R8" i="4"/>
  <c r="O8" i="4"/>
  <c r="U8" i="4" s="1"/>
  <c r="U7" i="4"/>
  <c r="T7" i="4"/>
  <c r="S7" i="4"/>
  <c r="R7" i="4"/>
  <c r="O7" i="4"/>
  <c r="U6" i="4"/>
  <c r="T6" i="4"/>
  <c r="S6" i="4"/>
  <c r="R6" i="4"/>
  <c r="O6" i="4"/>
  <c r="S5" i="4"/>
  <c r="R5" i="4"/>
  <c r="O5" i="4"/>
  <c r="U5" i="4" s="1"/>
  <c r="U4" i="4"/>
  <c r="S4" i="4"/>
  <c r="R4" i="4"/>
  <c r="O4" i="4"/>
  <c r="T4" i="4" s="1"/>
  <c r="S3" i="4"/>
  <c r="R3" i="4"/>
  <c r="O3" i="4"/>
  <c r="U3" i="4" s="1"/>
  <c r="S35" i="5"/>
  <c r="R35" i="5"/>
  <c r="O35" i="5"/>
  <c r="U35" i="5" s="1"/>
  <c r="S34" i="5"/>
  <c r="R34" i="5"/>
  <c r="O34" i="5"/>
  <c r="U34" i="5" s="1"/>
  <c r="U33" i="5"/>
  <c r="T33" i="5"/>
  <c r="S33" i="5"/>
  <c r="R33" i="5"/>
  <c r="O33" i="5"/>
  <c r="S32" i="5"/>
  <c r="R32" i="5"/>
  <c r="O32" i="5"/>
  <c r="U32" i="5" s="1"/>
  <c r="T31" i="5"/>
  <c r="S31" i="5"/>
  <c r="R31" i="5"/>
  <c r="U31" i="5" s="1"/>
  <c r="O31" i="5"/>
  <c r="T30" i="5"/>
  <c r="S30" i="5"/>
  <c r="R30" i="5"/>
  <c r="O30" i="5"/>
  <c r="U30" i="5" s="1"/>
  <c r="S29" i="5"/>
  <c r="R29" i="5"/>
  <c r="O29" i="5"/>
  <c r="U29" i="5" s="1"/>
  <c r="U28" i="5"/>
  <c r="S28" i="5"/>
  <c r="R28" i="5"/>
  <c r="O28" i="5"/>
  <c r="T28" i="5" s="1"/>
  <c r="S27" i="5"/>
  <c r="R27" i="5"/>
  <c r="O27" i="5"/>
  <c r="U27" i="5" s="1"/>
  <c r="U26" i="5"/>
  <c r="T26" i="5"/>
  <c r="S26" i="5"/>
  <c r="R26" i="5"/>
  <c r="O26" i="5"/>
  <c r="T25" i="5"/>
  <c r="S25" i="5"/>
  <c r="R25" i="5"/>
  <c r="U25" i="5" s="1"/>
  <c r="O25" i="5"/>
  <c r="S24" i="5"/>
  <c r="R24" i="5"/>
  <c r="O24" i="5"/>
  <c r="S23" i="5"/>
  <c r="R23" i="5"/>
  <c r="O23" i="5"/>
  <c r="S22" i="5"/>
  <c r="R22" i="5"/>
  <c r="O22" i="5"/>
  <c r="T21" i="5"/>
  <c r="S21" i="5"/>
  <c r="R21" i="5"/>
  <c r="U21" i="5" s="1"/>
  <c r="O21" i="5"/>
  <c r="S20" i="5"/>
  <c r="R20" i="5"/>
  <c r="O20" i="5"/>
  <c r="U20" i="5" s="1"/>
  <c r="T19" i="5"/>
  <c r="S19" i="5"/>
  <c r="R19" i="5"/>
  <c r="U19" i="5" s="1"/>
  <c r="O19" i="5"/>
  <c r="T18" i="5"/>
  <c r="S18" i="5"/>
  <c r="R18" i="5"/>
  <c r="O18" i="5"/>
  <c r="S17" i="5"/>
  <c r="R17" i="5"/>
  <c r="O17" i="5"/>
  <c r="S16" i="5"/>
  <c r="R16" i="5"/>
  <c r="U16" i="5" s="1"/>
  <c r="O16" i="5"/>
  <c r="T16" i="5" s="1"/>
  <c r="S15" i="5"/>
  <c r="R15" i="5"/>
  <c r="O15" i="5"/>
  <c r="T14" i="5"/>
  <c r="S14" i="5"/>
  <c r="R14" i="5"/>
  <c r="U14" i="5" s="1"/>
  <c r="O14" i="5"/>
  <c r="T13" i="5"/>
  <c r="S13" i="5"/>
  <c r="R13" i="5"/>
  <c r="U13" i="5" s="1"/>
  <c r="O13" i="5"/>
  <c r="S12" i="5"/>
  <c r="R12" i="5"/>
  <c r="O12" i="5"/>
  <c r="S11" i="5"/>
  <c r="R11" i="5"/>
  <c r="O11" i="5"/>
  <c r="U11" i="5" s="1"/>
  <c r="S10" i="5"/>
  <c r="R10" i="5"/>
  <c r="O10" i="5"/>
  <c r="T9" i="5"/>
  <c r="S9" i="5"/>
  <c r="R9" i="5"/>
  <c r="U9" i="5" s="1"/>
  <c r="O9" i="5"/>
  <c r="S8" i="5"/>
  <c r="R8" i="5"/>
  <c r="O8" i="5"/>
  <c r="U8" i="5" s="1"/>
  <c r="T7" i="5"/>
  <c r="S7" i="5"/>
  <c r="R7" i="5"/>
  <c r="U7" i="5" s="1"/>
  <c r="O7" i="5"/>
  <c r="T6" i="5"/>
  <c r="S6" i="5"/>
  <c r="R6" i="5"/>
  <c r="O6" i="5"/>
  <c r="S5" i="5"/>
  <c r="R5" i="5"/>
  <c r="O5" i="5"/>
  <c r="S4" i="5"/>
  <c r="R4" i="5"/>
  <c r="U4" i="5" s="1"/>
  <c r="O4" i="5"/>
  <c r="T4" i="5" s="1"/>
  <c r="S3" i="5"/>
  <c r="R3" i="5"/>
  <c r="O3" i="5"/>
  <c r="U3" i="5" s="1"/>
  <c r="S35" i="6"/>
  <c r="R35" i="6"/>
  <c r="O35" i="6"/>
  <c r="U35" i="6" s="1"/>
  <c r="S34" i="6"/>
  <c r="R34" i="6"/>
  <c r="O34" i="6"/>
  <c r="U34" i="6" s="1"/>
  <c r="U33" i="6"/>
  <c r="T33" i="6"/>
  <c r="S33" i="6"/>
  <c r="R33" i="6"/>
  <c r="O33" i="6"/>
  <c r="S32" i="6"/>
  <c r="R32" i="6"/>
  <c r="O32" i="6"/>
  <c r="U32" i="6" s="1"/>
  <c r="T31" i="6"/>
  <c r="S31" i="6"/>
  <c r="R31" i="6"/>
  <c r="U31" i="6" s="1"/>
  <c r="O31" i="6"/>
  <c r="S30" i="6"/>
  <c r="R30" i="6"/>
  <c r="O30" i="6"/>
  <c r="U30" i="6" s="1"/>
  <c r="S29" i="6"/>
  <c r="R29" i="6"/>
  <c r="O29" i="6"/>
  <c r="U29" i="6" s="1"/>
  <c r="U28" i="6"/>
  <c r="S28" i="6"/>
  <c r="R28" i="6"/>
  <c r="O28" i="6"/>
  <c r="T28" i="6" s="1"/>
  <c r="S27" i="6"/>
  <c r="R27" i="6"/>
  <c r="O27" i="6"/>
  <c r="U27" i="6" s="1"/>
  <c r="U26" i="6"/>
  <c r="T26" i="6"/>
  <c r="S26" i="6"/>
  <c r="R26" i="6"/>
  <c r="O26" i="6"/>
  <c r="U25" i="6"/>
  <c r="T25" i="6"/>
  <c r="S25" i="6"/>
  <c r="R25" i="6"/>
  <c r="O25" i="6"/>
  <c r="S24" i="6"/>
  <c r="R24" i="6"/>
  <c r="O24" i="6"/>
  <c r="U24" i="6" s="1"/>
  <c r="S23" i="6"/>
  <c r="R23" i="6"/>
  <c r="O23" i="6"/>
  <c r="U23" i="6" s="1"/>
  <c r="S22" i="6"/>
  <c r="R22" i="6"/>
  <c r="O22" i="6"/>
  <c r="U22" i="6" s="1"/>
  <c r="U21" i="6"/>
  <c r="T21" i="6"/>
  <c r="S21" i="6"/>
  <c r="R21" i="6"/>
  <c r="O21" i="6"/>
  <c r="S20" i="6"/>
  <c r="R20" i="6"/>
  <c r="O20" i="6"/>
  <c r="U20" i="6" s="1"/>
  <c r="T19" i="6"/>
  <c r="S19" i="6"/>
  <c r="R19" i="6"/>
  <c r="U19" i="6" s="1"/>
  <c r="O19" i="6"/>
  <c r="T18" i="6"/>
  <c r="S18" i="6"/>
  <c r="R18" i="6"/>
  <c r="O18" i="6"/>
  <c r="U18" i="6" s="1"/>
  <c r="S17" i="6"/>
  <c r="R17" i="6"/>
  <c r="O17" i="6"/>
  <c r="U17" i="6" s="1"/>
  <c r="U16" i="6"/>
  <c r="S16" i="6"/>
  <c r="R16" i="6"/>
  <c r="O16" i="6"/>
  <c r="T16" i="6" s="1"/>
  <c r="S15" i="6"/>
  <c r="R15" i="6"/>
  <c r="O15" i="6"/>
  <c r="U15" i="6" s="1"/>
  <c r="U14" i="6"/>
  <c r="T14" i="6"/>
  <c r="S14" i="6"/>
  <c r="R14" i="6"/>
  <c r="O14" i="6"/>
  <c r="U13" i="6"/>
  <c r="T13" i="6"/>
  <c r="S13" i="6"/>
  <c r="R13" i="6"/>
  <c r="O13" i="6"/>
  <c r="S12" i="6"/>
  <c r="R12" i="6"/>
  <c r="O12" i="6"/>
  <c r="U12" i="6" s="1"/>
  <c r="S11" i="6"/>
  <c r="R11" i="6"/>
  <c r="O11" i="6"/>
  <c r="U11" i="6" s="1"/>
  <c r="S10" i="6"/>
  <c r="R10" i="6"/>
  <c r="O10" i="6"/>
  <c r="U10" i="6" s="1"/>
  <c r="U9" i="6"/>
  <c r="T9" i="6"/>
  <c r="S9" i="6"/>
  <c r="R9" i="6"/>
  <c r="O9" i="6"/>
  <c r="S8" i="6"/>
  <c r="R8" i="6"/>
  <c r="O8" i="6"/>
  <c r="U8" i="6" s="1"/>
  <c r="T7" i="6"/>
  <c r="S7" i="6"/>
  <c r="R7" i="6"/>
  <c r="U7" i="6" s="1"/>
  <c r="O7" i="6"/>
  <c r="T6" i="6"/>
  <c r="S6" i="6"/>
  <c r="R6" i="6"/>
  <c r="O6" i="6"/>
  <c r="U6" i="6" s="1"/>
  <c r="S5" i="6"/>
  <c r="R5" i="6"/>
  <c r="O5" i="6"/>
  <c r="U5" i="6" s="1"/>
  <c r="U4" i="6"/>
  <c r="S4" i="6"/>
  <c r="R4" i="6"/>
  <c r="O4" i="6"/>
  <c r="T4" i="6" s="1"/>
  <c r="S3" i="6"/>
  <c r="R3" i="6"/>
  <c r="O3" i="6"/>
  <c r="U3" i="6" s="1"/>
  <c r="S35" i="7"/>
  <c r="R35" i="7"/>
  <c r="O35" i="7"/>
  <c r="U35" i="7" s="1"/>
  <c r="S34" i="7"/>
  <c r="R34" i="7"/>
  <c r="O34" i="7"/>
  <c r="U34" i="7" s="1"/>
  <c r="U33" i="7"/>
  <c r="T33" i="7"/>
  <c r="S33" i="7"/>
  <c r="R33" i="7"/>
  <c r="O33" i="7"/>
  <c r="S32" i="7"/>
  <c r="R32" i="7"/>
  <c r="O32" i="7"/>
  <c r="U32" i="7" s="1"/>
  <c r="T31" i="7"/>
  <c r="S31" i="7"/>
  <c r="R31" i="7"/>
  <c r="U31" i="7" s="1"/>
  <c r="O31" i="7"/>
  <c r="T30" i="7"/>
  <c r="S30" i="7"/>
  <c r="R30" i="7"/>
  <c r="O30" i="7"/>
  <c r="U30" i="7" s="1"/>
  <c r="S29" i="7"/>
  <c r="R29" i="7"/>
  <c r="O29" i="7"/>
  <c r="U29" i="7" s="1"/>
  <c r="U28" i="7"/>
  <c r="S28" i="7"/>
  <c r="R28" i="7"/>
  <c r="O28" i="7"/>
  <c r="T28" i="7" s="1"/>
  <c r="S27" i="7"/>
  <c r="R27" i="7"/>
  <c r="O27" i="7"/>
  <c r="U27" i="7" s="1"/>
  <c r="U26" i="7"/>
  <c r="T26" i="7"/>
  <c r="S26" i="7"/>
  <c r="R26" i="7"/>
  <c r="O26" i="7"/>
  <c r="U25" i="7"/>
  <c r="S25" i="7"/>
  <c r="R25" i="7"/>
  <c r="O25" i="7"/>
  <c r="T25" i="7" s="1"/>
  <c r="S24" i="7"/>
  <c r="R24" i="7"/>
  <c r="O24" i="7"/>
  <c r="U24" i="7" s="1"/>
  <c r="S23" i="7"/>
  <c r="R23" i="7"/>
  <c r="O23" i="7"/>
  <c r="U23" i="7" s="1"/>
  <c r="S22" i="7"/>
  <c r="R22" i="7"/>
  <c r="O22" i="7"/>
  <c r="U22" i="7" s="1"/>
  <c r="U21" i="7"/>
  <c r="T21" i="7"/>
  <c r="S21" i="7"/>
  <c r="R21" i="7"/>
  <c r="O21" i="7"/>
  <c r="S20" i="7"/>
  <c r="R20" i="7"/>
  <c r="O20" i="7"/>
  <c r="U20" i="7" s="1"/>
  <c r="T19" i="7"/>
  <c r="S19" i="7"/>
  <c r="R19" i="7"/>
  <c r="U19" i="7" s="1"/>
  <c r="O19" i="7"/>
  <c r="T18" i="7"/>
  <c r="S18" i="7"/>
  <c r="R18" i="7"/>
  <c r="O18" i="7"/>
  <c r="U18" i="7" s="1"/>
  <c r="S17" i="7"/>
  <c r="R17" i="7"/>
  <c r="O17" i="7"/>
  <c r="U17" i="7" s="1"/>
  <c r="U16" i="7"/>
  <c r="S16" i="7"/>
  <c r="R16" i="7"/>
  <c r="O16" i="7"/>
  <c r="T16" i="7" s="1"/>
  <c r="S15" i="7"/>
  <c r="R15" i="7"/>
  <c r="O15" i="7"/>
  <c r="U15" i="7" s="1"/>
  <c r="U14" i="7"/>
  <c r="T14" i="7"/>
  <c r="S14" i="7"/>
  <c r="R14" i="7"/>
  <c r="O14" i="7"/>
  <c r="U13" i="7"/>
  <c r="S13" i="7"/>
  <c r="R13" i="7"/>
  <c r="O13" i="7"/>
  <c r="T13" i="7" s="1"/>
  <c r="S12" i="7"/>
  <c r="R12" i="7"/>
  <c r="O12" i="7"/>
  <c r="U12" i="7" s="1"/>
  <c r="S11" i="7"/>
  <c r="R11" i="7"/>
  <c r="O11" i="7"/>
  <c r="U11" i="7" s="1"/>
  <c r="S10" i="7"/>
  <c r="R10" i="7"/>
  <c r="O10" i="7"/>
  <c r="U10" i="7" s="1"/>
  <c r="U9" i="7"/>
  <c r="T9" i="7"/>
  <c r="S9" i="7"/>
  <c r="R9" i="7"/>
  <c r="O9" i="7"/>
  <c r="S8" i="7"/>
  <c r="R8" i="7"/>
  <c r="O8" i="7"/>
  <c r="U8" i="7" s="1"/>
  <c r="T7" i="7"/>
  <c r="S7" i="7"/>
  <c r="R7" i="7"/>
  <c r="U7" i="7" s="1"/>
  <c r="O7" i="7"/>
  <c r="T6" i="7"/>
  <c r="S6" i="7"/>
  <c r="R6" i="7"/>
  <c r="O6" i="7"/>
  <c r="U6" i="7" s="1"/>
  <c r="S5" i="7"/>
  <c r="R5" i="7"/>
  <c r="O5" i="7"/>
  <c r="U5" i="7" s="1"/>
  <c r="U4" i="7"/>
  <c r="S4" i="7"/>
  <c r="R4" i="7"/>
  <c r="O4" i="7"/>
  <c r="T4" i="7" s="1"/>
  <c r="S3" i="7"/>
  <c r="R3" i="7"/>
  <c r="O3" i="7"/>
  <c r="U3" i="7" s="1"/>
  <c r="S35" i="8"/>
  <c r="R35" i="8"/>
  <c r="O35" i="8"/>
  <c r="U35" i="8" s="1"/>
  <c r="S34" i="8"/>
  <c r="R34" i="8"/>
  <c r="O34" i="8"/>
  <c r="U34" i="8" s="1"/>
  <c r="U33" i="8"/>
  <c r="T33" i="8"/>
  <c r="S33" i="8"/>
  <c r="R33" i="8"/>
  <c r="O33" i="8"/>
  <c r="S32" i="8"/>
  <c r="R32" i="8"/>
  <c r="O32" i="8"/>
  <c r="U32" i="8" s="1"/>
  <c r="T31" i="8"/>
  <c r="S31" i="8"/>
  <c r="R31" i="8"/>
  <c r="U31" i="8" s="1"/>
  <c r="O31" i="8"/>
  <c r="S30" i="8"/>
  <c r="R30" i="8"/>
  <c r="O30" i="8"/>
  <c r="U30" i="8" s="1"/>
  <c r="S29" i="8"/>
  <c r="R29" i="8"/>
  <c r="O29" i="8"/>
  <c r="U29" i="8" s="1"/>
  <c r="U28" i="8"/>
  <c r="S28" i="8"/>
  <c r="R28" i="8"/>
  <c r="O28" i="8"/>
  <c r="T28" i="8" s="1"/>
  <c r="S27" i="8"/>
  <c r="R27" i="8"/>
  <c r="O27" i="8"/>
  <c r="U27" i="8" s="1"/>
  <c r="U26" i="8"/>
  <c r="T26" i="8"/>
  <c r="S26" i="8"/>
  <c r="R26" i="8"/>
  <c r="O26" i="8"/>
  <c r="T25" i="8"/>
  <c r="S25" i="8"/>
  <c r="R25" i="8"/>
  <c r="U25" i="8" s="1"/>
  <c r="O25" i="8"/>
  <c r="S24" i="8"/>
  <c r="R24" i="8"/>
  <c r="O24" i="8"/>
  <c r="U24" i="8" s="1"/>
  <c r="S23" i="8"/>
  <c r="R23" i="8"/>
  <c r="O23" i="8"/>
  <c r="U23" i="8" s="1"/>
  <c r="S22" i="8"/>
  <c r="R22" i="8"/>
  <c r="O22" i="8"/>
  <c r="U22" i="8" s="1"/>
  <c r="U21" i="8"/>
  <c r="T21" i="8"/>
  <c r="S21" i="8"/>
  <c r="R21" i="8"/>
  <c r="O21" i="8"/>
  <c r="S20" i="8"/>
  <c r="R20" i="8"/>
  <c r="O20" i="8"/>
  <c r="U20" i="8" s="1"/>
  <c r="T19" i="8"/>
  <c r="S19" i="8"/>
  <c r="R19" i="8"/>
  <c r="U19" i="8" s="1"/>
  <c r="O19" i="8"/>
  <c r="S18" i="8"/>
  <c r="R18" i="8"/>
  <c r="O18" i="8"/>
  <c r="U18" i="8" s="1"/>
  <c r="S17" i="8"/>
  <c r="R17" i="8"/>
  <c r="O17" i="8"/>
  <c r="U17" i="8" s="1"/>
  <c r="U16" i="8"/>
  <c r="S16" i="8"/>
  <c r="R16" i="8"/>
  <c r="O16" i="8"/>
  <c r="T16" i="8" s="1"/>
  <c r="S15" i="8"/>
  <c r="R15" i="8"/>
  <c r="O15" i="8"/>
  <c r="U15" i="8" s="1"/>
  <c r="U14" i="8"/>
  <c r="T14" i="8"/>
  <c r="S14" i="8"/>
  <c r="R14" i="8"/>
  <c r="O14" i="8"/>
  <c r="T13" i="8"/>
  <c r="S13" i="8"/>
  <c r="R13" i="8"/>
  <c r="U13" i="8" s="1"/>
  <c r="O13" i="8"/>
  <c r="S12" i="8"/>
  <c r="R12" i="8"/>
  <c r="O12" i="8"/>
  <c r="U12" i="8" s="1"/>
  <c r="S11" i="8"/>
  <c r="R11" i="8"/>
  <c r="O11" i="8"/>
  <c r="U11" i="8" s="1"/>
  <c r="S10" i="8"/>
  <c r="R10" i="8"/>
  <c r="O10" i="8"/>
  <c r="U10" i="8" s="1"/>
  <c r="U9" i="8"/>
  <c r="T9" i="8"/>
  <c r="S9" i="8"/>
  <c r="R9" i="8"/>
  <c r="O9" i="8"/>
  <c r="S8" i="8"/>
  <c r="R8" i="8"/>
  <c r="O8" i="8"/>
  <c r="U8" i="8" s="1"/>
  <c r="T7" i="8"/>
  <c r="S7" i="8"/>
  <c r="R7" i="8"/>
  <c r="U7" i="8" s="1"/>
  <c r="O7" i="8"/>
  <c r="S6" i="8"/>
  <c r="R6" i="8"/>
  <c r="O6" i="8"/>
  <c r="U6" i="8" s="1"/>
  <c r="S5" i="8"/>
  <c r="R5" i="8"/>
  <c r="O5" i="8"/>
  <c r="U5" i="8" s="1"/>
  <c r="U4" i="8"/>
  <c r="S4" i="8"/>
  <c r="R4" i="8"/>
  <c r="O4" i="8"/>
  <c r="T4" i="8" s="1"/>
  <c r="S3" i="8"/>
  <c r="R3" i="8"/>
  <c r="O3" i="8"/>
  <c r="U3" i="8" s="1"/>
  <c r="S35" i="9"/>
  <c r="R35" i="9"/>
  <c r="O35" i="9"/>
  <c r="U35" i="9" s="1"/>
  <c r="S34" i="9"/>
  <c r="R34" i="9"/>
  <c r="O34" i="9"/>
  <c r="U34" i="9" s="1"/>
  <c r="S33" i="9"/>
  <c r="R33" i="9"/>
  <c r="O33" i="9"/>
  <c r="U33" i="9" s="1"/>
  <c r="S32" i="9"/>
  <c r="R32" i="9"/>
  <c r="O32" i="9"/>
  <c r="U32" i="9" s="1"/>
  <c r="T31" i="9"/>
  <c r="S31" i="9"/>
  <c r="R31" i="9"/>
  <c r="U31" i="9" s="1"/>
  <c r="O31" i="9"/>
  <c r="T30" i="9"/>
  <c r="S30" i="9"/>
  <c r="R30" i="9"/>
  <c r="O30" i="9"/>
  <c r="U30" i="9" s="1"/>
  <c r="S29" i="9"/>
  <c r="R29" i="9"/>
  <c r="O29" i="9"/>
  <c r="U29" i="9" s="1"/>
  <c r="T28" i="9"/>
  <c r="S28" i="9"/>
  <c r="R28" i="9"/>
  <c r="O28" i="9"/>
  <c r="U28" i="9" s="1"/>
  <c r="S27" i="9"/>
  <c r="R27" i="9"/>
  <c r="O27" i="9"/>
  <c r="U27" i="9" s="1"/>
  <c r="U26" i="9"/>
  <c r="T26" i="9"/>
  <c r="S26" i="9"/>
  <c r="R26" i="9"/>
  <c r="O26" i="9"/>
  <c r="U25" i="9"/>
  <c r="S25" i="9"/>
  <c r="R25" i="9"/>
  <c r="O25" i="9"/>
  <c r="T25" i="9" s="1"/>
  <c r="S24" i="9"/>
  <c r="R24" i="9"/>
  <c r="O24" i="9"/>
  <c r="U24" i="9" s="1"/>
  <c r="U23" i="9"/>
  <c r="S23" i="9"/>
  <c r="R23" i="9"/>
  <c r="O23" i="9"/>
  <c r="T23" i="9" s="1"/>
  <c r="S22" i="9"/>
  <c r="R22" i="9"/>
  <c r="O22" i="9"/>
  <c r="U22" i="9" s="1"/>
  <c r="U21" i="9"/>
  <c r="S21" i="9"/>
  <c r="R21" i="9"/>
  <c r="O21" i="9"/>
  <c r="T21" i="9" s="1"/>
  <c r="S20" i="9"/>
  <c r="R20" i="9"/>
  <c r="O20" i="9"/>
  <c r="U20" i="9" s="1"/>
  <c r="S19" i="9"/>
  <c r="R19" i="9"/>
  <c r="O19" i="9"/>
  <c r="T19" i="9" s="1"/>
  <c r="T18" i="9"/>
  <c r="S18" i="9"/>
  <c r="R18" i="9"/>
  <c r="O18" i="9"/>
  <c r="U18" i="9" s="1"/>
  <c r="S17" i="9"/>
  <c r="R17" i="9"/>
  <c r="O17" i="9"/>
  <c r="U17" i="9" s="1"/>
  <c r="U16" i="9"/>
  <c r="S16" i="9"/>
  <c r="R16" i="9"/>
  <c r="O16" i="9"/>
  <c r="T16" i="9" s="1"/>
  <c r="S15" i="9"/>
  <c r="R15" i="9"/>
  <c r="O15" i="9"/>
  <c r="U15" i="9" s="1"/>
  <c r="S14" i="9"/>
  <c r="R14" i="9"/>
  <c r="O14" i="9"/>
  <c r="U14" i="9" s="1"/>
  <c r="S13" i="9"/>
  <c r="R13" i="9"/>
  <c r="O13" i="9"/>
  <c r="T13" i="9" s="1"/>
  <c r="S12" i="9"/>
  <c r="R12" i="9"/>
  <c r="O12" i="9"/>
  <c r="U12" i="9" s="1"/>
  <c r="S11" i="9"/>
  <c r="R11" i="9"/>
  <c r="O11" i="9"/>
  <c r="T11" i="9" s="1"/>
  <c r="S10" i="9"/>
  <c r="R10" i="9"/>
  <c r="O10" i="9"/>
  <c r="U10" i="9" s="1"/>
  <c r="T9" i="9"/>
  <c r="S9" i="9"/>
  <c r="R9" i="9"/>
  <c r="O9" i="9"/>
  <c r="U9" i="9" s="1"/>
  <c r="S8" i="9"/>
  <c r="R8" i="9"/>
  <c r="O8" i="9"/>
  <c r="U8" i="9" s="1"/>
  <c r="S7" i="9"/>
  <c r="R7" i="9"/>
  <c r="O7" i="9"/>
  <c r="U7" i="9" s="1"/>
  <c r="S6" i="9"/>
  <c r="R6" i="9"/>
  <c r="O6" i="9"/>
  <c r="U6" i="9" s="1"/>
  <c r="S5" i="9"/>
  <c r="R5" i="9"/>
  <c r="O5" i="9"/>
  <c r="U5" i="9" s="1"/>
  <c r="S4" i="9"/>
  <c r="R4" i="9"/>
  <c r="O4" i="9"/>
  <c r="T4" i="9" s="1"/>
  <c r="S3" i="9"/>
  <c r="R3" i="9"/>
  <c r="O3" i="9"/>
  <c r="U3" i="9" s="1"/>
  <c r="S35" i="10"/>
  <c r="R35" i="10"/>
  <c r="O35" i="10"/>
  <c r="U35" i="10" s="1"/>
  <c r="S34" i="10"/>
  <c r="R34" i="10"/>
  <c r="O34" i="10"/>
  <c r="U34" i="10" s="1"/>
  <c r="U33" i="10"/>
  <c r="T33" i="10"/>
  <c r="S33" i="10"/>
  <c r="R33" i="10"/>
  <c r="O33" i="10"/>
  <c r="S32" i="10"/>
  <c r="R32" i="10"/>
  <c r="O32" i="10"/>
  <c r="U32" i="10" s="1"/>
  <c r="T31" i="10"/>
  <c r="S31" i="10"/>
  <c r="R31" i="10"/>
  <c r="U31" i="10" s="1"/>
  <c r="O31" i="10"/>
  <c r="S30" i="10"/>
  <c r="R30" i="10"/>
  <c r="O30" i="10"/>
  <c r="U30" i="10" s="1"/>
  <c r="S29" i="10"/>
  <c r="R29" i="10"/>
  <c r="O29" i="10"/>
  <c r="U29" i="10" s="1"/>
  <c r="U28" i="10"/>
  <c r="S28" i="10"/>
  <c r="R28" i="10"/>
  <c r="O28" i="10"/>
  <c r="T28" i="10" s="1"/>
  <c r="S27" i="10"/>
  <c r="R27" i="10"/>
  <c r="O27" i="10"/>
  <c r="U27" i="10" s="1"/>
  <c r="U26" i="10"/>
  <c r="T26" i="10"/>
  <c r="S26" i="10"/>
  <c r="R26" i="10"/>
  <c r="O26" i="10"/>
  <c r="S25" i="10"/>
  <c r="R25" i="10"/>
  <c r="U25" i="10" s="1"/>
  <c r="O25" i="10"/>
  <c r="T25" i="10" s="1"/>
  <c r="S24" i="10"/>
  <c r="R24" i="10"/>
  <c r="O24" i="10"/>
  <c r="U24" i="10" s="1"/>
  <c r="S23" i="10"/>
  <c r="R23" i="10"/>
  <c r="O23" i="10"/>
  <c r="U23" i="10" s="1"/>
  <c r="S22" i="10"/>
  <c r="R22" i="10"/>
  <c r="O22" i="10"/>
  <c r="U22" i="10" s="1"/>
  <c r="U21" i="10"/>
  <c r="T21" i="10"/>
  <c r="S21" i="10"/>
  <c r="R21" i="10"/>
  <c r="O21" i="10"/>
  <c r="S20" i="10"/>
  <c r="R20" i="10"/>
  <c r="O20" i="10"/>
  <c r="U20" i="10" s="1"/>
  <c r="T19" i="10"/>
  <c r="S19" i="10"/>
  <c r="R19" i="10"/>
  <c r="U19" i="10" s="1"/>
  <c r="O19" i="10"/>
  <c r="S18" i="10"/>
  <c r="R18" i="10"/>
  <c r="O18" i="10"/>
  <c r="U18" i="10" s="1"/>
  <c r="S17" i="10"/>
  <c r="R17" i="10"/>
  <c r="O17" i="10"/>
  <c r="U17" i="10" s="1"/>
  <c r="U16" i="10"/>
  <c r="S16" i="10"/>
  <c r="R16" i="10"/>
  <c r="O16" i="10"/>
  <c r="T16" i="10" s="1"/>
  <c r="S15" i="10"/>
  <c r="R15" i="10"/>
  <c r="O15" i="10"/>
  <c r="U15" i="10" s="1"/>
  <c r="U14" i="10"/>
  <c r="T14" i="10"/>
  <c r="S14" i="10"/>
  <c r="R14" i="10"/>
  <c r="O14" i="10"/>
  <c r="S13" i="10"/>
  <c r="R13" i="10"/>
  <c r="U13" i="10" s="1"/>
  <c r="O13" i="10"/>
  <c r="T13" i="10" s="1"/>
  <c r="S12" i="10"/>
  <c r="R12" i="10"/>
  <c r="O12" i="10"/>
  <c r="U12" i="10" s="1"/>
  <c r="S11" i="10"/>
  <c r="R11" i="10"/>
  <c r="O11" i="10"/>
  <c r="U11" i="10" s="1"/>
  <c r="S10" i="10"/>
  <c r="R10" i="10"/>
  <c r="O10" i="10"/>
  <c r="U10" i="10" s="1"/>
  <c r="U9" i="10"/>
  <c r="T9" i="10"/>
  <c r="S9" i="10"/>
  <c r="R9" i="10"/>
  <c r="O9" i="10"/>
  <c r="S8" i="10"/>
  <c r="R8" i="10"/>
  <c r="O8" i="10"/>
  <c r="U8" i="10" s="1"/>
  <c r="T7" i="10"/>
  <c r="S7" i="10"/>
  <c r="R7" i="10"/>
  <c r="U7" i="10" s="1"/>
  <c r="O7" i="10"/>
  <c r="S6" i="10"/>
  <c r="R6" i="10"/>
  <c r="O6" i="10"/>
  <c r="U6" i="10" s="1"/>
  <c r="S5" i="10"/>
  <c r="R5" i="10"/>
  <c r="O5" i="10"/>
  <c r="U5" i="10" s="1"/>
  <c r="U4" i="10"/>
  <c r="S4" i="10"/>
  <c r="R4" i="10"/>
  <c r="O4" i="10"/>
  <c r="T4" i="10" s="1"/>
  <c r="S3" i="10"/>
  <c r="R3" i="10"/>
  <c r="O3" i="10"/>
  <c r="U3" i="10" s="1"/>
  <c r="S35" i="11"/>
  <c r="R35" i="11"/>
  <c r="O35" i="11"/>
  <c r="U35" i="11" s="1"/>
  <c r="S34" i="11"/>
  <c r="R34" i="11"/>
  <c r="O34" i="11"/>
  <c r="U34" i="11" s="1"/>
  <c r="S33" i="11"/>
  <c r="R33" i="11"/>
  <c r="O33" i="11"/>
  <c r="T33" i="11" s="1"/>
  <c r="S32" i="11"/>
  <c r="R32" i="11"/>
  <c r="O32" i="11"/>
  <c r="U32" i="11" s="1"/>
  <c r="S31" i="11"/>
  <c r="R31" i="11"/>
  <c r="O31" i="11"/>
  <c r="T31" i="11" s="1"/>
  <c r="S30" i="11"/>
  <c r="R30" i="11"/>
  <c r="O30" i="11"/>
  <c r="U30" i="11" s="1"/>
  <c r="S29" i="11"/>
  <c r="R29" i="11"/>
  <c r="O29" i="11"/>
  <c r="U29" i="11" s="1"/>
  <c r="S28" i="11"/>
  <c r="R28" i="11"/>
  <c r="O28" i="11"/>
  <c r="T28" i="11" s="1"/>
  <c r="S27" i="11"/>
  <c r="R27" i="11"/>
  <c r="O27" i="11"/>
  <c r="U27" i="11" s="1"/>
  <c r="S26" i="11"/>
  <c r="R26" i="11"/>
  <c r="O26" i="11"/>
  <c r="U26" i="11" s="1"/>
  <c r="S25" i="11"/>
  <c r="R25" i="11"/>
  <c r="O25" i="11"/>
  <c r="U25" i="11" s="1"/>
  <c r="S24" i="11"/>
  <c r="R24" i="11"/>
  <c r="O24" i="11"/>
  <c r="U24" i="11" s="1"/>
  <c r="S23" i="11"/>
  <c r="R23" i="11"/>
  <c r="O23" i="11"/>
  <c r="U23" i="11" s="1"/>
  <c r="S22" i="11"/>
  <c r="R22" i="11"/>
  <c r="O22" i="11"/>
  <c r="U22" i="11" s="1"/>
  <c r="U21" i="11"/>
  <c r="T21" i="11"/>
  <c r="S21" i="11"/>
  <c r="R21" i="11"/>
  <c r="O21" i="11"/>
  <c r="S20" i="11"/>
  <c r="R20" i="11"/>
  <c r="O20" i="11"/>
  <c r="U20" i="11" s="1"/>
  <c r="S19" i="11"/>
  <c r="R19" i="11"/>
  <c r="O19" i="11"/>
  <c r="T19" i="11" s="1"/>
  <c r="T18" i="11"/>
  <c r="S18" i="11"/>
  <c r="R18" i="11"/>
  <c r="O18" i="11"/>
  <c r="U18" i="11" s="1"/>
  <c r="S17" i="11"/>
  <c r="R17" i="11"/>
  <c r="O17" i="11"/>
  <c r="U17" i="11" s="1"/>
  <c r="U16" i="11"/>
  <c r="S16" i="11"/>
  <c r="R16" i="11"/>
  <c r="O16" i="11"/>
  <c r="T16" i="11" s="1"/>
  <c r="S15" i="11"/>
  <c r="R15" i="11"/>
  <c r="O15" i="11"/>
  <c r="U15" i="11" s="1"/>
  <c r="U14" i="11"/>
  <c r="S14" i="11"/>
  <c r="R14" i="11"/>
  <c r="O14" i="11"/>
  <c r="T14" i="11" s="1"/>
  <c r="T13" i="11"/>
  <c r="S13" i="11"/>
  <c r="R13" i="11"/>
  <c r="O13" i="11"/>
  <c r="U13" i="11" s="1"/>
  <c r="S12" i="11"/>
  <c r="R12" i="11"/>
  <c r="O12" i="11"/>
  <c r="U12" i="11" s="1"/>
  <c r="S11" i="11"/>
  <c r="R11" i="11"/>
  <c r="O11" i="11"/>
  <c r="U11" i="11" s="1"/>
  <c r="S10" i="11"/>
  <c r="R10" i="11"/>
  <c r="O10" i="11"/>
  <c r="U10" i="11" s="1"/>
  <c r="S9" i="11"/>
  <c r="R9" i="11"/>
  <c r="O9" i="11"/>
  <c r="U9" i="11" s="1"/>
  <c r="S8" i="11"/>
  <c r="R8" i="11"/>
  <c r="O8" i="11"/>
  <c r="U8" i="11" s="1"/>
  <c r="S7" i="11"/>
  <c r="R7" i="11"/>
  <c r="O7" i="11"/>
  <c r="T7" i="11" s="1"/>
  <c r="S6" i="11"/>
  <c r="R6" i="11"/>
  <c r="O6" i="11"/>
  <c r="U6" i="11" s="1"/>
  <c r="S5" i="11"/>
  <c r="R5" i="11"/>
  <c r="O5" i="11"/>
  <c r="U5" i="11" s="1"/>
  <c r="S4" i="11"/>
  <c r="R4" i="11"/>
  <c r="O4" i="11"/>
  <c r="T4" i="11" s="1"/>
  <c r="S3" i="11"/>
  <c r="R3" i="11"/>
  <c r="O3" i="11"/>
  <c r="U3" i="11" s="1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6" i="12"/>
  <c r="S35" i="12"/>
  <c r="O35" i="12"/>
  <c r="U35" i="12" s="1"/>
  <c r="S34" i="12"/>
  <c r="O34" i="12"/>
  <c r="U34" i="12" s="1"/>
  <c r="S33" i="12"/>
  <c r="O33" i="12"/>
  <c r="U33" i="12" s="1"/>
  <c r="S32" i="12"/>
  <c r="O32" i="12"/>
  <c r="U32" i="12" s="1"/>
  <c r="S31" i="12"/>
  <c r="O31" i="12"/>
  <c r="U31" i="12" s="1"/>
  <c r="S30" i="12"/>
  <c r="O30" i="12"/>
  <c r="S29" i="12"/>
  <c r="O29" i="12"/>
  <c r="S28" i="12"/>
  <c r="O28" i="12"/>
  <c r="U28" i="12" s="1"/>
  <c r="S27" i="12"/>
  <c r="O27" i="12"/>
  <c r="U27" i="12" s="1"/>
  <c r="S26" i="12"/>
  <c r="O26" i="12"/>
  <c r="S25" i="12"/>
  <c r="O25" i="12"/>
  <c r="U25" i="12" s="1"/>
  <c r="S24" i="12"/>
  <c r="O24" i="12"/>
  <c r="U24" i="12" s="1"/>
  <c r="S23" i="12"/>
  <c r="O23" i="12"/>
  <c r="U23" i="12" s="1"/>
  <c r="S22" i="12"/>
  <c r="O22" i="12"/>
  <c r="U22" i="12" s="1"/>
  <c r="S21" i="12"/>
  <c r="O21" i="12"/>
  <c r="U21" i="12" s="1"/>
  <c r="S20" i="12"/>
  <c r="O20" i="12"/>
  <c r="U20" i="12" s="1"/>
  <c r="S19" i="12"/>
  <c r="O19" i="12"/>
  <c r="U19" i="12" s="1"/>
  <c r="S18" i="12"/>
  <c r="O18" i="12"/>
  <c r="S17" i="12"/>
  <c r="O17" i="12"/>
  <c r="S16" i="12"/>
  <c r="O16" i="12"/>
  <c r="U16" i="12" s="1"/>
  <c r="S15" i="12"/>
  <c r="O15" i="12"/>
  <c r="U15" i="12" s="1"/>
  <c r="S14" i="12"/>
  <c r="O14" i="12"/>
  <c r="S13" i="12"/>
  <c r="O13" i="12"/>
  <c r="S12" i="12"/>
  <c r="O12" i="12"/>
  <c r="U12" i="12" s="1"/>
  <c r="S11" i="12"/>
  <c r="O11" i="12"/>
  <c r="U11" i="12" s="1"/>
  <c r="S10" i="12"/>
  <c r="O10" i="12"/>
  <c r="U10" i="12" s="1"/>
  <c r="S9" i="12"/>
  <c r="O9" i="12"/>
  <c r="U9" i="12" s="1"/>
  <c r="S8" i="12"/>
  <c r="O8" i="12"/>
  <c r="U8" i="12" s="1"/>
  <c r="S7" i="12"/>
  <c r="O7" i="12"/>
  <c r="U7" i="12" s="1"/>
  <c r="S6" i="12"/>
  <c r="O6" i="12"/>
  <c r="U6" i="12" s="1"/>
  <c r="S5" i="12"/>
  <c r="R5" i="12"/>
  <c r="O5" i="12"/>
  <c r="S4" i="12"/>
  <c r="R4" i="12"/>
  <c r="O4" i="12"/>
  <c r="S3" i="12"/>
  <c r="R3" i="12"/>
  <c r="O3" i="12"/>
  <c r="O34" i="1"/>
  <c r="O33" i="1"/>
  <c r="O32" i="1"/>
  <c r="O31" i="1"/>
  <c r="O30" i="1"/>
  <c r="O29" i="1"/>
  <c r="O28" i="1"/>
  <c r="T28" i="1" s="1"/>
  <c r="O27" i="1"/>
  <c r="T27" i="1" s="1"/>
  <c r="S26" i="1"/>
  <c r="T26" i="1"/>
  <c r="U26" i="1"/>
  <c r="S27" i="1"/>
  <c r="S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O36" i="1"/>
  <c r="O35" i="1"/>
  <c r="O26" i="1"/>
  <c r="O25" i="1"/>
  <c r="U25" i="1" s="1"/>
  <c r="O24" i="1"/>
  <c r="O23" i="1"/>
  <c r="T23" i="1" s="1"/>
  <c r="O22" i="1"/>
  <c r="T22" i="1" s="1"/>
  <c r="O21" i="1"/>
  <c r="T21" i="1" s="1"/>
  <c r="O20" i="1"/>
  <c r="O19" i="1"/>
  <c r="O18" i="1"/>
  <c r="O17" i="1"/>
  <c r="O16" i="1"/>
  <c r="O15" i="1"/>
  <c r="O14" i="1"/>
  <c r="O13" i="1"/>
  <c r="T13" i="1" s="1"/>
  <c r="O12" i="1"/>
  <c r="U12" i="1" s="1"/>
  <c r="O11" i="1"/>
  <c r="T11" i="1" s="1"/>
  <c r="O10" i="1"/>
  <c r="T10" i="1" s="1"/>
  <c r="O9" i="1"/>
  <c r="T9" i="1" s="1"/>
  <c r="O8" i="1"/>
  <c r="O7" i="1"/>
  <c r="T7" i="1" s="1"/>
  <c r="O6" i="1"/>
  <c r="U6" i="1" s="1"/>
  <c r="S6" i="1"/>
  <c r="S7" i="1"/>
  <c r="U7" i="1"/>
  <c r="S8" i="1"/>
  <c r="T8" i="1"/>
  <c r="U8" i="1"/>
  <c r="S9" i="1"/>
  <c r="S10" i="1"/>
  <c r="S11" i="1"/>
  <c r="S12" i="1"/>
  <c r="T12" i="1"/>
  <c r="S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S22" i="1"/>
  <c r="S23" i="1"/>
  <c r="S24" i="1"/>
  <c r="T24" i="1"/>
  <c r="U24" i="1"/>
  <c r="S25" i="1"/>
  <c r="T25" i="1"/>
  <c r="U24" i="5" l="1"/>
  <c r="U23" i="5"/>
  <c r="U22" i="5"/>
  <c r="U18" i="5"/>
  <c r="U17" i="5"/>
  <c r="U15" i="5"/>
  <c r="U12" i="5"/>
  <c r="U10" i="5"/>
  <c r="U6" i="5"/>
  <c r="U5" i="5"/>
  <c r="U13" i="9"/>
  <c r="T14" i="9"/>
  <c r="U11" i="9"/>
  <c r="T33" i="9"/>
  <c r="U19" i="9"/>
  <c r="T7" i="9"/>
  <c r="U4" i="9"/>
  <c r="T6" i="9"/>
  <c r="T30" i="11"/>
  <c r="U33" i="11"/>
  <c r="T25" i="11"/>
  <c r="T9" i="11"/>
  <c r="U19" i="11"/>
  <c r="U28" i="11"/>
  <c r="U31" i="11"/>
  <c r="T26" i="11"/>
  <c r="U7" i="11"/>
  <c r="T6" i="11"/>
  <c r="U4" i="11"/>
  <c r="T12" i="13"/>
  <c r="T24" i="13"/>
  <c r="T5" i="13"/>
  <c r="T17" i="13"/>
  <c r="T29" i="13"/>
  <c r="T10" i="13"/>
  <c r="T22" i="13"/>
  <c r="T34" i="13"/>
  <c r="T3" i="13"/>
  <c r="T15" i="13"/>
  <c r="T27" i="13"/>
  <c r="T8" i="13"/>
  <c r="T20" i="13"/>
  <c r="T32" i="13"/>
  <c r="T6" i="13"/>
  <c r="T18" i="13"/>
  <c r="T30" i="13"/>
  <c r="T11" i="13"/>
  <c r="T23" i="13"/>
  <c r="T35" i="13"/>
  <c r="T12" i="3"/>
  <c r="T24" i="3"/>
  <c r="T5" i="3"/>
  <c r="T17" i="3"/>
  <c r="T29" i="3"/>
  <c r="T10" i="3"/>
  <c r="T22" i="3"/>
  <c r="T34" i="3"/>
  <c r="T3" i="3"/>
  <c r="T15" i="3"/>
  <c r="T27" i="3"/>
  <c r="T32" i="3"/>
  <c r="T13" i="3"/>
  <c r="T25" i="3"/>
  <c r="T11" i="3"/>
  <c r="T23" i="3"/>
  <c r="T35" i="3"/>
  <c r="T5" i="4"/>
  <c r="T17" i="4"/>
  <c r="T29" i="4"/>
  <c r="T10" i="4"/>
  <c r="T22" i="4"/>
  <c r="T34" i="4"/>
  <c r="T3" i="4"/>
  <c r="T15" i="4"/>
  <c r="T27" i="4"/>
  <c r="T8" i="4"/>
  <c r="T20" i="4"/>
  <c r="T32" i="4"/>
  <c r="T12" i="5"/>
  <c r="T24" i="5"/>
  <c r="T5" i="5"/>
  <c r="T17" i="5"/>
  <c r="T29" i="5"/>
  <c r="T10" i="5"/>
  <c r="T22" i="5"/>
  <c r="T34" i="5"/>
  <c r="T3" i="5"/>
  <c r="T15" i="5"/>
  <c r="T27" i="5"/>
  <c r="T8" i="5"/>
  <c r="T20" i="5"/>
  <c r="T32" i="5"/>
  <c r="T11" i="5"/>
  <c r="T23" i="5"/>
  <c r="T35" i="5"/>
  <c r="T12" i="6"/>
  <c r="T24" i="6"/>
  <c r="T5" i="6"/>
  <c r="T17" i="6"/>
  <c r="T29" i="6"/>
  <c r="T10" i="6"/>
  <c r="T22" i="6"/>
  <c r="T34" i="6"/>
  <c r="T3" i="6"/>
  <c r="T15" i="6"/>
  <c r="T27" i="6"/>
  <c r="T8" i="6"/>
  <c r="T20" i="6"/>
  <c r="T32" i="6"/>
  <c r="T30" i="6"/>
  <c r="T11" i="6"/>
  <c r="T23" i="6"/>
  <c r="T35" i="6"/>
  <c r="T12" i="7"/>
  <c r="T24" i="7"/>
  <c r="T5" i="7"/>
  <c r="T17" i="7"/>
  <c r="T29" i="7"/>
  <c r="T10" i="7"/>
  <c r="T22" i="7"/>
  <c r="T34" i="7"/>
  <c r="T3" i="7"/>
  <c r="T15" i="7"/>
  <c r="T27" i="7"/>
  <c r="T8" i="7"/>
  <c r="T20" i="7"/>
  <c r="T32" i="7"/>
  <c r="T11" i="7"/>
  <c r="T23" i="7"/>
  <c r="T35" i="7"/>
  <c r="T12" i="8"/>
  <c r="T24" i="8"/>
  <c r="T5" i="8"/>
  <c r="T17" i="8"/>
  <c r="T29" i="8"/>
  <c r="T10" i="8"/>
  <c r="T22" i="8"/>
  <c r="T34" i="8"/>
  <c r="T3" i="8"/>
  <c r="T15" i="8"/>
  <c r="T27" i="8"/>
  <c r="T8" i="8"/>
  <c r="T20" i="8"/>
  <c r="T32" i="8"/>
  <c r="T6" i="8"/>
  <c r="T18" i="8"/>
  <c r="T30" i="8"/>
  <c r="T11" i="8"/>
  <c r="T23" i="8"/>
  <c r="T35" i="8"/>
  <c r="T12" i="9"/>
  <c r="T24" i="9"/>
  <c r="T5" i="9"/>
  <c r="T17" i="9"/>
  <c r="T29" i="9"/>
  <c r="T10" i="9"/>
  <c r="T22" i="9"/>
  <c r="T34" i="9"/>
  <c r="T3" i="9"/>
  <c r="T15" i="9"/>
  <c r="T27" i="9"/>
  <c r="T8" i="9"/>
  <c r="T20" i="9"/>
  <c r="T32" i="9"/>
  <c r="T35" i="9"/>
  <c r="T12" i="10"/>
  <c r="T24" i="10"/>
  <c r="T5" i="10"/>
  <c r="T17" i="10"/>
  <c r="T29" i="10"/>
  <c r="T10" i="10"/>
  <c r="T22" i="10"/>
  <c r="T34" i="10"/>
  <c r="T3" i="10"/>
  <c r="T15" i="10"/>
  <c r="T27" i="10"/>
  <c r="T8" i="10"/>
  <c r="T20" i="10"/>
  <c r="T32" i="10"/>
  <c r="T6" i="10"/>
  <c r="T18" i="10"/>
  <c r="T30" i="10"/>
  <c r="T11" i="10"/>
  <c r="T23" i="10"/>
  <c r="T35" i="10"/>
  <c r="T12" i="11"/>
  <c r="T24" i="11"/>
  <c r="T5" i="11"/>
  <c r="T17" i="11"/>
  <c r="T29" i="11"/>
  <c r="T10" i="11"/>
  <c r="T22" i="11"/>
  <c r="T34" i="11"/>
  <c r="T3" i="11"/>
  <c r="T15" i="11"/>
  <c r="T27" i="11"/>
  <c r="T8" i="11"/>
  <c r="T20" i="11"/>
  <c r="T32" i="11"/>
  <c r="T11" i="11"/>
  <c r="T23" i="11"/>
  <c r="T35" i="11"/>
  <c r="U13" i="12"/>
  <c r="U17" i="12"/>
  <c r="U29" i="12"/>
  <c r="U18" i="12"/>
  <c r="U30" i="12"/>
  <c r="U14" i="12"/>
  <c r="U26" i="12"/>
  <c r="U3" i="12"/>
  <c r="U4" i="12"/>
  <c r="U5" i="12"/>
  <c r="T6" i="12"/>
  <c r="T9" i="12"/>
  <c r="T12" i="12"/>
  <c r="T15" i="12"/>
  <c r="T18" i="12"/>
  <c r="T21" i="12"/>
  <c r="T24" i="12"/>
  <c r="T27" i="12"/>
  <c r="T30" i="12"/>
  <c r="T33" i="12"/>
  <c r="T4" i="12"/>
  <c r="T7" i="12"/>
  <c r="T10" i="12"/>
  <c r="T13" i="12"/>
  <c r="T16" i="12"/>
  <c r="T19" i="12"/>
  <c r="T22" i="12"/>
  <c r="T25" i="12"/>
  <c r="T28" i="12"/>
  <c r="T31" i="12"/>
  <c r="T34" i="12"/>
  <c r="T3" i="12"/>
  <c r="T5" i="12"/>
  <c r="T8" i="12"/>
  <c r="T11" i="12"/>
  <c r="T14" i="12"/>
  <c r="T17" i="12"/>
  <c r="T20" i="12"/>
  <c r="T23" i="12"/>
  <c r="T26" i="12"/>
  <c r="T29" i="12"/>
  <c r="T32" i="12"/>
  <c r="T35" i="12"/>
  <c r="U28" i="1"/>
  <c r="U27" i="1"/>
  <c r="T6" i="1"/>
  <c r="U23" i="1"/>
  <c r="U11" i="1"/>
  <c r="U22" i="1"/>
  <c r="U10" i="1"/>
  <c r="U21" i="1"/>
  <c r="U13" i="1"/>
  <c r="U9" i="1"/>
  <c r="S4" i="1"/>
  <c r="S5" i="1"/>
  <c r="S3" i="1"/>
  <c r="O5" i="1" l="1"/>
  <c r="O4" i="1"/>
  <c r="O3" i="1"/>
  <c r="R4" i="1"/>
  <c r="R5" i="1"/>
  <c r="T4" i="1" l="1"/>
  <c r="U4" i="1"/>
  <c r="T5" i="1"/>
  <c r="U5" i="1"/>
  <c r="T3" i="1"/>
  <c r="R3" i="1" l="1"/>
  <c r="U3" i="1" l="1"/>
</calcChain>
</file>

<file path=xl/sharedStrings.xml><?xml version="1.0" encoding="utf-8"?>
<sst xmlns="http://schemas.openxmlformats.org/spreadsheetml/2006/main" count="697" uniqueCount="56">
  <si>
    <t>AIC</t>
  </si>
  <si>
    <t>SSE</t>
  </si>
  <si>
    <t>n</t>
  </si>
  <si>
    <r>
      <t>Kδ</t>
    </r>
    <r>
      <rPr>
        <sz val="8"/>
        <color rgb="FF222222"/>
        <rFont val="Aptos Narrow"/>
        <family val="2"/>
        <scheme val="minor"/>
      </rPr>
      <t>E</t>
    </r>
  </si>
  <si>
    <r>
      <t>δ</t>
    </r>
    <r>
      <rPr>
        <sz val="8"/>
        <color rgb="FF222222"/>
        <rFont val="Aptos Narrow"/>
        <family val="2"/>
        <scheme val="minor"/>
      </rPr>
      <t>E</t>
    </r>
  </si>
  <si>
    <t>τ</t>
  </si>
  <si>
    <t>a</t>
  </si>
  <si>
    <t>ξ</t>
  </si>
  <si>
    <t>c</t>
  </si>
  <si>
    <t>p</t>
  </si>
  <si>
    <t>T0</t>
  </si>
  <si>
    <t>β</t>
  </si>
  <si>
    <t>Fit Quantification</t>
  </si>
  <si>
    <t>Data</t>
  </si>
  <si>
    <t>DOF</t>
  </si>
  <si>
    <t>Viral Dynamics</t>
  </si>
  <si>
    <t>Vsse</t>
  </si>
  <si>
    <t>n(V)</t>
  </si>
  <si>
    <t>n(CD8)</t>
  </si>
  <si>
    <t>CDsse</t>
  </si>
  <si>
    <t>VAIC</t>
  </si>
  <si>
    <t>CDAIC</t>
  </si>
  <si>
    <t>δE</t>
  </si>
  <si>
    <t>β/T0/c</t>
  </si>
  <si>
    <t>β/p/c</t>
  </si>
  <si>
    <t>MP</t>
  </si>
  <si>
    <t>CD8T Cells</t>
  </si>
  <si>
    <t>KδE</t>
  </si>
  <si>
    <t>ξ/a</t>
  </si>
  <si>
    <t>ξ/τ</t>
  </si>
  <si>
    <t>ξ/a/τ</t>
  </si>
  <si>
    <t>a/τ</t>
  </si>
  <si>
    <t>ξ/δE</t>
  </si>
  <si>
    <t>a/δE</t>
  </si>
  <si>
    <t>τ/δE</t>
  </si>
  <si>
    <t>δE/KδE</t>
  </si>
  <si>
    <t>ξ/a/δE</t>
  </si>
  <si>
    <t>ξ/a/KδE</t>
  </si>
  <si>
    <t>ξ/τ/δE</t>
  </si>
  <si>
    <t>τ/δE/KδE</t>
  </si>
  <si>
    <t>ξ/a/τ/δE</t>
  </si>
  <si>
    <t>ξ/a/τ/KδE</t>
  </si>
  <si>
    <t>ξ/τ/δE/KδE</t>
  </si>
  <si>
    <t>ξ/a/τ/δE/KδE</t>
  </si>
  <si>
    <t>ξ/KδE</t>
  </si>
  <si>
    <t>a/KδE</t>
  </si>
  <si>
    <t>τ/KδE</t>
  </si>
  <si>
    <t>ξ/τ/KδE</t>
  </si>
  <si>
    <t>a/τ/KδE</t>
  </si>
  <si>
    <t>#</t>
  </si>
  <si>
    <t>Name</t>
  </si>
  <si>
    <t>ξ/δE/KδE</t>
  </si>
  <si>
    <t>a/τ/δE</t>
  </si>
  <si>
    <t>a/δE/KδE</t>
  </si>
  <si>
    <t>ξ/a/δE/KδE</t>
  </si>
  <si>
    <t>a/τ/δE/KδE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</si>
</sst>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73" formatCode="0.0000"/>
  </numFmts>
  <fonts count="5" x14ac:knownFonts="1">
    <font>
      <sz val="11"/>
      <color theme="1"/>
      <name val="Aptos Narrow"/>
      <family val="2"/>
      <scheme val="minor"/>
    </font>
    <font>
      <sz val="10"/>
      <color rgb="FF222222"/>
      <name val="Aptos Narrow"/>
      <family val="2"/>
      <scheme val="minor"/>
    </font>
    <font>
      <sz val="8"/>
      <color rgb="FF222222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5" xfId="0" applyFill="1" applyBorder="1"/>
    <xf numFmtId="0" fontId="0" fillId="3" borderId="5" xfId="0" applyFill="1" applyBorder="1"/>
    <xf numFmtId="0" fontId="0" fillId="3" borderId="10" xfId="0" applyFill="1" applyBorder="1"/>
    <xf numFmtId="2" fontId="0" fillId="0" borderId="12" xfId="0" applyNumberFormat="1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 applyAlignment="1">
      <alignment horizontal="center" vertical="center"/>
    </xf>
    <xf numFmtId="0" fontId="0" fillId="0" borderId="10" xfId="0" applyBorder="1"/>
    <xf numFmtId="2" fontId="0" fillId="0" borderId="7" xfId="0" applyNumberFormat="1" applyBorder="1"/>
    <xf numFmtId="2" fontId="0" fillId="0" borderId="3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/>
    <xf numFmtId="2" fontId="0" fillId="0" borderId="13" xfId="0" applyNumberFormat="1" applyBorder="1"/>
    <xf numFmtId="0" fontId="0" fillId="0" borderId="12" xfId="0" applyBorder="1" applyAlignment="1">
      <alignment horizontal="center"/>
    </xf>
    <xf numFmtId="2" fontId="0" fillId="0" borderId="11" xfId="0" applyNumberFormat="1" applyBorder="1"/>
    <xf numFmtId="2" fontId="0" fillId="0" borderId="6" xfId="0" applyNumberFormat="1" applyBorder="1"/>
    <xf numFmtId="2" fontId="0" fillId="0" borderId="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0" fillId="3" borderId="14" xfId="0" applyFill="1" applyBorder="1"/>
    <xf numFmtId="0" fontId="1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1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1" fontId="0" fillId="2" borderId="5" xfId="0" applyNumberFormat="1" applyFill="1" applyBorder="1"/>
    <xf numFmtId="11" fontId="0" fillId="0" borderId="6" xfId="0" applyNumberFormat="1" applyBorder="1"/>
    <xf numFmtId="173" fontId="0" fillId="2" borderId="5" xfId="0" applyNumberFormat="1" applyFill="1" applyBorder="1"/>
    <xf numFmtId="173" fontId="0" fillId="0" borderId="0" xfId="0" applyNumberFormat="1"/>
    <xf numFmtId="165" fontId="0" fillId="2" borderId="5" xfId="0" applyNumberFormat="1" applyFill="1" applyBorder="1"/>
    <xf numFmtId="2" fontId="0" fillId="2" borderId="5" xfId="0" applyNumberFormat="1" applyFill="1" applyBorder="1"/>
    <xf numFmtId="173" fontId="0" fillId="0" borderId="7" xfId="0" applyNumberFormat="1" applyBorder="1"/>
    <xf numFmtId="11" fontId="0" fillId="3" borderId="10" xfId="0" applyNumberFormat="1" applyFill="1" applyBorder="1"/>
    <xf numFmtId="11" fontId="0" fillId="3" borderId="5" xfId="0" applyNumberFormat="1" applyFill="1" applyBorder="1"/>
  </cellXfs>
  <cellStyles count="1">
    <cellStyle name="Normal" xfId="0" builtinId="0"/>
  </cellStyles>
  <dxfs count="16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E4F-27F8-4438-BE0F-0F4412B0064B}">
  <dimension ref="A1:U43"/>
  <sheetViews>
    <sheetView tabSelected="1" zoomScaleNormal="100" workbookViewId="0">
      <selection activeCell="E22" sqref="E22"/>
    </sheetView>
  </sheetViews>
  <sheetFormatPr defaultRowHeight="15" x14ac:dyDescent="0.25"/>
  <cols>
    <col min="1" max="1" width="12.140625" bestFit="1" customWidth="1"/>
    <col min="2" max="2" width="3" bestFit="1" customWidth="1"/>
    <col min="3" max="3" width="8.28515625" bestFit="1" customWidth="1"/>
    <col min="4" max="4" width="8.5703125" bestFit="1" customWidth="1"/>
    <col min="5" max="5" width="8" bestFit="1" customWidth="1"/>
    <col min="6" max="6" width="6" bestFit="1" customWidth="1"/>
    <col min="7" max="8" width="6.5703125" bestFit="1" customWidth="1"/>
    <col min="9" max="9" width="4.5703125" bestFit="1" customWidth="1"/>
    <col min="10" max="10" width="6.5703125" bestFit="1" customWidth="1"/>
    <col min="11" max="11" width="8.5703125" bestFit="1" customWidth="1"/>
    <col min="12" max="12" width="4.28515625" bestFit="1" customWidth="1"/>
    <col min="13" max="13" width="4.140625" bestFit="1" customWidth="1"/>
    <col min="14" max="14" width="6.42578125" bestFit="1" customWidth="1"/>
    <col min="15" max="15" width="3" bestFit="1" customWidth="1"/>
    <col min="16" max="16" width="6.5703125" bestFit="1" customWidth="1"/>
    <col min="17" max="17" width="6.42578125" bestFit="1" customWidth="1"/>
    <col min="18" max="18" width="6.5703125" bestFit="1" customWidth="1"/>
    <col min="19" max="20" width="6.28515625" bestFit="1" customWidth="1"/>
  </cols>
  <sheetData>
    <row r="1" spans="1:21" ht="15.75" thickBot="1" x14ac:dyDescent="0.3">
      <c r="A1" s="50">
        <v>103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>
        <v>53.272823665928797</v>
      </c>
      <c r="Q3" s="31">
        <v>4.1210214479748801</v>
      </c>
      <c r="R3" s="31">
        <f>P3+Q3</f>
        <v>57.39384511390368</v>
      </c>
      <c r="S3" s="25">
        <f>M3*LN(P3/M3)+2*L3</f>
        <v>16.003815739825349</v>
      </c>
      <c r="T3" s="12">
        <f>O3*LN(Q3/O3)+2*L3</f>
        <v>-24.090908881671982</v>
      </c>
      <c r="U3" s="27">
        <f>O3*LN(R3/O3)+2*L3</f>
        <v>20.684303334166426</v>
      </c>
    </row>
    <row r="4" spans="1:21" ht="15.75" thickBot="1" x14ac:dyDescent="0.3">
      <c r="A4" s="37" t="s">
        <v>23</v>
      </c>
      <c r="B4" s="8">
        <v>2</v>
      </c>
      <c r="C4" s="66">
        <f>0.00014439</f>
        <v>1.4438999999999999E-4</v>
      </c>
      <c r="D4" s="67">
        <f>276082193</f>
        <v>276082193</v>
      </c>
      <c r="F4" s="40">
        <f>11.83</f>
        <v>11.83</v>
      </c>
      <c r="G4" s="6"/>
      <c r="K4" s="8"/>
      <c r="L4">
        <v>3</v>
      </c>
      <c r="M4" s="6">
        <v>9</v>
      </c>
      <c r="N4">
        <v>8</v>
      </c>
      <c r="O4" s="8">
        <f t="shared" ref="O4:O5" si="0">N4+M4</f>
        <v>17</v>
      </c>
      <c r="P4" s="32">
        <v>2.11997098380589</v>
      </c>
      <c r="Q4" s="38">
        <v>4.5674284113996499</v>
      </c>
      <c r="R4" s="38">
        <f t="shared" ref="R4:R5" si="1">P4+Q4</f>
        <v>6.6873993952055404</v>
      </c>
      <c r="S4" s="19">
        <f t="shared" ref="S4:S5" si="2">M4*LN(P4/M4)+2*L4</f>
        <v>-7.0123995806698076</v>
      </c>
      <c r="T4" s="39">
        <f t="shared" ref="T4:T5" si="3">O4*LN(Q4/O4)+2*L4</f>
        <v>-16.342471142540603</v>
      </c>
      <c r="U4" s="28">
        <f t="shared" ref="U4:U5" si="4">O4*LN(R4/O4)+2*L4</f>
        <v>-9.8608006861321371</v>
      </c>
    </row>
    <row r="5" spans="1:21" ht="15.75" thickBot="1" x14ac:dyDescent="0.3">
      <c r="A5" s="37" t="s">
        <v>24</v>
      </c>
      <c r="B5" s="8">
        <v>3</v>
      </c>
      <c r="C5" s="66">
        <v>1.0238000000000001E-4</v>
      </c>
      <c r="D5" s="5"/>
      <c r="E5" s="10">
        <v>3.0880000000000001E-2</v>
      </c>
      <c r="F5" s="40">
        <v>12.5</v>
      </c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4">
        <v>2.3136497336619102</v>
      </c>
      <c r="Q5" s="33">
        <v>6.7980233209343996</v>
      </c>
      <c r="R5" s="33">
        <f t="shared" si="1"/>
        <v>9.1116730545963094</v>
      </c>
      <c r="S5" s="20">
        <f t="shared" si="2"/>
        <v>-6.2255849552560942</v>
      </c>
      <c r="T5" s="1">
        <f t="shared" si="3"/>
        <v>-9.5818848579102038</v>
      </c>
      <c r="U5" s="29">
        <f t="shared" si="4"/>
        <v>-4.602168988204177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61">
        <v>5.4602589999999999E-2</v>
      </c>
      <c r="H6" s="16"/>
      <c r="I6" s="16"/>
      <c r="J6" s="16"/>
      <c r="K6" s="15"/>
      <c r="L6" s="15">
        <v>1</v>
      </c>
      <c r="M6" s="13">
        <v>9</v>
      </c>
      <c r="N6" s="16">
        <v>8</v>
      </c>
      <c r="O6" s="15">
        <f t="shared" ref="O6:O36" si="5">N6+M6</f>
        <v>17</v>
      </c>
      <c r="P6" s="30">
        <v>2.5392107561766202</v>
      </c>
      <c r="Q6" s="31">
        <v>3.49440424792075</v>
      </c>
      <c r="R6" s="56">
        <f>Q6+P6</f>
        <v>6.0336150040973706</v>
      </c>
      <c r="S6" s="25">
        <f t="shared" ref="S6:S25" si="6">M6*LN(P6/M6)+2*L6</f>
        <v>-9.3883414345521121</v>
      </c>
      <c r="T6" s="12">
        <f t="shared" ref="T6:T25" si="7">O6*LN(Q6/O6)+2*L6</f>
        <v>-24.894857501962289</v>
      </c>
      <c r="U6" s="27">
        <f t="shared" ref="U6:U25" si="8">O6*LN(R6/O6)+2*L6</f>
        <v>-15.609739166265047</v>
      </c>
    </row>
    <row r="7" spans="1:21" ht="15.75" thickBot="1" x14ac:dyDescent="0.3">
      <c r="A7" s="45" t="s">
        <v>6</v>
      </c>
      <c r="B7" s="8">
        <v>5</v>
      </c>
      <c r="C7" s="6"/>
      <c r="F7" s="8"/>
      <c r="G7" s="65"/>
      <c r="H7" s="61">
        <v>0.41796053</v>
      </c>
      <c r="K7" s="8"/>
      <c r="L7" s="8">
        <v>1</v>
      </c>
      <c r="M7" s="6">
        <v>9</v>
      </c>
      <c r="N7">
        <v>8</v>
      </c>
      <c r="O7" s="8">
        <f t="shared" si="5"/>
        <v>17</v>
      </c>
      <c r="P7" s="32">
        <v>2.2972156552094098</v>
      </c>
      <c r="Q7" s="38">
        <v>6.7601902990093397</v>
      </c>
      <c r="R7" s="57">
        <f>Q7+P7</f>
        <v>9.0574059542187495</v>
      </c>
      <c r="S7" s="19">
        <f t="shared" si="6"/>
        <v>-10.289740951980146</v>
      </c>
      <c r="T7" s="39">
        <f t="shared" si="7"/>
        <v>-13.676759162161204</v>
      </c>
      <c r="U7" s="28">
        <f t="shared" si="8"/>
        <v>-8.7037199197924462</v>
      </c>
    </row>
    <row r="8" spans="1:21" ht="15.75" thickBot="1" x14ac:dyDescent="0.3">
      <c r="A8" s="45" t="s">
        <v>5</v>
      </c>
      <c r="B8" s="8">
        <v>6</v>
      </c>
      <c r="C8" s="6"/>
      <c r="F8" s="8"/>
      <c r="G8" s="65"/>
      <c r="H8" s="62"/>
      <c r="I8" s="64">
        <v>1.2897947700000001</v>
      </c>
      <c r="K8" s="8"/>
      <c r="L8" s="8">
        <v>1</v>
      </c>
      <c r="M8" s="6">
        <v>9</v>
      </c>
      <c r="N8">
        <v>8</v>
      </c>
      <c r="O8" s="8">
        <f t="shared" si="5"/>
        <v>17</v>
      </c>
      <c r="P8" s="32">
        <v>2.2962139637621002</v>
      </c>
      <c r="Q8" s="38">
        <v>6.61800810532299</v>
      </c>
      <c r="R8" s="57">
        <f t="shared" ref="R8:R36" si="9">Q8+P8</f>
        <v>8.9142220690850902</v>
      </c>
      <c r="S8" s="19">
        <f t="shared" si="6"/>
        <v>-10.293666220860485</v>
      </c>
      <c r="T8" s="39">
        <f t="shared" si="7"/>
        <v>-14.038121466914536</v>
      </c>
      <c r="U8" s="28">
        <f t="shared" si="8"/>
        <v>-8.9746110766092428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5"/>
      <c r="H9" s="62"/>
      <c r="I9" s="39"/>
      <c r="J9" s="63">
        <f>8.93688872</f>
        <v>8.9368887200000007</v>
      </c>
      <c r="K9" s="8"/>
      <c r="L9" s="8">
        <v>1</v>
      </c>
      <c r="M9" s="6">
        <v>9</v>
      </c>
      <c r="N9">
        <v>8</v>
      </c>
      <c r="O9" s="8">
        <f t="shared" si="5"/>
        <v>17</v>
      </c>
      <c r="P9" s="32">
        <v>2.2949590708730598</v>
      </c>
      <c r="Q9" s="38">
        <v>6.7990300438306503</v>
      </c>
      <c r="R9" s="57">
        <f t="shared" si="9"/>
        <v>9.0939891147037102</v>
      </c>
      <c r="S9" s="19">
        <f t="shared" si="6"/>
        <v>-10.298586112224811</v>
      </c>
      <c r="T9" s="39">
        <f t="shared" si="7"/>
        <v>-13.579367505244386</v>
      </c>
      <c r="U9" s="28">
        <f t="shared" si="8"/>
        <v>-8.6351946557054742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5"/>
      <c r="H10" s="62"/>
      <c r="I10" s="39"/>
      <c r="J10" s="38"/>
      <c r="K10" s="59">
        <v>11405.086710199999</v>
      </c>
      <c r="L10" s="8">
        <v>1</v>
      </c>
      <c r="M10" s="6">
        <v>9</v>
      </c>
      <c r="N10">
        <v>8</v>
      </c>
      <c r="O10" s="8">
        <f t="shared" si="5"/>
        <v>17</v>
      </c>
      <c r="P10" s="32">
        <v>2.2949402797916498</v>
      </c>
      <c r="Q10" s="38">
        <v>6.7980744200462402</v>
      </c>
      <c r="R10" s="57">
        <f t="shared" si="9"/>
        <v>9.0930146998378909</v>
      </c>
      <c r="S10" s="19">
        <f t="shared" si="6"/>
        <v>-10.298659804356063</v>
      </c>
      <c r="T10" s="39">
        <f t="shared" si="7"/>
        <v>-13.581757073465308</v>
      </c>
      <c r="U10" s="28">
        <f t="shared" si="8"/>
        <v>-8.6370162919577886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61">
        <v>0.11094002</v>
      </c>
      <c r="H11" s="61">
        <v>0.37092913</v>
      </c>
      <c r="I11" s="39"/>
      <c r="J11" s="38"/>
      <c r="K11" s="60"/>
      <c r="L11" s="8">
        <v>2</v>
      </c>
      <c r="M11" s="6">
        <v>9</v>
      </c>
      <c r="N11">
        <v>8</v>
      </c>
      <c r="O11" s="8">
        <f t="shared" si="5"/>
        <v>17</v>
      </c>
      <c r="P11" s="32">
        <v>2.3063881360758902</v>
      </c>
      <c r="Q11" s="38">
        <v>6.6406614200124103</v>
      </c>
      <c r="R11" s="57">
        <f t="shared" si="9"/>
        <v>8.9470495560883005</v>
      </c>
      <c r="S11" s="19">
        <f t="shared" si="6"/>
        <v>-8.2538766852959036</v>
      </c>
      <c r="T11" s="39">
        <f t="shared" si="7"/>
        <v>-11.980030159378909</v>
      </c>
      <c r="U11" s="28">
        <f t="shared" si="8"/>
        <v>-6.9121219191586736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61">
        <v>0.13552322</v>
      </c>
      <c r="H12" s="62"/>
      <c r="I12" s="64">
        <v>1.4875553100000001</v>
      </c>
      <c r="J12" s="38"/>
      <c r="K12" s="60"/>
      <c r="L12" s="8">
        <v>2</v>
      </c>
      <c r="M12" s="6">
        <v>9</v>
      </c>
      <c r="N12">
        <v>8</v>
      </c>
      <c r="O12" s="8">
        <f t="shared" si="5"/>
        <v>17</v>
      </c>
      <c r="P12" s="32">
        <v>2.3017613766662302</v>
      </c>
      <c r="Q12" s="38">
        <v>6.7875065135269299</v>
      </c>
      <c r="R12" s="57">
        <f t="shared" si="9"/>
        <v>9.0892678901931596</v>
      </c>
      <c r="S12" s="19">
        <f t="shared" si="6"/>
        <v>-8.2719493839201199</v>
      </c>
      <c r="T12" s="39">
        <f t="shared" si="7"/>
        <v>-11.608204885736646</v>
      </c>
      <c r="U12" s="28">
        <f t="shared" si="8"/>
        <v>-6.6440226471331272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61">
        <v>4.9504689999999997E-2</v>
      </c>
      <c r="H13" s="62"/>
      <c r="I13" s="39"/>
      <c r="J13" s="63">
        <v>21.771057890000002</v>
      </c>
      <c r="K13" s="60"/>
      <c r="L13" s="8">
        <v>2</v>
      </c>
      <c r="M13" s="6">
        <v>9</v>
      </c>
      <c r="N13">
        <v>8</v>
      </c>
      <c r="O13" s="8">
        <f t="shared" si="5"/>
        <v>17</v>
      </c>
      <c r="P13" s="32">
        <v>2.2862939471566799</v>
      </c>
      <c r="Q13" s="38">
        <v>3.4209263220338801</v>
      </c>
      <c r="R13" s="57">
        <f t="shared" si="9"/>
        <v>5.70722026919056</v>
      </c>
      <c r="S13" s="19">
        <f t="shared" si="6"/>
        <v>-8.3326319098000283</v>
      </c>
      <c r="T13" s="39">
        <f t="shared" si="7"/>
        <v>-23.256133579424432</v>
      </c>
      <c r="U13" s="28">
        <f t="shared" si="8"/>
        <v>-14.555181367772761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61">
        <f>0.120146949</f>
        <v>0.120146949</v>
      </c>
      <c r="H14" s="62"/>
      <c r="I14" s="39"/>
      <c r="J14" s="38"/>
      <c r="K14" s="59">
        <f>20041.8632</f>
        <v>20041.8632</v>
      </c>
      <c r="L14" s="8">
        <v>2</v>
      </c>
      <c r="M14" s="6">
        <v>9</v>
      </c>
      <c r="N14">
        <v>8</v>
      </c>
      <c r="O14" s="8">
        <f t="shared" si="5"/>
        <v>17</v>
      </c>
      <c r="P14" s="32">
        <v>2.2989409816578799</v>
      </c>
      <c r="Q14" s="38">
        <v>6.8076583354089601</v>
      </c>
      <c r="R14" s="57">
        <f t="shared" si="9"/>
        <v>9.1065993170668396</v>
      </c>
      <c r="S14" s="19">
        <f t="shared" si="6"/>
        <v>-8.2829840287538818</v>
      </c>
      <c r="T14" s="39">
        <f t="shared" si="7"/>
        <v>-11.557807376518912</v>
      </c>
      <c r="U14" s="28">
        <f t="shared" si="8"/>
        <v>-6.6116378926613422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5"/>
      <c r="H15" s="61">
        <v>0.20883366</v>
      </c>
      <c r="I15" s="64">
        <v>1.08260942</v>
      </c>
      <c r="J15" s="38"/>
      <c r="K15" s="60"/>
      <c r="L15" s="8">
        <v>2</v>
      </c>
      <c r="M15" s="6">
        <v>9</v>
      </c>
      <c r="N15">
        <v>8</v>
      </c>
      <c r="O15" s="8">
        <f t="shared" si="5"/>
        <v>17</v>
      </c>
      <c r="P15" s="32">
        <v>2.28107508079027</v>
      </c>
      <c r="Q15" s="38">
        <v>6.4552880564706898</v>
      </c>
      <c r="R15" s="57">
        <f t="shared" si="9"/>
        <v>8.7363631372609589</v>
      </c>
      <c r="S15" s="19">
        <f t="shared" si="6"/>
        <v>-8.3531994695711038</v>
      </c>
      <c r="T15" s="39">
        <f t="shared" si="7"/>
        <v>-12.461332822286693</v>
      </c>
      <c r="U15" s="28">
        <f t="shared" si="8"/>
        <v>-7.3172290861305616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5"/>
      <c r="H16" s="61">
        <v>0.12508063999999999</v>
      </c>
      <c r="I16" s="39"/>
      <c r="J16" s="63">
        <v>25.162778549999999</v>
      </c>
      <c r="K16" s="60"/>
      <c r="L16" s="8">
        <v>2</v>
      </c>
      <c r="M16" s="6">
        <v>9</v>
      </c>
      <c r="N16">
        <v>8</v>
      </c>
      <c r="O16" s="8">
        <f t="shared" si="5"/>
        <v>17</v>
      </c>
      <c r="P16" s="32">
        <v>2.29321275952167</v>
      </c>
      <c r="Q16" s="38">
        <v>3.4053872912608698</v>
      </c>
      <c r="R16" s="57">
        <f t="shared" si="9"/>
        <v>5.6986000507825398</v>
      </c>
      <c r="S16" s="19">
        <f t="shared" si="6"/>
        <v>-8.3054371210808142</v>
      </c>
      <c r="T16" s="39">
        <f t="shared" si="7"/>
        <v>-23.333529372932492</v>
      </c>
      <c r="U16" s="28">
        <f t="shared" si="8"/>
        <v>-14.580877676626823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5"/>
      <c r="H17" s="61">
        <f>0.348857567</f>
        <v>0.34885756699999998</v>
      </c>
      <c r="I17" s="39"/>
      <c r="J17" s="38"/>
      <c r="K17" s="59">
        <f>69361.7207</f>
        <v>69361.720700000005</v>
      </c>
      <c r="L17" s="8">
        <v>2</v>
      </c>
      <c r="M17" s="6">
        <v>9</v>
      </c>
      <c r="N17">
        <v>8</v>
      </c>
      <c r="O17" s="8">
        <f t="shared" si="5"/>
        <v>17</v>
      </c>
      <c r="P17" s="32">
        <v>2.2979362703186301</v>
      </c>
      <c r="Q17" s="38">
        <v>6.77268433841191</v>
      </c>
      <c r="R17" s="57">
        <f t="shared" si="9"/>
        <v>9.0706206087305397</v>
      </c>
      <c r="S17" s="19">
        <f t="shared" si="6"/>
        <v>-8.2869181787002812</v>
      </c>
      <c r="T17" s="39">
        <f t="shared" si="7"/>
        <v>-11.645369123328884</v>
      </c>
      <c r="U17" s="28">
        <f t="shared" si="8"/>
        <v>-6.6789351848724952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5"/>
      <c r="H18" s="62"/>
      <c r="I18" s="64">
        <v>2.28906944</v>
      </c>
      <c r="J18" s="63">
        <v>30.322038280000001</v>
      </c>
      <c r="K18" s="60"/>
      <c r="L18" s="8">
        <v>2</v>
      </c>
      <c r="M18" s="6">
        <v>9</v>
      </c>
      <c r="N18">
        <v>8</v>
      </c>
      <c r="O18" s="8">
        <f t="shared" si="5"/>
        <v>17</v>
      </c>
      <c r="P18" s="32">
        <v>2.3094708302592402</v>
      </c>
      <c r="Q18" s="38">
        <v>3.95819151650903</v>
      </c>
      <c r="R18" s="57">
        <f t="shared" si="9"/>
        <v>6.2676623467682706</v>
      </c>
      <c r="S18" s="19">
        <f t="shared" si="6"/>
        <v>-8.2418554116922937</v>
      </c>
      <c r="T18" s="39">
        <f t="shared" si="7"/>
        <v>-20.776243884512606</v>
      </c>
      <c r="U18" s="28">
        <f t="shared" si="8"/>
        <v>-12.962768136574411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5"/>
      <c r="H19" s="62"/>
      <c r="I19" s="64">
        <v>1.4029850699999999</v>
      </c>
      <c r="J19" s="38"/>
      <c r="K19" s="59">
        <f>41580.355</f>
        <v>41580.355000000003</v>
      </c>
      <c r="L19" s="8">
        <v>2</v>
      </c>
      <c r="M19" s="6">
        <v>9</v>
      </c>
      <c r="N19">
        <v>8</v>
      </c>
      <c r="O19" s="8">
        <f t="shared" si="5"/>
        <v>17</v>
      </c>
      <c r="P19" s="32">
        <v>2.2848607618093801</v>
      </c>
      <c r="Q19" s="38">
        <v>6.7653329570991003</v>
      </c>
      <c r="R19" s="57">
        <f t="shared" si="9"/>
        <v>9.0501937189084813</v>
      </c>
      <c r="S19" s="19">
        <f t="shared" si="6"/>
        <v>-8.3382754153777512</v>
      </c>
      <c r="T19" s="39">
        <f t="shared" si="7"/>
        <v>-11.663831722670187</v>
      </c>
      <c r="U19" s="28">
        <f t="shared" si="8"/>
        <v>-6.7172620798767682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5"/>
      <c r="H20" s="62"/>
      <c r="I20" s="39"/>
      <c r="J20" s="63">
        <f>11.0677039</f>
        <v>11.0677039</v>
      </c>
      <c r="K20" s="59">
        <f>231974.6</f>
        <v>231974.6</v>
      </c>
      <c r="L20" s="8">
        <v>2</v>
      </c>
      <c r="M20" s="6">
        <v>9</v>
      </c>
      <c r="N20">
        <v>8</v>
      </c>
      <c r="O20" s="8">
        <f t="shared" si="5"/>
        <v>17</v>
      </c>
      <c r="P20" s="32">
        <v>2.3092017563687901</v>
      </c>
      <c r="Q20" s="38">
        <v>5.5243892472800704</v>
      </c>
      <c r="R20" s="57">
        <f t="shared" si="9"/>
        <v>7.833591003648861</v>
      </c>
      <c r="S20" s="19">
        <f t="shared" si="6"/>
        <v>-8.2429040528208297</v>
      </c>
      <c r="T20" s="39">
        <f t="shared" si="7"/>
        <v>-15.108690986105508</v>
      </c>
      <c r="U20" s="28">
        <f t="shared" si="8"/>
        <v>-9.1714694065504183</v>
      </c>
    </row>
    <row r="21" spans="1:21" ht="15.75" thickBot="1" x14ac:dyDescent="0.3">
      <c r="A21" s="45" t="s">
        <v>30</v>
      </c>
      <c r="B21" s="8">
        <v>19</v>
      </c>
      <c r="C21" s="6"/>
      <c r="G21" s="61">
        <v>0.40792372999999998</v>
      </c>
      <c r="H21" s="61">
        <v>0.15555933</v>
      </c>
      <c r="I21" s="64">
        <v>1.6827504799999999</v>
      </c>
      <c r="J21" s="38"/>
      <c r="K21" s="60"/>
      <c r="L21" s="8">
        <v>3</v>
      </c>
      <c r="M21" s="6">
        <v>9</v>
      </c>
      <c r="N21">
        <v>8</v>
      </c>
      <c r="O21" s="8">
        <f t="shared" si="5"/>
        <v>17</v>
      </c>
      <c r="P21" s="32">
        <v>2.3095454478989601</v>
      </c>
      <c r="Q21" s="38">
        <v>6.9956390051869199</v>
      </c>
      <c r="R21" s="57">
        <f t="shared" si="9"/>
        <v>9.3051844530858805</v>
      </c>
      <c r="S21" s="19">
        <f t="shared" si="6"/>
        <v>-6.2415646317005802</v>
      </c>
      <c r="T21" s="39">
        <f t="shared" si="7"/>
        <v>-9.0947486028780524</v>
      </c>
      <c r="U21" s="28">
        <f t="shared" si="8"/>
        <v>-4.2449077295645825</v>
      </c>
    </row>
    <row r="22" spans="1:21" ht="15.75" thickBot="1" x14ac:dyDescent="0.3">
      <c r="A22" s="45" t="s">
        <v>36</v>
      </c>
      <c r="B22" s="8">
        <v>20</v>
      </c>
      <c r="C22" s="6"/>
      <c r="G22" s="61">
        <f>0.07955658</f>
        <v>7.9556580000000002E-2</v>
      </c>
      <c r="H22" s="61">
        <f>0.21229291</f>
        <v>0.21229291</v>
      </c>
      <c r="I22" s="39"/>
      <c r="J22" s="63">
        <f>22.3036349</f>
        <v>22.303634899999999</v>
      </c>
      <c r="K22" s="60"/>
      <c r="L22" s="8">
        <v>3</v>
      </c>
      <c r="M22" s="6">
        <v>9</v>
      </c>
      <c r="N22">
        <v>8</v>
      </c>
      <c r="O22" s="8">
        <f t="shared" si="5"/>
        <v>17</v>
      </c>
      <c r="P22" s="32">
        <v>2.2951605920967202</v>
      </c>
      <c r="Q22" s="38">
        <v>3.4102381000752602</v>
      </c>
      <c r="R22" s="57">
        <f t="shared" si="9"/>
        <v>5.7053986921719808</v>
      </c>
      <c r="S22" s="19">
        <f t="shared" si="6"/>
        <v>-6.2977958535181635</v>
      </c>
      <c r="T22" s="39">
        <f t="shared" si="7"/>
        <v>-21.309330929199565</v>
      </c>
      <c r="U22" s="28">
        <f t="shared" si="8"/>
        <v>-12.560608134351693</v>
      </c>
    </row>
    <row r="23" spans="1:21" ht="15.75" thickBot="1" x14ac:dyDescent="0.3">
      <c r="A23" s="45" t="s">
        <v>37</v>
      </c>
      <c r="B23" s="8">
        <v>21</v>
      </c>
      <c r="C23" s="6"/>
      <c r="G23" s="61">
        <f>0.239635245</f>
        <v>0.239635245</v>
      </c>
      <c r="H23" s="61">
        <f>0.175725749</f>
        <v>0.17572574899999999</v>
      </c>
      <c r="I23" s="39"/>
      <c r="J23" s="38"/>
      <c r="K23" s="59">
        <f>122682.605</f>
        <v>122682.605</v>
      </c>
      <c r="L23" s="8">
        <v>3</v>
      </c>
      <c r="M23" s="6">
        <v>9</v>
      </c>
      <c r="N23">
        <v>8</v>
      </c>
      <c r="O23" s="8">
        <f t="shared" si="5"/>
        <v>17</v>
      </c>
      <c r="P23" s="32">
        <v>2.2825172637145199</v>
      </c>
      <c r="Q23" s="38">
        <v>6.8188386943300898</v>
      </c>
      <c r="R23" s="57">
        <f t="shared" si="9"/>
        <v>9.1013559580446106</v>
      </c>
      <c r="S23" s="19">
        <f t="shared" si="6"/>
        <v>-6.3475111232989132</v>
      </c>
      <c r="T23" s="39">
        <f t="shared" si="7"/>
        <v>-9.5299108241041388</v>
      </c>
      <c r="U23" s="28">
        <f t="shared" si="8"/>
        <v>-4.621428899338925</v>
      </c>
    </row>
    <row r="24" spans="1:21" ht="15.75" thickBot="1" x14ac:dyDescent="0.3">
      <c r="A24" s="45" t="s">
        <v>38</v>
      </c>
      <c r="B24" s="8">
        <v>22</v>
      </c>
      <c r="C24" s="6"/>
      <c r="G24" s="61">
        <f>0.10455292</f>
        <v>0.10455291999999999</v>
      </c>
      <c r="H24" s="62"/>
      <c r="I24" s="64">
        <f>1.98948843</f>
        <v>1.98948843</v>
      </c>
      <c r="J24" s="63">
        <f>24.08632201</f>
        <v>24.08632201</v>
      </c>
      <c r="K24" s="60"/>
      <c r="L24" s="8">
        <v>3</v>
      </c>
      <c r="M24" s="6">
        <v>9</v>
      </c>
      <c r="N24">
        <v>8</v>
      </c>
      <c r="O24" s="8">
        <f t="shared" si="5"/>
        <v>17</v>
      </c>
      <c r="P24" s="32">
        <v>2.3029785366853801</v>
      </c>
      <c r="Q24" s="38">
        <v>3.7727689619810598</v>
      </c>
      <c r="R24" s="57">
        <f t="shared" si="9"/>
        <v>6.0757474986664395</v>
      </c>
      <c r="S24" s="19">
        <f t="shared" si="6"/>
        <v>-6.2671914863477927</v>
      </c>
      <c r="T24" s="39">
        <f t="shared" si="7"/>
        <v>-19.591870371760645</v>
      </c>
      <c r="U24" s="28">
        <f t="shared" si="8"/>
        <v>-11.491441394967872</v>
      </c>
    </row>
    <row r="25" spans="1:21" ht="15.75" thickBot="1" x14ac:dyDescent="0.3">
      <c r="A25" s="45" t="s">
        <v>47</v>
      </c>
      <c r="B25" s="8">
        <v>23</v>
      </c>
      <c r="C25" s="6"/>
      <c r="G25" s="61">
        <f>0.104217922</f>
        <v>0.104217922</v>
      </c>
      <c r="H25" s="62"/>
      <c r="I25" s="64">
        <f>1.31140843</f>
        <v>1.31140843</v>
      </c>
      <c r="J25" s="38"/>
      <c r="K25" s="59">
        <f>36621.5396</f>
        <v>36621.539599999996</v>
      </c>
      <c r="L25" s="8">
        <v>3</v>
      </c>
      <c r="M25" s="6">
        <v>9</v>
      </c>
      <c r="N25">
        <v>8</v>
      </c>
      <c r="O25" s="8">
        <f t="shared" si="5"/>
        <v>17</v>
      </c>
      <c r="P25" s="32">
        <v>2.2907112107923799</v>
      </c>
      <c r="Q25" s="38">
        <v>6.6939588136066099</v>
      </c>
      <c r="R25" s="57">
        <f t="shared" si="9"/>
        <v>8.9846700243989908</v>
      </c>
      <c r="S25" s="19">
        <f t="shared" si="6"/>
        <v>-6.3152601203034848</v>
      </c>
      <c r="T25" s="39">
        <f t="shared" si="7"/>
        <v>-9.8441341983198267</v>
      </c>
      <c r="U25" s="28">
        <f t="shared" si="8"/>
        <v>-4.8407903442090152</v>
      </c>
    </row>
    <row r="26" spans="1:21" ht="15.75" thickBot="1" x14ac:dyDescent="0.3">
      <c r="A26" s="45" t="s">
        <v>51</v>
      </c>
      <c r="B26" s="8">
        <v>24</v>
      </c>
      <c r="C26" s="6"/>
      <c r="G26" s="61">
        <f>0.100169923</f>
        <v>0.10016992299999999</v>
      </c>
      <c r="H26" s="62"/>
      <c r="I26" s="39"/>
      <c r="J26" s="63">
        <f>11.1977174</f>
        <v>11.1977174</v>
      </c>
      <c r="K26" s="59">
        <f>383638.943</f>
        <v>383638.94300000003</v>
      </c>
      <c r="L26" s="8">
        <v>3</v>
      </c>
      <c r="M26" s="6">
        <v>9</v>
      </c>
      <c r="N26">
        <v>8</v>
      </c>
      <c r="O26" s="8">
        <f t="shared" si="5"/>
        <v>17</v>
      </c>
      <c r="P26" s="32">
        <v>2.3047984840222502</v>
      </c>
      <c r="Q26" s="38">
        <v>5.5332888596647001</v>
      </c>
      <c r="R26" s="57">
        <f t="shared" si="9"/>
        <v>7.8380873436869507</v>
      </c>
      <c r="S26" s="19">
        <f t="shared" ref="S26:S36" si="10">M26*LN(P26/M26)+2*L26</f>
        <v>-6.2600819726669101</v>
      </c>
      <c r="T26" s="39">
        <f t="shared" ref="T26:T36" si="11">O26*LN(Q26/O26)+2*L26</f>
        <v>-13.081326571670079</v>
      </c>
      <c r="U26" s="28">
        <f t="shared" ref="U26:U36" si="12">O26*LN(R26/O26)+2*L26</f>
        <v>-7.1617145122690573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5"/>
      <c r="H27" s="61">
        <f>0.11335819</f>
        <v>0.11335819</v>
      </c>
      <c r="I27" s="64">
        <f>1.24385797</f>
        <v>1.2438579700000001</v>
      </c>
      <c r="J27" s="63">
        <f>21.59661863</f>
        <v>21.596618629999998</v>
      </c>
      <c r="K27" s="60"/>
      <c r="L27" s="8">
        <v>3</v>
      </c>
      <c r="M27" s="6">
        <v>9</v>
      </c>
      <c r="N27">
        <v>8</v>
      </c>
      <c r="O27" s="8">
        <f t="shared" ref="O27:O34" si="13">N27+M27</f>
        <v>17</v>
      </c>
      <c r="P27" s="32">
        <v>2.3009788516239098</v>
      </c>
      <c r="Q27" s="38">
        <v>3.2914154816686301</v>
      </c>
      <c r="R27" s="57">
        <f t="shared" si="9"/>
        <v>5.5923943332925399</v>
      </c>
      <c r="S27" s="19">
        <f t="shared" si="10"/>
        <v>-6.2750096154775967</v>
      </c>
      <c r="T27" s="39">
        <f t="shared" si="11"/>
        <v>-21.912225781660783</v>
      </c>
      <c r="U27" s="28">
        <f t="shared" si="12"/>
        <v>-12.90069901161112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5"/>
      <c r="H28" s="61">
        <f>0.288232625</f>
        <v>0.28823262500000002</v>
      </c>
      <c r="I28" s="64">
        <v>1.2767002000000001</v>
      </c>
      <c r="J28" s="38"/>
      <c r="K28" s="59">
        <f>30943.2175</f>
        <v>30943.217499999999</v>
      </c>
      <c r="L28" s="8">
        <v>3</v>
      </c>
      <c r="M28" s="6">
        <v>9</v>
      </c>
      <c r="N28">
        <v>8</v>
      </c>
      <c r="O28" s="8">
        <f t="shared" si="13"/>
        <v>17</v>
      </c>
      <c r="P28" s="32">
        <v>2.2918049499187299</v>
      </c>
      <c r="Q28" s="38">
        <v>6.6759649715652198</v>
      </c>
      <c r="R28" s="57">
        <f t="shared" si="9"/>
        <v>8.9677699214839492</v>
      </c>
      <c r="S28" s="19">
        <f t="shared" si="10"/>
        <v>-6.3109639424052091</v>
      </c>
      <c r="T28" s="39">
        <f t="shared" si="11"/>
        <v>-9.8898929482286775</v>
      </c>
      <c r="U28" s="28">
        <f t="shared" si="12"/>
        <v>-4.8727973399478408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5"/>
      <c r="H29" s="61">
        <f>0.129378192</f>
        <v>0.129378192</v>
      </c>
      <c r="I29" s="39"/>
      <c r="J29" s="63">
        <f>24.5419309</f>
        <v>24.541930900000001</v>
      </c>
      <c r="K29" s="59">
        <f>61938.0527</f>
        <v>61938.0527</v>
      </c>
      <c r="L29" s="8">
        <v>3</v>
      </c>
      <c r="M29" s="6">
        <v>9</v>
      </c>
      <c r="N29">
        <v>8</v>
      </c>
      <c r="O29" s="8">
        <f t="shared" si="13"/>
        <v>17</v>
      </c>
      <c r="P29" s="32">
        <v>2.2955755535504698</v>
      </c>
      <c r="Q29" s="38">
        <v>3.3993172100327498</v>
      </c>
      <c r="R29" s="57">
        <f t="shared" si="9"/>
        <v>5.6948927635832192</v>
      </c>
      <c r="S29" s="19">
        <f t="shared" si="10"/>
        <v>-6.2961688146401151</v>
      </c>
      <c r="T29" s="39">
        <f t="shared" si="11"/>
        <v>-21.363858804057546</v>
      </c>
      <c r="U29" s="28">
        <f t="shared" si="12"/>
        <v>-12.591940813390856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5"/>
      <c r="H30" s="62"/>
      <c r="I30" s="64">
        <f>2.15649183</f>
        <v>2.1564918300000002</v>
      </c>
      <c r="J30" s="63">
        <f>27.3273441</f>
        <v>27.327344100000001</v>
      </c>
      <c r="K30" s="59">
        <f>620040.542</f>
        <v>620040.54200000002</v>
      </c>
      <c r="L30" s="8">
        <v>3</v>
      </c>
      <c r="M30" s="6">
        <v>9</v>
      </c>
      <c r="N30">
        <v>8</v>
      </c>
      <c r="O30" s="8">
        <f t="shared" si="13"/>
        <v>17</v>
      </c>
      <c r="P30" s="32">
        <v>2.3097166885400999</v>
      </c>
      <c r="Q30" s="38">
        <v>3.8440853117257698</v>
      </c>
      <c r="R30" s="57">
        <f t="shared" si="9"/>
        <v>6.1538020002658698</v>
      </c>
      <c r="S30" s="19">
        <f t="shared" si="10"/>
        <v>-6.2408973537997223</v>
      </c>
      <c r="T30" s="39">
        <f t="shared" si="11"/>
        <v>-19.273520215195703</v>
      </c>
      <c r="U30" s="28">
        <f t="shared" si="12"/>
        <v>-11.27443511104893</v>
      </c>
    </row>
    <row r="31" spans="1:21" ht="15.75" thickBot="1" x14ac:dyDescent="0.3">
      <c r="A31" s="45" t="s">
        <v>40</v>
      </c>
      <c r="B31" s="8">
        <v>29</v>
      </c>
      <c r="C31" s="6"/>
      <c r="G31" s="61">
        <f>0.09124867</f>
        <v>9.1248670000000004E-2</v>
      </c>
      <c r="H31" s="61">
        <f>0.48088753</f>
        <v>0.48088753000000001</v>
      </c>
      <c r="I31" s="64">
        <f>2.14191152</f>
        <v>2.1419115199999998</v>
      </c>
      <c r="J31" s="63">
        <f>24.45995765</f>
        <v>24.45995765</v>
      </c>
      <c r="K31" s="60"/>
      <c r="L31" s="8">
        <v>4</v>
      </c>
      <c r="M31" s="6">
        <v>9</v>
      </c>
      <c r="N31">
        <v>8</v>
      </c>
      <c r="O31" s="8">
        <f t="shared" si="13"/>
        <v>17</v>
      </c>
      <c r="P31" s="32">
        <v>2.3043601193798602</v>
      </c>
      <c r="Q31" s="38">
        <v>3.84375656043458</v>
      </c>
      <c r="R31" s="57">
        <f t="shared" si="9"/>
        <v>6.1481166798144402</v>
      </c>
      <c r="S31" s="19">
        <f t="shared" si="10"/>
        <v>-4.2617939041202941</v>
      </c>
      <c r="T31" s="39">
        <f t="shared" si="11"/>
        <v>-17.274974139989311</v>
      </c>
      <c r="U31" s="28">
        <f t="shared" si="12"/>
        <v>-9.290148181029096</v>
      </c>
    </row>
    <row r="32" spans="1:21" ht="15.75" thickBot="1" x14ac:dyDescent="0.3">
      <c r="A32" s="45" t="s">
        <v>41</v>
      </c>
      <c r="B32" s="8">
        <v>30</v>
      </c>
      <c r="C32" s="6"/>
      <c r="G32" s="61">
        <f>0.110795855</f>
        <v>0.110795855</v>
      </c>
      <c r="H32" s="61">
        <f>0.242929366</f>
        <v>0.24292936600000001</v>
      </c>
      <c r="I32" s="64">
        <f>1.12166269</f>
        <v>1.12166269</v>
      </c>
      <c r="J32" s="38"/>
      <c r="K32" s="59">
        <f>120701.704</f>
        <v>120701.704</v>
      </c>
      <c r="L32" s="8">
        <v>4</v>
      </c>
      <c r="M32" s="6">
        <v>9</v>
      </c>
      <c r="N32">
        <v>8</v>
      </c>
      <c r="O32" s="8">
        <f t="shared" si="13"/>
        <v>17</v>
      </c>
      <c r="P32" s="32">
        <v>2.2819071438227101</v>
      </c>
      <c r="Q32" s="38">
        <v>6.5409075841112596</v>
      </c>
      <c r="R32" s="57">
        <f t="shared" si="9"/>
        <v>8.8228147279339701</v>
      </c>
      <c r="S32" s="19">
        <f t="shared" si="10"/>
        <v>-4.3499171568175861</v>
      </c>
      <c r="T32" s="39">
        <f t="shared" si="11"/>
        <v>-8.2373360360694186</v>
      </c>
      <c r="U32" s="28">
        <f t="shared" si="12"/>
        <v>-3.1498307115569535</v>
      </c>
    </row>
    <row r="33" spans="1:21" ht="15.75" thickBot="1" x14ac:dyDescent="0.3">
      <c r="A33" s="45" t="s">
        <v>54</v>
      </c>
      <c r="B33" s="8">
        <v>31</v>
      </c>
      <c r="C33" s="6"/>
      <c r="G33" s="61">
        <f>0.147972971</f>
        <v>0.14797297100000001</v>
      </c>
      <c r="H33" s="61">
        <f>0.108316309</f>
        <v>0.108316309</v>
      </c>
      <c r="I33" s="39"/>
      <c r="J33" s="63">
        <f>23.5896292</f>
        <v>23.589629200000001</v>
      </c>
      <c r="K33" s="59">
        <f>28494.6642</f>
        <v>28494.664199999999</v>
      </c>
      <c r="L33" s="8">
        <v>4</v>
      </c>
      <c r="M33" s="6">
        <v>9</v>
      </c>
      <c r="N33">
        <v>8</v>
      </c>
      <c r="O33" s="8">
        <f t="shared" si="13"/>
        <v>17</v>
      </c>
      <c r="P33" s="32">
        <v>2.2943774977395899</v>
      </c>
      <c r="Q33" s="38">
        <v>3.3992236321645399</v>
      </c>
      <c r="R33" s="57">
        <f t="shared" si="9"/>
        <v>5.6936011299041294</v>
      </c>
      <c r="S33" s="19">
        <f t="shared" si="10"/>
        <v>-4.3008671208852096</v>
      </c>
      <c r="T33" s="39">
        <f t="shared" si="11"/>
        <v>-19.364326793820823</v>
      </c>
      <c r="U33" s="28">
        <f t="shared" si="12"/>
        <v>-10.595796946228798</v>
      </c>
    </row>
    <row r="34" spans="1:21" ht="15.75" thickBot="1" x14ac:dyDescent="0.3">
      <c r="A34" s="45" t="s">
        <v>42</v>
      </c>
      <c r="B34" s="8">
        <v>32</v>
      </c>
      <c r="C34" s="6"/>
      <c r="G34" s="61">
        <f>0.184936921</f>
        <v>0.184936921</v>
      </c>
      <c r="H34" s="62"/>
      <c r="I34" s="64">
        <f>2.572294</f>
        <v>2.5722939999999999</v>
      </c>
      <c r="J34" s="63">
        <f>28.778573</f>
        <v>28.778573000000002</v>
      </c>
      <c r="K34" s="59">
        <f>430055.988</f>
        <v>430055.98800000001</v>
      </c>
      <c r="L34" s="8">
        <v>4</v>
      </c>
      <c r="M34" s="6">
        <v>9</v>
      </c>
      <c r="N34">
        <v>8</v>
      </c>
      <c r="O34" s="8">
        <f t="shared" si="13"/>
        <v>17</v>
      </c>
      <c r="P34" s="32">
        <v>2.3105909144803198</v>
      </c>
      <c r="Q34" s="38">
        <v>4.0069984795323199</v>
      </c>
      <c r="R34" s="57">
        <f t="shared" si="9"/>
        <v>6.3175893940126393</v>
      </c>
      <c r="S34" s="19">
        <f t="shared" si="10"/>
        <v>-4.2374915054312137</v>
      </c>
      <c r="T34" s="39">
        <f t="shared" si="11"/>
        <v>-16.567905161537688</v>
      </c>
      <c r="U34" s="28">
        <f t="shared" si="12"/>
        <v>-8.8278857721599415</v>
      </c>
    </row>
    <row r="35" spans="1:21" ht="15.75" thickBot="1" x14ac:dyDescent="0.3">
      <c r="A35" s="45" t="s">
        <v>55</v>
      </c>
      <c r="B35" s="8">
        <v>33</v>
      </c>
      <c r="C35" s="6"/>
      <c r="F35" s="8"/>
      <c r="G35" s="65"/>
      <c r="H35" s="61">
        <f>0.121285913</f>
        <v>0.121285913</v>
      </c>
      <c r="I35" s="64">
        <f>1.30578645</f>
        <v>1.30578645</v>
      </c>
      <c r="J35" s="63">
        <f>23.6884979</f>
        <v>23.688497900000002</v>
      </c>
      <c r="K35" s="59">
        <f>635812.044</f>
        <v>635812.04399999999</v>
      </c>
      <c r="L35" s="8">
        <v>4</v>
      </c>
      <c r="M35" s="6">
        <v>9</v>
      </c>
      <c r="N35">
        <v>8</v>
      </c>
      <c r="O35" s="8">
        <f t="shared" si="5"/>
        <v>17</v>
      </c>
      <c r="P35" s="32">
        <v>2.30074777110887</v>
      </c>
      <c r="Q35" s="38">
        <v>3.33116483396857</v>
      </c>
      <c r="R35" s="57">
        <f t="shared" si="9"/>
        <v>5.6319126050774404</v>
      </c>
      <c r="S35" s="19">
        <f t="shared" si="10"/>
        <v>-4.2759135043035137</v>
      </c>
      <c r="T35" s="39">
        <f t="shared" si="11"/>
        <v>-19.708152121063943</v>
      </c>
      <c r="U35" s="28">
        <f t="shared" si="12"/>
        <v>-10.780992129049221</v>
      </c>
    </row>
    <row r="36" spans="1:21" ht="15.75" thickBot="1" x14ac:dyDescent="0.3">
      <c r="A36" s="46" t="s">
        <v>43</v>
      </c>
      <c r="B36" s="4">
        <v>34</v>
      </c>
      <c r="C36" s="2"/>
      <c r="D36" s="5"/>
      <c r="E36" s="5"/>
      <c r="F36" s="5"/>
      <c r="G36" s="61">
        <f>0.0693434832</f>
        <v>6.93434832E-2</v>
      </c>
      <c r="H36" s="61">
        <f>0.244410327</f>
        <v>0.24441032700000001</v>
      </c>
      <c r="I36" s="64">
        <f>1.40445514</f>
        <v>1.40445514</v>
      </c>
      <c r="J36" s="63">
        <f>23.520731</f>
        <v>23.520731000000001</v>
      </c>
      <c r="K36" s="59">
        <f>542885.107</f>
        <v>542885.10699999996</v>
      </c>
      <c r="L36" s="4">
        <v>5</v>
      </c>
      <c r="M36" s="2">
        <v>9</v>
      </c>
      <c r="N36" s="5">
        <v>8</v>
      </c>
      <c r="O36" s="4">
        <f t="shared" si="5"/>
        <v>17</v>
      </c>
      <c r="P36" s="34">
        <v>2.29890842529394</v>
      </c>
      <c r="Q36" s="33">
        <v>3.4111919436565099</v>
      </c>
      <c r="R36" s="58">
        <f t="shared" si="9"/>
        <v>5.7101003689504495</v>
      </c>
      <c r="S36" s="20">
        <f t="shared" si="10"/>
        <v>-2.2831114828088239</v>
      </c>
      <c r="T36" s="1">
        <f t="shared" si="11"/>
        <v>-17.304576694124819</v>
      </c>
      <c r="U36" s="29">
        <f t="shared" si="12"/>
        <v>-8.5466046274834326</v>
      </c>
    </row>
    <row r="37" spans="1:21" x14ac:dyDescent="0.25">
      <c r="S37" s="39"/>
      <c r="T37" s="39"/>
      <c r="U37" s="39"/>
    </row>
    <row r="38" spans="1:21" x14ac:dyDescent="0.25">
      <c r="S38" s="39"/>
      <c r="T38" s="39"/>
      <c r="U38" s="39"/>
    </row>
    <row r="39" spans="1:21" x14ac:dyDescent="0.25">
      <c r="S39" s="39"/>
      <c r="T39" s="39"/>
      <c r="U39" s="39"/>
    </row>
    <row r="40" spans="1:21" x14ac:dyDescent="0.25">
      <c r="S40" s="39"/>
      <c r="T40" s="39"/>
      <c r="U40" s="39"/>
    </row>
    <row r="41" spans="1:21" x14ac:dyDescent="0.25">
      <c r="S41" s="39"/>
      <c r="T41" s="39"/>
      <c r="U41" s="39"/>
    </row>
    <row r="42" spans="1:21" x14ac:dyDescent="0.25">
      <c r="S42" s="39"/>
      <c r="T42" s="39"/>
      <c r="U42" s="39"/>
    </row>
    <row r="43" spans="1:21" x14ac:dyDescent="0.25">
      <c r="S43" s="39"/>
      <c r="T43" s="39"/>
      <c r="U43" s="39"/>
    </row>
  </sheetData>
  <mergeCells count="5">
    <mergeCell ref="A1:B1"/>
    <mergeCell ref="P1:U1"/>
    <mergeCell ref="C1:F1"/>
    <mergeCell ref="G1:K1"/>
    <mergeCell ref="M1:O1"/>
  </mergeCells>
  <conditionalFormatting sqref="L1:L2 L37:L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{CAF58EAA-B9E2-4BD9-B9D8-E3F041C4B3D8}</x14:id>
        </ext>
      </extLst>
    </cfRule>
  </conditionalFormatting>
  <conditionalFormatting sqref="P3:P5">
    <cfRule type="top10" dxfId="161" priority="7" bottom="1" rank="1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6">
    <cfRule type="top10" dxfId="160" priority="4" bottom="1" rank="1"/>
  </conditionalFormatting>
  <conditionalFormatting sqref="P6:P43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159" priority="6" bottom="1" rank="1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6">
    <cfRule type="top10" dxfId="158" priority="3" bottom="1" rank="1"/>
  </conditionalFormatting>
  <conditionalFormatting sqref="Q6:Q43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4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top10" dxfId="157" priority="5" bottom="1" rank="1"/>
    <cfRule type="colorScale" priority="1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3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56" priority="2" bottom="1" rank="1"/>
  </conditionalFormatting>
  <conditionalFormatting sqref="S3:S36">
    <cfRule type="top10" dxfId="155" priority="192" bottom="1" rank="1"/>
  </conditionalFormatting>
  <conditionalFormatting sqref="S3:S43"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4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54" priority="13" bottom="1" rank="1"/>
  </conditionalFormatting>
  <conditionalFormatting sqref="S41:S43">
    <cfRule type="top10" dxfId="153" priority="10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4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6">
    <cfRule type="top10" dxfId="152" priority="200" bottom="1" rank="1"/>
  </conditionalFormatting>
  <conditionalFormatting sqref="T3:T43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4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51" priority="12" bottom="1" rank="1"/>
  </conditionalFormatting>
  <conditionalFormatting sqref="T41:T43">
    <cfRule type="top10" dxfId="150" priority="9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6">
    <cfRule type="top10" dxfId="149" priority="206" bottom="1" rank="1"/>
  </conditionalFormatting>
  <conditionalFormatting sqref="U3:U43">
    <cfRule type="colorScale" priority="20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40">
    <cfRule type="top10" dxfId="148" priority="11" bottom="1" rank="1"/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1:U43">
    <cfRule type="top10" dxfId="147" priority="8" bottom="1" rank="1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F58EAA-B9E2-4BD9-B9D8-E3F041C4B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 L37:L1048576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958-5D81-4C8C-B9A7-3E4E532FAD66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307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{54CB0943-B5F1-4FF0-82C2-EA5754971C27}</x14:id>
        </ext>
      </extLst>
    </cfRule>
  </conditionalFormatting>
  <conditionalFormatting sqref="P3:P5">
    <cfRule type="top10" dxfId="50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49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48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47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46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45" priority="3" bottom="1" rank="1"/>
  </conditionalFormatting>
  <conditionalFormatting sqref="S3:S35">
    <cfRule type="top10" dxfId="44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43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42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41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40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39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CB0943-B5F1-4FF0-82C2-EA5754971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1A0E-C25E-4223-97E1-E3FB8AFB84D2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308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{17C32E19-C440-4C84-98C2-9B3505AB76C1}</x14:id>
        </ext>
      </extLst>
    </cfRule>
  </conditionalFormatting>
  <conditionalFormatting sqref="P3:P5">
    <cfRule type="top10" dxfId="38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37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36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35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34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33" priority="3" bottom="1" rank="1"/>
  </conditionalFormatting>
  <conditionalFormatting sqref="S3:S35">
    <cfRule type="top10" dxfId="32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31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30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29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28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27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32E19-C440-4C84-98C2-9B3505AB7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1668-1164-4CC3-99FA-3E3BEA3AE5EF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312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{A9E55558-80DD-4F47-9E1C-F44D1FDD2E8A}</x14:id>
        </ext>
      </extLst>
    </cfRule>
  </conditionalFormatting>
  <conditionalFormatting sqref="P3:P5">
    <cfRule type="top10" dxfId="26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25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24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23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2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1" priority="3" bottom="1" rank="1"/>
  </conditionalFormatting>
  <conditionalFormatting sqref="S3:S35">
    <cfRule type="top10" dxfId="20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19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18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17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16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15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E55558-80DD-4F47-9E1C-F44D1FDD2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79-2D1E-4CB4-8EED-B85360F72ED4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107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48" t="s">
        <v>17</v>
      </c>
      <c r="N2" s="17" t="s">
        <v>18</v>
      </c>
      <c r="O2" s="49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8</v>
      </c>
      <c r="N3" s="16">
        <v>4</v>
      </c>
      <c r="O3" s="15">
        <f>N3+M3</f>
        <v>12</v>
      </c>
      <c r="P3" s="31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8</v>
      </c>
      <c r="N4">
        <v>4</v>
      </c>
      <c r="O4" s="8">
        <f t="shared" ref="O4:O35" si="0">N4+M4</f>
        <v>12</v>
      </c>
      <c r="P4" s="38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8</v>
      </c>
      <c r="N5" s="5">
        <v>4</v>
      </c>
      <c r="O5" s="4">
        <f t="shared" si="0"/>
        <v>12</v>
      </c>
      <c r="P5" s="38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3">
        <v>1</v>
      </c>
      <c r="M6" s="13">
        <v>8</v>
      </c>
      <c r="N6" s="16">
        <v>4</v>
      </c>
      <c r="O6" s="15">
        <f t="shared" si="0"/>
        <v>12</v>
      </c>
      <c r="P6" s="16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6">
        <v>1</v>
      </c>
      <c r="M7" s="6">
        <v>8</v>
      </c>
      <c r="N7">
        <v>4</v>
      </c>
      <c r="O7" s="8">
        <f t="shared" si="0"/>
        <v>12</v>
      </c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6">
        <v>1</v>
      </c>
      <c r="M8" s="6">
        <v>8</v>
      </c>
      <c r="N8">
        <v>4</v>
      </c>
      <c r="O8" s="8">
        <f t="shared" si="0"/>
        <v>12</v>
      </c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6">
        <v>1</v>
      </c>
      <c r="M9" s="6">
        <v>8</v>
      </c>
      <c r="N9">
        <v>4</v>
      </c>
      <c r="O9" s="8">
        <f t="shared" si="0"/>
        <v>12</v>
      </c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6">
        <v>1</v>
      </c>
      <c r="M10" s="6">
        <v>8</v>
      </c>
      <c r="N10">
        <v>4</v>
      </c>
      <c r="O10" s="8">
        <f t="shared" si="0"/>
        <v>12</v>
      </c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6">
        <v>2</v>
      </c>
      <c r="M11" s="6">
        <v>8</v>
      </c>
      <c r="N11">
        <v>4</v>
      </c>
      <c r="O11" s="8">
        <f t="shared" si="0"/>
        <v>12</v>
      </c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6">
        <v>2</v>
      </c>
      <c r="M12" s="6">
        <v>8</v>
      </c>
      <c r="N12">
        <v>4</v>
      </c>
      <c r="O12" s="8">
        <f t="shared" si="0"/>
        <v>12</v>
      </c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6">
        <v>2</v>
      </c>
      <c r="M13" s="6">
        <v>8</v>
      </c>
      <c r="N13">
        <v>4</v>
      </c>
      <c r="O13" s="8">
        <f t="shared" si="0"/>
        <v>12</v>
      </c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6">
        <v>2</v>
      </c>
      <c r="M14" s="6">
        <v>8</v>
      </c>
      <c r="N14">
        <v>4</v>
      </c>
      <c r="O14" s="8">
        <f t="shared" si="0"/>
        <v>12</v>
      </c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6">
        <v>2</v>
      </c>
      <c r="M15" s="6">
        <v>8</v>
      </c>
      <c r="N15">
        <v>4</v>
      </c>
      <c r="O15" s="8">
        <f t="shared" si="0"/>
        <v>12</v>
      </c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6">
        <v>2</v>
      </c>
      <c r="M16" s="6">
        <v>8</v>
      </c>
      <c r="N16">
        <v>4</v>
      </c>
      <c r="O16" s="8">
        <f t="shared" si="0"/>
        <v>12</v>
      </c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6">
        <v>2</v>
      </c>
      <c r="M17" s="6">
        <v>8</v>
      </c>
      <c r="N17">
        <v>4</v>
      </c>
      <c r="O17" s="8">
        <f t="shared" si="0"/>
        <v>12</v>
      </c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6">
        <v>2</v>
      </c>
      <c r="M18" s="6">
        <v>8</v>
      </c>
      <c r="N18">
        <v>4</v>
      </c>
      <c r="O18" s="8">
        <f t="shared" si="0"/>
        <v>12</v>
      </c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6">
        <v>2</v>
      </c>
      <c r="M19" s="6">
        <v>8</v>
      </c>
      <c r="N19">
        <v>4</v>
      </c>
      <c r="O19" s="8">
        <f t="shared" si="0"/>
        <v>12</v>
      </c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6">
        <v>2</v>
      </c>
      <c r="M20" s="6">
        <v>8</v>
      </c>
      <c r="N20">
        <v>4</v>
      </c>
      <c r="O20" s="8">
        <f t="shared" si="0"/>
        <v>12</v>
      </c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6">
        <v>3</v>
      </c>
      <c r="M21" s="6">
        <v>8</v>
      </c>
      <c r="N21">
        <v>4</v>
      </c>
      <c r="O21" s="8">
        <f t="shared" si="0"/>
        <v>12</v>
      </c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6">
        <v>3</v>
      </c>
      <c r="M22" s="6">
        <v>8</v>
      </c>
      <c r="N22">
        <v>4</v>
      </c>
      <c r="O22" s="8">
        <f t="shared" si="0"/>
        <v>12</v>
      </c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6">
        <v>3</v>
      </c>
      <c r="M23" s="6">
        <v>8</v>
      </c>
      <c r="N23">
        <v>4</v>
      </c>
      <c r="O23" s="8">
        <f t="shared" si="0"/>
        <v>12</v>
      </c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6">
        <v>3</v>
      </c>
      <c r="M24" s="6">
        <v>8</v>
      </c>
      <c r="N24">
        <v>4</v>
      </c>
      <c r="O24" s="8">
        <f t="shared" si="0"/>
        <v>12</v>
      </c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6">
        <v>3</v>
      </c>
      <c r="M25" s="6">
        <v>8</v>
      </c>
      <c r="N25">
        <v>4</v>
      </c>
      <c r="O25" s="8">
        <f t="shared" si="0"/>
        <v>12</v>
      </c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6">
        <v>3</v>
      </c>
      <c r="M26" s="6">
        <v>8</v>
      </c>
      <c r="N26">
        <v>4</v>
      </c>
      <c r="O26" s="8">
        <f t="shared" si="0"/>
        <v>12</v>
      </c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6">
        <v>3</v>
      </c>
      <c r="M27" s="6">
        <v>8</v>
      </c>
      <c r="N27">
        <v>4</v>
      </c>
      <c r="O27" s="8">
        <f t="shared" si="0"/>
        <v>12</v>
      </c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6">
        <v>3</v>
      </c>
      <c r="M28" s="6">
        <v>8</v>
      </c>
      <c r="N28">
        <v>4</v>
      </c>
      <c r="O28" s="8">
        <f t="shared" si="0"/>
        <v>12</v>
      </c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6">
        <v>3</v>
      </c>
      <c r="M29" s="6">
        <v>8</v>
      </c>
      <c r="N29">
        <v>4</v>
      </c>
      <c r="O29" s="8">
        <f t="shared" si="0"/>
        <v>12</v>
      </c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6">
        <v>3</v>
      </c>
      <c r="M30" s="6">
        <v>8</v>
      </c>
      <c r="N30">
        <v>4</v>
      </c>
      <c r="O30" s="8">
        <f t="shared" si="0"/>
        <v>12</v>
      </c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6">
        <v>4</v>
      </c>
      <c r="M31" s="6">
        <v>8</v>
      </c>
      <c r="N31">
        <v>4</v>
      </c>
      <c r="O31" s="8">
        <f t="shared" si="0"/>
        <v>12</v>
      </c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6">
        <v>4</v>
      </c>
      <c r="M32" s="6">
        <v>8</v>
      </c>
      <c r="N32">
        <v>4</v>
      </c>
      <c r="O32" s="8">
        <f t="shared" si="0"/>
        <v>12</v>
      </c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6">
        <v>4</v>
      </c>
      <c r="M33" s="6">
        <v>8</v>
      </c>
      <c r="N33">
        <v>4</v>
      </c>
      <c r="O33" s="8">
        <f t="shared" si="0"/>
        <v>12</v>
      </c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6">
        <v>4</v>
      </c>
      <c r="M34" s="6">
        <v>8</v>
      </c>
      <c r="N34">
        <v>4</v>
      </c>
      <c r="O34" s="8">
        <f t="shared" si="0"/>
        <v>12</v>
      </c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2">
        <v>4</v>
      </c>
      <c r="M35" s="2">
        <v>8</v>
      </c>
      <c r="N35" s="5">
        <v>4</v>
      </c>
      <c r="O35" s="4">
        <f t="shared" si="0"/>
        <v>12</v>
      </c>
      <c r="P35" s="5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{D997ED91-859F-4546-9D49-7CB5CC54EB50}</x14:id>
        </ext>
      </extLst>
    </cfRule>
  </conditionalFormatting>
  <conditionalFormatting sqref="P3:P5">
    <cfRule type="top10" dxfId="146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145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144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143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42" priority="6" bottom="1" rank="1"/>
  </conditionalFormatting>
  <conditionalFormatting sqref="R3:R3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41" priority="3" bottom="1" rank="1"/>
  </conditionalFormatting>
  <conditionalFormatting sqref="S3:S35">
    <cfRule type="top10" dxfId="140" priority="23" bottom="1" rank="1"/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139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138" priority="27" bottom="1" rank="1"/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137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136" priority="30" bottom="1" rank="1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135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7ED91-859F-4546-9D49-7CB5CC54E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82E6-CA42-48B8-BAEE-08D00708E3E6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110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7</v>
      </c>
      <c r="N3" s="16">
        <v>8</v>
      </c>
      <c r="O3" s="15">
        <f>N3+M3</f>
        <v>15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7</v>
      </c>
      <c r="N4">
        <v>8</v>
      </c>
      <c r="O4" s="8">
        <f t="shared" ref="O4:O35" si="0">N4+M4</f>
        <v>15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7</v>
      </c>
      <c r="N5" s="5">
        <v>8</v>
      </c>
      <c r="O5" s="4">
        <f t="shared" si="0"/>
        <v>15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7</v>
      </c>
      <c r="N6" s="16">
        <v>8</v>
      </c>
      <c r="O6" s="15">
        <f t="shared" si="0"/>
        <v>15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7</v>
      </c>
      <c r="N7">
        <v>8</v>
      </c>
      <c r="O7" s="8">
        <f t="shared" si="0"/>
        <v>15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7</v>
      </c>
      <c r="N8">
        <v>8</v>
      </c>
      <c r="O8" s="8">
        <f t="shared" si="0"/>
        <v>15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7</v>
      </c>
      <c r="N9">
        <v>8</v>
      </c>
      <c r="O9" s="8">
        <f t="shared" si="0"/>
        <v>15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7</v>
      </c>
      <c r="N10">
        <v>8</v>
      </c>
      <c r="O10" s="8">
        <f t="shared" si="0"/>
        <v>15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7</v>
      </c>
      <c r="N11">
        <v>8</v>
      </c>
      <c r="O11" s="8">
        <f t="shared" si="0"/>
        <v>15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7</v>
      </c>
      <c r="N12">
        <v>8</v>
      </c>
      <c r="O12" s="8">
        <f t="shared" si="0"/>
        <v>15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7</v>
      </c>
      <c r="N13">
        <v>8</v>
      </c>
      <c r="O13" s="8">
        <f t="shared" si="0"/>
        <v>15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7</v>
      </c>
      <c r="N14">
        <v>8</v>
      </c>
      <c r="O14" s="8">
        <f t="shared" si="0"/>
        <v>15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7</v>
      </c>
      <c r="N15">
        <v>8</v>
      </c>
      <c r="O15" s="8">
        <f t="shared" si="0"/>
        <v>15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7</v>
      </c>
      <c r="N16">
        <v>8</v>
      </c>
      <c r="O16" s="8">
        <f t="shared" si="0"/>
        <v>15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7</v>
      </c>
      <c r="N17">
        <v>8</v>
      </c>
      <c r="O17" s="8">
        <f t="shared" si="0"/>
        <v>15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7</v>
      </c>
      <c r="N18">
        <v>8</v>
      </c>
      <c r="O18" s="8">
        <f t="shared" si="0"/>
        <v>15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7</v>
      </c>
      <c r="N19">
        <v>8</v>
      </c>
      <c r="O19" s="8">
        <f t="shared" si="0"/>
        <v>15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7</v>
      </c>
      <c r="N20">
        <v>8</v>
      </c>
      <c r="O20" s="8">
        <f t="shared" si="0"/>
        <v>15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7</v>
      </c>
      <c r="N21">
        <v>8</v>
      </c>
      <c r="O21" s="8">
        <f t="shared" si="0"/>
        <v>15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7</v>
      </c>
      <c r="N22">
        <v>8</v>
      </c>
      <c r="O22" s="8">
        <f t="shared" si="0"/>
        <v>15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7</v>
      </c>
      <c r="N23">
        <v>8</v>
      </c>
      <c r="O23" s="8">
        <f t="shared" si="0"/>
        <v>15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7</v>
      </c>
      <c r="N24">
        <v>8</v>
      </c>
      <c r="O24" s="8">
        <f t="shared" si="0"/>
        <v>15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7</v>
      </c>
      <c r="N25">
        <v>8</v>
      </c>
      <c r="O25" s="8">
        <f t="shared" si="0"/>
        <v>15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7</v>
      </c>
      <c r="N26">
        <v>8</v>
      </c>
      <c r="O26" s="8">
        <f t="shared" si="0"/>
        <v>15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7</v>
      </c>
      <c r="N27">
        <v>8</v>
      </c>
      <c r="O27" s="8">
        <f t="shared" si="0"/>
        <v>15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7</v>
      </c>
      <c r="N28">
        <v>8</v>
      </c>
      <c r="O28" s="8">
        <f t="shared" si="0"/>
        <v>15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7</v>
      </c>
      <c r="N29">
        <v>8</v>
      </c>
      <c r="O29" s="8">
        <f t="shared" si="0"/>
        <v>15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7</v>
      </c>
      <c r="N30">
        <v>8</v>
      </c>
      <c r="O30" s="8">
        <f t="shared" si="0"/>
        <v>15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7</v>
      </c>
      <c r="N31">
        <v>8</v>
      </c>
      <c r="O31" s="8">
        <f t="shared" si="0"/>
        <v>15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7</v>
      </c>
      <c r="N32">
        <v>8</v>
      </c>
      <c r="O32" s="8">
        <f t="shared" si="0"/>
        <v>15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7</v>
      </c>
      <c r="N33">
        <v>8</v>
      </c>
      <c r="O33" s="8">
        <f t="shared" si="0"/>
        <v>15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7</v>
      </c>
      <c r="N34">
        <v>8</v>
      </c>
      <c r="O34" s="8">
        <f t="shared" si="0"/>
        <v>15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7</v>
      </c>
      <c r="N35" s="5">
        <v>8</v>
      </c>
      <c r="O35" s="4">
        <f t="shared" si="0"/>
        <v>15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{D29BF614-93F2-4E9F-A4B5-1961B077F3BA}</x14:id>
        </ext>
      </extLst>
    </cfRule>
  </conditionalFormatting>
  <conditionalFormatting sqref="P3:P5">
    <cfRule type="top10" dxfId="134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133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132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131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30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29" priority="3" bottom="1" rank="1"/>
  </conditionalFormatting>
  <conditionalFormatting sqref="S3:S35">
    <cfRule type="top10" dxfId="128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127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126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125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124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123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9BF614-93F2-4E9F-A4B5-1961B077F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A6C2-2D8A-419F-9E27-9EA7FEDE25F2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111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>
        <f>0.000099</f>
        <v>9.8999999999999994E-5</v>
      </c>
      <c r="D3" s="17">
        <f>400000000</f>
        <v>400000000</v>
      </c>
      <c r="E3" s="16">
        <v>3.2000000000000001E-2</v>
      </c>
      <c r="F3" s="16">
        <v>13</v>
      </c>
      <c r="G3" s="13">
        <v>0.12</v>
      </c>
      <c r="H3" s="16">
        <v>0.35</v>
      </c>
      <c r="I3" s="16">
        <v>1.4</v>
      </c>
      <c r="J3" s="16">
        <v>9</v>
      </c>
      <c r="K3" s="15">
        <v>430</v>
      </c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{5F70D473-39F4-4C14-96F3-60D132BEA305}</x14:id>
        </ext>
      </extLst>
    </cfRule>
  </conditionalFormatting>
  <conditionalFormatting sqref="P3:P5">
    <cfRule type="top10" dxfId="122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121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120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119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18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17" priority="3" bottom="1" rank="1"/>
  </conditionalFormatting>
  <conditionalFormatting sqref="S3:S35">
    <cfRule type="top10" dxfId="116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115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114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113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112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111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70D473-39F4-4C14-96F3-60D132BEA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4290-2065-45C1-BB7A-2814FC73091A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112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8</v>
      </c>
      <c r="N3" s="16">
        <v>6</v>
      </c>
      <c r="O3" s="15">
        <f>N3+M3</f>
        <v>14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8</v>
      </c>
      <c r="N4">
        <v>6</v>
      </c>
      <c r="O4" s="8">
        <f t="shared" ref="O4:O35" si="0">N4+M4</f>
        <v>14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8</v>
      </c>
      <c r="N5" s="5">
        <v>6</v>
      </c>
      <c r="O5" s="4">
        <f t="shared" si="0"/>
        <v>14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8</v>
      </c>
      <c r="N6" s="16">
        <v>6</v>
      </c>
      <c r="O6" s="15">
        <f t="shared" si="0"/>
        <v>14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8</v>
      </c>
      <c r="N7">
        <v>6</v>
      </c>
      <c r="O7" s="8">
        <f t="shared" si="0"/>
        <v>14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8</v>
      </c>
      <c r="N8">
        <v>6</v>
      </c>
      <c r="O8" s="8">
        <f t="shared" si="0"/>
        <v>14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8</v>
      </c>
      <c r="N9">
        <v>6</v>
      </c>
      <c r="O9" s="8">
        <f t="shared" si="0"/>
        <v>14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8</v>
      </c>
      <c r="N10">
        <v>6</v>
      </c>
      <c r="O10" s="8">
        <f t="shared" si="0"/>
        <v>14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8</v>
      </c>
      <c r="N11">
        <v>6</v>
      </c>
      <c r="O11" s="8">
        <f t="shared" si="0"/>
        <v>14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8</v>
      </c>
      <c r="N12">
        <v>6</v>
      </c>
      <c r="O12" s="8">
        <f t="shared" si="0"/>
        <v>14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8</v>
      </c>
      <c r="N13">
        <v>6</v>
      </c>
      <c r="O13" s="8">
        <f t="shared" si="0"/>
        <v>14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8</v>
      </c>
      <c r="N14">
        <v>6</v>
      </c>
      <c r="O14" s="8">
        <f t="shared" si="0"/>
        <v>14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8</v>
      </c>
      <c r="N15">
        <v>6</v>
      </c>
      <c r="O15" s="8">
        <f t="shared" si="0"/>
        <v>14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8</v>
      </c>
      <c r="N16">
        <v>6</v>
      </c>
      <c r="O16" s="8">
        <f t="shared" si="0"/>
        <v>14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8</v>
      </c>
      <c r="N17">
        <v>6</v>
      </c>
      <c r="O17" s="8">
        <f t="shared" si="0"/>
        <v>14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8</v>
      </c>
      <c r="N18">
        <v>6</v>
      </c>
      <c r="O18" s="8">
        <f t="shared" si="0"/>
        <v>14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8</v>
      </c>
      <c r="N19">
        <v>6</v>
      </c>
      <c r="O19" s="8">
        <f t="shared" si="0"/>
        <v>14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8</v>
      </c>
      <c r="N20">
        <v>6</v>
      </c>
      <c r="O20" s="8">
        <f t="shared" si="0"/>
        <v>14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8</v>
      </c>
      <c r="N21">
        <v>6</v>
      </c>
      <c r="O21" s="8">
        <f t="shared" si="0"/>
        <v>14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8</v>
      </c>
      <c r="N22">
        <v>6</v>
      </c>
      <c r="O22" s="8">
        <f t="shared" si="0"/>
        <v>14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8</v>
      </c>
      <c r="N23">
        <v>6</v>
      </c>
      <c r="O23" s="8">
        <f t="shared" si="0"/>
        <v>14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8</v>
      </c>
      <c r="N24">
        <v>6</v>
      </c>
      <c r="O24" s="8">
        <f t="shared" si="0"/>
        <v>14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8</v>
      </c>
      <c r="N25">
        <v>6</v>
      </c>
      <c r="O25" s="8">
        <f t="shared" si="0"/>
        <v>14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8</v>
      </c>
      <c r="N26">
        <v>6</v>
      </c>
      <c r="O26" s="8">
        <f t="shared" si="0"/>
        <v>14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8</v>
      </c>
      <c r="N27">
        <v>6</v>
      </c>
      <c r="O27" s="8">
        <f t="shared" si="0"/>
        <v>14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8</v>
      </c>
      <c r="N28">
        <v>6</v>
      </c>
      <c r="O28" s="8">
        <f t="shared" si="0"/>
        <v>14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8</v>
      </c>
      <c r="N29">
        <v>6</v>
      </c>
      <c r="O29" s="8">
        <f t="shared" si="0"/>
        <v>14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8</v>
      </c>
      <c r="N30">
        <v>6</v>
      </c>
      <c r="O30" s="8">
        <f t="shared" si="0"/>
        <v>14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8</v>
      </c>
      <c r="N31">
        <v>6</v>
      </c>
      <c r="O31" s="8">
        <f t="shared" si="0"/>
        <v>14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8</v>
      </c>
      <c r="N32">
        <v>6</v>
      </c>
      <c r="O32" s="8">
        <f t="shared" si="0"/>
        <v>14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8</v>
      </c>
      <c r="N33">
        <v>6</v>
      </c>
      <c r="O33" s="8">
        <f t="shared" si="0"/>
        <v>14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8</v>
      </c>
      <c r="N34">
        <v>6</v>
      </c>
      <c r="O34" s="8">
        <f t="shared" si="0"/>
        <v>14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8</v>
      </c>
      <c r="N35" s="5">
        <v>6</v>
      </c>
      <c r="O35" s="4">
        <f t="shared" si="0"/>
        <v>14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{459A0AA0-EFB8-4609-8D14-362FE06D5F7D}</x14:id>
        </ext>
      </extLst>
    </cfRule>
  </conditionalFormatting>
  <conditionalFormatting sqref="P3:P5">
    <cfRule type="top10" dxfId="110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109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108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107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06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05" priority="3" bottom="1" rank="1"/>
  </conditionalFormatting>
  <conditionalFormatting sqref="S3:S35">
    <cfRule type="top10" dxfId="104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103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102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101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100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99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9A0AA0-EFB8-4609-8D14-362FE06D5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34F8-B3D2-4EB1-BE8B-A91624490388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204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{131418AC-3767-41D0-B9E8-C96B061A9F12}</x14:id>
        </ext>
      </extLst>
    </cfRule>
  </conditionalFormatting>
  <conditionalFormatting sqref="P3:P5">
    <cfRule type="top10" dxfId="98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97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96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95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94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93" priority="3" bottom="1" rank="1"/>
  </conditionalFormatting>
  <conditionalFormatting sqref="S3:S35">
    <cfRule type="top10" dxfId="92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91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90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89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88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87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1418AC-3767-41D0-B9E8-C96B061A9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F36B-49DE-4571-A0F9-26B238FF83D2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207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{7A7EAF8B-49C2-4D84-BEC3-904E74788FDA}</x14:id>
        </ext>
      </extLst>
    </cfRule>
  </conditionalFormatting>
  <conditionalFormatting sqref="P3:P5">
    <cfRule type="top10" dxfId="86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85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84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83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82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81" priority="3" bottom="1" rank="1"/>
  </conditionalFormatting>
  <conditionalFormatting sqref="S3:S35">
    <cfRule type="top10" dxfId="80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79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78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77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76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75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7EAF8B-49C2-4D84-BEC3-904E74788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221C-756E-4E8A-AD5D-26DE7A9ECA09}">
  <dimension ref="A1:U35"/>
  <sheetViews>
    <sheetView zoomScale="85" zoomScaleNormal="85" workbookViewId="0">
      <selection activeCell="C3" sqref="C3:K3"/>
    </sheetView>
  </sheetViews>
  <sheetFormatPr defaultRowHeight="15" x14ac:dyDescent="0.25"/>
  <sheetData>
    <row r="1" spans="1:21" ht="15.75" thickBot="1" x14ac:dyDescent="0.3">
      <c r="A1" s="50">
        <v>301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/>
      <c r="D5" s="5"/>
      <c r="E5" s="10"/>
      <c r="F5" s="40"/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/>
      <c r="Q5" s="38"/>
      <c r="R5" s="38">
        <f t="shared" si="1"/>
        <v>0</v>
      </c>
      <c r="S5" s="20" t="e">
        <f t="shared" si="2"/>
        <v>#NUM!</v>
      </c>
      <c r="T5" s="1" t="e">
        <f t="shared" si="3"/>
        <v>#NUM!</v>
      </c>
      <c r="U5" s="29" t="e">
        <f t="shared" si="4"/>
        <v>#NUM!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/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/>
      <c r="Q6" s="16"/>
      <c r="R6" s="15">
        <f>Q6+P6</f>
        <v>0</v>
      </c>
      <c r="S6" s="12" t="e">
        <f t="shared" si="2"/>
        <v>#NUM!</v>
      </c>
      <c r="T6" s="12" t="e">
        <f t="shared" si="3"/>
        <v>#NUM!</v>
      </c>
      <c r="U6" s="27" t="e">
        <f t="shared" si="4"/>
        <v>#NUM!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/>
      <c r="K7" s="8"/>
      <c r="L7" s="7">
        <v>1</v>
      </c>
      <c r="M7" s="6">
        <v>9</v>
      </c>
      <c r="N7">
        <v>8</v>
      </c>
      <c r="O7" s="8">
        <f t="shared" si="0"/>
        <v>17</v>
      </c>
      <c r="P7" s="6"/>
      <c r="R7" s="8">
        <f t="shared" ref="R7:R35" si="5">Q7+P7</f>
        <v>0</v>
      </c>
      <c r="S7" s="39" t="e">
        <f t="shared" si="2"/>
        <v>#NUM!</v>
      </c>
      <c r="T7" s="39" t="e">
        <f t="shared" si="3"/>
        <v>#NUM!</v>
      </c>
      <c r="U7" s="28" t="e">
        <f t="shared" si="4"/>
        <v>#NUM!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/>
      <c r="K8" s="8"/>
      <c r="L8" s="7">
        <v>1</v>
      </c>
      <c r="M8" s="6">
        <v>9</v>
      </c>
      <c r="N8">
        <v>8</v>
      </c>
      <c r="O8" s="8">
        <f t="shared" si="0"/>
        <v>17</v>
      </c>
      <c r="P8" s="6"/>
      <c r="R8" s="8">
        <f t="shared" si="5"/>
        <v>0</v>
      </c>
      <c r="S8" s="39" t="e">
        <f t="shared" si="2"/>
        <v>#NUM!</v>
      </c>
      <c r="T8" s="39" t="e">
        <f t="shared" si="3"/>
        <v>#NUM!</v>
      </c>
      <c r="U8" s="28" t="e">
        <f t="shared" si="4"/>
        <v>#NUM!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/>
      <c r="K9" s="8"/>
      <c r="L9" s="7">
        <v>1</v>
      </c>
      <c r="M9" s="6">
        <v>9</v>
      </c>
      <c r="N9">
        <v>8</v>
      </c>
      <c r="O9" s="8">
        <f t="shared" si="0"/>
        <v>17</v>
      </c>
      <c r="P9" s="6"/>
      <c r="R9" s="8">
        <f t="shared" si="5"/>
        <v>0</v>
      </c>
      <c r="S9" s="39" t="e">
        <f t="shared" si="2"/>
        <v>#NUM!</v>
      </c>
      <c r="T9" s="39" t="e">
        <f t="shared" si="3"/>
        <v>#NUM!</v>
      </c>
      <c r="U9" s="28" t="e">
        <f t="shared" si="4"/>
        <v>#NUM!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/>
      <c r="L10" s="7">
        <v>1</v>
      </c>
      <c r="M10" s="6">
        <v>9</v>
      </c>
      <c r="N10">
        <v>8</v>
      </c>
      <c r="O10" s="8">
        <f t="shared" si="0"/>
        <v>17</v>
      </c>
      <c r="P10" s="6"/>
      <c r="R10" s="8">
        <f t="shared" si="5"/>
        <v>0</v>
      </c>
      <c r="S10" s="39" t="e">
        <f t="shared" si="2"/>
        <v>#NUM!</v>
      </c>
      <c r="T10" s="39" t="e">
        <f t="shared" si="3"/>
        <v>#NUM!</v>
      </c>
      <c r="U10" s="28" t="e">
        <f t="shared" si="4"/>
        <v>#NUM!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/>
      <c r="H11" s="9"/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/>
      <c r="R11" s="8">
        <f t="shared" si="5"/>
        <v>0</v>
      </c>
      <c r="S11" s="39" t="e">
        <f t="shared" si="2"/>
        <v>#NUM!</v>
      </c>
      <c r="T11" s="39" t="e">
        <f t="shared" si="3"/>
        <v>#NUM!</v>
      </c>
      <c r="U11" s="28" t="e">
        <f t="shared" si="4"/>
        <v>#NUM!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/>
      <c r="I12" s="9"/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/>
      <c r="R12" s="8">
        <f t="shared" si="5"/>
        <v>0</v>
      </c>
      <c r="S12" s="39" t="e">
        <f t="shared" si="2"/>
        <v>#NUM!</v>
      </c>
      <c r="T12" s="39" t="e">
        <f t="shared" si="3"/>
        <v>#NUM!</v>
      </c>
      <c r="U12" s="28" t="e">
        <f t="shared" si="4"/>
        <v>#NUM!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/>
      <c r="J13" s="9"/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/>
      <c r="R13" s="8">
        <f t="shared" si="5"/>
        <v>0</v>
      </c>
      <c r="S13" s="39" t="e">
        <f t="shared" si="2"/>
        <v>#NUM!</v>
      </c>
      <c r="T13" s="39" t="e">
        <f t="shared" si="3"/>
        <v>#NUM!</v>
      </c>
      <c r="U13" s="28" t="e">
        <f t="shared" si="4"/>
        <v>#NUM!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/>
      <c r="K14" s="9"/>
      <c r="L14" s="7">
        <v>2</v>
      </c>
      <c r="M14" s="6">
        <v>9</v>
      </c>
      <c r="N14">
        <v>8</v>
      </c>
      <c r="O14" s="8">
        <f t="shared" si="0"/>
        <v>17</v>
      </c>
      <c r="P14" s="6"/>
      <c r="R14" s="8">
        <f t="shared" si="5"/>
        <v>0</v>
      </c>
      <c r="S14" s="39" t="e">
        <f t="shared" si="2"/>
        <v>#NUM!</v>
      </c>
      <c r="T14" s="39" t="e">
        <f t="shared" si="3"/>
        <v>#NUM!</v>
      </c>
      <c r="U14" s="28" t="e">
        <f t="shared" si="4"/>
        <v>#NUM!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/>
      <c r="I15" s="9"/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/>
      <c r="R15" s="8">
        <f t="shared" si="5"/>
        <v>0</v>
      </c>
      <c r="S15" s="39" t="e">
        <f t="shared" si="2"/>
        <v>#NUM!</v>
      </c>
      <c r="T15" s="39" t="e">
        <f t="shared" si="3"/>
        <v>#NUM!</v>
      </c>
      <c r="U15" s="28" t="e">
        <f t="shared" si="4"/>
        <v>#NUM!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/>
      <c r="J16" s="9"/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/>
      <c r="R16" s="8">
        <f t="shared" si="5"/>
        <v>0</v>
      </c>
      <c r="S16" s="39" t="e">
        <f t="shared" si="2"/>
        <v>#NUM!</v>
      </c>
      <c r="T16" s="39" t="e">
        <f t="shared" si="3"/>
        <v>#NUM!</v>
      </c>
      <c r="U16" s="28" t="e">
        <f t="shared" si="4"/>
        <v>#NUM!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/>
      <c r="K17" s="9"/>
      <c r="L17" s="7">
        <v>2</v>
      </c>
      <c r="M17" s="6">
        <v>9</v>
      </c>
      <c r="N17">
        <v>8</v>
      </c>
      <c r="O17" s="8">
        <f t="shared" si="0"/>
        <v>17</v>
      </c>
      <c r="P17" s="6"/>
      <c r="R17" s="8">
        <f t="shared" si="5"/>
        <v>0</v>
      </c>
      <c r="S17" s="39" t="e">
        <f t="shared" si="2"/>
        <v>#NUM!</v>
      </c>
      <c r="T17" s="39" t="e">
        <f t="shared" si="3"/>
        <v>#NUM!</v>
      </c>
      <c r="U17" s="28" t="e">
        <f t="shared" si="4"/>
        <v>#NUM!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/>
      <c r="J18" s="9"/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/>
      <c r="R18" s="8">
        <f t="shared" si="5"/>
        <v>0</v>
      </c>
      <c r="S18" s="39" t="e">
        <f t="shared" si="2"/>
        <v>#NUM!</v>
      </c>
      <c r="T18" s="39" t="e">
        <f t="shared" si="3"/>
        <v>#NUM!</v>
      </c>
      <c r="U18" s="28" t="e">
        <f t="shared" si="4"/>
        <v>#NUM!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/>
      <c r="K19" s="9"/>
      <c r="L19" s="7">
        <v>2</v>
      </c>
      <c r="M19" s="6">
        <v>9</v>
      </c>
      <c r="N19">
        <v>8</v>
      </c>
      <c r="O19" s="8">
        <f t="shared" si="0"/>
        <v>17</v>
      </c>
      <c r="P19" s="6"/>
      <c r="R19" s="8">
        <f t="shared" si="5"/>
        <v>0</v>
      </c>
      <c r="S19" s="39" t="e">
        <f t="shared" si="2"/>
        <v>#NUM!</v>
      </c>
      <c r="T19" s="39" t="e">
        <f t="shared" si="3"/>
        <v>#NUM!</v>
      </c>
      <c r="U19" s="28" t="e">
        <f t="shared" si="4"/>
        <v>#NUM!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/>
      <c r="K20" s="9"/>
      <c r="L20" s="7">
        <v>2</v>
      </c>
      <c r="M20" s="6">
        <v>9</v>
      </c>
      <c r="N20">
        <v>8</v>
      </c>
      <c r="O20" s="8">
        <f t="shared" si="0"/>
        <v>17</v>
      </c>
      <c r="P20" s="6"/>
      <c r="R20" s="8">
        <f t="shared" si="5"/>
        <v>0</v>
      </c>
      <c r="S20" s="39" t="e">
        <f t="shared" si="2"/>
        <v>#NUM!</v>
      </c>
      <c r="T20" s="39" t="e">
        <f t="shared" si="3"/>
        <v>#NUM!</v>
      </c>
      <c r="U20" s="28" t="e">
        <f t="shared" si="4"/>
        <v>#NUM!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/>
      <c r="H21" s="9"/>
      <c r="I21" s="9"/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/>
      <c r="R21" s="8">
        <f t="shared" si="5"/>
        <v>0</v>
      </c>
      <c r="S21" s="39" t="e">
        <f t="shared" si="2"/>
        <v>#NUM!</v>
      </c>
      <c r="T21" s="39" t="e">
        <f t="shared" si="3"/>
        <v>#NUM!</v>
      </c>
      <c r="U21" s="28" t="e">
        <f t="shared" si="4"/>
        <v>#NUM!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/>
      <c r="H22" s="9"/>
      <c r="J22" s="9"/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/>
      <c r="R22" s="8">
        <f t="shared" si="5"/>
        <v>0</v>
      </c>
      <c r="S22" s="39" t="e">
        <f t="shared" si="2"/>
        <v>#NUM!</v>
      </c>
      <c r="T22" s="39" t="e">
        <f t="shared" si="3"/>
        <v>#NUM!</v>
      </c>
      <c r="U22" s="28" t="e">
        <f t="shared" si="4"/>
        <v>#NUM!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/>
      <c r="H23" s="9"/>
      <c r="K23" s="9"/>
      <c r="L23" s="7">
        <v>3</v>
      </c>
      <c r="M23" s="6">
        <v>9</v>
      </c>
      <c r="N23">
        <v>8</v>
      </c>
      <c r="O23" s="8">
        <f t="shared" si="0"/>
        <v>17</v>
      </c>
      <c r="P23" s="6"/>
      <c r="R23" s="8">
        <f t="shared" si="5"/>
        <v>0</v>
      </c>
      <c r="S23" s="39" t="e">
        <f t="shared" si="2"/>
        <v>#NUM!</v>
      </c>
      <c r="T23" s="39" t="e">
        <f t="shared" si="3"/>
        <v>#NUM!</v>
      </c>
      <c r="U23" s="28" t="e">
        <f t="shared" si="4"/>
        <v>#NUM!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/>
      <c r="I24" s="9"/>
      <c r="J24" s="9"/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/>
      <c r="R24" s="8">
        <f t="shared" si="5"/>
        <v>0</v>
      </c>
      <c r="S24" s="39" t="e">
        <f t="shared" si="2"/>
        <v>#NUM!</v>
      </c>
      <c r="T24" s="39" t="e">
        <f t="shared" si="3"/>
        <v>#NUM!</v>
      </c>
      <c r="U24" s="28" t="e">
        <f t="shared" si="4"/>
        <v>#NUM!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/>
      <c r="I25" s="9"/>
      <c r="K25" s="9"/>
      <c r="L25" s="7">
        <v>3</v>
      </c>
      <c r="M25" s="6">
        <v>9</v>
      </c>
      <c r="N25">
        <v>8</v>
      </c>
      <c r="O25" s="8">
        <f t="shared" si="0"/>
        <v>17</v>
      </c>
      <c r="P25" s="6"/>
      <c r="R25" s="8">
        <f t="shared" si="5"/>
        <v>0</v>
      </c>
      <c r="S25" s="39" t="e">
        <f t="shared" si="2"/>
        <v>#NUM!</v>
      </c>
      <c r="T25" s="39" t="e">
        <f t="shared" si="3"/>
        <v>#NUM!</v>
      </c>
      <c r="U25" s="28" t="e">
        <f t="shared" si="4"/>
        <v>#NUM!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/>
      <c r="J26" s="9"/>
      <c r="K26" s="9"/>
      <c r="L26" s="7">
        <v>3</v>
      </c>
      <c r="M26" s="6">
        <v>9</v>
      </c>
      <c r="N26">
        <v>8</v>
      </c>
      <c r="O26" s="8">
        <f t="shared" si="0"/>
        <v>17</v>
      </c>
      <c r="P26" s="6"/>
      <c r="R26" s="8">
        <f t="shared" si="5"/>
        <v>0</v>
      </c>
      <c r="S26" s="39" t="e">
        <f t="shared" si="2"/>
        <v>#NUM!</v>
      </c>
      <c r="T26" s="39" t="e">
        <f t="shared" si="3"/>
        <v>#NUM!</v>
      </c>
      <c r="U26" s="28" t="e">
        <f t="shared" si="4"/>
        <v>#NUM!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/>
      <c r="I27" s="9"/>
      <c r="J27" s="9"/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/>
      <c r="R27" s="8">
        <f t="shared" si="5"/>
        <v>0</v>
      </c>
      <c r="S27" s="39" t="e">
        <f t="shared" si="2"/>
        <v>#NUM!</v>
      </c>
      <c r="T27" s="39" t="e">
        <f t="shared" si="3"/>
        <v>#NUM!</v>
      </c>
      <c r="U27" s="28" t="e">
        <f t="shared" si="4"/>
        <v>#NUM!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{1CB6B35F-34F8-4515-A352-AEFE87B57AAD}</x14:id>
        </ext>
      </extLst>
    </cfRule>
  </conditionalFormatting>
  <conditionalFormatting sqref="P3:P5">
    <cfRule type="top10" dxfId="74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73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72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71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70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69" priority="3" bottom="1" rank="1"/>
  </conditionalFormatting>
  <conditionalFormatting sqref="S3:S35">
    <cfRule type="top10" dxfId="68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67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66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65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64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63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6B35F-34F8-4515-A352-AEFE87B57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C5B1-5562-4413-B4BD-66F7E8BFDC62}">
  <dimension ref="A1:U35"/>
  <sheetViews>
    <sheetView zoomScaleNormal="100" workbookViewId="0">
      <selection activeCell="A24" sqref="A24:U24"/>
    </sheetView>
  </sheetViews>
  <sheetFormatPr defaultRowHeight="15" x14ac:dyDescent="0.25"/>
  <cols>
    <col min="3" max="3" width="11" bestFit="1" customWidth="1"/>
  </cols>
  <sheetData>
    <row r="1" spans="1:21" ht="15.75" thickBot="1" x14ac:dyDescent="0.3">
      <c r="A1" s="50">
        <v>302</v>
      </c>
      <c r="B1" s="51"/>
      <c r="C1" s="55" t="s">
        <v>15</v>
      </c>
      <c r="D1" s="55"/>
      <c r="E1" s="55"/>
      <c r="F1" s="51"/>
      <c r="G1" s="52" t="s">
        <v>26</v>
      </c>
      <c r="H1" s="53"/>
      <c r="I1" s="53"/>
      <c r="J1" s="53"/>
      <c r="K1" s="54"/>
      <c r="L1" s="26"/>
      <c r="M1" s="52" t="s">
        <v>13</v>
      </c>
      <c r="N1" s="53"/>
      <c r="O1" s="54"/>
      <c r="P1" s="52" t="s">
        <v>12</v>
      </c>
      <c r="Q1" s="53"/>
      <c r="R1" s="53"/>
      <c r="S1" s="53"/>
      <c r="T1" s="53"/>
      <c r="U1" s="54"/>
    </row>
    <row r="2" spans="1:21" ht="15.75" thickBot="1" x14ac:dyDescent="0.3">
      <c r="A2" s="2" t="s">
        <v>50</v>
      </c>
      <c r="B2" s="4" t="s">
        <v>49</v>
      </c>
      <c r="C2" s="44" t="s">
        <v>11</v>
      </c>
      <c r="D2" s="35" t="s">
        <v>10</v>
      </c>
      <c r="E2" s="35" t="s">
        <v>9</v>
      </c>
      <c r="F2" s="36" t="s">
        <v>8</v>
      </c>
      <c r="G2" s="41" t="s">
        <v>7</v>
      </c>
      <c r="H2" s="42" t="s">
        <v>6</v>
      </c>
      <c r="I2" s="42" t="s">
        <v>5</v>
      </c>
      <c r="J2" s="41" t="s">
        <v>4</v>
      </c>
      <c r="K2" s="43" t="s">
        <v>3</v>
      </c>
      <c r="L2" s="22" t="s">
        <v>14</v>
      </c>
      <c r="M2" s="21" t="s">
        <v>17</v>
      </c>
      <c r="N2" s="22" t="s">
        <v>18</v>
      </c>
      <c r="O2" s="23" t="s">
        <v>2</v>
      </c>
      <c r="P2" s="24" t="s">
        <v>16</v>
      </c>
      <c r="Q2" s="24" t="s">
        <v>19</v>
      </c>
      <c r="R2" s="18" t="s">
        <v>1</v>
      </c>
      <c r="S2" s="13" t="s">
        <v>20</v>
      </c>
      <c r="T2" s="16" t="s">
        <v>21</v>
      </c>
      <c r="U2" s="15" t="s">
        <v>0</v>
      </c>
    </row>
    <row r="3" spans="1:21" ht="15.75" thickBot="1" x14ac:dyDescent="0.3">
      <c r="A3" s="47" t="s">
        <v>25</v>
      </c>
      <c r="B3" s="15">
        <v>1</v>
      </c>
      <c r="C3" s="16"/>
      <c r="D3" s="17"/>
      <c r="E3" s="16"/>
      <c r="F3" s="16"/>
      <c r="G3" s="13"/>
      <c r="H3" s="16"/>
      <c r="I3" s="16"/>
      <c r="J3" s="16"/>
      <c r="K3" s="15"/>
      <c r="L3" s="16">
        <v>0</v>
      </c>
      <c r="M3" s="13">
        <v>9</v>
      </c>
      <c r="N3" s="16">
        <v>8</v>
      </c>
      <c r="O3" s="15">
        <f>N3+M3</f>
        <v>17</v>
      </c>
      <c r="P3" s="30"/>
      <c r="Q3" s="31"/>
      <c r="R3" s="31">
        <f>P3+Q3</f>
        <v>0</v>
      </c>
      <c r="S3" s="25" t="e">
        <f>M3*LN(P3/M3)+2*L3</f>
        <v>#NUM!</v>
      </c>
      <c r="T3" s="12" t="e">
        <f>O3*LN(Q3/O3)+2*L3</f>
        <v>#NUM!</v>
      </c>
      <c r="U3" s="27" t="e">
        <f>O3*LN(R3/O3)+2*L3</f>
        <v>#NUM!</v>
      </c>
    </row>
    <row r="4" spans="1:21" ht="15.75" thickBot="1" x14ac:dyDescent="0.3">
      <c r="A4" s="37" t="s">
        <v>23</v>
      </c>
      <c r="B4" s="8">
        <v>2</v>
      </c>
      <c r="C4" s="11"/>
      <c r="D4" s="10"/>
      <c r="F4" s="40"/>
      <c r="G4" s="6"/>
      <c r="K4" s="8"/>
      <c r="L4">
        <v>3</v>
      </c>
      <c r="M4" s="6">
        <v>9</v>
      </c>
      <c r="N4">
        <v>8</v>
      </c>
      <c r="O4" s="8">
        <f t="shared" ref="O4:O35" si="0">N4+M4</f>
        <v>17</v>
      </c>
      <c r="P4" s="32"/>
      <c r="Q4" s="38"/>
      <c r="R4" s="38">
        <f t="shared" ref="R4:R5" si="1">P4+Q4</f>
        <v>0</v>
      </c>
      <c r="S4" s="19" t="e">
        <f t="shared" ref="S4:S35" si="2">M4*LN(P4/M4)+2*L4</f>
        <v>#NUM!</v>
      </c>
      <c r="T4" s="39" t="e">
        <f t="shared" ref="T4:T35" si="3">O4*LN(Q4/O4)+2*L4</f>
        <v>#NUM!</v>
      </c>
      <c r="U4" s="28" t="e">
        <f t="shared" ref="U4:U35" si="4">O4*LN(R4/O4)+2*L4</f>
        <v>#NUM!</v>
      </c>
    </row>
    <row r="5" spans="1:21" ht="15.75" thickBot="1" x14ac:dyDescent="0.3">
      <c r="A5" s="37" t="s">
        <v>24</v>
      </c>
      <c r="B5" s="8">
        <v>3</v>
      </c>
      <c r="C5" s="11">
        <f>0.00000254930435</f>
        <v>2.5493043500000002E-6</v>
      </c>
      <c r="D5" s="5"/>
      <c r="E5" s="10">
        <v>1</v>
      </c>
      <c r="F5" s="40">
        <f>19.04874544</f>
        <v>19.048745440000001</v>
      </c>
      <c r="G5" s="6"/>
      <c r="H5" s="5"/>
      <c r="I5" s="5"/>
      <c r="J5" s="5"/>
      <c r="K5" s="4"/>
      <c r="L5" s="5">
        <v>3</v>
      </c>
      <c r="M5" s="2">
        <v>9</v>
      </c>
      <c r="N5" s="5">
        <v>8</v>
      </c>
      <c r="O5" s="4">
        <f t="shared" si="0"/>
        <v>17</v>
      </c>
      <c r="P5" s="32">
        <v>5.4351479216520797</v>
      </c>
      <c r="Q5" s="38">
        <v>11.778114400401</v>
      </c>
      <c r="R5" s="38">
        <f t="shared" si="1"/>
        <v>17.21326232205308</v>
      </c>
      <c r="S5" s="20">
        <f t="shared" si="2"/>
        <v>1.4609594342572274</v>
      </c>
      <c r="T5" s="1">
        <f t="shared" si="3"/>
        <v>-0.23849419088554846</v>
      </c>
      <c r="U5" s="29">
        <f t="shared" si="4"/>
        <v>6.2119357339728918</v>
      </c>
    </row>
    <row r="6" spans="1:21" ht="15.75" thickBot="1" x14ac:dyDescent="0.3">
      <c r="A6" s="47" t="s">
        <v>7</v>
      </c>
      <c r="B6" s="15">
        <v>4</v>
      </c>
      <c r="C6" s="13"/>
      <c r="D6" s="16"/>
      <c r="E6" s="16"/>
      <c r="F6" s="15"/>
      <c r="G6" s="9">
        <v>0.10689493</v>
      </c>
      <c r="H6" s="16"/>
      <c r="I6" s="16"/>
      <c r="J6" s="16"/>
      <c r="K6" s="15"/>
      <c r="L6" s="14">
        <v>1</v>
      </c>
      <c r="M6" s="13">
        <v>9</v>
      </c>
      <c r="N6" s="16">
        <v>8</v>
      </c>
      <c r="O6" s="15">
        <f t="shared" si="0"/>
        <v>17</v>
      </c>
      <c r="P6" s="13">
        <v>5.2791228857350898</v>
      </c>
      <c r="Q6" s="16">
        <v>12.897107699137701</v>
      </c>
      <c r="R6" s="15">
        <f>Q6+P6</f>
        <v>18.176230584872791</v>
      </c>
      <c r="S6" s="12">
        <f t="shared" si="2"/>
        <v>-2.8011815218910998</v>
      </c>
      <c r="T6" s="12">
        <f t="shared" si="3"/>
        <v>-2.6955745423394522</v>
      </c>
      <c r="U6" s="27">
        <f t="shared" si="4"/>
        <v>3.1373235387040754</v>
      </c>
    </row>
    <row r="7" spans="1:21" ht="15.75" thickBot="1" x14ac:dyDescent="0.3">
      <c r="A7" s="45" t="s">
        <v>6</v>
      </c>
      <c r="B7" s="8">
        <v>5</v>
      </c>
      <c r="C7" s="6"/>
      <c r="F7" s="8"/>
      <c r="G7" s="6"/>
      <c r="H7" s="9">
        <v>0.31594721999999997</v>
      </c>
      <c r="K7" s="8"/>
      <c r="L7" s="7">
        <v>1</v>
      </c>
      <c r="M7" s="6">
        <v>9</v>
      </c>
      <c r="N7">
        <v>8</v>
      </c>
      <c r="O7" s="8">
        <f t="shared" si="0"/>
        <v>17</v>
      </c>
      <c r="P7" s="6">
        <v>5.29177245622241</v>
      </c>
      <c r="Q7">
        <v>12.769347347887701</v>
      </c>
      <c r="R7" s="8">
        <f t="shared" ref="R7:R35" si="5">Q7+P7</f>
        <v>18.06111980411011</v>
      </c>
      <c r="S7" s="39">
        <f t="shared" si="2"/>
        <v>-2.7796419672850252</v>
      </c>
      <c r="T7" s="39">
        <f t="shared" si="3"/>
        <v>-2.8648183203334865</v>
      </c>
      <c r="U7" s="28">
        <f t="shared" si="4"/>
        <v>3.029319513350452</v>
      </c>
    </row>
    <row r="8" spans="1:21" ht="15.75" thickBot="1" x14ac:dyDescent="0.3">
      <c r="A8" s="45" t="s">
        <v>5</v>
      </c>
      <c r="B8" s="8">
        <v>6</v>
      </c>
      <c r="C8" s="6"/>
      <c r="F8" s="8"/>
      <c r="G8" s="6"/>
      <c r="I8" s="9">
        <v>1.4488499100000001</v>
      </c>
      <c r="K8" s="8"/>
      <c r="L8" s="7">
        <v>1</v>
      </c>
      <c r="M8" s="6">
        <v>9</v>
      </c>
      <c r="N8">
        <v>8</v>
      </c>
      <c r="O8" s="8">
        <f t="shared" si="0"/>
        <v>17</v>
      </c>
      <c r="P8" s="6">
        <v>5.3009594653858301</v>
      </c>
      <c r="Q8">
        <v>12.5491049861644</v>
      </c>
      <c r="R8" s="8">
        <f t="shared" si="5"/>
        <v>17.850064451550232</v>
      </c>
      <c r="S8" s="39">
        <f t="shared" si="2"/>
        <v>-2.764030677616967</v>
      </c>
      <c r="T8" s="39">
        <f t="shared" si="3"/>
        <v>-3.1605879467048812</v>
      </c>
      <c r="U8" s="28">
        <f t="shared" si="4"/>
        <v>2.8294941731983196</v>
      </c>
    </row>
    <row r="9" spans="1:21" ht="15.75" thickBot="1" x14ac:dyDescent="0.3">
      <c r="A9" s="45" t="s">
        <v>22</v>
      </c>
      <c r="B9" s="8">
        <v>7</v>
      </c>
      <c r="C9" s="6"/>
      <c r="F9" s="8"/>
      <c r="G9" s="6"/>
      <c r="J9" s="9">
        <f>7.61681422</f>
        <v>7.6168142200000002</v>
      </c>
      <c r="K9" s="8"/>
      <c r="L9" s="7">
        <v>1</v>
      </c>
      <c r="M9" s="6">
        <v>9</v>
      </c>
      <c r="N9">
        <v>8</v>
      </c>
      <c r="O9" s="8">
        <f t="shared" si="0"/>
        <v>17</v>
      </c>
      <c r="P9" s="6">
        <v>5.2587159084778099</v>
      </c>
      <c r="Q9">
        <v>11.7714430534585</v>
      </c>
      <c r="R9" s="8">
        <f t="shared" si="5"/>
        <v>17.030158961936309</v>
      </c>
      <c r="S9" s="39">
        <f t="shared" si="2"/>
        <v>-2.8360393382789457</v>
      </c>
      <c r="T9" s="39">
        <f t="shared" si="3"/>
        <v>-4.248126040764566</v>
      </c>
      <c r="U9" s="28">
        <f t="shared" si="4"/>
        <v>2.030132241681303</v>
      </c>
    </row>
    <row r="10" spans="1:21" ht="15.75" thickBot="1" x14ac:dyDescent="0.3">
      <c r="A10" s="45" t="s">
        <v>27</v>
      </c>
      <c r="B10" s="8">
        <v>8</v>
      </c>
      <c r="C10" s="6"/>
      <c r="F10" s="8"/>
      <c r="G10" s="6"/>
      <c r="K10" s="9">
        <f>1383.2675099</f>
        <v>1383.2675099000001</v>
      </c>
      <c r="L10" s="7">
        <v>1</v>
      </c>
      <c r="M10" s="6">
        <v>9</v>
      </c>
      <c r="N10">
        <v>8</v>
      </c>
      <c r="O10" s="8">
        <f t="shared" si="0"/>
        <v>17</v>
      </c>
      <c r="P10" s="6">
        <v>5.43442227512607</v>
      </c>
      <c r="Q10">
        <v>11.7781239753009</v>
      </c>
      <c r="R10" s="8">
        <f t="shared" si="5"/>
        <v>17.212546250426971</v>
      </c>
      <c r="S10" s="39">
        <f t="shared" si="2"/>
        <v>-2.5402422358411396</v>
      </c>
      <c r="T10" s="39">
        <f t="shared" si="3"/>
        <v>-4.2384803709117733</v>
      </c>
      <c r="U10" s="28">
        <f t="shared" si="4"/>
        <v>2.211228519348146</v>
      </c>
    </row>
    <row r="11" spans="1:21" ht="15.75" thickBot="1" x14ac:dyDescent="0.3">
      <c r="A11" s="45" t="s">
        <v>28</v>
      </c>
      <c r="B11" s="8">
        <v>9</v>
      </c>
      <c r="C11" s="6"/>
      <c r="F11" s="8"/>
      <c r="G11" s="9">
        <f>0.1002067</f>
        <v>0.1002067</v>
      </c>
      <c r="H11" s="9">
        <f>1.16851726</f>
        <v>1.16851726</v>
      </c>
      <c r="K11" s="8"/>
      <c r="L11" s="7">
        <v>2</v>
      </c>
      <c r="M11" s="6">
        <v>9</v>
      </c>
      <c r="N11">
        <v>8</v>
      </c>
      <c r="O11" s="8">
        <f t="shared" si="0"/>
        <v>17</v>
      </c>
      <c r="P11" s="6">
        <v>5.3236580126359296</v>
      </c>
      <c r="Q11">
        <v>12.2858140127778</v>
      </c>
      <c r="R11" s="8">
        <f t="shared" si="5"/>
        <v>17.60947202541373</v>
      </c>
      <c r="S11" s="39">
        <f t="shared" si="2"/>
        <v>-0.72557522517739681</v>
      </c>
      <c r="T11" s="39">
        <f t="shared" si="3"/>
        <v>-1.5210573527213418</v>
      </c>
      <c r="U11" s="28">
        <f t="shared" si="4"/>
        <v>4.5988011401831361</v>
      </c>
    </row>
    <row r="12" spans="1:21" ht="15.75" thickBot="1" x14ac:dyDescent="0.3">
      <c r="A12" s="45" t="s">
        <v>29</v>
      </c>
      <c r="B12" s="8">
        <v>10</v>
      </c>
      <c r="C12" s="6"/>
      <c r="F12" s="8"/>
      <c r="G12" s="9">
        <f>0.93785242</f>
        <v>0.93785242000000002</v>
      </c>
      <c r="I12" s="9">
        <f>2.87115498</f>
        <v>2.87115498</v>
      </c>
      <c r="K12" s="8"/>
      <c r="L12" s="7">
        <v>2</v>
      </c>
      <c r="M12" s="6">
        <v>9</v>
      </c>
      <c r="N12">
        <v>8</v>
      </c>
      <c r="O12" s="8">
        <f t="shared" si="0"/>
        <v>17</v>
      </c>
      <c r="P12" s="6">
        <f>5.26301393688409</f>
        <v>5.2630139368840902</v>
      </c>
      <c r="Q12">
        <f>11.261648684987</f>
        <v>11.261648684987</v>
      </c>
      <c r="R12" s="8">
        <f t="shared" si="5"/>
        <v>16.524662621871091</v>
      </c>
      <c r="S12" s="39">
        <f t="shared" si="2"/>
        <v>-0.82868650592597515</v>
      </c>
      <c r="T12" s="39">
        <f t="shared" si="3"/>
        <v>-3.0007753114312994</v>
      </c>
      <c r="U12" s="28">
        <f t="shared" si="4"/>
        <v>3.5178906292069447</v>
      </c>
    </row>
    <row r="13" spans="1:21" ht="15.75" thickBot="1" x14ac:dyDescent="0.3">
      <c r="A13" s="45" t="s">
        <v>32</v>
      </c>
      <c r="B13" s="8">
        <v>11</v>
      </c>
      <c r="C13" s="6"/>
      <c r="F13" s="8"/>
      <c r="G13" s="9">
        <f>0.55116576</f>
        <v>0.55116575999999995</v>
      </c>
      <c r="J13" s="9">
        <f>1.63684863</f>
        <v>1.63684863</v>
      </c>
      <c r="K13" s="8"/>
      <c r="L13" s="7">
        <v>2</v>
      </c>
      <c r="M13" s="6">
        <v>9</v>
      </c>
      <c r="N13">
        <v>8</v>
      </c>
      <c r="O13" s="8">
        <f t="shared" si="0"/>
        <v>17</v>
      </c>
      <c r="P13" s="6">
        <v>5.2587235785077402</v>
      </c>
      <c r="Q13">
        <v>2.4359197066360099</v>
      </c>
      <c r="R13" s="8">
        <f t="shared" si="5"/>
        <v>7.6946432851437496</v>
      </c>
      <c r="S13" s="39">
        <f t="shared" si="2"/>
        <v>-0.83602621145858791</v>
      </c>
      <c r="T13" s="39">
        <f t="shared" si="3"/>
        <v>-29.029112250348611</v>
      </c>
      <c r="U13" s="28">
        <f t="shared" si="4"/>
        <v>-9.4757118872878507</v>
      </c>
    </row>
    <row r="14" spans="1:21" ht="15.75" thickBot="1" x14ac:dyDescent="0.3">
      <c r="A14" s="45" t="s">
        <v>44</v>
      </c>
      <c r="B14" s="8">
        <v>12</v>
      </c>
      <c r="C14" s="6"/>
      <c r="F14" s="8"/>
      <c r="G14" s="9">
        <f>0.108222662</f>
        <v>0.108222662</v>
      </c>
      <c r="K14" s="9">
        <f>247.809608</f>
        <v>247.809608</v>
      </c>
      <c r="L14" s="7">
        <v>2</v>
      </c>
      <c r="M14" s="6">
        <v>9</v>
      </c>
      <c r="N14">
        <v>8</v>
      </c>
      <c r="O14" s="8">
        <f t="shared" si="0"/>
        <v>17</v>
      </c>
      <c r="P14" s="6">
        <v>5.2911065427001196</v>
      </c>
      <c r="Q14">
        <v>12.778546066200899</v>
      </c>
      <c r="R14" s="8">
        <f t="shared" si="5"/>
        <v>18.06965260890102</v>
      </c>
      <c r="S14" s="39">
        <f t="shared" si="2"/>
        <v>-0.78077459323853571</v>
      </c>
      <c r="T14" s="39">
        <f t="shared" si="3"/>
        <v>-0.85257635458331915</v>
      </c>
      <c r="U14" s="28">
        <f t="shared" si="4"/>
        <v>5.0373491055487083</v>
      </c>
    </row>
    <row r="15" spans="1:21" ht="15.75" thickBot="1" x14ac:dyDescent="0.3">
      <c r="A15" s="45" t="s">
        <v>31</v>
      </c>
      <c r="B15" s="8">
        <v>13</v>
      </c>
      <c r="C15" s="6"/>
      <c r="F15" s="8"/>
      <c r="G15" s="6"/>
      <c r="H15" s="9">
        <f>3.24102502</f>
        <v>3.2410250199999999</v>
      </c>
      <c r="I15" s="9">
        <f>2.99943608</f>
        <v>2.9994360800000002</v>
      </c>
      <c r="K15" s="8"/>
      <c r="L15" s="7">
        <v>2</v>
      </c>
      <c r="M15" s="6">
        <v>9</v>
      </c>
      <c r="N15">
        <v>8</v>
      </c>
      <c r="O15" s="8">
        <f t="shared" si="0"/>
        <v>17</v>
      </c>
      <c r="P15" s="6">
        <f>5.28377225654897</f>
        <v>5.2837722565489704</v>
      </c>
      <c r="Q15">
        <f>11.018275406296</f>
        <v>11.018275406296</v>
      </c>
      <c r="R15" s="8">
        <f t="shared" si="5"/>
        <v>16.30204766284497</v>
      </c>
      <c r="S15" s="39">
        <f t="shared" si="2"/>
        <v>-0.79325862964165506</v>
      </c>
      <c r="T15" s="39">
        <f t="shared" si="3"/>
        <v>-3.3721868378396795</v>
      </c>
      <c r="U15" s="28">
        <f t="shared" si="4"/>
        <v>3.2873154490171927</v>
      </c>
    </row>
    <row r="16" spans="1:21" ht="15.75" thickBot="1" x14ac:dyDescent="0.3">
      <c r="A16" s="45" t="s">
        <v>33</v>
      </c>
      <c r="B16" s="8">
        <v>14</v>
      </c>
      <c r="C16" s="6"/>
      <c r="F16" s="8"/>
      <c r="G16" s="6"/>
      <c r="H16" s="9">
        <f>0.99259238</f>
        <v>0.99259238000000005</v>
      </c>
      <c r="J16" s="9">
        <f>2.68658268</f>
        <v>2.6865826799999999</v>
      </c>
      <c r="K16" s="8"/>
      <c r="L16" s="7">
        <v>2</v>
      </c>
      <c r="M16" s="6">
        <v>9</v>
      </c>
      <c r="N16">
        <v>8</v>
      </c>
      <c r="O16" s="8">
        <f t="shared" si="0"/>
        <v>17</v>
      </c>
      <c r="P16" s="6">
        <f>5.26025833266222</f>
        <v>5.2602583326622199</v>
      </c>
      <c r="Q16">
        <f>3.60669147037225</f>
        <v>3.6066914703722501</v>
      </c>
      <c r="R16" s="8">
        <f t="shared" si="5"/>
        <v>8.8669498030344691</v>
      </c>
      <c r="S16" s="39">
        <f t="shared" si="2"/>
        <v>-0.8333999520724662</v>
      </c>
      <c r="T16" s="39">
        <f t="shared" si="3"/>
        <v>-22.357182196498044</v>
      </c>
      <c r="U16" s="28">
        <f t="shared" si="4"/>
        <v>-7.0650022411486333</v>
      </c>
    </row>
    <row r="17" spans="1:21" ht="15.75" thickBot="1" x14ac:dyDescent="0.3">
      <c r="A17" s="45" t="s">
        <v>45</v>
      </c>
      <c r="B17" s="8">
        <v>15</v>
      </c>
      <c r="C17" s="6"/>
      <c r="F17" s="8"/>
      <c r="G17" s="6"/>
      <c r="H17" s="9">
        <f>0.31834844</f>
        <v>0.31834844000000001</v>
      </c>
      <c r="K17" s="9">
        <f>275.22475149</f>
        <v>275.22475149000002</v>
      </c>
      <c r="L17" s="7">
        <v>2</v>
      </c>
      <c r="M17" s="6">
        <v>9</v>
      </c>
      <c r="N17">
        <v>8</v>
      </c>
      <c r="O17" s="8">
        <f t="shared" si="0"/>
        <v>17</v>
      </c>
      <c r="P17" s="6">
        <f>5.29971588105612</f>
        <v>5.2997158810561196</v>
      </c>
      <c r="Q17">
        <f>12.6956822636625</f>
        <v>12.6956822636625</v>
      </c>
      <c r="R17" s="8">
        <f t="shared" si="5"/>
        <v>17.995398144718621</v>
      </c>
      <c r="S17" s="39">
        <f t="shared" si="2"/>
        <v>-0.76614229006673451</v>
      </c>
      <c r="T17" s="39">
        <f t="shared" si="3"/>
        <v>-0.96317358982708967</v>
      </c>
      <c r="U17" s="28">
        <f t="shared" si="4"/>
        <v>4.9673462829584487</v>
      </c>
    </row>
    <row r="18" spans="1:21" ht="15.75" thickBot="1" x14ac:dyDescent="0.3">
      <c r="A18" s="45" t="s">
        <v>34</v>
      </c>
      <c r="B18" s="8">
        <v>16</v>
      </c>
      <c r="C18" s="6"/>
      <c r="F18" s="8"/>
      <c r="G18" s="6"/>
      <c r="I18" s="9">
        <f>1.0064097</f>
        <v>1.0064097000000001</v>
      </c>
      <c r="J18" s="9">
        <f>3.46687745</f>
        <v>3.4668774500000001</v>
      </c>
      <c r="K18" s="8"/>
      <c r="L18" s="7">
        <v>2</v>
      </c>
      <c r="M18" s="6">
        <v>9</v>
      </c>
      <c r="N18">
        <v>8</v>
      </c>
      <c r="O18" s="8">
        <f t="shared" si="0"/>
        <v>17</v>
      </c>
      <c r="P18" s="6">
        <f>5.27769628641438</f>
        <v>5.2776962864143799</v>
      </c>
      <c r="Q18">
        <f>5.29600842181056</f>
        <v>5.2960084218105603</v>
      </c>
      <c r="R18" s="8">
        <f t="shared" si="5"/>
        <v>10.573704708224941</v>
      </c>
      <c r="S18" s="39">
        <f t="shared" si="2"/>
        <v>-0.80361395797912483</v>
      </c>
      <c r="T18" s="39">
        <f t="shared" si="3"/>
        <v>-15.826418898429687</v>
      </c>
      <c r="U18" s="28">
        <f t="shared" si="4"/>
        <v>-4.0723329183783932</v>
      </c>
    </row>
    <row r="19" spans="1:21" ht="15.75" thickBot="1" x14ac:dyDescent="0.3">
      <c r="A19" s="45" t="s">
        <v>46</v>
      </c>
      <c r="B19" s="8">
        <v>17</v>
      </c>
      <c r="C19" s="6"/>
      <c r="F19" s="8"/>
      <c r="G19" s="6"/>
      <c r="I19" s="9">
        <f>1.47266306</f>
        <v>1.4726630599999999</v>
      </c>
      <c r="K19" s="9">
        <f>265.50204353</f>
        <v>265.50204352999998</v>
      </c>
      <c r="L19" s="7">
        <v>2</v>
      </c>
      <c r="M19" s="6">
        <v>9</v>
      </c>
      <c r="N19">
        <v>8</v>
      </c>
      <c r="O19" s="8">
        <f t="shared" si="0"/>
        <v>17</v>
      </c>
      <c r="P19" s="6">
        <f>5.25916359477032</f>
        <v>5.2591635947703201</v>
      </c>
      <c r="Q19">
        <f>12.9204315362371</f>
        <v>12.9204315362371</v>
      </c>
      <c r="R19" s="8">
        <f t="shared" si="5"/>
        <v>18.179595131007421</v>
      </c>
      <c r="S19" s="39">
        <f t="shared" si="2"/>
        <v>-0.83527318068343703</v>
      </c>
      <c r="T19" s="39">
        <f t="shared" si="3"/>
        <v>-0.66485857557404682</v>
      </c>
      <c r="U19" s="28">
        <f t="shared" si="4"/>
        <v>5.1404700652002164</v>
      </c>
    </row>
    <row r="20" spans="1:21" ht="15.75" thickBot="1" x14ac:dyDescent="0.3">
      <c r="A20" s="45" t="s">
        <v>35</v>
      </c>
      <c r="B20" s="8">
        <v>18</v>
      </c>
      <c r="C20" s="6"/>
      <c r="F20" s="8"/>
      <c r="G20" s="6"/>
      <c r="J20" s="9">
        <f>7.5115455</f>
        <v>7.5115455000000004</v>
      </c>
      <c r="K20" s="9">
        <f>166.65581365</f>
        <v>166.65581365</v>
      </c>
      <c r="L20" s="7">
        <v>2</v>
      </c>
      <c r="M20" s="6">
        <v>9</v>
      </c>
      <c r="N20">
        <v>8</v>
      </c>
      <c r="O20" s="8">
        <f t="shared" si="0"/>
        <v>17</v>
      </c>
      <c r="P20" s="6">
        <f>5.24963475760471</f>
        <v>5.24963475760471</v>
      </c>
      <c r="Q20">
        <f>11.7712802209801</f>
        <v>11.771280220980101</v>
      </c>
      <c r="R20" s="8">
        <f t="shared" si="5"/>
        <v>17.020914978584813</v>
      </c>
      <c r="S20" s="39">
        <f t="shared" si="2"/>
        <v>-0.85159465819560953</v>
      </c>
      <c r="T20" s="39">
        <f t="shared" si="3"/>
        <v>-2.248361200656694</v>
      </c>
      <c r="U20" s="28">
        <f t="shared" si="4"/>
        <v>4.0209021233531441</v>
      </c>
    </row>
    <row r="21" spans="1:21" ht="15.75" thickBot="1" x14ac:dyDescent="0.3">
      <c r="A21" s="45" t="s">
        <v>30</v>
      </c>
      <c r="B21" s="8">
        <v>19</v>
      </c>
      <c r="C21" s="6"/>
      <c r="F21" s="8"/>
      <c r="G21" s="9">
        <f>0.31989994</f>
        <v>0.31989993999999999</v>
      </c>
      <c r="H21" s="9">
        <f>1.17967972</f>
        <v>1.17967972</v>
      </c>
      <c r="I21" s="9">
        <f>2.98791675</f>
        <v>2.9879167500000001</v>
      </c>
      <c r="K21" s="8"/>
      <c r="L21" s="7">
        <v>3</v>
      </c>
      <c r="M21" s="6">
        <v>9</v>
      </c>
      <c r="N21">
        <v>8</v>
      </c>
      <c r="O21" s="8">
        <f t="shared" si="0"/>
        <v>17</v>
      </c>
      <c r="P21" s="6">
        <f>5.26806497444909</f>
        <v>5.2680649744490902</v>
      </c>
      <c r="Q21">
        <f>11.1606246813302</f>
        <v>11.1606246813302</v>
      </c>
      <c r="R21" s="8">
        <f t="shared" si="5"/>
        <v>16.428689655779291</v>
      </c>
      <c r="S21" s="39">
        <f t="shared" si="2"/>
        <v>1.1799468624028862</v>
      </c>
      <c r="T21" s="39">
        <f t="shared" si="3"/>
        <v>-1.1539640318801165</v>
      </c>
      <c r="U21" s="28">
        <f t="shared" si="4"/>
        <v>5.4188691382976195</v>
      </c>
    </row>
    <row r="22" spans="1:21" ht="15.75" thickBot="1" x14ac:dyDescent="0.3">
      <c r="A22" s="45" t="s">
        <v>36</v>
      </c>
      <c r="B22" s="8">
        <v>20</v>
      </c>
      <c r="C22" s="6"/>
      <c r="F22" s="8"/>
      <c r="G22" s="9">
        <f>0.22274556</f>
        <v>0.22274556000000001</v>
      </c>
      <c r="H22" s="9">
        <f>0.79032965</f>
        <v>0.79032964999999999</v>
      </c>
      <c r="J22" s="9">
        <f>1.81100875</f>
        <v>1.8110087500000001</v>
      </c>
      <c r="K22" s="8"/>
      <c r="L22" s="7">
        <v>3</v>
      </c>
      <c r="M22" s="6">
        <v>9</v>
      </c>
      <c r="N22">
        <v>8</v>
      </c>
      <c r="O22" s="8">
        <f t="shared" si="0"/>
        <v>17</v>
      </c>
      <c r="P22" s="6">
        <v>5.2514517691766702</v>
      </c>
      <c r="Q22">
        <v>2.4759067053399599</v>
      </c>
      <c r="R22" s="8">
        <f t="shared" si="5"/>
        <v>7.7273584745166302</v>
      </c>
      <c r="S22" s="39">
        <f t="shared" si="2"/>
        <v>1.1515198965257767</v>
      </c>
      <c r="T22" s="39">
        <f t="shared" si="3"/>
        <v>-26.75231338204096</v>
      </c>
      <c r="U22" s="28">
        <f t="shared" si="4"/>
        <v>-7.4035864833026608</v>
      </c>
    </row>
    <row r="23" spans="1:21" ht="15.75" thickBot="1" x14ac:dyDescent="0.3">
      <c r="A23" s="45" t="s">
        <v>37</v>
      </c>
      <c r="B23" s="8">
        <v>21</v>
      </c>
      <c r="C23" s="6"/>
      <c r="F23" s="8"/>
      <c r="G23" s="9">
        <f>0.229298716</f>
        <v>0.22929871600000001</v>
      </c>
      <c r="H23" s="9">
        <f>0.164441324</f>
        <v>0.164441324</v>
      </c>
      <c r="K23" s="9">
        <f>358.433111</f>
        <v>358.433111</v>
      </c>
      <c r="L23" s="7">
        <v>3</v>
      </c>
      <c r="M23" s="6">
        <v>9</v>
      </c>
      <c r="N23">
        <v>8</v>
      </c>
      <c r="O23" s="8">
        <f t="shared" si="0"/>
        <v>17</v>
      </c>
      <c r="P23" s="6">
        <v>5.2864633677592403</v>
      </c>
      <c r="Q23">
        <v>12.821588657013001</v>
      </c>
      <c r="R23" s="8">
        <f t="shared" si="5"/>
        <v>18.108052024772242</v>
      </c>
      <c r="S23" s="39">
        <f t="shared" si="2"/>
        <v>1.211324049927005</v>
      </c>
      <c r="T23" s="39">
        <f t="shared" si="3"/>
        <v>1.2045893393651497</v>
      </c>
      <c r="U23" s="28">
        <f t="shared" si="4"/>
        <v>7.0734370951856382</v>
      </c>
    </row>
    <row r="24" spans="1:21" ht="15.75" thickBot="1" x14ac:dyDescent="0.3">
      <c r="A24" s="45" t="s">
        <v>38</v>
      </c>
      <c r="B24" s="8">
        <v>22</v>
      </c>
      <c r="C24" s="6"/>
      <c r="F24" s="8"/>
      <c r="G24" s="9">
        <f>0.29208828</f>
        <v>0.29208827999999998</v>
      </c>
      <c r="I24" s="9">
        <f>1.00688516</f>
        <v>1.0068851599999999</v>
      </c>
      <c r="J24" s="9">
        <f>1.42959682</f>
        <v>1.42959682</v>
      </c>
      <c r="K24" s="8"/>
      <c r="L24" s="7">
        <v>3</v>
      </c>
      <c r="M24" s="6">
        <v>9</v>
      </c>
      <c r="N24">
        <v>8</v>
      </c>
      <c r="O24" s="8">
        <f t="shared" si="0"/>
        <v>17</v>
      </c>
      <c r="P24" s="6">
        <v>5.2799242349097</v>
      </c>
      <c r="Q24">
        <v>1.21731763903277</v>
      </c>
      <c r="R24" s="8">
        <f t="shared" si="5"/>
        <v>6.4972418739424702</v>
      </c>
      <c r="S24" s="39">
        <f t="shared" si="2"/>
        <v>1.2001845374706841</v>
      </c>
      <c r="T24" s="39">
        <f t="shared" si="3"/>
        <v>-38.821580561403913</v>
      </c>
      <c r="U24" s="28">
        <f t="shared" si="4"/>
        <v>-10.351204932974401</v>
      </c>
    </row>
    <row r="25" spans="1:21" ht="15.75" thickBot="1" x14ac:dyDescent="0.3">
      <c r="A25" s="45" t="s">
        <v>47</v>
      </c>
      <c r="B25" s="8">
        <v>23</v>
      </c>
      <c r="C25" s="6"/>
      <c r="F25" s="8"/>
      <c r="G25" s="9">
        <f>0.89771881</f>
        <v>0.89771880999999998</v>
      </c>
      <c r="I25" s="9">
        <f>2.82412082</f>
        <v>2.8241208200000001</v>
      </c>
      <c r="K25" s="9">
        <f>714.16041461</f>
        <v>714.16041460999998</v>
      </c>
      <c r="L25" s="7">
        <v>3</v>
      </c>
      <c r="M25" s="6">
        <v>9</v>
      </c>
      <c r="N25">
        <v>8</v>
      </c>
      <c r="O25" s="8">
        <f t="shared" si="0"/>
        <v>17</v>
      </c>
      <c r="P25" s="6">
        <v>5.2728981800352397</v>
      </c>
      <c r="Q25">
        <v>11.190554660756399</v>
      </c>
      <c r="R25" s="8">
        <f t="shared" si="5"/>
        <v>16.463452840791639</v>
      </c>
      <c r="S25" s="39">
        <f t="shared" si="2"/>
        <v>1.1882001600733556</v>
      </c>
      <c r="T25" s="39">
        <f t="shared" si="3"/>
        <v>-1.1084353421784172</v>
      </c>
      <c r="U25" s="28">
        <f t="shared" si="4"/>
        <v>5.4548032137572449</v>
      </c>
    </row>
    <row r="26" spans="1:21" ht="15.75" thickBot="1" x14ac:dyDescent="0.3">
      <c r="A26" s="45" t="s">
        <v>51</v>
      </c>
      <c r="B26" s="8">
        <v>24</v>
      </c>
      <c r="C26" s="6"/>
      <c r="F26" s="8"/>
      <c r="G26" s="9">
        <f>0.58732825</f>
        <v>0.58732825</v>
      </c>
      <c r="J26" s="9">
        <f>1.51869124</f>
        <v>1.5186912400000001</v>
      </c>
      <c r="K26" s="9">
        <f>235.517156</f>
        <v>235.517156</v>
      </c>
      <c r="L26" s="7">
        <v>3</v>
      </c>
      <c r="M26" s="6">
        <v>9</v>
      </c>
      <c r="N26">
        <v>8</v>
      </c>
      <c r="O26" s="8">
        <f t="shared" si="0"/>
        <v>17</v>
      </c>
      <c r="P26" s="6">
        <v>5.2527790598308002</v>
      </c>
      <c r="Q26">
        <v>2.4647285576876299</v>
      </c>
      <c r="R26" s="8">
        <f t="shared" si="5"/>
        <v>7.7175076175184305</v>
      </c>
      <c r="S26" s="39">
        <f t="shared" si="2"/>
        <v>1.1537943354914102</v>
      </c>
      <c r="T26" s="39">
        <f t="shared" si="3"/>
        <v>-26.829238240573389</v>
      </c>
      <c r="U26" s="28">
        <f t="shared" si="4"/>
        <v>-7.4252719535009302</v>
      </c>
    </row>
    <row r="27" spans="1:21" ht="15.75" thickBot="1" x14ac:dyDescent="0.3">
      <c r="A27" s="45" t="s">
        <v>52</v>
      </c>
      <c r="B27" s="8">
        <v>25</v>
      </c>
      <c r="C27" s="6"/>
      <c r="F27" s="8"/>
      <c r="G27" s="6"/>
      <c r="H27" s="9">
        <f>0.91366328</f>
        <v>0.91366327999999997</v>
      </c>
      <c r="I27" s="9">
        <f>1.00115886</f>
        <v>1.0011588600000001</v>
      </c>
      <c r="J27" s="9">
        <f>1.3013097</f>
        <v>1.3013097</v>
      </c>
      <c r="K27" s="8"/>
      <c r="L27" s="7">
        <v>3</v>
      </c>
      <c r="M27" s="6">
        <v>9</v>
      </c>
      <c r="N27">
        <v>8</v>
      </c>
      <c r="O27" s="8">
        <f t="shared" si="0"/>
        <v>17</v>
      </c>
      <c r="P27" s="6">
        <v>5.2786748728539301</v>
      </c>
      <c r="Q27">
        <v>1.23317407787801</v>
      </c>
      <c r="R27" s="8">
        <f t="shared" si="5"/>
        <v>6.5118489507319399</v>
      </c>
      <c r="S27" s="39">
        <f t="shared" si="2"/>
        <v>1.1980546604974887</v>
      </c>
      <c r="T27" s="39">
        <f t="shared" si="3"/>
        <v>-38.60157310676032</v>
      </c>
      <c r="U27" s="28">
        <f t="shared" si="4"/>
        <v>-10.313028489574126</v>
      </c>
    </row>
    <row r="28" spans="1:21" ht="15.75" thickBot="1" x14ac:dyDescent="0.3">
      <c r="A28" s="45" t="s">
        <v>48</v>
      </c>
      <c r="B28" s="8">
        <v>26</v>
      </c>
      <c r="C28" s="6"/>
      <c r="F28" s="8"/>
      <c r="G28" s="6"/>
      <c r="H28" s="9"/>
      <c r="I28" s="9"/>
      <c r="K28" s="9"/>
      <c r="L28" s="7">
        <v>3</v>
      </c>
      <c r="M28" s="6">
        <v>9</v>
      </c>
      <c r="N28">
        <v>8</v>
      </c>
      <c r="O28" s="8">
        <f t="shared" si="0"/>
        <v>17</v>
      </c>
      <c r="P28" s="6"/>
      <c r="R28" s="8">
        <f t="shared" si="5"/>
        <v>0</v>
      </c>
      <c r="S28" s="39" t="e">
        <f t="shared" si="2"/>
        <v>#NUM!</v>
      </c>
      <c r="T28" s="39" t="e">
        <f t="shared" si="3"/>
        <v>#NUM!</v>
      </c>
      <c r="U28" s="28" t="e">
        <f t="shared" si="4"/>
        <v>#NUM!</v>
      </c>
    </row>
    <row r="29" spans="1:21" ht="15.75" thickBot="1" x14ac:dyDescent="0.3">
      <c r="A29" s="45" t="s">
        <v>53</v>
      </c>
      <c r="B29" s="8">
        <v>27</v>
      </c>
      <c r="C29" s="6"/>
      <c r="F29" s="8"/>
      <c r="G29" s="6"/>
      <c r="H29" s="9"/>
      <c r="J29" s="9"/>
      <c r="K29" s="9"/>
      <c r="L29" s="7">
        <v>3</v>
      </c>
      <c r="M29" s="6">
        <v>9</v>
      </c>
      <c r="N29">
        <v>8</v>
      </c>
      <c r="O29" s="8">
        <f t="shared" si="0"/>
        <v>17</v>
      </c>
      <c r="P29" s="6"/>
      <c r="R29" s="8">
        <f t="shared" si="5"/>
        <v>0</v>
      </c>
      <c r="S29" s="39" t="e">
        <f t="shared" si="2"/>
        <v>#NUM!</v>
      </c>
      <c r="T29" s="39" t="e">
        <f t="shared" si="3"/>
        <v>#NUM!</v>
      </c>
      <c r="U29" s="28" t="e">
        <f t="shared" si="4"/>
        <v>#NUM!</v>
      </c>
    </row>
    <row r="30" spans="1:21" ht="15.75" thickBot="1" x14ac:dyDescent="0.3">
      <c r="A30" s="45" t="s">
        <v>39</v>
      </c>
      <c r="B30" s="8">
        <v>28</v>
      </c>
      <c r="C30" s="6"/>
      <c r="F30" s="8"/>
      <c r="G30" s="6"/>
      <c r="I30" s="9"/>
      <c r="J30" s="9"/>
      <c r="K30" s="9"/>
      <c r="L30" s="7">
        <v>3</v>
      </c>
      <c r="M30" s="6">
        <v>9</v>
      </c>
      <c r="N30">
        <v>8</v>
      </c>
      <c r="O30" s="8">
        <f t="shared" si="0"/>
        <v>17</v>
      </c>
      <c r="P30" s="6"/>
      <c r="R30" s="8">
        <f t="shared" si="5"/>
        <v>0</v>
      </c>
      <c r="S30" s="39" t="e">
        <f t="shared" si="2"/>
        <v>#NUM!</v>
      </c>
      <c r="T30" s="39" t="e">
        <f t="shared" si="3"/>
        <v>#NUM!</v>
      </c>
      <c r="U30" s="28" t="e">
        <f t="shared" si="4"/>
        <v>#NUM!</v>
      </c>
    </row>
    <row r="31" spans="1:21" ht="15.75" thickBot="1" x14ac:dyDescent="0.3">
      <c r="A31" s="45" t="s">
        <v>40</v>
      </c>
      <c r="B31" s="8">
        <v>29</v>
      </c>
      <c r="C31" s="6"/>
      <c r="F31" s="8"/>
      <c r="G31" s="9"/>
      <c r="H31" s="9"/>
      <c r="I31" s="9"/>
      <c r="J31" s="9"/>
      <c r="K31" s="8"/>
      <c r="L31" s="7">
        <v>4</v>
      </c>
      <c r="M31" s="6">
        <v>9</v>
      </c>
      <c r="N31">
        <v>8</v>
      </c>
      <c r="O31" s="8">
        <f t="shared" si="0"/>
        <v>17</v>
      </c>
      <c r="P31" s="6"/>
      <c r="R31" s="8">
        <f t="shared" si="5"/>
        <v>0</v>
      </c>
      <c r="S31" s="39" t="e">
        <f t="shared" si="2"/>
        <v>#NUM!</v>
      </c>
      <c r="T31" s="39" t="e">
        <f t="shared" si="3"/>
        <v>#NUM!</v>
      </c>
      <c r="U31" s="28" t="e">
        <f t="shared" si="4"/>
        <v>#NUM!</v>
      </c>
    </row>
    <row r="32" spans="1:21" ht="15.75" thickBot="1" x14ac:dyDescent="0.3">
      <c r="A32" s="45" t="s">
        <v>41</v>
      </c>
      <c r="B32" s="8">
        <v>30</v>
      </c>
      <c r="C32" s="6"/>
      <c r="F32" s="8"/>
      <c r="G32" s="9"/>
      <c r="H32" s="9"/>
      <c r="I32" s="9"/>
      <c r="K32" s="9"/>
      <c r="L32" s="7">
        <v>4</v>
      </c>
      <c r="M32" s="6">
        <v>9</v>
      </c>
      <c r="N32">
        <v>8</v>
      </c>
      <c r="O32" s="8">
        <f t="shared" si="0"/>
        <v>17</v>
      </c>
      <c r="P32" s="6"/>
      <c r="R32" s="8">
        <f t="shared" si="5"/>
        <v>0</v>
      </c>
      <c r="S32" s="39" t="e">
        <f t="shared" si="2"/>
        <v>#NUM!</v>
      </c>
      <c r="T32" s="39" t="e">
        <f t="shared" si="3"/>
        <v>#NUM!</v>
      </c>
      <c r="U32" s="28" t="e">
        <f t="shared" si="4"/>
        <v>#NUM!</v>
      </c>
    </row>
    <row r="33" spans="1:21" ht="15.75" thickBot="1" x14ac:dyDescent="0.3">
      <c r="A33" s="45" t="s">
        <v>54</v>
      </c>
      <c r="B33" s="8">
        <v>31</v>
      </c>
      <c r="C33" s="6"/>
      <c r="F33" s="8"/>
      <c r="G33" s="9"/>
      <c r="H33" s="9"/>
      <c r="J33" s="9"/>
      <c r="K33" s="9"/>
      <c r="L33" s="7">
        <v>4</v>
      </c>
      <c r="M33" s="6">
        <v>9</v>
      </c>
      <c r="N33">
        <v>8</v>
      </c>
      <c r="O33" s="8">
        <f t="shared" si="0"/>
        <v>17</v>
      </c>
      <c r="P33" s="6"/>
      <c r="R33" s="8">
        <f t="shared" si="5"/>
        <v>0</v>
      </c>
      <c r="S33" s="39" t="e">
        <f t="shared" si="2"/>
        <v>#NUM!</v>
      </c>
      <c r="T33" s="39" t="e">
        <f t="shared" si="3"/>
        <v>#NUM!</v>
      </c>
      <c r="U33" s="28" t="e">
        <f t="shared" si="4"/>
        <v>#NUM!</v>
      </c>
    </row>
    <row r="34" spans="1:21" ht="15.75" thickBot="1" x14ac:dyDescent="0.3">
      <c r="A34" s="45" t="s">
        <v>42</v>
      </c>
      <c r="B34" s="8">
        <v>32</v>
      </c>
      <c r="C34" s="6"/>
      <c r="F34" s="8"/>
      <c r="G34" s="9"/>
      <c r="I34" s="9"/>
      <c r="J34" s="9"/>
      <c r="K34" s="9"/>
      <c r="L34" s="7">
        <v>4</v>
      </c>
      <c r="M34" s="6">
        <v>9</v>
      </c>
      <c r="N34">
        <v>8</v>
      </c>
      <c r="O34" s="8">
        <f t="shared" si="0"/>
        <v>17</v>
      </c>
      <c r="P34" s="6"/>
      <c r="R34" s="8">
        <f t="shared" si="5"/>
        <v>0</v>
      </c>
      <c r="S34" s="39" t="e">
        <f t="shared" si="2"/>
        <v>#NUM!</v>
      </c>
      <c r="T34" s="39" t="e">
        <f t="shared" si="3"/>
        <v>#NUM!</v>
      </c>
      <c r="U34" s="28" t="e">
        <f t="shared" si="4"/>
        <v>#NUM!</v>
      </c>
    </row>
    <row r="35" spans="1:21" ht="15.75" thickBot="1" x14ac:dyDescent="0.3">
      <c r="A35" s="46" t="s">
        <v>55</v>
      </c>
      <c r="B35" s="4">
        <v>33</v>
      </c>
      <c r="C35" s="2"/>
      <c r="D35" s="5"/>
      <c r="E35" s="5"/>
      <c r="F35" s="4"/>
      <c r="G35" s="2"/>
      <c r="H35" s="9"/>
      <c r="I35" s="9"/>
      <c r="J35" s="9"/>
      <c r="K35" s="9"/>
      <c r="L35" s="3">
        <v>4</v>
      </c>
      <c r="M35" s="2">
        <v>9</v>
      </c>
      <c r="N35" s="5">
        <v>8</v>
      </c>
      <c r="O35" s="4">
        <f t="shared" si="0"/>
        <v>17</v>
      </c>
      <c r="P35" s="2"/>
      <c r="Q35" s="5"/>
      <c r="R35" s="4">
        <f t="shared" si="5"/>
        <v>0</v>
      </c>
      <c r="S35" s="1" t="e">
        <f t="shared" si="2"/>
        <v>#NUM!</v>
      </c>
      <c r="T35" s="1" t="e">
        <f t="shared" si="3"/>
        <v>#NUM!</v>
      </c>
      <c r="U35" s="29" t="e">
        <f t="shared" si="4"/>
        <v>#NUM!</v>
      </c>
    </row>
  </sheetData>
  <mergeCells count="5">
    <mergeCell ref="A1:B1"/>
    <mergeCell ref="C1:F1"/>
    <mergeCell ref="G1:K1"/>
    <mergeCell ref="M1:O1"/>
    <mergeCell ref="P1:U1"/>
  </mergeCells>
  <conditionalFormatting sqref="L1:L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{118EEEC3-37E5-4766-B696-78583F8836FA}</x14:id>
        </ext>
      </extLst>
    </cfRule>
  </conditionalFormatting>
  <conditionalFormatting sqref="P3:P5">
    <cfRule type="top10" dxfId="62" priority="8" bottom="1" rank="1"/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5">
    <cfRule type="top10" dxfId="61" priority="5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">
    <cfRule type="top10" dxfId="60" priority="7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35">
    <cfRule type="top10" dxfId="59" priority="4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 P6:R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8" priority="6" bottom="1" rank="1"/>
  </conditionalFormatting>
  <conditionalFormatting sqref="R3:R3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7" priority="3" bottom="1" rank="1"/>
  </conditionalFormatting>
  <conditionalFormatting sqref="S3:S35">
    <cfRule type="top10" dxfId="56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35">
    <cfRule type="top10" dxfId="55" priority="11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U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35">
    <cfRule type="top10" dxfId="54" priority="26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35">
    <cfRule type="top10" dxfId="53" priority="10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35">
    <cfRule type="top10" dxfId="52" priority="29" bottom="1" rank="1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35">
    <cfRule type="top10" dxfId="51" priority="9" bottom="1" rank="1"/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EEEC3-37E5-4766-B696-78583F883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KSE3AZRJTA6TS4KSLVEZ22ZURPTPXCPK:ms-officescript%3A%2F%2Fonedrive_business_sharinglink%2Fu!aHR0cHM6Ly9saXZldXRrLW15LnNoYXJlcG9pbnQuY29tLzp1Oi9nL3BlcnNvbmFsL2p3ZWF2ZTQ5X3V0aHNjX2VkdS9FU21ZUFRseFVsMUpuV3MwaS1iN2llb0JUOW15eW1Obzg1RXNPbWk5eUtzY1Z3"/>
</scriptIds>
</file>

<file path=customXml/itemProps1.xml><?xml version="1.0" encoding="utf-8"?>
<ds:datastoreItem xmlns:ds="http://schemas.openxmlformats.org/officeDocument/2006/customXml" ds:itemID="{16F49A5E-B0F7-4C2D-B514-508244481D4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301</vt:lpstr>
      <vt:lpstr>302</vt:lpstr>
      <vt:lpstr>307</vt:lpstr>
      <vt:lpstr>308</vt:lpstr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2024-08-15T15:41:58Z</dcterms:modified>
</cp:coreProperties>
</file>