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brane\"/>
    </mc:Choice>
  </mc:AlternateContent>
  <xr:revisionPtr revIDLastSave="0" documentId="13_ncr:1_{072B3747-A6F2-4359-BA35-EB2EAFEB7DCA}" xr6:coauthVersionLast="47" xr6:coauthVersionMax="47" xr10:uidLastSave="{00000000-0000-0000-0000-000000000000}"/>
  <bookViews>
    <workbookView xWindow="-19305" yWindow="0" windowWidth="19410" windowHeight="20985" xr2:uid="{AFAF78E0-4860-4C86-B529-A40C2A8398D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7" i="1"/>
  <c r="F18" i="1"/>
  <c r="C63" i="1"/>
  <c r="C60" i="1"/>
  <c r="C59" i="1"/>
  <c r="C58" i="1"/>
  <c r="C57" i="1"/>
  <c r="C64" i="1"/>
  <c r="C56" i="1"/>
  <c r="C55" i="1"/>
  <c r="C54" i="1"/>
  <c r="C53" i="1"/>
  <c r="C52" i="1"/>
  <c r="C51" i="1"/>
  <c r="C50" i="1"/>
  <c r="C49" i="1"/>
  <c r="C39" i="1"/>
  <c r="C38" i="1"/>
  <c r="C37" i="1"/>
  <c r="C61" i="1"/>
  <c r="C62" i="1"/>
  <c r="C48" i="1"/>
  <c r="C47" i="1"/>
  <c r="C46" i="1"/>
  <c r="C45" i="1"/>
  <c r="C43" i="1"/>
  <c r="C44" i="1"/>
  <c r="C42" i="1"/>
  <c r="C41" i="1"/>
  <c r="C40" i="1"/>
  <c r="C35" i="1"/>
  <c r="C36" i="1"/>
  <c r="C33" i="1"/>
  <c r="C31" i="1"/>
  <c r="F10" i="1"/>
  <c r="F11" i="1"/>
  <c r="F12" i="1"/>
  <c r="F14" i="1"/>
  <c r="F15" i="1"/>
  <c r="F16" i="1"/>
  <c r="F17" i="1"/>
  <c r="E9" i="1"/>
  <c r="F3" i="1"/>
  <c r="F4" i="1"/>
  <c r="F5" i="1"/>
  <c r="F6" i="1"/>
  <c r="F7" i="1"/>
  <c r="F8" i="1"/>
  <c r="F9" i="1"/>
  <c r="F2" i="1"/>
  <c r="C65" i="1" l="1"/>
  <c r="C66" i="1" s="1"/>
  <c r="D13" i="1" s="1"/>
  <c r="F13" i="1" s="1"/>
  <c r="F20" i="1" s="1"/>
  <c r="F21" i="1" s="1"/>
</calcChain>
</file>

<file path=xl/sharedStrings.xml><?xml version="1.0" encoding="utf-8"?>
<sst xmlns="http://schemas.openxmlformats.org/spreadsheetml/2006/main" count="94" uniqueCount="94">
  <si>
    <t>lp</t>
  </si>
  <si>
    <t>nazwa</t>
  </si>
  <si>
    <t>link</t>
  </si>
  <si>
    <t>ilość</t>
  </si>
  <si>
    <t>cena jednostkowa</t>
  </si>
  <si>
    <t>cena sum.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</si>
  <si>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</si>
  <si>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</si>
  <si>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</si>
  <si>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</si>
  <si>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</si>
  <si>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</si>
  <si>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</si>
  <si>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</si>
  <si>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</si>
  <si>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</si>
  <si>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</si>
  <si>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</si>
  <si>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</si>
  <si>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</si>
  <si>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</si>
  <si>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</si>
  <si>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https://www.ceneo.pl/73755823;pla?se=YxWbm1iqQxdyrhZALD2q02WnsAqEsNg5&amp;shop=146712270&amp;gclid=CjwKCAjwh4ObBhAzEiwAHzZYU1aNMZvzLu5gONoBaXrp1EFM8f1KVcj4F76NnDhJ_gDaDxrOQh5O7BoC-D0QAvD_BwE</t>
  </si>
  <si>
    <t>szafa RACK 37U</t>
  </si>
  <si>
    <t>Switch Cisco CBS350-24XTS-EU</t>
  </si>
  <si>
    <t>Switch Cisco CBS350-24FP-4X-EU</t>
  </si>
  <si>
    <t>CBS350-48FP-4X-EU</t>
  </si>
  <si>
    <t>Dell PowerEdge R940xa Rack Server</t>
  </si>
  <si>
    <t>https://www.x-kom.pl/p/457245-akcesorium-do-szafy-rack-lanberg-patchpanel-24p-19-1u-utp-5e-czarny.html</t>
  </si>
  <si>
    <t>Lanberg Patchpanel 24p</t>
  </si>
  <si>
    <t>Eaton 9PX 9PX5KP1 - UPS</t>
  </si>
  <si>
    <t>https://www.x-kom.pl/p/511180-kabel-sieciowy-rj-45-lan-silver-monkey-kabel-rj-45-rj-45-utp-kat6-025m.html</t>
  </si>
  <si>
    <t>Silver Monkey Kabel RJ-45 UTP 0,25m</t>
  </si>
  <si>
    <t>https://www.x-kom.pl/p/695781-access-point-cisco-w142acm-24-5ghz-mesh-extender-wall-outlet.html</t>
  </si>
  <si>
    <t>Cisco W142ACM 2,4/5GHz Mesh</t>
  </si>
  <si>
    <t>Lanberg Szafa 19'' 4U 600x450mm</t>
  </si>
  <si>
    <t>https://www.morele.net/szafa-lanberg-wiszaca-19-4u-wf01-6404-10b-831331/?utm_source=ceneo&amp;utm_medium=referral&amp;ceneo_cid=c1aab4bf-50a0-8f4f-3793-8611e9d10337</t>
  </si>
  <si>
    <t>od pd do podłogi [m]</t>
  </si>
  <si>
    <t>ilość punktów dostępowych [po 2 wejścia]</t>
  </si>
  <si>
    <t>razem [m]</t>
  </si>
  <si>
    <t>K1</t>
  </si>
  <si>
    <t>K2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</si>
  <si>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</si>
  <si>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</si>
  <si>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</si>
  <si>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</si>
  <si>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</si>
  <si>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</si>
  <si>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</si>
  <si>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</si>
  <si>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</si>
  <si>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</si>
  <si>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</si>
  <si>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</si>
  <si>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</si>
  <si>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</si>
  <si>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</si>
  <si>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</si>
  <si>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</si>
  <si>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</si>
  <si>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</si>
  <si>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</si>
  <si>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</si>
  <si>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</si>
  <si>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</si>
  <si>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</si>
  <si>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</si>
  <si>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</si>
  <si>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AP</t>
  </si>
  <si>
    <t>Ksero</t>
  </si>
  <si>
    <t>10% zapasu</t>
  </si>
  <si>
    <t>gniazdo podtynkowe 2 portowe</t>
  </si>
  <si>
    <t>https://allegro.pl/oferta/netrack-gniazdo-kompletne-podtynkowe-2xrj45-8p8c-u-11183186072</t>
  </si>
  <si>
    <t>suma [m]</t>
  </si>
  <si>
    <t>17.</t>
  </si>
  <si>
    <t>https://www.infinitecables.com/fiber-optic/fiber-optic-duplex-cables/9-micron-singlemode-3mm-lszh-ofnr/singlemode-duplex-9-micron-fiber-cable-3mm-jacket-lszh-ofnr/?variation_id=23796</t>
  </si>
  <si>
    <t>światłowód 40m LC-LC duplex</t>
  </si>
  <si>
    <t>https://www.infinitecables.com/fiber-optic/fiber-optic-duplex-cables/9-micron-singlemode-3mm-lszh-ofnr/singlemode-duplex-9-micron-fiber-cable-3mm-jacket-lszh-ofnr/?variation_id=23807</t>
  </si>
  <si>
    <t>światłowód 25m LC-LC duplex</t>
  </si>
  <si>
    <t>światłowód 0.5m LC-LC duplex</t>
  </si>
  <si>
    <t>https://www.infinitecables.com/fiber-optic/fiber-optic-duplex-cables/9-micron-singlemode-3mm-lszh-ofnr/singlemode-duplex-9-micron-fiber-cable-3mm-jacket-lszh-ofnr/?variation_id=12031</t>
  </si>
  <si>
    <t>LC duplex - SFP 10Gbps</t>
  </si>
  <si>
    <t>SUMA</t>
  </si>
  <si>
    <t>Koszt z wykluczeniem serwerów oraz UPS'ów</t>
  </si>
  <si>
    <t>https://www.sieciowy.com.pl/product/Switch-Cisco-CBS350-48XT-4X-EU-s108865?CategoryId=278777&amp;ProductsOrderBy=ProductOrderByPriceDesc&amp;</t>
  </si>
  <si>
    <t>https://www.sieciowy.com.pl/product/Switch-Cisco-CBS350-24XS-EU-s108862?CategoryId=278777&amp;ProductsOrderBy=ProductOrderByPriceDesc&amp;</t>
  </si>
  <si>
    <t>https://www.sieciowy.com.pl/product/Switch-Cisco-CBS350-24XT-EU-s108863?CategoryId=278777&amp;ProductsOrderBy=ProductOrderByPriceDesc&amp;</t>
  </si>
  <si>
    <t>https://www.dell.com/en-us/shop/servers-storage-and-networking/poweredge-r940xa-rack-server/spd/poweredge-r940xa/pe_r940xa_12870_vi_vp?configurationid=1566ebef-e69c-484c-a544-7a1c2ae35199</t>
  </si>
  <si>
    <t>https://www.dell.com/en-us/shop/eaton-9px-9px6k-ups-54-kw-6000-va/apd/aa506008/power-cooling-data-center-infrastructure</t>
  </si>
  <si>
    <t>https://www.x-kom.pl/p/697131-kabel-sieciowy-rj-45-lan-unitek-skretka-cat6e-utp-rj45-8p8c-305m.html</t>
  </si>
  <si>
    <t>kabel U/UTP kat6 305m</t>
  </si>
  <si>
    <t>https://sfp.guru/pl/5900/163/cisco-zamienniki-sfp/zamienniki-cisco-10g-sfp/zamienniki-sfp-cisco-sfp-10g-lr-modu%C5%82y-SFP</t>
  </si>
  <si>
    <t>https://store.ui.com/collections/operator-edgemax-routers/products/edgerouter-8-xg</t>
  </si>
  <si>
    <t>router UISP EdgeRouter Infinity ER-8-Xg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</si>
</sst>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\ &quot;zł&quot;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2"/>
    <xf numFmtId="164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0" fillId="2" borderId="0" xfId="1" applyNumberFormat="1" applyFont="1" applyFill="1"/>
    <xf numFmtId="165" fontId="0" fillId="2" borderId="0" xfId="0" applyNumberFormat="1" applyFill="1"/>
  </cellXfs>
  <cellStyles count="3">
    <cellStyle name="Dziesiętny" xfId="1" builtinId="3"/>
    <cellStyle name="Hiperłącze" xfId="2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neo.pl/73755823;pla?se=YxWbm1iqQxdyrhZALD2q02WnsAqEsNg5&amp;shop=146712270&amp;gclid=CjwKCAjwh4ObBhAzEiwAHzZYU1aNMZvzLu5gONoBaXrp1EFM8f1KVcj4F76NnDhJ_gDaDxrOQh5O7BoC-D0QAvD_BwE" TargetMode="External"/><Relationship Id="rId13" Type="http://schemas.openxmlformats.org/officeDocument/2006/relationships/hyperlink" Target="https://www.infinitecables.com/fiber-optic/fiber-optic-duplex-cables/9-micron-singlemode-3mm-lszh-ofnr/singlemode-duplex-9-micron-fiber-cable-3mm-jacket-lszh-ofnr/?variation_id=23807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x-kom.pl/p/457245-akcesorium-do-szafy-rack-lanberg-patchpanel-24p-19-1u-utp-5e-czarny.html" TargetMode="External"/><Relationship Id="rId7" Type="http://schemas.openxmlformats.org/officeDocument/2006/relationships/hyperlink" Target="https://store.ui.com/collections/operator-edgemax-routers/products/edgerouter-8-xg" TargetMode="External"/><Relationship Id="rId12" Type="http://schemas.openxmlformats.org/officeDocument/2006/relationships/hyperlink" Target="https://www.infinitecables.com/fiber-optic/fiber-optic-duplex-cables/9-micron-singlemode-3mm-lszh-ofnr/singlemode-duplex-9-micron-fiber-cable-3mm-jacket-lszh-ofnr/?variation_id=23796" TargetMode="External"/><Relationship Id="rId17" Type="http://schemas.openxmlformats.org/officeDocument/2006/relationships/hyperlink" Target="https://www.sieciowy.com.pl/product/Switch-Cisco-CBS350-48XT-4X-EU-s108865?CategoryId=278777&amp;ProductsOrderBy=ProductOrderByPriceDesc&amp;" TargetMode="External"/><Relationship Id="rId2" Type="http://schemas.openxmlformats.org/officeDocument/2006/relationships/hyperlink" Target="https://www.sieciowy.com.pl/product/Switch-Cisco-CBS350-24XT-EU-s108863?CategoryId=278777&amp;ProductsOrderBy=ProductOrderByPriceDesc&amp;" TargetMode="External"/><Relationship Id="rId16" Type="http://schemas.openxmlformats.org/officeDocument/2006/relationships/hyperlink" Target="https://www.sieciowy.com.pl/product/Switch-Cisco-CBS350-24XS-EU-s108862?CategoryId=278777&amp;ProductsOrderBy=ProductOrderByPriceDesc&amp;" TargetMode="External"/><Relationship Id="rId1" Type="http://schemas.openxmlformats.org/officeDocument/2006/relationships/hyperlink" Target="https://www.dell.com/en-us/shop/servers-storage-and-networking/poweredge-r940xa-rack-server/spd/poweredge-r940xa/pe_r940xa_12870_vi_vp?configurationid=1566ebef-e69c-484c-a544-7a1c2ae35199" TargetMode="External"/><Relationship Id="rId6" Type="http://schemas.openxmlformats.org/officeDocument/2006/relationships/hyperlink" Target="https://www.x-kom.pl/p/695781-access-point-cisco-w142acm-24-5ghz-mesh-extender-wall-outlet.html" TargetMode="External"/><Relationship Id="rId11" Type="http://schemas.openxmlformats.org/officeDocument/2006/relationships/hyperlink" Target="https://allegro.pl/oferta/netrack-gniazdo-kompletne-podtynkowe-2xrj45-8p8c-u-11183186072" TargetMode="External"/><Relationship Id="rId5" Type="http://schemas.openxmlformats.org/officeDocument/2006/relationships/hyperlink" Target="https://www.x-kom.pl/p/511180-kabel-sieciowy-rj-45-lan-silver-monkey-kabel-rj-45-rj-45-utp-kat6-025m.html" TargetMode="External"/><Relationship Id="rId15" Type="http://schemas.openxmlformats.org/officeDocument/2006/relationships/hyperlink" Target="https://www.infinitecables.com/fiber-optic/fiber-optic-duplex-cables/9-micron-singlemode-3mm-lszh-ofnr/singlemode-duplex-9-micron-fiber-cable-3mm-jacket-lszh-ofnr/?variation_id=12031" TargetMode="External"/><Relationship Id="rId10" Type="http://schemas.openxmlformats.org/officeDocument/2006/relationships/hyperlink" Target="https://www.x-kom.pl/p/697131-kabel-sieciowy-rj-45-lan-unitek-skretka-cat6e-utp-rj45-8p8c-305m.html" TargetMode="External"/><Relationship Id="rId4" Type="http://schemas.openxmlformats.org/officeDocument/2006/relationships/hyperlink" Target="https://www.dell.com/en-us/shop/eaton-9px-9px6k-ups-54-kw-6000-va/apd/aa506008/power-cooling-data-center-infrastructure" TargetMode="External"/><Relationship Id="rId9" Type="http://schemas.openxmlformats.org/officeDocument/2006/relationships/hyperlink" Target="https://www.morele.net/szafa-lanberg-wiszaca-19-4u-wf01-6404-10b-831331/?utm_source=ceneo&amp;utm_medium=referral&amp;ceneo_cid=c1aab4bf-50a0-8f4f-3793-8611e9d10337" TargetMode="External"/><Relationship Id="rId14" Type="http://schemas.openxmlformats.org/officeDocument/2006/relationships/hyperlink" Target="https://sfp.guru/pl/5900/163/cisco-zamienniki-sfp/zamienniki-cisco-10g-sfp/zamienniki-sfp-cisco-sfp-10g-lr-modu%C5%82y-SF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79F8-6B70-4D59-B9C2-55BAF555F508}">
  <dimension ref="A1:F66"/>
  <sheetViews>
    <sheetView tabSelected="1" workbookViewId="0">
      <selection activeCell="G17" sqref="G17"/>
    </sheetView>
  </sheetViews>
  <sheetFormatPr defaultRowHeight="15" x14ac:dyDescent="0.25"/>
  <cols>
    <col min="1" max="1" width="4.7109375" customWidth="1"/>
    <col min="2" max="2" width="41.5703125" bestFit="1" customWidth="1"/>
    <col min="3" max="3" width="12.85546875" customWidth="1"/>
    <col min="4" max="4" width="6.7109375" customWidth="1"/>
    <col min="5" max="5" width="17.42578125" bestFit="1" customWidth="1"/>
    <col min="6" max="6" width="11.85546875" bestFit="1" customWidth="1"/>
    <col min="10" max="10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23</v>
      </c>
      <c r="C2" s="2" t="s">
        <v>22</v>
      </c>
      <c r="D2" s="1">
        <v>1</v>
      </c>
      <c r="E2" s="5">
        <v>3200</v>
      </c>
      <c r="F2" s="5">
        <f>D2*E2</f>
        <v>3200</v>
      </c>
    </row>
    <row r="3" spans="1:6" x14ac:dyDescent="0.25">
      <c r="A3" t="s">
        <v>7</v>
      </c>
      <c r="B3" t="s">
        <v>93</v>
      </c>
      <c r="C3" s="2" t="s">
        <v>92</v>
      </c>
      <c r="D3" s="1">
        <v>2</v>
      </c>
      <c r="E3" s="5">
        <f>1900*4.5</f>
        <v>8550</v>
      </c>
      <c r="F3" s="5">
        <f t="shared" ref="F3:F17" si="0">D3*E3</f>
        <v>17100</v>
      </c>
    </row>
    <row r="4" spans="1:6" x14ac:dyDescent="0.25">
      <c r="A4" t="s">
        <v>8</v>
      </c>
      <c r="B4" t="s">
        <v>24</v>
      </c>
      <c r="C4" s="2" t="s">
        <v>85</v>
      </c>
      <c r="D4" s="1">
        <v>2</v>
      </c>
      <c r="E4" s="5">
        <v>14900</v>
      </c>
      <c r="F4" s="5">
        <f t="shared" si="0"/>
        <v>29800</v>
      </c>
    </row>
    <row r="5" spans="1:6" x14ac:dyDescent="0.25">
      <c r="A5" t="s">
        <v>9</v>
      </c>
      <c r="B5" t="s">
        <v>26</v>
      </c>
      <c r="C5" s="2" t="s">
        <v>84</v>
      </c>
      <c r="D5" s="1">
        <v>2</v>
      </c>
      <c r="E5" s="5">
        <v>28800</v>
      </c>
      <c r="F5" s="5">
        <f t="shared" si="0"/>
        <v>57600</v>
      </c>
    </row>
    <row r="6" spans="1:6" x14ac:dyDescent="0.25">
      <c r="A6" t="s">
        <v>10</v>
      </c>
      <c r="B6" t="s">
        <v>25</v>
      </c>
      <c r="C6" s="2" t="s">
        <v>86</v>
      </c>
      <c r="D6" s="1">
        <v>2</v>
      </c>
      <c r="E6" s="5">
        <v>14900</v>
      </c>
      <c r="F6" s="5">
        <f t="shared" si="0"/>
        <v>29800</v>
      </c>
    </row>
    <row r="7" spans="1:6" x14ac:dyDescent="0.25">
      <c r="A7" t="s">
        <v>11</v>
      </c>
      <c r="B7" t="s">
        <v>27</v>
      </c>
      <c r="C7" s="2" t="s">
        <v>87</v>
      </c>
      <c r="D7" s="1">
        <v>2</v>
      </c>
      <c r="E7" s="5">
        <f>359000*4.8</f>
        <v>1723200</v>
      </c>
      <c r="F7" s="5">
        <f t="shared" si="0"/>
        <v>3446400</v>
      </c>
    </row>
    <row r="8" spans="1:6" x14ac:dyDescent="0.25">
      <c r="A8" t="s">
        <v>12</v>
      </c>
      <c r="B8" t="s">
        <v>29</v>
      </c>
      <c r="C8" s="2" t="s">
        <v>28</v>
      </c>
      <c r="D8" s="1">
        <v>6</v>
      </c>
      <c r="E8" s="5">
        <v>99</v>
      </c>
      <c r="F8" s="5">
        <f t="shared" si="0"/>
        <v>594</v>
      </c>
    </row>
    <row r="9" spans="1:6" x14ac:dyDescent="0.25">
      <c r="A9" t="s">
        <v>13</v>
      </c>
      <c r="B9" t="s">
        <v>30</v>
      </c>
      <c r="C9" s="2" t="s">
        <v>88</v>
      </c>
      <c r="D9" s="1">
        <v>2</v>
      </c>
      <c r="E9" s="5">
        <f>6500*4.8</f>
        <v>31200</v>
      </c>
      <c r="F9" s="5">
        <f t="shared" si="0"/>
        <v>62400</v>
      </c>
    </row>
    <row r="10" spans="1:6" x14ac:dyDescent="0.25">
      <c r="A10" t="s">
        <v>14</v>
      </c>
      <c r="B10" t="s">
        <v>32</v>
      </c>
      <c r="C10" s="2" t="s">
        <v>31</v>
      </c>
      <c r="D10" s="1">
        <v>148</v>
      </c>
      <c r="E10" s="5">
        <v>7</v>
      </c>
      <c r="F10" s="5">
        <f t="shared" si="0"/>
        <v>1036</v>
      </c>
    </row>
    <row r="11" spans="1:6" x14ac:dyDescent="0.25">
      <c r="A11" t="s">
        <v>15</v>
      </c>
      <c r="B11" t="s">
        <v>34</v>
      </c>
      <c r="C11" s="2" t="s">
        <v>33</v>
      </c>
      <c r="D11" s="1">
        <v>4</v>
      </c>
      <c r="E11" s="5">
        <v>450</v>
      </c>
      <c r="F11" s="5">
        <f t="shared" si="0"/>
        <v>1800</v>
      </c>
    </row>
    <row r="12" spans="1:6" x14ac:dyDescent="0.25">
      <c r="A12" t="s">
        <v>16</v>
      </c>
      <c r="B12" t="s">
        <v>35</v>
      </c>
      <c r="C12" s="2" t="s">
        <v>36</v>
      </c>
      <c r="D12" s="1">
        <v>3</v>
      </c>
      <c r="E12" s="5">
        <v>300</v>
      </c>
      <c r="F12" s="5">
        <f t="shared" si="0"/>
        <v>900</v>
      </c>
    </row>
    <row r="13" spans="1:6" x14ac:dyDescent="0.25">
      <c r="A13" t="s">
        <v>17</v>
      </c>
      <c r="B13" t="s">
        <v>90</v>
      </c>
      <c r="C13" s="2" t="s">
        <v>89</v>
      </c>
      <c r="D13" s="1">
        <f>ROUNDUP(C66/305,0)</f>
        <v>7</v>
      </c>
      <c r="E13" s="5">
        <v>650</v>
      </c>
      <c r="F13" s="5">
        <f t="shared" si="0"/>
        <v>4550</v>
      </c>
    </row>
    <row r="14" spans="1:6" x14ac:dyDescent="0.25">
      <c r="A14" t="s">
        <v>18</v>
      </c>
      <c r="B14" t="s">
        <v>71</v>
      </c>
      <c r="C14" s="2" t="s">
        <v>72</v>
      </c>
      <c r="D14" s="1">
        <v>73</v>
      </c>
      <c r="E14" s="5">
        <v>20</v>
      </c>
      <c r="F14" s="5">
        <f t="shared" si="0"/>
        <v>1460</v>
      </c>
    </row>
    <row r="15" spans="1:6" x14ac:dyDescent="0.25">
      <c r="A15" t="s">
        <v>19</v>
      </c>
      <c r="B15" t="s">
        <v>76</v>
      </c>
      <c r="C15" s="2" t="s">
        <v>75</v>
      </c>
      <c r="D15" s="1">
        <v>2</v>
      </c>
      <c r="E15" s="5">
        <v>200</v>
      </c>
      <c r="F15" s="5">
        <f t="shared" si="0"/>
        <v>400</v>
      </c>
    </row>
    <row r="16" spans="1:6" x14ac:dyDescent="0.25">
      <c r="A16" t="s">
        <v>20</v>
      </c>
      <c r="B16" t="s">
        <v>78</v>
      </c>
      <c r="C16" s="2" t="s">
        <v>77</v>
      </c>
      <c r="D16" s="1">
        <v>4</v>
      </c>
      <c r="E16" s="5">
        <v>160</v>
      </c>
      <c r="F16" s="5">
        <f t="shared" si="0"/>
        <v>640</v>
      </c>
    </row>
    <row r="17" spans="1:6" x14ac:dyDescent="0.25">
      <c r="A17" t="s">
        <v>21</v>
      </c>
      <c r="B17" t="s">
        <v>79</v>
      </c>
      <c r="C17" s="2" t="s">
        <v>80</v>
      </c>
      <c r="D17" s="1">
        <v>6</v>
      </c>
      <c r="E17" s="7">
        <v>50</v>
      </c>
      <c r="F17" s="5">
        <f t="shared" si="0"/>
        <v>300</v>
      </c>
    </row>
    <row r="18" spans="1:6" x14ac:dyDescent="0.25">
      <c r="A18" t="s">
        <v>74</v>
      </c>
      <c r="B18" t="s">
        <v>81</v>
      </c>
      <c r="C18" s="2" t="s">
        <v>91</v>
      </c>
      <c r="D18" s="1">
        <v>16</v>
      </c>
      <c r="E18" s="7">
        <v>370</v>
      </c>
      <c r="F18" s="5">
        <f t="shared" ref="F18" si="1">D18*E18</f>
        <v>5920</v>
      </c>
    </row>
    <row r="19" spans="1:6" x14ac:dyDescent="0.25">
      <c r="E19" s="6"/>
      <c r="F19" s="4"/>
    </row>
    <row r="20" spans="1:6" x14ac:dyDescent="0.25">
      <c r="B20" t="s">
        <v>82</v>
      </c>
      <c r="F20" s="8">
        <f>SUM(F2:F18)</f>
        <v>3663900</v>
      </c>
    </row>
    <row r="21" spans="1:6" x14ac:dyDescent="0.25">
      <c r="B21" t="s">
        <v>83</v>
      </c>
      <c r="F21" s="9">
        <f>F20-F7-F9</f>
        <v>155100</v>
      </c>
    </row>
    <row r="31" spans="1:6" x14ac:dyDescent="0.25">
      <c r="B31" t="s">
        <v>38</v>
      </c>
      <c r="C31">
        <f>73</f>
        <v>73</v>
      </c>
    </row>
    <row r="32" spans="1:6" x14ac:dyDescent="0.25">
      <c r="B32" t="s">
        <v>37</v>
      </c>
      <c r="C32">
        <v>0.75</v>
      </c>
    </row>
    <row r="33" spans="2:3" x14ac:dyDescent="0.25">
      <c r="B33" t="s">
        <v>39</v>
      </c>
      <c r="C33">
        <f>C32*C31*2</f>
        <v>109.5</v>
      </c>
    </row>
    <row r="35" spans="2:3" x14ac:dyDescent="0.25">
      <c r="B35" t="s">
        <v>40</v>
      </c>
      <c r="C35">
        <f>(4.5+2.5+1+5.1)*6</f>
        <v>78.599999999999994</v>
      </c>
    </row>
    <row r="36" spans="2:3" x14ac:dyDescent="0.25">
      <c r="B36" t="s">
        <v>41</v>
      </c>
      <c r="C36">
        <f>(2+7.1+9.2)*6</f>
        <v>109.79999999999998</v>
      </c>
    </row>
    <row r="37" spans="2:3" x14ac:dyDescent="0.25">
      <c r="B37" t="s">
        <v>42</v>
      </c>
      <c r="C37">
        <f>(3.6)*4</f>
        <v>14.4</v>
      </c>
    </row>
    <row r="38" spans="2:3" x14ac:dyDescent="0.25">
      <c r="B38" t="s">
        <v>43</v>
      </c>
      <c r="C38">
        <f>(3.9+7.8)*4</f>
        <v>46.8</v>
      </c>
    </row>
    <row r="39" spans="2:3" x14ac:dyDescent="0.25">
      <c r="B39" t="s">
        <v>44</v>
      </c>
      <c r="C39">
        <f>(4+7.6+3.7)*4</f>
        <v>61.2</v>
      </c>
    </row>
    <row r="40" spans="2:3" x14ac:dyDescent="0.25">
      <c r="B40" t="s">
        <v>45</v>
      </c>
      <c r="C40">
        <f>(3.9+7.5+3.7+3.6+3.9+3.7)*2</f>
        <v>52.6</v>
      </c>
    </row>
    <row r="41" spans="2:3" x14ac:dyDescent="0.25">
      <c r="B41" t="s">
        <v>46</v>
      </c>
      <c r="C41">
        <f>6.6*4</f>
        <v>26.4</v>
      </c>
    </row>
    <row r="42" spans="2:3" x14ac:dyDescent="0.25">
      <c r="B42" t="s">
        <v>47</v>
      </c>
      <c r="C42">
        <f>6.9*2</f>
        <v>13.8</v>
      </c>
    </row>
    <row r="43" spans="2:3" x14ac:dyDescent="0.25">
      <c r="B43" t="s">
        <v>48</v>
      </c>
      <c r="C43">
        <f>(3.7+4.7)*4</f>
        <v>33.6</v>
      </c>
    </row>
    <row r="44" spans="2:3" x14ac:dyDescent="0.25">
      <c r="B44" t="s">
        <v>49</v>
      </c>
      <c r="C44">
        <f>2.5*2+(6.4+3.3)*2</f>
        <v>24.4</v>
      </c>
    </row>
    <row r="45" spans="2:3" x14ac:dyDescent="0.25">
      <c r="B45" t="s">
        <v>50</v>
      </c>
      <c r="C45">
        <f>(3.4+8.4+8.9)*4+5.5*12</f>
        <v>148.80000000000001</v>
      </c>
    </row>
    <row r="46" spans="2:3" x14ac:dyDescent="0.25">
      <c r="B46" t="s">
        <v>51</v>
      </c>
      <c r="C46">
        <f>(6.1+14.7+3)*2+(3.5+14.7+3)*2</f>
        <v>90</v>
      </c>
    </row>
    <row r="47" spans="2:3" x14ac:dyDescent="0.25">
      <c r="B47" t="s">
        <v>52</v>
      </c>
      <c r="C47">
        <f>(6.1+14.7+3)*2+(3.5+14.7+3)*2</f>
        <v>90</v>
      </c>
    </row>
    <row r="48" spans="2:3" x14ac:dyDescent="0.25">
      <c r="B48" t="s">
        <v>53</v>
      </c>
      <c r="C48">
        <f>(3+3)*2</f>
        <v>12</v>
      </c>
    </row>
    <row r="49" spans="2:3" x14ac:dyDescent="0.25">
      <c r="B49" t="s">
        <v>54</v>
      </c>
      <c r="C49">
        <f>(4.5+4.7)*4</f>
        <v>36.799999999999997</v>
      </c>
    </row>
    <row r="50" spans="2:3" x14ac:dyDescent="0.25">
      <c r="B50" t="s">
        <v>55</v>
      </c>
      <c r="C50">
        <f>(4.2+10.8+3.1)*2+(3.3+7.4+3.1)*2</f>
        <v>63.8</v>
      </c>
    </row>
    <row r="51" spans="2:3" x14ac:dyDescent="0.25">
      <c r="B51" t="s">
        <v>56</v>
      </c>
      <c r="C51">
        <f>(4.2+7.4+3.1)*2+(3.3+3.4+3.1)*2+(4.4+3.4+3.1)*2</f>
        <v>70.8</v>
      </c>
    </row>
    <row r="52" spans="2:3" x14ac:dyDescent="0.25">
      <c r="B52" t="s">
        <v>57</v>
      </c>
      <c r="C52">
        <f>(3.3+3.4+3.1)*2+(4.4+3.4+3.1)*2+2.6</f>
        <v>44</v>
      </c>
    </row>
    <row r="53" spans="2:3" x14ac:dyDescent="0.25">
      <c r="B53" t="s">
        <v>58</v>
      </c>
      <c r="C53">
        <f>(3.6+2.8)*4</f>
        <v>25.6</v>
      </c>
    </row>
    <row r="54" spans="2:3" x14ac:dyDescent="0.25">
      <c r="B54" t="s">
        <v>59</v>
      </c>
      <c r="C54">
        <f>(3.7+3)*2+(3.9+8.4)*2</f>
        <v>38</v>
      </c>
    </row>
    <row r="55" spans="2:3" x14ac:dyDescent="0.25">
      <c r="B55" t="s">
        <v>60</v>
      </c>
      <c r="C55">
        <f>(5.1+12.9)*2+(3.7+8.5)*2</f>
        <v>60.4</v>
      </c>
    </row>
    <row r="56" spans="2:3" x14ac:dyDescent="0.25">
      <c r="B56" t="s">
        <v>61</v>
      </c>
      <c r="C56">
        <f>8.2*2</f>
        <v>16.399999999999999</v>
      </c>
    </row>
    <row r="57" spans="2:3" x14ac:dyDescent="0.25">
      <c r="B57" t="s">
        <v>62</v>
      </c>
      <c r="C57">
        <f>(9.8+6.2+2.1+4+4+3.8+3.8+4.9+4.9)*2</f>
        <v>87</v>
      </c>
    </row>
    <row r="58" spans="2:3" x14ac:dyDescent="0.25">
      <c r="B58" t="s">
        <v>63</v>
      </c>
      <c r="C58">
        <f>(2.8+8.4+4.8+6.1+4.8)*2</f>
        <v>53.800000000000004</v>
      </c>
    </row>
    <row r="59" spans="2:3" x14ac:dyDescent="0.25">
      <c r="B59" t="s">
        <v>64</v>
      </c>
      <c r="C59">
        <f>(2.8+4.8+2.3+10.2*2)*2</f>
        <v>60.599999999999994</v>
      </c>
    </row>
    <row r="60" spans="2:3" x14ac:dyDescent="0.25">
      <c r="B60" t="s">
        <v>65</v>
      </c>
      <c r="C60">
        <f>(2.8+4.8+2.3+13.2*2)*2</f>
        <v>72.599999999999994</v>
      </c>
    </row>
    <row r="61" spans="2:3" x14ac:dyDescent="0.25">
      <c r="B61" t="s">
        <v>66</v>
      </c>
      <c r="C61">
        <f>(4.3+12.7)*4</f>
        <v>68</v>
      </c>
    </row>
    <row r="62" spans="2:3" x14ac:dyDescent="0.25">
      <c r="B62" t="s">
        <v>67</v>
      </c>
      <c r="C62">
        <f>(2.9+3.5+12.7+6.1)*2</f>
        <v>50.400000000000006</v>
      </c>
    </row>
    <row r="63" spans="2:3" x14ac:dyDescent="0.25">
      <c r="B63" t="s">
        <v>68</v>
      </c>
      <c r="C63">
        <f>1.6+4.7+2.5+2.8+3.6</f>
        <v>15.200000000000001</v>
      </c>
    </row>
    <row r="64" spans="2:3" x14ac:dyDescent="0.25">
      <c r="B64" t="s">
        <v>69</v>
      </c>
      <c r="C64">
        <f>5.6*2</f>
        <v>11.2</v>
      </c>
    </row>
    <row r="65" spans="2:3" x14ac:dyDescent="0.25">
      <c r="B65" t="s">
        <v>73</v>
      </c>
      <c r="C65">
        <f>SUM(C35:C64)+C33</f>
        <v>1686.5</v>
      </c>
    </row>
    <row r="66" spans="2:3" x14ac:dyDescent="0.25">
      <c r="B66" t="s">
        <v>70</v>
      </c>
      <c r="C66" s="3">
        <f>C65*1.1</f>
        <v>1855.15</v>
      </c>
    </row>
  </sheetData>
  <phoneticPr fontId="2" type="noConversion"/>
  <hyperlinks>
    <hyperlink ref="C7" r:id="rId1" xr:uid="{75F375A0-9D29-435A-9355-8F74D81AAC26}"/>
    <hyperlink ref="C6" r:id="rId2" xr:uid="{85CDFBE6-3F77-4CB9-9F40-95FD247C4785}"/>
    <hyperlink ref="C8" r:id="rId3" xr:uid="{E790D21B-77C7-4FE9-8344-D914E1C5365D}"/>
    <hyperlink ref="C9" r:id="rId4" xr:uid="{F798B2F5-9308-49DD-A6E0-0E83EAA1F044}"/>
    <hyperlink ref="C10" r:id="rId5" xr:uid="{F3B53CC5-837A-4AE9-AA3A-231A5F0C4270}"/>
    <hyperlink ref="C11" r:id="rId6" xr:uid="{20DABA0B-C9FE-496D-A521-B069E475604E}"/>
    <hyperlink ref="C3" r:id="rId7" xr:uid="{7493F8B1-B7E9-4A9B-8FD4-C0B1C6DE2465}"/>
    <hyperlink ref="C2" r:id="rId8" xr:uid="{51CE5AC3-CA25-4778-B7EB-14A984418D5A}"/>
    <hyperlink ref="C12" r:id="rId9" xr:uid="{ABC31567-7BFD-4F04-8D56-4FFD968E0162}"/>
    <hyperlink ref="C13" r:id="rId10" xr:uid="{FA736D44-7D37-47AF-9956-A534F1284B1A}"/>
    <hyperlink ref="C14" r:id="rId11" xr:uid="{36E7D600-5007-4ED9-9AB9-BFEC0D4BD195}"/>
    <hyperlink ref="C15" r:id="rId12" xr:uid="{D80D0770-365B-4697-AAB5-31EF0F994530}"/>
    <hyperlink ref="C16" r:id="rId13" xr:uid="{04AAEF71-B3A1-4FB1-BCE8-8D066E5503E1}"/>
    <hyperlink ref="C18" r:id="rId14" xr:uid="{DC1655C8-BFB2-437F-B08F-8A134F87D702}"/>
    <hyperlink ref="C17" r:id="rId15" xr:uid="{6CEEC850-1761-479C-9382-A5AE0BA480D9}"/>
    <hyperlink ref="C4" r:id="rId16" xr:uid="{5FD94811-CA8C-4007-94A7-E1234933C764}"/>
    <hyperlink ref="C5" r:id="rId17" xr:uid="{873F67BD-0E6A-438F-8546-AEAFA4FE1F5F}"/>
  </hyperlinks>
  <pageMargins left="0.7" right="0.7" top="0.75" bottom="0.75" header="0.3" footer="0.3"/>
  <pageSetup paperSize="9" orientation="portrait"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EF4743AC0F4F40911C14E9D5CED5A3" ma:contentTypeVersion="8" ma:contentTypeDescription="Utwórz nowy dokument." ma:contentTypeScope="" ma:versionID="734ec236c540dbc80b863a81e80efa4f">
  <xsd:schema xmlns:xsd="http://www.w3.org/2001/XMLSchema" xmlns:xs="http://www.w3.org/2001/XMLSchema" xmlns:p="http://schemas.microsoft.com/office/2006/metadata/properties" xmlns:ns3="35d3281e-0d98-4de4-8690-da2a9a068a52" xmlns:ns4="50dbb126-648d-4d17-9813-02974e67f054" targetNamespace="http://schemas.microsoft.com/office/2006/metadata/properties" ma:root="true" ma:fieldsID="1ec9abb57ef568b263b0208ee39ee530" ns3:_="" ns4:_="">
    <xsd:import namespace="35d3281e-0d98-4de4-8690-da2a9a068a52"/>
    <xsd:import namespace="50dbb126-648d-4d17-9813-02974e67f05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3281e-0d98-4de4-8690-da2a9a068a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bb126-648d-4d17-9813-02974e67f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9587FB-6540-4027-A7A5-33C1C94147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d3281e-0d98-4de4-8690-da2a9a068a52"/>
    <ds:schemaRef ds:uri="50dbb126-648d-4d17-9813-02974e67f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EA5A3E-8CAB-4DCB-B175-CC3B35C16B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9ACEA4-21E4-43A1-9694-2341B93AAD30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35d3281e-0d98-4de4-8690-da2a9a068a52"/>
    <ds:schemaRef ds:uri="http://www.w3.org/XML/1998/namespace"/>
    <ds:schemaRef ds:uri="http://schemas.openxmlformats.org/package/2006/metadata/core-properties"/>
    <ds:schemaRef ds:uri="50dbb126-648d-4d17-9813-02974e67f054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Kawalec</dc:creator>
  <cp:lastModifiedBy>Dominik Kawalec</cp:lastModifiedBy>
  <dcterms:created xsi:type="dcterms:W3CDTF">2022-11-01T20:15:52Z</dcterms:created>
  <dcterms:modified xsi:type="dcterms:W3CDTF">2023-02-27T22:00:50Z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0x01010039EF4743AC0F4F40911C14E9D5CED5A3</vt:lpwstr>
  </property>
</Properties>
</file>