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30" windowWidth="19095" windowHeight="11595"/>
  </bookViews>
  <sheets>
    <sheet name="Calculator" sheetId="5" r:id="rId1"/>
    <sheet name="Reference" sheetId="4" r:id="rId2"/>
    <sheet name="Sheet3" sheetId="3" r:id="rId3"/>
  </sheets>
  <calcPr calcId="124519" concurrentCalc="0"/>
</workbook>
</file>

<file path=xl/calcChain.xml><?xml version="1.0" encoding="utf-8"?>
<calcChain xmlns="http://schemas.openxmlformats.org/spreadsheetml/2006/main">
  <c r="BH16" i="4"/>
  <c r="BG16"/>
  <c r="BF13"/>
  <c r="BF12"/>
  <c r="BF11"/>
  <c r="BF10"/>
  <c r="BF9"/>
  <c r="BF8"/>
  <c r="BF7"/>
  <c r="BF6"/>
  <c r="BF5"/>
  <c r="BF2"/>
  <c r="BF4"/>
  <c r="BF3"/>
  <c r="BG5"/>
  <c r="BG3"/>
  <c r="BG4"/>
  <c r="BG6"/>
  <c r="BG7"/>
  <c r="BG9"/>
  <c r="BG11"/>
  <c r="BG12"/>
  <c r="BG13"/>
  <c r="BH5"/>
  <c r="BH6"/>
  <c r="BH12"/>
  <c r="BH15"/>
  <c r="BG15"/>
  <c r="BH13"/>
  <c r="BH11"/>
  <c r="BH9"/>
  <c r="BH7"/>
  <c r="BH4"/>
  <c r="BH3"/>
  <c r="BB28"/>
  <c r="BB29"/>
  <c r="BB27"/>
  <c r="BB26"/>
  <c r="BB25"/>
  <c r="BB24"/>
  <c r="BB23"/>
  <c r="BB22"/>
  <c r="BB20"/>
  <c r="BB21"/>
  <c r="BB19"/>
  <c r="BB18"/>
  <c r="BB3"/>
  <c r="BC3" s="1"/>
  <c r="F29" i="3"/>
  <c r="C29"/>
  <c r="F28"/>
  <c r="C28"/>
  <c r="F27"/>
  <c r="C27"/>
  <c r="F26"/>
  <c r="C26"/>
  <c r="F25"/>
  <c r="C25"/>
  <c r="F24"/>
  <c r="C24"/>
  <c r="F23"/>
  <c r="C23"/>
  <c r="F22"/>
  <c r="C22"/>
  <c r="F21"/>
  <c r="C21"/>
  <c r="F20"/>
  <c r="C20"/>
  <c r="F19"/>
  <c r="C19"/>
  <c r="F18"/>
  <c r="C18"/>
  <c r="F17"/>
  <c r="C17"/>
  <c r="F16"/>
  <c r="C16"/>
  <c r="F15"/>
  <c r="C15"/>
  <c r="F14"/>
  <c r="C14"/>
  <c r="F13"/>
  <c r="C13"/>
  <c r="F12"/>
  <c r="C12"/>
  <c r="F11"/>
  <c r="C11"/>
  <c r="B11"/>
  <c r="F10"/>
  <c r="C10"/>
  <c r="B10"/>
  <c r="F9"/>
  <c r="C9"/>
  <c r="B9"/>
  <c r="F8"/>
  <c r="C8"/>
  <c r="B8"/>
  <c r="F7"/>
  <c r="C7"/>
  <c r="B7"/>
  <c r="F6"/>
  <c r="C6"/>
  <c r="B6"/>
  <c r="F5"/>
  <c r="D5"/>
  <c r="C5"/>
  <c r="B5"/>
  <c r="H4"/>
  <c r="F4"/>
  <c r="D4"/>
  <c r="C4"/>
  <c r="B4"/>
  <c r="J48" i="4"/>
  <c r="I48"/>
  <c r="G48"/>
  <c r="F48"/>
  <c r="AP13"/>
  <c r="AT13"/>
  <c r="AU13"/>
  <c r="AY13"/>
  <c r="AY3"/>
  <c r="AY4"/>
  <c r="AY7"/>
  <c r="AY9"/>
  <c r="AY11"/>
  <c r="AZ13"/>
  <c r="J47"/>
  <c r="I47"/>
  <c r="G47"/>
  <c r="F47"/>
  <c r="J46"/>
  <c r="I46"/>
  <c r="G46"/>
  <c r="F46"/>
  <c r="AP11"/>
  <c r="AP10"/>
  <c r="AQ11"/>
  <c r="AT11"/>
  <c r="AT10"/>
  <c r="AU11"/>
  <c r="J45"/>
  <c r="I45"/>
  <c r="G45"/>
  <c r="F45"/>
  <c r="AP9"/>
  <c r="AT9"/>
  <c r="AP25"/>
  <c r="AT25"/>
  <c r="AT24"/>
  <c r="AU25"/>
  <c r="AY25"/>
  <c r="J43"/>
  <c r="I43"/>
  <c r="G43"/>
  <c r="F43"/>
  <c r="J41"/>
  <c r="I41"/>
  <c r="AP7"/>
  <c r="AQ7"/>
  <c r="AT7"/>
  <c r="AU7"/>
  <c r="G41"/>
  <c r="F41"/>
  <c r="J40"/>
  <c r="I40"/>
  <c r="G40"/>
  <c r="F40"/>
  <c r="J39"/>
  <c r="I39"/>
  <c r="G39"/>
  <c r="F39"/>
  <c r="J38"/>
  <c r="I38"/>
  <c r="AP4"/>
  <c r="AT4"/>
  <c r="AU4"/>
  <c r="G38"/>
  <c r="F38"/>
  <c r="AP3"/>
  <c r="AT3"/>
  <c r="AU3"/>
  <c r="J37"/>
  <c r="I37"/>
  <c r="G37"/>
  <c r="F37"/>
  <c r="BD32"/>
  <c r="BC32"/>
  <c r="AZ32"/>
  <c r="AY32"/>
  <c r="AV32"/>
  <c r="AU32"/>
  <c r="AR32"/>
  <c r="AQ32"/>
  <c r="AN32"/>
  <c r="AM32"/>
  <c r="AJ32"/>
  <c r="AI32"/>
  <c r="AF32"/>
  <c r="AE32"/>
  <c r="AB32"/>
  <c r="AA32"/>
  <c r="X32"/>
  <c r="W32"/>
  <c r="T32"/>
  <c r="S32"/>
  <c r="P32"/>
  <c r="O32"/>
  <c r="L32"/>
  <c r="K32"/>
  <c r="H32"/>
  <c r="G32"/>
  <c r="D32"/>
  <c r="C32"/>
  <c r="BD31"/>
  <c r="BC31"/>
  <c r="AZ31"/>
  <c r="AY31"/>
  <c r="AV31"/>
  <c r="AU31"/>
  <c r="AR31"/>
  <c r="AQ31"/>
  <c r="AN31"/>
  <c r="AM31"/>
  <c r="AJ31"/>
  <c r="AI31"/>
  <c r="AF31"/>
  <c r="AE31"/>
  <c r="AB31"/>
  <c r="AA31"/>
  <c r="X31"/>
  <c r="W31"/>
  <c r="T31"/>
  <c r="S31"/>
  <c r="P31"/>
  <c r="O31"/>
  <c r="L31"/>
  <c r="K31"/>
  <c r="H31"/>
  <c r="G31"/>
  <c r="D31"/>
  <c r="C31"/>
  <c r="BD29"/>
  <c r="BC29"/>
  <c r="AZ29"/>
  <c r="AY29"/>
  <c r="AX29"/>
  <c r="AV29"/>
  <c r="AU29"/>
  <c r="AT29"/>
  <c r="AR29"/>
  <c r="AQ29"/>
  <c r="AP29"/>
  <c r="AN29"/>
  <c r="AM29"/>
  <c r="AL29"/>
  <c r="AJ29"/>
  <c r="AI29"/>
  <c r="AH29"/>
  <c r="AF29"/>
  <c r="AE29"/>
  <c r="AD29"/>
  <c r="AB29"/>
  <c r="AA29"/>
  <c r="Z29"/>
  <c r="X29"/>
  <c r="W29"/>
  <c r="V29"/>
  <c r="T29"/>
  <c r="S29"/>
  <c r="R29"/>
  <c r="P29"/>
  <c r="O29"/>
  <c r="N29"/>
  <c r="L29"/>
  <c r="K29"/>
  <c r="J29"/>
  <c r="H29"/>
  <c r="G29"/>
  <c r="F29"/>
  <c r="D29"/>
  <c r="C29"/>
  <c r="B29"/>
  <c r="BD28"/>
  <c r="BC28"/>
  <c r="AZ28"/>
  <c r="AY28"/>
  <c r="AX28"/>
  <c r="AV28"/>
  <c r="AU28"/>
  <c r="AT28"/>
  <c r="AR28"/>
  <c r="AQ28"/>
  <c r="AP28"/>
  <c r="AN28"/>
  <c r="AM28"/>
  <c r="AL28"/>
  <c r="AJ28"/>
  <c r="AI28"/>
  <c r="AH28"/>
  <c r="AF28"/>
  <c r="AE28"/>
  <c r="AD28"/>
  <c r="AB28"/>
  <c r="AA28"/>
  <c r="Z28"/>
  <c r="X28"/>
  <c r="W28"/>
  <c r="V28"/>
  <c r="T28"/>
  <c r="S28"/>
  <c r="R28"/>
  <c r="P28"/>
  <c r="O28"/>
  <c r="N28"/>
  <c r="L28"/>
  <c r="K28"/>
  <c r="J28"/>
  <c r="H28"/>
  <c r="G28"/>
  <c r="F28"/>
  <c r="D28"/>
  <c r="C28"/>
  <c r="B28"/>
  <c r="BD27"/>
  <c r="BC27"/>
  <c r="AZ27"/>
  <c r="AY27"/>
  <c r="AX27"/>
  <c r="AV27"/>
  <c r="AU27"/>
  <c r="AT27"/>
  <c r="AR27"/>
  <c r="AQ27"/>
  <c r="AP27"/>
  <c r="AN27"/>
  <c r="AM27"/>
  <c r="AL27"/>
  <c r="AJ27"/>
  <c r="AI27"/>
  <c r="AH27"/>
  <c r="AF27"/>
  <c r="AE27"/>
  <c r="AD27"/>
  <c r="AB27"/>
  <c r="AA27"/>
  <c r="Z27"/>
  <c r="X27"/>
  <c r="W27"/>
  <c r="V27"/>
  <c r="T27"/>
  <c r="S27"/>
  <c r="R27"/>
  <c r="P27"/>
  <c r="O27"/>
  <c r="N27"/>
  <c r="L27"/>
  <c r="K27"/>
  <c r="J27"/>
  <c r="H27"/>
  <c r="G27"/>
  <c r="F27"/>
  <c r="D27"/>
  <c r="C27"/>
  <c r="B27"/>
  <c r="AX26"/>
  <c r="AT26"/>
  <c r="AP26"/>
  <c r="AL26"/>
  <c r="AH26"/>
  <c r="AD26"/>
  <c r="Z26"/>
  <c r="V26"/>
  <c r="R26"/>
  <c r="N26"/>
  <c r="J26"/>
  <c r="F26"/>
  <c r="B26"/>
  <c r="BD25"/>
  <c r="BC25"/>
  <c r="AZ25"/>
  <c r="AX25"/>
  <c r="AV25"/>
  <c r="AR25"/>
  <c r="AQ25"/>
  <c r="AN25"/>
  <c r="AM25"/>
  <c r="AL25"/>
  <c r="AJ25"/>
  <c r="AI25"/>
  <c r="AH25"/>
  <c r="AF25"/>
  <c r="AE25"/>
  <c r="AD25"/>
  <c r="AB25"/>
  <c r="AA25"/>
  <c r="Z25"/>
  <c r="X25"/>
  <c r="W25"/>
  <c r="V25"/>
  <c r="T25"/>
  <c r="S25"/>
  <c r="R25"/>
  <c r="P25"/>
  <c r="O25"/>
  <c r="N25"/>
  <c r="L25"/>
  <c r="K25"/>
  <c r="J25"/>
  <c r="H25"/>
  <c r="G25"/>
  <c r="F25"/>
  <c r="D25"/>
  <c r="C25"/>
  <c r="B25"/>
  <c r="AX24"/>
  <c r="AP24"/>
  <c r="AL24"/>
  <c r="AH24"/>
  <c r="AD24"/>
  <c r="Z24"/>
  <c r="V24"/>
  <c r="R24"/>
  <c r="N24"/>
  <c r="J24"/>
  <c r="F24"/>
  <c r="B24"/>
  <c r="BD23"/>
  <c r="BC23"/>
  <c r="AZ23"/>
  <c r="AY23"/>
  <c r="AX23"/>
  <c r="AV23"/>
  <c r="AU23"/>
  <c r="AT23"/>
  <c r="AR23"/>
  <c r="AP23"/>
  <c r="AQ23"/>
  <c r="AN23"/>
  <c r="AM23"/>
  <c r="AL23"/>
  <c r="AJ23"/>
  <c r="AI23"/>
  <c r="AH23"/>
  <c r="AF23"/>
  <c r="AE23"/>
  <c r="AD23"/>
  <c r="AB23"/>
  <c r="AA23"/>
  <c r="Z23"/>
  <c r="X23"/>
  <c r="W23"/>
  <c r="V23"/>
  <c r="T23"/>
  <c r="S23"/>
  <c r="R23"/>
  <c r="P23"/>
  <c r="O23"/>
  <c r="N23"/>
  <c r="L23"/>
  <c r="K23"/>
  <c r="J23"/>
  <c r="H23"/>
  <c r="G23"/>
  <c r="F23"/>
  <c r="D23"/>
  <c r="C23"/>
  <c r="B23"/>
  <c r="BD22"/>
  <c r="BC22"/>
  <c r="AZ22"/>
  <c r="AY22"/>
  <c r="AX22"/>
  <c r="AV22"/>
  <c r="AU22"/>
  <c r="AT22"/>
  <c r="AR22"/>
  <c r="AQ22"/>
  <c r="AP22"/>
  <c r="AN22"/>
  <c r="AM22"/>
  <c r="AL22"/>
  <c r="AJ22"/>
  <c r="AI22"/>
  <c r="AH22"/>
  <c r="AF22"/>
  <c r="AE22"/>
  <c r="AD22"/>
  <c r="AB22"/>
  <c r="AA22"/>
  <c r="Z22"/>
  <c r="X22"/>
  <c r="W22"/>
  <c r="V22"/>
  <c r="T22"/>
  <c r="S22"/>
  <c r="R22"/>
  <c r="P22"/>
  <c r="O22"/>
  <c r="N22"/>
  <c r="L22"/>
  <c r="K22"/>
  <c r="J22"/>
  <c r="H22"/>
  <c r="G22"/>
  <c r="F22"/>
  <c r="D22"/>
  <c r="C22"/>
  <c r="B22"/>
  <c r="BD21"/>
  <c r="BC21"/>
  <c r="AZ21"/>
  <c r="AY21"/>
  <c r="AX21"/>
  <c r="AV21"/>
  <c r="AU21"/>
  <c r="AT21"/>
  <c r="AR21"/>
  <c r="AQ21"/>
  <c r="AP21"/>
  <c r="AN21"/>
  <c r="AM21"/>
  <c r="AL21"/>
  <c r="AJ21"/>
  <c r="AI21"/>
  <c r="AH21"/>
  <c r="AF21"/>
  <c r="AE21"/>
  <c r="AD21"/>
  <c r="AB21"/>
  <c r="AA21"/>
  <c r="Z21"/>
  <c r="X21"/>
  <c r="W21"/>
  <c r="V21"/>
  <c r="T21"/>
  <c r="S21"/>
  <c r="R21"/>
  <c r="P21"/>
  <c r="O21"/>
  <c r="N21"/>
  <c r="L21"/>
  <c r="K21"/>
  <c r="J21"/>
  <c r="H21"/>
  <c r="G21"/>
  <c r="F21"/>
  <c r="D21"/>
  <c r="C21"/>
  <c r="B21"/>
  <c r="BD20"/>
  <c r="BC20"/>
  <c r="AZ20"/>
  <c r="AX20"/>
  <c r="AY20"/>
  <c r="AV20"/>
  <c r="AU20"/>
  <c r="AT20"/>
  <c r="AR20"/>
  <c r="AQ20"/>
  <c r="AP20"/>
  <c r="AN20"/>
  <c r="AM20"/>
  <c r="AL20"/>
  <c r="AJ20"/>
  <c r="AI20"/>
  <c r="AH20"/>
  <c r="AF20"/>
  <c r="AE20"/>
  <c r="AD20"/>
  <c r="AB20"/>
  <c r="AA20"/>
  <c r="Z20"/>
  <c r="X20"/>
  <c r="W20"/>
  <c r="V20"/>
  <c r="T20"/>
  <c r="S20"/>
  <c r="R20"/>
  <c r="P20"/>
  <c r="O20"/>
  <c r="N20"/>
  <c r="L20"/>
  <c r="K20"/>
  <c r="J20"/>
  <c r="H20"/>
  <c r="G20"/>
  <c r="F20"/>
  <c r="D20"/>
  <c r="C20"/>
  <c r="B20"/>
  <c r="BD19"/>
  <c r="BC19"/>
  <c r="AZ19"/>
  <c r="AX19"/>
  <c r="AY19"/>
  <c r="AV19"/>
  <c r="AT19"/>
  <c r="AU19"/>
  <c r="AR19"/>
  <c r="AQ19"/>
  <c r="AP19"/>
  <c r="AN19"/>
  <c r="AM19"/>
  <c r="AL19"/>
  <c r="AJ19"/>
  <c r="AI19"/>
  <c r="AH19"/>
  <c r="AF19"/>
  <c r="AE19"/>
  <c r="AD19"/>
  <c r="AB19"/>
  <c r="AA19"/>
  <c r="Z19"/>
  <c r="X19"/>
  <c r="W19"/>
  <c r="V19"/>
  <c r="T19"/>
  <c r="S19"/>
  <c r="R19"/>
  <c r="P19"/>
  <c r="O19"/>
  <c r="N19"/>
  <c r="L19"/>
  <c r="K19"/>
  <c r="J19"/>
  <c r="H19"/>
  <c r="G19"/>
  <c r="F19"/>
  <c r="D19"/>
  <c r="C19"/>
  <c r="B19"/>
  <c r="AX18"/>
  <c r="AT18"/>
  <c r="AP18"/>
  <c r="AL18"/>
  <c r="AH18"/>
  <c r="AD18"/>
  <c r="Z18"/>
  <c r="V18"/>
  <c r="R18"/>
  <c r="N18"/>
  <c r="J18"/>
  <c r="F18"/>
  <c r="B18"/>
  <c r="BD16"/>
  <c r="BD15"/>
  <c r="BC16"/>
  <c r="AZ16"/>
  <c r="AY16"/>
  <c r="AV16"/>
  <c r="AU16"/>
  <c r="AR16"/>
  <c r="AQ16"/>
  <c r="AN16"/>
  <c r="AM16"/>
  <c r="AJ16"/>
  <c r="AI16"/>
  <c r="AF16"/>
  <c r="AE16"/>
  <c r="AB16"/>
  <c r="AA16"/>
  <c r="X16"/>
  <c r="W16"/>
  <c r="T16"/>
  <c r="S16"/>
  <c r="P16"/>
  <c r="O16"/>
  <c r="L16"/>
  <c r="K16"/>
  <c r="H16"/>
  <c r="G16"/>
  <c r="D16"/>
  <c r="C16"/>
  <c r="BC15"/>
  <c r="AZ15"/>
  <c r="AY15"/>
  <c r="AV15"/>
  <c r="AU15"/>
  <c r="AR15"/>
  <c r="AQ15"/>
  <c r="AN15"/>
  <c r="AM15"/>
  <c r="AJ15"/>
  <c r="AI15"/>
  <c r="AF15"/>
  <c r="AE15"/>
  <c r="AB15"/>
  <c r="AA15"/>
  <c r="X15"/>
  <c r="W15"/>
  <c r="T15"/>
  <c r="S15"/>
  <c r="P15"/>
  <c r="O15"/>
  <c r="L15"/>
  <c r="K15"/>
  <c r="H15"/>
  <c r="G15"/>
  <c r="D15"/>
  <c r="C15"/>
  <c r="BD13"/>
  <c r="BC13"/>
  <c r="BB13"/>
  <c r="AX13"/>
  <c r="AV13"/>
  <c r="AR13"/>
  <c r="AQ13"/>
  <c r="AN13"/>
  <c r="AM13"/>
  <c r="AL13"/>
  <c r="AJ13"/>
  <c r="AI13"/>
  <c r="AH13"/>
  <c r="AF13"/>
  <c r="AE13"/>
  <c r="AD13"/>
  <c r="AB13"/>
  <c r="AA13"/>
  <c r="Z13"/>
  <c r="X13"/>
  <c r="W13"/>
  <c r="V13"/>
  <c r="T13"/>
  <c r="S13"/>
  <c r="R13"/>
  <c r="P13"/>
  <c r="O13"/>
  <c r="N13"/>
  <c r="L13"/>
  <c r="K13"/>
  <c r="J13"/>
  <c r="H13"/>
  <c r="G13"/>
  <c r="F13"/>
  <c r="D13"/>
  <c r="C13"/>
  <c r="B13"/>
  <c r="BD12"/>
  <c r="BC12"/>
  <c r="BB12"/>
  <c r="AZ12"/>
  <c r="AY12"/>
  <c r="AX12"/>
  <c r="AV12"/>
  <c r="AU12"/>
  <c r="AT12"/>
  <c r="AR12"/>
  <c r="AQ12"/>
  <c r="AP12"/>
  <c r="AN12"/>
  <c r="AM12"/>
  <c r="AL12"/>
  <c r="AJ12"/>
  <c r="AI12"/>
  <c r="AH12"/>
  <c r="AF12"/>
  <c r="AE12"/>
  <c r="AD12"/>
  <c r="AB12"/>
  <c r="AA12"/>
  <c r="Z12"/>
  <c r="X12"/>
  <c r="W12"/>
  <c r="V12"/>
  <c r="T12"/>
  <c r="S12"/>
  <c r="R12"/>
  <c r="P12"/>
  <c r="O12"/>
  <c r="N12"/>
  <c r="L12"/>
  <c r="K12"/>
  <c r="J12"/>
  <c r="H12"/>
  <c r="G12"/>
  <c r="F12"/>
  <c r="D12"/>
  <c r="C12"/>
  <c r="B12"/>
  <c r="BD11"/>
  <c r="BC11"/>
  <c r="BB11"/>
  <c r="AZ11"/>
  <c r="AX11"/>
  <c r="AV11"/>
  <c r="AR11"/>
  <c r="AN11"/>
  <c r="AM11"/>
  <c r="AL11"/>
  <c r="AJ11"/>
  <c r="AI11"/>
  <c r="AH11"/>
  <c r="AF11"/>
  <c r="AE11"/>
  <c r="AD11"/>
  <c r="AB11"/>
  <c r="AA11"/>
  <c r="Z11"/>
  <c r="X11"/>
  <c r="W11"/>
  <c r="V11"/>
  <c r="T11"/>
  <c r="S11"/>
  <c r="R11"/>
  <c r="P11"/>
  <c r="O11"/>
  <c r="N11"/>
  <c r="L11"/>
  <c r="K11"/>
  <c r="J11"/>
  <c r="H11"/>
  <c r="G11"/>
  <c r="F11"/>
  <c r="D11"/>
  <c r="C11"/>
  <c r="B11"/>
  <c r="BB10"/>
  <c r="AX10"/>
  <c r="AL10"/>
  <c r="AH10"/>
  <c r="AD10"/>
  <c r="Z10"/>
  <c r="V10"/>
  <c r="R10"/>
  <c r="N10"/>
  <c r="J10"/>
  <c r="F10"/>
  <c r="B10"/>
  <c r="BD9"/>
  <c r="BC9"/>
  <c r="BB9"/>
  <c r="AZ9"/>
  <c r="AX9"/>
  <c r="AV9"/>
  <c r="AU9"/>
  <c r="AR9"/>
  <c r="AQ9"/>
  <c r="AN9"/>
  <c r="AM9"/>
  <c r="AL9"/>
  <c r="AJ9"/>
  <c r="AI9"/>
  <c r="AH9"/>
  <c r="AF9"/>
  <c r="AE9"/>
  <c r="AD9"/>
  <c r="AB9"/>
  <c r="AA9"/>
  <c r="Z9"/>
  <c r="X9"/>
  <c r="W9"/>
  <c r="V9"/>
  <c r="T9"/>
  <c r="S9"/>
  <c r="R9"/>
  <c r="P9"/>
  <c r="O9"/>
  <c r="N9"/>
  <c r="L9"/>
  <c r="K9"/>
  <c r="J9"/>
  <c r="H9"/>
  <c r="G9"/>
  <c r="F9"/>
  <c r="D9"/>
  <c r="C9"/>
  <c r="B9"/>
  <c r="BB8"/>
  <c r="AX8"/>
  <c r="AT8"/>
  <c r="AP8"/>
  <c r="AL8"/>
  <c r="AH8"/>
  <c r="AD8"/>
  <c r="Z8"/>
  <c r="V8"/>
  <c r="R8"/>
  <c r="N8"/>
  <c r="J8"/>
  <c r="F8"/>
  <c r="B8"/>
  <c r="BD7"/>
  <c r="BC7"/>
  <c r="BB7"/>
  <c r="AZ7"/>
  <c r="AX7"/>
  <c r="AV7"/>
  <c r="AR7"/>
  <c r="AN7"/>
  <c r="AM7"/>
  <c r="AL7"/>
  <c r="AJ7"/>
  <c r="AI7"/>
  <c r="AH7"/>
  <c r="AF7"/>
  <c r="AE7"/>
  <c r="AD7"/>
  <c r="AB7"/>
  <c r="AA7"/>
  <c r="Z7"/>
  <c r="X7"/>
  <c r="W7"/>
  <c r="V7"/>
  <c r="T7"/>
  <c r="S7"/>
  <c r="R7"/>
  <c r="P7"/>
  <c r="O7"/>
  <c r="N7"/>
  <c r="L7"/>
  <c r="K7"/>
  <c r="J7"/>
  <c r="H7"/>
  <c r="G7"/>
  <c r="F7"/>
  <c r="D7"/>
  <c r="C7"/>
  <c r="B7"/>
  <c r="BD6"/>
  <c r="BC6"/>
  <c r="BB6"/>
  <c r="AZ6"/>
  <c r="AY6"/>
  <c r="AX6"/>
  <c r="AV6"/>
  <c r="AU6"/>
  <c r="AT6"/>
  <c r="AR6"/>
  <c r="AQ6"/>
  <c r="AP6"/>
  <c r="AN6"/>
  <c r="AM6"/>
  <c r="AL6"/>
  <c r="AJ6"/>
  <c r="AI6"/>
  <c r="AH6"/>
  <c r="AF6"/>
  <c r="AE6"/>
  <c r="AD6"/>
  <c r="AB6"/>
  <c r="AA6"/>
  <c r="Z6"/>
  <c r="X6"/>
  <c r="W6"/>
  <c r="V6"/>
  <c r="T6"/>
  <c r="S6"/>
  <c r="R6"/>
  <c r="P6"/>
  <c r="O6"/>
  <c r="N6"/>
  <c r="L6"/>
  <c r="K6"/>
  <c r="J6"/>
  <c r="H6"/>
  <c r="G6"/>
  <c r="F6"/>
  <c r="D6"/>
  <c r="C6"/>
  <c r="B6"/>
  <c r="BD5"/>
  <c r="BC5"/>
  <c r="BB5"/>
  <c r="AZ5"/>
  <c r="AY5"/>
  <c r="AX5"/>
  <c r="AV5"/>
  <c r="AU5"/>
  <c r="AT5"/>
  <c r="AR5"/>
  <c r="AQ5"/>
  <c r="AP5"/>
  <c r="AN5"/>
  <c r="AM5"/>
  <c r="AL5"/>
  <c r="AJ5"/>
  <c r="AI5"/>
  <c r="AH5"/>
  <c r="AF5"/>
  <c r="AE5"/>
  <c r="AD5"/>
  <c r="AB5"/>
  <c r="AA5"/>
  <c r="Z5"/>
  <c r="X5"/>
  <c r="W5"/>
  <c r="V5"/>
  <c r="T5"/>
  <c r="S5"/>
  <c r="R5"/>
  <c r="P5"/>
  <c r="O5"/>
  <c r="N5"/>
  <c r="L5"/>
  <c r="K5"/>
  <c r="J5"/>
  <c r="H5"/>
  <c r="G5"/>
  <c r="F5"/>
  <c r="D5"/>
  <c r="C5"/>
  <c r="B5"/>
  <c r="BD4"/>
  <c r="BC4"/>
  <c r="BB4"/>
  <c r="AZ4"/>
  <c r="AX4"/>
  <c r="AV4"/>
  <c r="AR4"/>
  <c r="AQ4"/>
  <c r="AN4"/>
  <c r="AM4"/>
  <c r="AL4"/>
  <c r="AJ4"/>
  <c r="AI4"/>
  <c r="AH4"/>
  <c r="AF4"/>
  <c r="AE4"/>
  <c r="AD4"/>
  <c r="AB4"/>
  <c r="AA4"/>
  <c r="Z4"/>
  <c r="X4"/>
  <c r="W4"/>
  <c r="V4"/>
  <c r="T4"/>
  <c r="S4"/>
  <c r="R4"/>
  <c r="P4"/>
  <c r="O4"/>
  <c r="N4"/>
  <c r="L4"/>
  <c r="K4"/>
  <c r="J4"/>
  <c r="H4"/>
  <c r="G4"/>
  <c r="F4"/>
  <c r="D4"/>
  <c r="C4"/>
  <c r="B4"/>
  <c r="BD3"/>
  <c r="AZ3"/>
  <c r="AX3"/>
  <c r="AV3"/>
  <c r="AR3"/>
  <c r="AQ3"/>
  <c r="AN3"/>
  <c r="AM3"/>
  <c r="AL3"/>
  <c r="AJ3"/>
  <c r="AI3"/>
  <c r="AH3"/>
  <c r="AF3"/>
  <c r="AE3"/>
  <c r="AD3"/>
  <c r="AB3"/>
  <c r="AA3"/>
  <c r="Z3"/>
  <c r="X3"/>
  <c r="W3"/>
  <c r="V3"/>
  <c r="T3"/>
  <c r="S3"/>
  <c r="R3"/>
  <c r="P3"/>
  <c r="O3"/>
  <c r="N3"/>
  <c r="L3"/>
  <c r="K3"/>
  <c r="J3"/>
  <c r="H3"/>
  <c r="G3"/>
  <c r="F3"/>
  <c r="D3"/>
  <c r="C3"/>
  <c r="B3"/>
  <c r="BB2"/>
  <c r="AX2"/>
  <c r="AT2"/>
  <c r="AP2"/>
  <c r="AL2"/>
  <c r="AH2"/>
  <c r="AD2"/>
  <c r="Z2"/>
  <c r="V2"/>
  <c r="R2"/>
  <c r="N2"/>
  <c r="J2"/>
  <c r="F2"/>
  <c r="B2"/>
  <c r="M47" i="5"/>
  <c r="L47"/>
  <c r="K47"/>
  <c r="L46"/>
  <c r="K46"/>
  <c r="J46"/>
  <c r="M45"/>
  <c r="L44"/>
  <c r="K44"/>
  <c r="J44"/>
  <c r="L43"/>
  <c r="K43"/>
  <c r="J43"/>
  <c r="L42"/>
  <c r="K42"/>
  <c r="J42"/>
  <c r="L40"/>
  <c r="K40"/>
  <c r="J40"/>
  <c r="L38"/>
  <c r="K38"/>
  <c r="J38"/>
  <c r="M37"/>
  <c r="L37"/>
  <c r="K37"/>
  <c r="J37"/>
  <c r="L36"/>
  <c r="K36"/>
  <c r="J36"/>
  <c r="M35"/>
  <c r="L35"/>
  <c r="K35"/>
  <c r="J35"/>
  <c r="M34"/>
  <c r="L34"/>
  <c r="K34"/>
  <c r="J34"/>
  <c r="L33"/>
  <c r="K33"/>
  <c r="K32"/>
  <c r="AV31"/>
  <c r="AU31"/>
  <c r="AR31"/>
  <c r="AQ31"/>
  <c r="AN31"/>
  <c r="AM31"/>
  <c r="AJ31"/>
  <c r="AI31"/>
  <c r="AF31"/>
  <c r="AE31"/>
  <c r="AB31"/>
  <c r="AA31"/>
  <c r="X31"/>
  <c r="W31"/>
  <c r="T31"/>
  <c r="S31"/>
  <c r="P31"/>
  <c r="O31"/>
  <c r="L31"/>
  <c r="K31"/>
  <c r="H31"/>
  <c r="G31"/>
  <c r="D31"/>
  <c r="C31"/>
  <c r="AV29"/>
  <c r="AU29"/>
  <c r="AT29"/>
  <c r="AR29"/>
  <c r="AQ29"/>
  <c r="AP29"/>
  <c r="AN29"/>
  <c r="AM29"/>
  <c r="AL29"/>
  <c r="AJ29"/>
  <c r="AI29"/>
  <c r="AH29"/>
  <c r="AF29"/>
  <c r="AE29"/>
  <c r="AD29"/>
  <c r="AB29"/>
  <c r="AA29"/>
  <c r="Z29"/>
  <c r="X29"/>
  <c r="W29"/>
  <c r="V29"/>
  <c r="T29"/>
  <c r="S29"/>
  <c r="R29"/>
  <c r="P29"/>
  <c r="O29"/>
  <c r="N29"/>
  <c r="L29"/>
  <c r="K29"/>
  <c r="J29"/>
  <c r="H29"/>
  <c r="G29"/>
  <c r="F29"/>
  <c r="D29"/>
  <c r="C29"/>
  <c r="B29"/>
  <c r="AV28"/>
  <c r="AU28"/>
  <c r="AT28"/>
  <c r="AR28"/>
  <c r="AQ28"/>
  <c r="AP28"/>
  <c r="AN28"/>
  <c r="AM28"/>
  <c r="AL28"/>
  <c r="AJ28"/>
  <c r="AI28"/>
  <c r="AH28"/>
  <c r="AF28"/>
  <c r="AE28"/>
  <c r="AD28"/>
  <c r="AB28"/>
  <c r="AA28"/>
  <c r="Z28"/>
  <c r="X28"/>
  <c r="W28"/>
  <c r="V28"/>
  <c r="T28"/>
  <c r="S28"/>
  <c r="R28"/>
  <c r="P28"/>
  <c r="O28"/>
  <c r="N28"/>
  <c r="L28"/>
  <c r="K28"/>
  <c r="J28"/>
  <c r="H28"/>
  <c r="G28"/>
  <c r="F28"/>
  <c r="D28"/>
  <c r="C28"/>
  <c r="B28"/>
  <c r="AV27"/>
  <c r="AU27"/>
  <c r="AT27"/>
  <c r="AR27"/>
  <c r="AQ27"/>
  <c r="AP27"/>
  <c r="AN27"/>
  <c r="AM27"/>
  <c r="AL27"/>
  <c r="AJ27"/>
  <c r="AI27"/>
  <c r="AH27"/>
  <c r="AF27"/>
  <c r="AE27"/>
  <c r="AD27"/>
  <c r="AB27"/>
  <c r="AA27"/>
  <c r="Z27"/>
  <c r="X27"/>
  <c r="W27"/>
  <c r="V27"/>
  <c r="T27"/>
  <c r="S27"/>
  <c r="R27"/>
  <c r="P27"/>
  <c r="O27"/>
  <c r="N27"/>
  <c r="L27"/>
  <c r="K27"/>
  <c r="J27"/>
  <c r="H27"/>
  <c r="G27"/>
  <c r="F27"/>
  <c r="D27"/>
  <c r="C27"/>
  <c r="B27"/>
  <c r="AT26"/>
  <c r="AP26"/>
  <c r="AL26"/>
  <c r="AH26"/>
  <c r="AD26"/>
  <c r="Z26"/>
  <c r="V26"/>
  <c r="R26"/>
  <c r="N26"/>
  <c r="J26"/>
  <c r="F26"/>
  <c r="B26"/>
  <c r="AV25"/>
  <c r="AU25"/>
  <c r="AT25"/>
  <c r="AR25"/>
  <c r="AQ25"/>
  <c r="AP25"/>
  <c r="AN25"/>
  <c r="AM25"/>
  <c r="AL25"/>
  <c r="AJ25"/>
  <c r="AI25"/>
  <c r="AH25"/>
  <c r="AF25"/>
  <c r="AE25"/>
  <c r="AD25"/>
  <c r="AB25"/>
  <c r="AA25"/>
  <c r="Z25"/>
  <c r="X25"/>
  <c r="W25"/>
  <c r="V25"/>
  <c r="T25"/>
  <c r="S25"/>
  <c r="R25"/>
  <c r="P25"/>
  <c r="O25"/>
  <c r="N25"/>
  <c r="L25"/>
  <c r="K25"/>
  <c r="J25"/>
  <c r="H25"/>
  <c r="G25"/>
  <c r="F25"/>
  <c r="D25"/>
  <c r="C25"/>
  <c r="B25"/>
  <c r="AT24"/>
  <c r="AP24"/>
  <c r="AL24"/>
  <c r="AH24"/>
  <c r="AD24"/>
  <c r="Z24"/>
  <c r="V24"/>
  <c r="R24"/>
  <c r="N24"/>
  <c r="J24"/>
  <c r="F24"/>
  <c r="B24"/>
  <c r="AV23"/>
  <c r="AU23"/>
  <c r="AT23"/>
  <c r="AR23"/>
  <c r="AQ23"/>
  <c r="AP23"/>
  <c r="AN23"/>
  <c r="AM23"/>
  <c r="AL23"/>
  <c r="AJ23"/>
  <c r="AI23"/>
  <c r="AH23"/>
  <c r="AF23"/>
  <c r="AE23"/>
  <c r="AD23"/>
  <c r="AB23"/>
  <c r="AA23"/>
  <c r="Z23"/>
  <c r="X23"/>
  <c r="W23"/>
  <c r="V23"/>
  <c r="T23"/>
  <c r="S23"/>
  <c r="R23"/>
  <c r="P23"/>
  <c r="O23"/>
  <c r="N23"/>
  <c r="L23"/>
  <c r="K23"/>
  <c r="J23"/>
  <c r="H23"/>
  <c r="G23"/>
  <c r="F23"/>
  <c r="D23"/>
  <c r="C23"/>
  <c r="B23"/>
  <c r="AV22"/>
  <c r="AU22"/>
  <c r="AT22"/>
  <c r="AR22"/>
  <c r="AQ22"/>
  <c r="AP22"/>
  <c r="AN22"/>
  <c r="AM22"/>
  <c r="AL22"/>
  <c r="AJ22"/>
  <c r="AI22"/>
  <c r="AH22"/>
  <c r="AF22"/>
  <c r="AE22"/>
  <c r="AD22"/>
  <c r="AB22"/>
  <c r="AA22"/>
  <c r="Z22"/>
  <c r="X22"/>
  <c r="W22"/>
  <c r="V22"/>
  <c r="T22"/>
  <c r="S22"/>
  <c r="R22"/>
  <c r="P22"/>
  <c r="O22"/>
  <c r="N22"/>
  <c r="L22"/>
  <c r="K22"/>
  <c r="J22"/>
  <c r="H22"/>
  <c r="G22"/>
  <c r="F22"/>
  <c r="D22"/>
  <c r="C22"/>
  <c r="B22"/>
  <c r="AV21"/>
  <c r="AU21"/>
  <c r="AT21"/>
  <c r="AR21"/>
  <c r="AQ21"/>
  <c r="AP21"/>
  <c r="AN21"/>
  <c r="AM21"/>
  <c r="AL21"/>
  <c r="AJ21"/>
  <c r="AI21"/>
  <c r="AH21"/>
  <c r="AF21"/>
  <c r="AE21"/>
  <c r="AD21"/>
  <c r="AB21"/>
  <c r="AA21"/>
  <c r="Z21"/>
  <c r="X21"/>
  <c r="W21"/>
  <c r="V21"/>
  <c r="T21"/>
  <c r="S21"/>
  <c r="R21"/>
  <c r="P21"/>
  <c r="O21"/>
  <c r="N21"/>
  <c r="L21"/>
  <c r="K21"/>
  <c r="J21"/>
  <c r="H21"/>
  <c r="G21"/>
  <c r="F21"/>
  <c r="D21"/>
  <c r="C21"/>
  <c r="B21"/>
  <c r="AV20"/>
  <c r="AU20"/>
  <c r="AT20"/>
  <c r="AR20"/>
  <c r="AQ20"/>
  <c r="AP20"/>
  <c r="AN20"/>
  <c r="AM20"/>
  <c r="AL20"/>
  <c r="AJ20"/>
  <c r="AI20"/>
  <c r="AH20"/>
  <c r="AF20"/>
  <c r="AE20"/>
  <c r="AD20"/>
  <c r="AB20"/>
  <c r="AA20"/>
  <c r="Z20"/>
  <c r="X20"/>
  <c r="W20"/>
  <c r="V20"/>
  <c r="T20"/>
  <c r="S20"/>
  <c r="R20"/>
  <c r="P20"/>
  <c r="O20"/>
  <c r="N20"/>
  <c r="L20"/>
  <c r="K20"/>
  <c r="J20"/>
  <c r="H20"/>
  <c r="G20"/>
  <c r="F20"/>
  <c r="D20"/>
  <c r="C20"/>
  <c r="B20"/>
  <c r="AV19"/>
  <c r="AU19"/>
  <c r="AT19"/>
  <c r="AR19"/>
  <c r="AQ19"/>
  <c r="AP19"/>
  <c r="AN19"/>
  <c r="AM19"/>
  <c r="AL19"/>
  <c r="AJ19"/>
  <c r="AI19"/>
  <c r="AH19"/>
  <c r="AF19"/>
  <c r="AE19"/>
  <c r="AD19"/>
  <c r="AB19"/>
  <c r="AA19"/>
  <c r="Z19"/>
  <c r="X19"/>
  <c r="W19"/>
  <c r="V19"/>
  <c r="T19"/>
  <c r="S19"/>
  <c r="R19"/>
  <c r="P19"/>
  <c r="O19"/>
  <c r="N19"/>
  <c r="L19"/>
  <c r="K19"/>
  <c r="J19"/>
  <c r="H19"/>
  <c r="G19"/>
  <c r="F19"/>
  <c r="D19"/>
  <c r="C19"/>
  <c r="B19"/>
  <c r="AT18"/>
  <c r="AP18"/>
  <c r="AL18"/>
  <c r="AH18"/>
  <c r="AD18"/>
  <c r="Z18"/>
  <c r="V18"/>
  <c r="R18"/>
  <c r="N18"/>
  <c r="J18"/>
  <c r="F18"/>
  <c r="B18"/>
  <c r="AT17"/>
  <c r="AP17"/>
  <c r="AL17"/>
  <c r="AH17"/>
  <c r="AD17"/>
  <c r="Z17"/>
  <c r="V17"/>
  <c r="R17"/>
  <c r="N17"/>
  <c r="J17"/>
  <c r="F17"/>
  <c r="B17"/>
  <c r="AV15"/>
  <c r="AU15"/>
  <c r="AR5"/>
  <c r="AR15"/>
  <c r="AQ15"/>
  <c r="AN15"/>
  <c r="AM15"/>
  <c r="AJ15"/>
  <c r="AI15"/>
  <c r="AF15"/>
  <c r="AE15"/>
  <c r="AB15"/>
  <c r="AA15"/>
  <c r="X15"/>
  <c r="W15"/>
  <c r="T15"/>
  <c r="S15"/>
  <c r="P15"/>
  <c r="O15"/>
  <c r="L15"/>
  <c r="K15"/>
  <c r="H15"/>
  <c r="G15"/>
  <c r="D15"/>
  <c r="C15"/>
  <c r="AV13"/>
  <c r="AU13"/>
  <c r="AT13"/>
  <c r="AR13"/>
  <c r="AQ13"/>
  <c r="AP13"/>
  <c r="AN13"/>
  <c r="AM13"/>
  <c r="AL13"/>
  <c r="AJ13"/>
  <c r="AI13"/>
  <c r="AH13"/>
  <c r="AF13"/>
  <c r="AE13"/>
  <c r="AD13"/>
  <c r="AB13"/>
  <c r="AA13"/>
  <c r="Z13"/>
  <c r="X13"/>
  <c r="W13"/>
  <c r="V13"/>
  <c r="T13"/>
  <c r="S13"/>
  <c r="R13"/>
  <c r="P13"/>
  <c r="O13"/>
  <c r="N13"/>
  <c r="L13"/>
  <c r="K13"/>
  <c r="J13"/>
  <c r="H13"/>
  <c r="G13"/>
  <c r="F13"/>
  <c r="D13"/>
  <c r="C13"/>
  <c r="B13"/>
  <c r="AV12"/>
  <c r="AU12"/>
  <c r="AT12"/>
  <c r="AQ12"/>
  <c r="AR12"/>
  <c r="AP12"/>
  <c r="AN12"/>
  <c r="AM12"/>
  <c r="AL12"/>
  <c r="AJ12"/>
  <c r="AI12"/>
  <c r="AH12"/>
  <c r="AF12"/>
  <c r="AE12"/>
  <c r="AD12"/>
  <c r="AB12"/>
  <c r="AA12"/>
  <c r="Z12"/>
  <c r="X12"/>
  <c r="W12"/>
  <c r="V12"/>
  <c r="T12"/>
  <c r="S12"/>
  <c r="R12"/>
  <c r="P12"/>
  <c r="O12"/>
  <c r="N12"/>
  <c r="L12"/>
  <c r="K12"/>
  <c r="J12"/>
  <c r="H12"/>
  <c r="G12"/>
  <c r="F12"/>
  <c r="D12"/>
  <c r="C12"/>
  <c r="B12"/>
  <c r="AV11"/>
  <c r="AU11"/>
  <c r="AT11"/>
  <c r="AR11"/>
  <c r="AQ11"/>
  <c r="AP11"/>
  <c r="AN11"/>
  <c r="AM11"/>
  <c r="AL11"/>
  <c r="AJ11"/>
  <c r="AI11"/>
  <c r="AH11"/>
  <c r="AF11"/>
  <c r="AE11"/>
  <c r="AD11"/>
  <c r="AB11"/>
  <c r="AA11"/>
  <c r="Z11"/>
  <c r="X11"/>
  <c r="W11"/>
  <c r="V11"/>
  <c r="T11"/>
  <c r="S11"/>
  <c r="R11"/>
  <c r="P11"/>
  <c r="O11"/>
  <c r="N11"/>
  <c r="L11"/>
  <c r="K11"/>
  <c r="J11"/>
  <c r="H11"/>
  <c r="G11"/>
  <c r="F11"/>
  <c r="D11"/>
  <c r="C11"/>
  <c r="B11"/>
  <c r="AT10"/>
  <c r="AP10"/>
  <c r="AL10"/>
  <c r="AH10"/>
  <c r="AD10"/>
  <c r="Z10"/>
  <c r="V10"/>
  <c r="R10"/>
  <c r="N10"/>
  <c r="J10"/>
  <c r="F10"/>
  <c r="B10"/>
  <c r="AV9"/>
  <c r="AU9"/>
  <c r="AT9"/>
  <c r="AR9"/>
  <c r="AQ9"/>
  <c r="AP9"/>
  <c r="AN9"/>
  <c r="AM9"/>
  <c r="AL9"/>
  <c r="AJ9"/>
  <c r="AI9"/>
  <c r="AH9"/>
  <c r="AF9"/>
  <c r="AE9"/>
  <c r="AD9"/>
  <c r="AB9"/>
  <c r="AA9"/>
  <c r="Z9"/>
  <c r="X9"/>
  <c r="W9"/>
  <c r="V9"/>
  <c r="T9"/>
  <c r="S9"/>
  <c r="R9"/>
  <c r="P9"/>
  <c r="O9"/>
  <c r="N9"/>
  <c r="L9"/>
  <c r="K9"/>
  <c r="J9"/>
  <c r="H9"/>
  <c r="G9"/>
  <c r="F9"/>
  <c r="D9"/>
  <c r="C9"/>
  <c r="B9"/>
  <c r="AT8"/>
  <c r="AP8"/>
  <c r="AL8"/>
  <c r="AH8"/>
  <c r="AD8"/>
  <c r="Z8"/>
  <c r="V8"/>
  <c r="R8"/>
  <c r="N8"/>
  <c r="J8"/>
  <c r="F8"/>
  <c r="B8"/>
  <c r="AV7"/>
  <c r="AU7"/>
  <c r="AT7"/>
  <c r="AR7"/>
  <c r="AQ7"/>
  <c r="AP7"/>
  <c r="AN7"/>
  <c r="AM7"/>
  <c r="AL7"/>
  <c r="AJ7"/>
  <c r="AI7"/>
  <c r="AH7"/>
  <c r="AF7"/>
  <c r="AE7"/>
  <c r="AD7"/>
  <c r="AB7"/>
  <c r="AA7"/>
  <c r="Z7"/>
  <c r="X7"/>
  <c r="W7"/>
  <c r="V7"/>
  <c r="T7"/>
  <c r="S7"/>
  <c r="R7"/>
  <c r="P7"/>
  <c r="O7"/>
  <c r="N7"/>
  <c r="L7"/>
  <c r="K7"/>
  <c r="J7"/>
  <c r="H7"/>
  <c r="G7"/>
  <c r="F7"/>
  <c r="D7"/>
  <c r="C7"/>
  <c r="B7"/>
  <c r="AV6"/>
  <c r="AU6"/>
  <c r="AT6"/>
  <c r="AR6"/>
  <c r="AQ6"/>
  <c r="AP6"/>
  <c r="AN6"/>
  <c r="AM6"/>
  <c r="AL6"/>
  <c r="AJ6"/>
  <c r="AI6"/>
  <c r="AH6"/>
  <c r="AF6"/>
  <c r="AE6"/>
  <c r="AD6"/>
  <c r="AB6"/>
  <c r="AA6"/>
  <c r="Z6"/>
  <c r="X6"/>
  <c r="W6"/>
  <c r="V6"/>
  <c r="T6"/>
  <c r="S6"/>
  <c r="R6"/>
  <c r="P6"/>
  <c r="O6"/>
  <c r="N6"/>
  <c r="L6"/>
  <c r="K6"/>
  <c r="J6"/>
  <c r="H6"/>
  <c r="G6"/>
  <c r="F6"/>
  <c r="D6"/>
  <c r="C6"/>
  <c r="B6"/>
  <c r="AV5"/>
  <c r="AU5"/>
  <c r="AT5"/>
  <c r="AQ5"/>
  <c r="AP5"/>
  <c r="AN5"/>
  <c r="AM5"/>
  <c r="AL5"/>
  <c r="AJ5"/>
  <c r="AI5"/>
  <c r="AH5"/>
  <c r="AF5"/>
  <c r="AE5"/>
  <c r="AD5"/>
  <c r="AB5"/>
  <c r="AA5"/>
  <c r="Z5"/>
  <c r="X5"/>
  <c r="W5"/>
  <c r="V5"/>
  <c r="T5"/>
  <c r="S5"/>
  <c r="R5"/>
  <c r="P5"/>
  <c r="O5"/>
  <c r="N5"/>
  <c r="L5"/>
  <c r="K5"/>
  <c r="J5"/>
  <c r="H5"/>
  <c r="G5"/>
  <c r="F5"/>
  <c r="D5"/>
  <c r="C5"/>
  <c r="B5"/>
  <c r="AV4"/>
  <c r="AU4"/>
  <c r="AT4"/>
  <c r="AR4"/>
  <c r="AQ4"/>
  <c r="AP4"/>
  <c r="AN4"/>
  <c r="AM4"/>
  <c r="AL4"/>
  <c r="AJ4"/>
  <c r="AI4"/>
  <c r="AH4"/>
  <c r="AF4"/>
  <c r="AE4"/>
  <c r="AD4"/>
  <c r="AB4"/>
  <c r="AA4"/>
  <c r="Z4"/>
  <c r="X4"/>
  <c r="W4"/>
  <c r="V4"/>
  <c r="T4"/>
  <c r="S4"/>
  <c r="R4"/>
  <c r="P4"/>
  <c r="O4"/>
  <c r="N4"/>
  <c r="L4"/>
  <c r="K4"/>
  <c r="J4"/>
  <c r="H4"/>
  <c r="G4"/>
  <c r="F4"/>
  <c r="D4"/>
  <c r="C4"/>
  <c r="B4"/>
  <c r="AV3"/>
  <c r="AU3"/>
  <c r="AT3"/>
  <c r="AR3"/>
  <c r="AQ3"/>
  <c r="AP3"/>
  <c r="AN3"/>
  <c r="AM3"/>
  <c r="AL3"/>
  <c r="AJ3"/>
  <c r="AI3"/>
  <c r="AH3"/>
  <c r="AF3"/>
  <c r="AE3"/>
  <c r="AD3"/>
  <c r="AB3"/>
  <c r="AA3"/>
  <c r="Z3"/>
  <c r="X3"/>
  <c r="W3"/>
  <c r="V3"/>
  <c r="T3"/>
  <c r="S3"/>
  <c r="R3"/>
  <c r="P3"/>
  <c r="O3"/>
  <c r="N3"/>
  <c r="L3"/>
  <c r="K3"/>
  <c r="J3"/>
  <c r="H3"/>
  <c r="G3"/>
  <c r="F3"/>
  <c r="D3"/>
  <c r="C3"/>
  <c r="B3"/>
  <c r="AT2"/>
  <c r="AP2"/>
  <c r="AL2"/>
  <c r="AH2"/>
  <c r="AD2"/>
  <c r="Z2"/>
  <c r="V2"/>
  <c r="R2"/>
  <c r="N2"/>
  <c r="J2"/>
  <c r="F2"/>
  <c r="B2"/>
  <c r="AT1"/>
  <c r="AP1"/>
  <c r="AL1"/>
  <c r="AH1"/>
  <c r="AD1"/>
  <c r="Z1"/>
  <c r="V1"/>
  <c r="R1"/>
  <c r="N1"/>
  <c r="J1"/>
  <c r="F1"/>
  <c r="B1"/>
</calcChain>
</file>

<file path=xl/sharedStrings.xml><?xml version="1.0" encoding="utf-8"?>
<sst xmlns="http://schemas.openxmlformats.org/spreadsheetml/2006/main" count="1122" uniqueCount="130">
  <si>
    <t>Chicken breast, roasted</t>
  </si>
  <si>
    <t>RDA mg/g of protein</t>
  </si>
  <si>
    <t>protein</t>
  </si>
  <si>
    <t>Weight*0.8</t>
  </si>
  <si>
    <t>Tryptophan</t>
  </si>
  <si>
    <t>(AA*100)/(P*RDA)</t>
  </si>
  <si>
    <t>Threonine</t>
  </si>
  <si>
    <t>Isoleucine</t>
  </si>
  <si>
    <t>Leucine</t>
  </si>
  <si>
    <t>Lysine</t>
  </si>
  <si>
    <t>Methionine</t>
  </si>
  <si>
    <t>Cystine</t>
  </si>
  <si>
    <t>Phenylalanine</t>
  </si>
  <si>
    <t>Tyrosine</t>
  </si>
  <si>
    <t>Valine</t>
  </si>
  <si>
    <t>Histidine</t>
  </si>
  <si>
    <t>Protein</t>
  </si>
  <si>
    <t>Watercress Raw</t>
  </si>
  <si>
    <t xml:space="preserve">Protein </t>
  </si>
  <si>
    <t xml:space="preserve">Tryptophan </t>
  </si>
  <si>
    <t xml:space="preserve">Threonine </t>
  </si>
  <si>
    <t xml:space="preserve">Isoleucine </t>
  </si>
  <si>
    <t xml:space="preserve">Lysine </t>
  </si>
  <si>
    <t xml:space="preserve">Cystine </t>
  </si>
  <si>
    <t xml:space="preserve">Tyrosine </t>
  </si>
  <si>
    <t xml:space="preserve">Valine </t>
  </si>
  <si>
    <t xml:space="preserve">Histidine </t>
  </si>
  <si>
    <t>Chickpeas</t>
  </si>
  <si>
    <t>Hemp seeds shelled</t>
  </si>
  <si>
    <t>Lentils cooked</t>
  </si>
  <si>
    <t>Gouda Cheese</t>
  </si>
  <si>
    <t>% of RDA for 100g</t>
  </si>
  <si>
    <t>Median Deviation</t>
  </si>
  <si>
    <t>Rice medium grain</t>
  </si>
  <si>
    <t>Rice long grain</t>
  </si>
  <si>
    <t>White Tuna can</t>
  </si>
  <si>
    <t>Lupin boiled</t>
  </si>
  <si>
    <t>RDA in 1g of protein</t>
  </si>
  <si>
    <t>MIN LIST</t>
  </si>
  <si>
    <t>MAX LIST</t>
  </si>
  <si>
    <t>MIN and MAX</t>
  </si>
  <si>
    <t>Waste</t>
  </si>
  <si>
    <t>Grams</t>
  </si>
  <si>
    <t>White beans cooked</t>
  </si>
  <si>
    <t>Sesame toasted</t>
  </si>
  <si>
    <t>broccoli boiled</t>
  </si>
  <si>
    <t>BCAA</t>
  </si>
  <si>
    <t>Sheep milk</t>
  </si>
  <si>
    <t>Yoghourt</t>
  </si>
  <si>
    <t>RDA in AA for 1 gram of protein</t>
  </si>
  <si>
    <t xml:space="preserve">             First value is, in percentage, total quantity of BCAAs to form a protein, second value is the balance of the BCAA quality.</t>
  </si>
  <si>
    <t xml:space="preserve">             ie. too much leucine but little valine is not good</t>
  </si>
  <si>
    <t>Cystine and Tyrosine contain in their values the added amount of their counterpart aminoacid, that is Methionine+Cystine and Phenylalanine+Tyrosine</t>
  </si>
  <si>
    <t>Sweet corn</t>
  </si>
  <si>
    <t>Green peas, boiled</t>
  </si>
  <si>
    <t>Egg, fried</t>
  </si>
  <si>
    <t>Chicken</t>
  </si>
  <si>
    <t>Watercress</t>
  </si>
  <si>
    <t>Hemp</t>
  </si>
  <si>
    <t>Gouda</t>
  </si>
  <si>
    <t>Rice medium</t>
  </si>
  <si>
    <t>Rice long</t>
  </si>
  <si>
    <t>Tuna</t>
  </si>
  <si>
    <t>Lentils</t>
  </si>
  <si>
    <t>Beans</t>
  </si>
  <si>
    <t>Corn</t>
  </si>
  <si>
    <t>Lupin</t>
  </si>
  <si>
    <t>Sesame</t>
  </si>
  <si>
    <t>Broccoli</t>
  </si>
  <si>
    <t>Egg</t>
  </si>
  <si>
    <t>Green peas</t>
  </si>
  <si>
    <t>Yogurt</t>
  </si>
  <si>
    <t>Soy sauce</t>
  </si>
  <si>
    <t>Miso</t>
  </si>
  <si>
    <t>Protein (combo)</t>
  </si>
  <si>
    <t>AA Protein (combo)</t>
  </si>
  <si>
    <t>In grains, this limiting amino acid is usally lysine or isoleucine.</t>
  </si>
  <si>
    <t>In beans, this limiting amino acid is usually methionine.</t>
  </si>
  <si>
    <t>In vegetables, it is usually methionine or isoleucine.</t>
  </si>
  <si>
    <t>Animal products like beef and milk also have limiting amino acids,</t>
  </si>
  <si>
    <t>but these are usually ignored since they are closer to the ideal human profile.</t>
  </si>
  <si>
    <t>%</t>
  </si>
  <si>
    <t>Protein Gain/Loss</t>
  </si>
  <si>
    <t>Protein RDA%</t>
  </si>
  <si>
    <t>Your weight (Kg)</t>
  </si>
  <si>
    <t>Spaghetti, boiled</t>
  </si>
  <si>
    <t>Salmon</t>
  </si>
  <si>
    <t>Salmon, Atl.Farmed</t>
  </si>
  <si>
    <t>Spaghettis</t>
  </si>
  <si>
    <t>Some amino acids trigger the insulin release. Amino acids that trigger the highest insulin</t>
  </si>
  <si>
    <t>Glucose and other substances in foods also trigger insulin release.</t>
  </si>
  <si>
    <t>release include BCAAs, lysine and threonine, followed by phenylalanine, tyrosine and arginine.</t>
  </si>
  <si>
    <t>Turkey breast, roasted</t>
  </si>
  <si>
    <t>Turkey</t>
  </si>
  <si>
    <t>Glutamate</t>
  </si>
  <si>
    <t>HMB - beta-hydroxy-beta-methylbutyrate is a breakdown product of the amino acid leucine. It can be found naturally in small quantities in citrics (grapefruit), milk, alfalfa, and catfish.</t>
  </si>
  <si>
    <t>ARA - Arachidonic Acid. It is the primary fatty acid responsible for inflammation in muscle tissue, an Omega 6 acid (20:4) (salmon coho), but it can be synthesized from</t>
  </si>
  <si>
    <t xml:space="preserve">             Although the body can create on its own from the leucine aminoacid. It helps on recovery and inhibit muscle tissue loss. In absolute terms Cheese Gouda has the most amount of</t>
  </si>
  <si>
    <t xml:space="preserve">             leucine per 100g, although the highest one relative to their AA profile is sweet corn. HMB in combination with arginine and glutamine (and Vit C) has been shown</t>
  </si>
  <si>
    <t xml:space="preserve">             to enhance collagen synthesis. Dose is 38 mg/kg of bodyweight just before or after workout (in case of supplementation).</t>
  </si>
  <si>
    <t xml:space="preserve">             linoleic acid (18:2) (vegetable oil) in the liver. This is a good thing for muscle hypertrophy. 1.5 g of ARA per day is effective for improving performance and body composition,</t>
  </si>
  <si>
    <t xml:space="preserve">             it pairs well when consumed along anti-inflammatory like Omega-3, Glutamine or BCAA. It could be carcinogen due to the actiavtion of the 5-LOX enzyme.</t>
  </si>
  <si>
    <t>Rolled Oat, raw</t>
  </si>
  <si>
    <t>Oats</t>
  </si>
  <si>
    <t>Rolled Oats, raw</t>
  </si>
  <si>
    <t>There are 4 Protein values. Sum of each protein nominal (K33). Sum of each food protein after limiting it based on limiting AA (K47). Total protein content after suming all limiting AA (L47). And an extrapolation (rule of 3) of nominal protein as an added percentage gain based on % difference between K47 and L47.</t>
  </si>
  <si>
    <t>Hazelnut</t>
  </si>
  <si>
    <t>Update BCAA, make AA lists</t>
  </si>
  <si>
    <t>Cocoa Raw</t>
  </si>
  <si>
    <t>BCAA quality</t>
  </si>
  <si>
    <t>%BCAA/1g P</t>
  </si>
  <si>
    <t>BCAA - Branched Chain Amino Acids (BCAAs) -isoleucine, leucine and valine-. Estimulates muscular growth, should be all 3 balanced.</t>
  </si>
  <si>
    <t>rolled oats (winner)</t>
  </si>
  <si>
    <t>white beans (runner up)</t>
  </si>
  <si>
    <t>chicken</t>
  </si>
  <si>
    <t>egg</t>
  </si>
  <si>
    <t>miso</t>
  </si>
  <si>
    <t>spaguetti</t>
  </si>
  <si>
    <t>Hazelnut, roasted</t>
  </si>
  <si>
    <t xml:space="preserve">             ie. too much leucine but little valine is not good. The second value of BCAA Qualitty is more polished, since it only calculates the excess</t>
  </si>
  <si>
    <t xml:space="preserve">             of the limiting BCAA aminoacid (multiplied by 3, for the balance factor) , then multiplied by the protein content in %</t>
  </si>
  <si>
    <t>Brewer's Yeast</t>
  </si>
  <si>
    <t>Tengo que coger el minimo de los BCAA en mg (minimo segun RDA), dividir entre 100 y multiplicar por el % del RDA (a su derecha), para saber el minimo utilizable.</t>
  </si>
  <si>
    <t xml:space="preserve">Tryptophan* </t>
  </si>
  <si>
    <t>Cystine *</t>
  </si>
  <si>
    <t>Brewer's Yeast 2</t>
  </si>
  <si>
    <t>Potato, boiled</t>
  </si>
  <si>
    <t>Free amino acids (ie. those perceiveable in taste buds) stimulate insulin more than intact proteins from foods.</t>
  </si>
  <si>
    <t>BCAA - Branched Chain Amino Acids (BCAAs, o Aminoácidos de cadena ramificada) -isoleucine, leucine and valine-. Estimulates</t>
  </si>
  <si>
    <t xml:space="preserve">             muscular growth. First value is, in percentage, total quantity of BCAAs to form a protein, second value is the balance of the BCAA quality.</t>
  </si>
</sst>
</file>

<file path=xl/styles.xml><?xml version="1.0" encoding="utf-8"?>
<styleSheet xmlns="http://schemas.openxmlformats.org/spreadsheetml/2006/main">
  <fonts count="12">
    <font>
      <sz val="11"/>
      <color theme="1"/>
      <name val="Calibri"/>
      <family val="2"/>
      <scheme val="minor"/>
    </font>
    <font>
      <sz val="11"/>
      <color theme="0" tint="-0.499984740745262"/>
      <name val="Calibri"/>
      <family val="2"/>
      <scheme val="minor"/>
    </font>
    <font>
      <b/>
      <sz val="12"/>
      <color theme="1"/>
      <name val="Times New Roman"/>
      <family val="1"/>
    </font>
    <font>
      <sz val="11"/>
      <color rgb="FF000000"/>
      <name val="Calibri"/>
      <family val="2"/>
      <scheme val="minor"/>
    </font>
    <font>
      <sz val="11"/>
      <name val="Calibri"/>
      <family val="2"/>
      <scheme val="minor"/>
    </font>
    <font>
      <b/>
      <sz val="12"/>
      <color theme="1"/>
      <name val="Calibri"/>
      <family val="2"/>
      <scheme val="minor"/>
    </font>
    <font>
      <sz val="12"/>
      <color theme="1"/>
      <name val="Calibri"/>
      <family val="2"/>
      <scheme val="minor"/>
    </font>
    <font>
      <sz val="12"/>
      <color theme="0" tint="-0.499984740745262"/>
      <name val="Calibri"/>
      <family val="2"/>
      <scheme val="minor"/>
    </font>
    <font>
      <b/>
      <sz val="11"/>
      <color theme="1"/>
      <name val="Calibri"/>
      <family val="2"/>
      <scheme val="minor"/>
    </font>
    <font>
      <b/>
      <sz val="11"/>
      <name val="Calibri"/>
      <family val="2"/>
      <scheme val="minor"/>
    </font>
    <font>
      <sz val="12"/>
      <color rgb="FF000000"/>
      <name val="Calibri"/>
      <family val="2"/>
      <scheme val="minor"/>
    </font>
    <font>
      <sz val="12"/>
      <name val="Calibri"/>
      <family val="2"/>
      <scheme val="minor"/>
    </font>
  </fonts>
  <fills count="3">
    <fill>
      <patternFill patternType="none"/>
    </fill>
    <fill>
      <patternFill patternType="gray125"/>
    </fill>
    <fill>
      <patternFill patternType="solid">
        <fgColor theme="8" tint="-0.249977111117893"/>
        <bgColor indexed="64"/>
      </patternFill>
    </fill>
  </fills>
  <borders count="19">
    <border>
      <left/>
      <right/>
      <top/>
      <bottom/>
      <diagonal/>
    </border>
    <border>
      <left/>
      <right/>
      <top/>
      <bottom style="medium">
        <color indexed="64"/>
      </bottom>
      <diagonal/>
    </border>
    <border>
      <left style="medium">
        <color indexed="64"/>
      </left>
      <right/>
      <top/>
      <bottom style="medium">
        <color indexed="64"/>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style="medium">
        <color indexed="64"/>
      </right>
      <top style="medium">
        <color indexed="64"/>
      </top>
      <bottom/>
      <diagonal/>
    </border>
  </borders>
  <cellStyleXfs count="1">
    <xf numFmtId="0" fontId="0" fillId="0" borderId="0"/>
  </cellStyleXfs>
  <cellXfs count="88">
    <xf numFmtId="0" fontId="0" fillId="0" borderId="0" xfId="0"/>
    <xf numFmtId="0" fontId="0" fillId="0" borderId="0" xfId="0" applyAlignment="1">
      <alignment horizontal="left"/>
    </xf>
    <xf numFmtId="0" fontId="0" fillId="0" borderId="0" xfId="0" applyAlignment="1">
      <alignment horizontal="right"/>
    </xf>
    <xf numFmtId="0" fontId="0" fillId="0" borderId="0" xfId="0" applyBorder="1"/>
    <xf numFmtId="0" fontId="0" fillId="0" borderId="0" xfId="0" applyBorder="1" applyAlignment="1">
      <alignment horizontal="right"/>
    </xf>
    <xf numFmtId="0" fontId="0" fillId="0" borderId="0" xfId="0" applyBorder="1" applyAlignment="1">
      <alignment horizontal="left"/>
    </xf>
    <xf numFmtId="2" fontId="1" fillId="0" borderId="0" xfId="0" applyNumberFormat="1" applyFont="1" applyBorder="1"/>
    <xf numFmtId="2" fontId="3" fillId="0" borderId="0" xfId="0" applyNumberFormat="1" applyFont="1" applyBorder="1"/>
    <xf numFmtId="2" fontId="4" fillId="0" borderId="0" xfId="0" applyNumberFormat="1" applyFont="1" applyBorder="1"/>
    <xf numFmtId="0" fontId="3" fillId="0" borderId="0" xfId="0" applyFont="1" applyBorder="1"/>
    <xf numFmtId="2" fontId="3" fillId="0" borderId="1" xfId="0" applyNumberFormat="1" applyFont="1" applyBorder="1"/>
    <xf numFmtId="0" fontId="2" fillId="0" borderId="3" xfId="0" applyFont="1" applyFill="1" applyBorder="1" applyAlignment="1">
      <alignment horizontal="left" vertical="top" wrapText="1"/>
    </xf>
    <xf numFmtId="0" fontId="0" fillId="0" borderId="3" xfId="0" applyBorder="1"/>
    <xf numFmtId="0" fontId="5" fillId="0" borderId="0" xfId="0" applyFont="1" applyBorder="1" applyAlignment="1">
      <alignment horizontal="left" vertical="top" wrapText="1"/>
    </xf>
    <xf numFmtId="0" fontId="0" fillId="0" borderId="0" xfId="0" applyFont="1" applyBorder="1"/>
    <xf numFmtId="0" fontId="6" fillId="0" borderId="0" xfId="0" applyFont="1" applyBorder="1" applyAlignment="1">
      <alignment horizontal="left" vertical="top" wrapText="1"/>
    </xf>
    <xf numFmtId="0" fontId="0" fillId="0" borderId="0" xfId="0" applyFont="1" applyBorder="1" applyAlignment="1">
      <alignment horizontal="right"/>
    </xf>
    <xf numFmtId="0" fontId="5" fillId="0" borderId="3" xfId="0" applyFont="1" applyFill="1" applyBorder="1" applyAlignment="1">
      <alignment horizontal="left" vertical="top" wrapText="1"/>
    </xf>
    <xf numFmtId="0" fontId="0" fillId="0" borderId="3" xfId="0" applyFont="1" applyBorder="1"/>
    <xf numFmtId="0" fontId="0" fillId="0" borderId="0" xfId="0" applyFont="1" applyBorder="1" applyAlignment="1">
      <alignment horizontal="left"/>
    </xf>
    <xf numFmtId="2" fontId="7" fillId="0" borderId="0" xfId="0" applyNumberFormat="1" applyFont="1" applyBorder="1" applyAlignment="1">
      <alignment horizontal="left" vertical="top" wrapText="1"/>
    </xf>
    <xf numFmtId="0" fontId="6" fillId="0" borderId="1" xfId="0" applyFont="1" applyFill="1" applyBorder="1" applyAlignment="1">
      <alignment horizontal="left" vertical="top" wrapText="1"/>
    </xf>
    <xf numFmtId="0" fontId="0" fillId="0" borderId="1" xfId="0" applyFont="1" applyBorder="1"/>
    <xf numFmtId="0" fontId="5" fillId="0" borderId="0" xfId="0" applyFont="1" applyFill="1" applyBorder="1" applyAlignment="1">
      <alignment horizontal="left" vertical="top" wrapText="1"/>
    </xf>
    <xf numFmtId="0" fontId="6" fillId="0" borderId="5" xfId="0" applyFont="1" applyBorder="1" applyAlignment="1">
      <alignment horizontal="left" vertical="top" wrapText="1"/>
    </xf>
    <xf numFmtId="0" fontId="6" fillId="0" borderId="6" xfId="0" applyFont="1" applyBorder="1" applyAlignment="1">
      <alignment horizontal="left" vertical="top" wrapText="1"/>
    </xf>
    <xf numFmtId="0" fontId="0" fillId="0" borderId="8" xfId="0" applyFont="1" applyBorder="1"/>
    <xf numFmtId="0" fontId="6" fillId="0" borderId="7" xfId="0" applyFont="1" applyBorder="1" applyAlignment="1">
      <alignment horizontal="left" vertical="top" wrapText="1"/>
    </xf>
    <xf numFmtId="0" fontId="0" fillId="0" borderId="1" xfId="0" applyFont="1" applyBorder="1" applyAlignment="1">
      <alignment horizontal="left"/>
    </xf>
    <xf numFmtId="0" fontId="0" fillId="0" borderId="8" xfId="0" applyFont="1" applyBorder="1" applyAlignment="1">
      <alignment horizontal="left"/>
    </xf>
    <xf numFmtId="2" fontId="3" fillId="0" borderId="0" xfId="0" applyNumberFormat="1" applyFont="1" applyBorder="1" applyAlignment="1">
      <alignment horizontal="left"/>
    </xf>
    <xf numFmtId="0" fontId="0" fillId="0" borderId="1" xfId="0" applyFont="1" applyFill="1" applyBorder="1" applyAlignment="1">
      <alignment horizontal="left"/>
    </xf>
    <xf numFmtId="0" fontId="0" fillId="0" borderId="0" xfId="0" applyFont="1" applyFill="1" applyBorder="1" applyAlignment="1">
      <alignment horizontal="left"/>
    </xf>
    <xf numFmtId="0" fontId="0" fillId="0" borderId="4" xfId="0" applyFont="1" applyBorder="1" applyAlignment="1">
      <alignment horizontal="left"/>
    </xf>
    <xf numFmtId="0" fontId="0" fillId="0" borderId="3" xfId="0" applyFont="1" applyBorder="1" applyAlignment="1">
      <alignment horizontal="left"/>
    </xf>
    <xf numFmtId="0" fontId="0" fillId="0" borderId="2" xfId="0" applyFont="1" applyBorder="1" applyAlignment="1">
      <alignment horizontal="left"/>
    </xf>
    <xf numFmtId="0" fontId="6" fillId="0" borderId="0" xfId="0" applyFont="1" applyFill="1" applyBorder="1" applyAlignment="1">
      <alignment horizontal="left" wrapText="1"/>
    </xf>
    <xf numFmtId="0" fontId="6" fillId="0" borderId="0" xfId="0" applyFont="1" applyBorder="1" applyAlignment="1">
      <alignment horizontal="left" wrapText="1"/>
    </xf>
    <xf numFmtId="0" fontId="0" fillId="0" borderId="1" xfId="0" applyBorder="1" applyAlignment="1">
      <alignment horizontal="left"/>
    </xf>
    <xf numFmtId="0" fontId="6" fillId="0" borderId="2" xfId="0" applyFont="1" applyFill="1" applyBorder="1" applyAlignment="1">
      <alignment horizontal="left" vertical="top" wrapText="1"/>
    </xf>
    <xf numFmtId="0" fontId="8" fillId="0" borderId="4" xfId="0" applyFont="1" applyBorder="1"/>
    <xf numFmtId="0" fontId="6" fillId="0" borderId="0" xfId="0" applyFont="1" applyFill="1" applyBorder="1" applyAlignment="1">
      <alignment horizontal="right" vertical="top" wrapText="1"/>
    </xf>
    <xf numFmtId="0" fontId="6" fillId="0" borderId="3" xfId="0" applyFont="1" applyFill="1" applyBorder="1" applyAlignment="1">
      <alignment horizontal="left" wrapText="1"/>
    </xf>
    <xf numFmtId="0" fontId="0" fillId="2" borderId="0" xfId="0" applyFont="1" applyFill="1" applyBorder="1" applyAlignment="1">
      <alignment horizontal="left"/>
    </xf>
    <xf numFmtId="0" fontId="6" fillId="0" borderId="0" xfId="0" applyFont="1" applyBorder="1"/>
    <xf numFmtId="2" fontId="10" fillId="0" borderId="1" xfId="0" applyNumberFormat="1" applyFont="1" applyBorder="1"/>
    <xf numFmtId="0" fontId="6" fillId="0" borderId="0" xfId="0" applyFont="1"/>
    <xf numFmtId="0" fontId="0" fillId="0" borderId="0" xfId="0" applyFill="1" applyBorder="1"/>
    <xf numFmtId="0" fontId="8" fillId="0" borderId="0" xfId="0" applyFont="1" applyBorder="1" applyAlignment="1">
      <alignment horizontal="left"/>
    </xf>
    <xf numFmtId="0" fontId="8" fillId="0" borderId="0" xfId="0" applyFont="1" applyBorder="1"/>
    <xf numFmtId="0" fontId="0" fillId="0" borderId="0" xfId="0" applyFont="1" applyBorder="1" applyAlignment="1"/>
    <xf numFmtId="0" fontId="0" fillId="0" borderId="0" xfId="0" applyBorder="1" applyAlignment="1"/>
    <xf numFmtId="0" fontId="4" fillId="0" borderId="9" xfId="0" applyFont="1" applyBorder="1"/>
    <xf numFmtId="0" fontId="4" fillId="0" borderId="9" xfId="0" applyFont="1" applyBorder="1" applyAlignment="1">
      <alignment horizontal="left"/>
    </xf>
    <xf numFmtId="2" fontId="4" fillId="0" borderId="9" xfId="0" applyNumberFormat="1" applyFont="1" applyBorder="1" applyAlignment="1">
      <alignment horizontal="left"/>
    </xf>
    <xf numFmtId="0" fontId="4" fillId="0" borderId="10" xfId="0" applyFont="1" applyBorder="1"/>
    <xf numFmtId="0" fontId="4" fillId="0" borderId="11" xfId="0" applyFont="1" applyBorder="1" applyAlignment="1">
      <alignment horizontal="left"/>
    </xf>
    <xf numFmtId="0" fontId="4" fillId="0" borderId="11" xfId="0" applyFont="1" applyBorder="1"/>
    <xf numFmtId="2" fontId="4" fillId="0" borderId="12" xfId="0" applyNumberFormat="1" applyFont="1" applyBorder="1"/>
    <xf numFmtId="0" fontId="4" fillId="0" borderId="13" xfId="0" applyFont="1" applyBorder="1"/>
    <xf numFmtId="2" fontId="4" fillId="0" borderId="14" xfId="0" applyNumberFormat="1" applyFont="1" applyBorder="1"/>
    <xf numFmtId="0" fontId="4" fillId="0" borderId="14" xfId="0" applyFont="1" applyBorder="1"/>
    <xf numFmtId="0" fontId="4" fillId="2" borderId="13" xfId="0" applyNumberFormat="1" applyFont="1" applyFill="1" applyBorder="1" applyAlignment="1">
      <alignment horizontal="right"/>
    </xf>
    <xf numFmtId="2" fontId="0" fillId="0" borderId="0" xfId="0" applyNumberFormat="1" applyFont="1" applyBorder="1"/>
    <xf numFmtId="0" fontId="0" fillId="0" borderId="0" xfId="0" applyFont="1" applyFill="1" applyBorder="1" applyAlignment="1">
      <alignment horizontal="right"/>
    </xf>
    <xf numFmtId="2" fontId="0" fillId="0" borderId="0" xfId="0" applyNumberFormat="1"/>
    <xf numFmtId="0" fontId="8" fillId="0" borderId="0" xfId="0" applyFont="1" applyAlignment="1">
      <alignment horizontal="left"/>
    </xf>
    <xf numFmtId="2" fontId="11" fillId="0" borderId="0" xfId="0" applyNumberFormat="1" applyFont="1" applyBorder="1" applyAlignment="1">
      <alignment horizontal="left" vertical="top"/>
    </xf>
    <xf numFmtId="0" fontId="6" fillId="0" borderId="0" xfId="0" applyFont="1" applyBorder="1" applyAlignment="1">
      <alignment horizontal="left" vertical="top"/>
    </xf>
    <xf numFmtId="0" fontId="0" fillId="0" borderId="5" xfId="0" applyFont="1" applyBorder="1" applyAlignment="1">
      <alignment horizontal="left"/>
    </xf>
    <xf numFmtId="0" fontId="0" fillId="0" borderId="6" xfId="0" applyFont="1" applyBorder="1" applyAlignment="1">
      <alignment horizontal="left"/>
    </xf>
    <xf numFmtId="0" fontId="0" fillId="0" borderId="7" xfId="0" applyFont="1" applyBorder="1" applyAlignment="1">
      <alignment horizontal="left"/>
    </xf>
    <xf numFmtId="0" fontId="8" fillId="0" borderId="0" xfId="0" applyFont="1" applyBorder="1" applyAlignment="1">
      <alignment horizontal="right"/>
    </xf>
    <xf numFmtId="0" fontId="0" fillId="2" borderId="0" xfId="0" applyFill="1" applyBorder="1" applyAlignment="1">
      <alignment horizontal="left"/>
    </xf>
    <xf numFmtId="0" fontId="0" fillId="2" borderId="0" xfId="0" applyFill="1" applyBorder="1" applyAlignment="1">
      <alignment horizontal="right"/>
    </xf>
    <xf numFmtId="2" fontId="9" fillId="0" borderId="16" xfId="0" applyNumberFormat="1" applyFont="1" applyBorder="1"/>
    <xf numFmtId="0" fontId="0" fillId="0" borderId="15" xfId="0" applyFont="1" applyBorder="1"/>
    <xf numFmtId="0" fontId="6" fillId="0" borderId="17" xfId="0" applyFont="1" applyFill="1" applyBorder="1" applyAlignment="1">
      <alignment horizontal="left" vertical="top" wrapText="1"/>
    </xf>
    <xf numFmtId="0" fontId="4" fillId="0" borderId="0" xfId="0" applyFont="1" applyBorder="1"/>
    <xf numFmtId="2" fontId="3" fillId="0" borderId="0" xfId="0" applyNumberFormat="1" applyFont="1" applyAlignment="1">
      <alignment horizontal="right"/>
    </xf>
    <xf numFmtId="2" fontId="3" fillId="0" borderId="7" xfId="0" applyNumberFormat="1" applyFont="1" applyBorder="1"/>
    <xf numFmtId="0" fontId="0" fillId="0" borderId="3" xfId="0" applyBorder="1" applyAlignment="1">
      <alignment horizontal="left"/>
    </xf>
    <xf numFmtId="0" fontId="0" fillId="0" borderId="0" xfId="0" applyAlignment="1">
      <alignment wrapText="1"/>
    </xf>
    <xf numFmtId="0" fontId="0" fillId="0" borderId="0" xfId="0" applyFill="1" applyBorder="1" applyAlignment="1">
      <alignment horizontal="left"/>
    </xf>
    <xf numFmtId="0" fontId="0" fillId="0" borderId="0" xfId="0" applyFont="1" applyFill="1" applyBorder="1"/>
    <xf numFmtId="0" fontId="6" fillId="0" borderId="18" xfId="0" applyFont="1" applyBorder="1" applyAlignment="1">
      <alignment horizontal="left" vertical="top" wrapText="1"/>
    </xf>
    <xf numFmtId="0" fontId="0" fillId="0" borderId="4" xfId="0" applyBorder="1" applyAlignment="1">
      <alignment horizontal="left" vertical="top" wrapText="1"/>
    </xf>
    <xf numFmtId="0" fontId="0" fillId="0" borderId="0" xfId="0" applyAlignment="1">
      <alignment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00"/>
      <color rgb="FF75923C"/>
      <color rgb="FFF86A6D"/>
      <color rgb="FF64BE7C"/>
      <color rgb="FFFF7128"/>
      <color rgb="FFFFEF9C"/>
      <color rgb="FFD3CB35"/>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BABABA"/>
      </a:dk1>
      <a:lt1>
        <a:sysClr val="window" lastClr="535353"/>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V103"/>
  <sheetViews>
    <sheetView showGridLines="0" tabSelected="1" topLeftCell="A28" zoomScale="85" zoomScaleNormal="85" workbookViewId="0">
      <selection activeCell="A57" sqref="A57"/>
    </sheetView>
  </sheetViews>
  <sheetFormatPr defaultRowHeight="15.75"/>
  <cols>
    <col min="1" max="1" width="17.5703125" customWidth="1"/>
    <col min="2" max="2" width="11.140625" style="1" customWidth="1"/>
    <col min="3" max="3" width="12" customWidth="1"/>
    <col min="4" max="4" width="9.7109375" style="2" customWidth="1"/>
    <col min="5" max="5" width="18.85546875" customWidth="1"/>
    <col min="6" max="6" width="11.140625" style="1" customWidth="1"/>
    <col min="7" max="7" width="12" customWidth="1"/>
    <col min="8" max="8" width="9.7109375" customWidth="1"/>
    <col min="9" max="9" width="15.42578125" customWidth="1"/>
    <col min="10" max="10" width="11.140625" style="1" customWidth="1"/>
    <col min="11" max="11" width="12" customWidth="1"/>
    <col min="12" max="12" width="9.7109375" customWidth="1"/>
    <col min="13" max="13" width="19.5703125" bestFit="1" customWidth="1"/>
    <col min="14" max="14" width="11.140625" style="1" customWidth="1"/>
    <col min="15" max="15" width="12" customWidth="1"/>
    <col min="16" max="16" width="9.7109375" customWidth="1"/>
    <col min="17" max="17" width="15.28515625" customWidth="1"/>
    <col min="18" max="18" width="7.42578125" style="1" customWidth="1"/>
    <col min="19" max="19" width="12" customWidth="1"/>
    <col min="20" max="20" width="9.7109375" customWidth="1"/>
    <col min="21" max="21" width="17.85546875" customWidth="1"/>
    <col min="22" max="22" width="7.7109375" style="1" customWidth="1"/>
    <col min="23" max="23" width="13.85546875" customWidth="1"/>
    <col min="24" max="24" width="9.28515625" customWidth="1"/>
    <col min="25" max="25" width="16" customWidth="1"/>
    <col min="26" max="26" width="8.140625" style="1" customWidth="1"/>
    <col min="27" max="27" width="13.85546875" bestFit="1" customWidth="1"/>
    <col min="28" max="28" width="10.42578125" customWidth="1"/>
    <col min="29" max="29" width="18.85546875" customWidth="1"/>
    <col min="30" max="30" width="10.140625" style="1" customWidth="1"/>
    <col min="31" max="31" width="10.28515625" style="46" customWidth="1"/>
    <col min="32" max="32" width="9.7109375" customWidth="1"/>
    <col min="33" max="33" width="19.5703125" bestFit="1" customWidth="1"/>
    <col min="34" max="34" width="11.28515625" customWidth="1"/>
    <col min="35" max="35" width="10.42578125" customWidth="1"/>
    <col min="36" max="36" width="11.7109375" customWidth="1"/>
    <col min="37" max="37" width="19.5703125" bestFit="1" customWidth="1"/>
    <col min="38" max="38" width="12.140625" customWidth="1"/>
    <col min="39" max="39" width="13.85546875" bestFit="1" customWidth="1"/>
    <col min="40" max="40" width="10.28515625" customWidth="1"/>
    <col min="41" max="41" width="19.5703125" bestFit="1" customWidth="1"/>
    <col min="42" max="42" width="11" customWidth="1"/>
    <col min="45" max="45" width="15.42578125" customWidth="1"/>
    <col min="46" max="46" width="9.7109375" customWidth="1"/>
    <col min="47" max="47" width="11.28515625" customWidth="1"/>
    <col min="48" max="48" width="11.140625" customWidth="1"/>
  </cols>
  <sheetData>
    <row r="1" spans="1:48" ht="47.25">
      <c r="A1" s="13" t="s">
        <v>0</v>
      </c>
      <c r="B1" s="43">
        <f>E35</f>
        <v>50</v>
      </c>
      <c r="C1" s="15" t="s">
        <v>31</v>
      </c>
      <c r="D1" s="50" t="s">
        <v>32</v>
      </c>
      <c r="E1" s="17" t="s">
        <v>17</v>
      </c>
      <c r="F1" s="43">
        <f>F35</f>
        <v>0</v>
      </c>
      <c r="G1" s="15" t="s">
        <v>31</v>
      </c>
      <c r="H1" s="14" t="s">
        <v>32</v>
      </c>
      <c r="I1" s="17" t="s">
        <v>27</v>
      </c>
      <c r="J1" s="43">
        <f>G35</f>
        <v>0</v>
      </c>
      <c r="K1" s="15" t="s">
        <v>31</v>
      </c>
      <c r="L1" s="14" t="s">
        <v>32</v>
      </c>
      <c r="M1" s="17" t="s">
        <v>28</v>
      </c>
      <c r="N1" s="43">
        <f>H35</f>
        <v>0</v>
      </c>
      <c r="O1" s="15" t="s">
        <v>31</v>
      </c>
      <c r="P1" s="14" t="s">
        <v>32</v>
      </c>
      <c r="Q1" s="17" t="s">
        <v>29</v>
      </c>
      <c r="R1" s="43">
        <f>E39</f>
        <v>0</v>
      </c>
      <c r="S1" s="15" t="s">
        <v>31</v>
      </c>
      <c r="T1" s="14" t="s">
        <v>32</v>
      </c>
      <c r="U1" s="17" t="s">
        <v>43</v>
      </c>
      <c r="V1" s="43">
        <f>F39</f>
        <v>0</v>
      </c>
      <c r="W1" s="15" t="s">
        <v>31</v>
      </c>
      <c r="X1" s="14" t="s">
        <v>32</v>
      </c>
      <c r="Y1" s="17" t="s">
        <v>53</v>
      </c>
      <c r="Z1" s="43">
        <f>G39</f>
        <v>140</v>
      </c>
      <c r="AA1" s="15" t="s">
        <v>31</v>
      </c>
      <c r="AB1" s="14" t="s">
        <v>32</v>
      </c>
      <c r="AC1" s="11" t="s">
        <v>48</v>
      </c>
      <c r="AD1" s="43">
        <f>H39</f>
        <v>0</v>
      </c>
      <c r="AE1" s="15" t="s">
        <v>31</v>
      </c>
      <c r="AF1" s="3" t="s">
        <v>32</v>
      </c>
      <c r="AG1" s="11" t="s">
        <v>55</v>
      </c>
      <c r="AH1" s="43">
        <f>E43</f>
        <v>0</v>
      </c>
      <c r="AI1" s="15" t="s">
        <v>31</v>
      </c>
      <c r="AJ1" s="3" t="s">
        <v>32</v>
      </c>
      <c r="AK1" s="11" t="s">
        <v>72</v>
      </c>
      <c r="AL1" s="43">
        <f>G43</f>
        <v>30</v>
      </c>
      <c r="AM1" s="15" t="s">
        <v>31</v>
      </c>
      <c r="AN1" s="3" t="s">
        <v>32</v>
      </c>
      <c r="AO1" s="11" t="s">
        <v>85</v>
      </c>
      <c r="AP1" s="73">
        <f>E45</f>
        <v>0</v>
      </c>
      <c r="AQ1" s="15" t="s">
        <v>31</v>
      </c>
      <c r="AR1" s="3" t="s">
        <v>32</v>
      </c>
      <c r="AS1" s="11" t="s">
        <v>92</v>
      </c>
      <c r="AT1" s="73">
        <f>G45</f>
        <v>0</v>
      </c>
      <c r="AU1" s="15" t="s">
        <v>31</v>
      </c>
      <c r="AV1" s="3" t="s">
        <v>32</v>
      </c>
    </row>
    <row r="2" spans="1:48" ht="47.25">
      <c r="A2" s="37" t="s">
        <v>16</v>
      </c>
      <c r="B2" s="37">
        <f>(31*B$1)/100</f>
        <v>15.5</v>
      </c>
      <c r="C2" s="15" t="s">
        <v>5</v>
      </c>
      <c r="D2" s="16"/>
      <c r="E2" s="42" t="s">
        <v>16</v>
      </c>
      <c r="F2" s="36">
        <f>(2.3*F$1)/100</f>
        <v>0</v>
      </c>
      <c r="G2" s="15" t="s">
        <v>5</v>
      </c>
      <c r="H2" s="14"/>
      <c r="I2" s="18" t="s">
        <v>18</v>
      </c>
      <c r="J2" s="19">
        <f>(8.9*J$1)/100</f>
        <v>0</v>
      </c>
      <c r="K2" s="15" t="s">
        <v>5</v>
      </c>
      <c r="L2" s="14"/>
      <c r="M2" s="18" t="s">
        <v>18</v>
      </c>
      <c r="N2" s="19">
        <f>(36.7*N$1)/100</f>
        <v>0</v>
      </c>
      <c r="O2" s="15" t="s">
        <v>5</v>
      </c>
      <c r="P2" s="14"/>
      <c r="Q2" s="18" t="s">
        <v>18</v>
      </c>
      <c r="R2" s="19">
        <f>(9*R$1)/100</f>
        <v>0</v>
      </c>
      <c r="S2" s="15" t="s">
        <v>5</v>
      </c>
      <c r="T2" s="14"/>
      <c r="U2" s="18" t="s">
        <v>18</v>
      </c>
      <c r="V2" s="19">
        <f>(9.7*V$1)/100</f>
        <v>0</v>
      </c>
      <c r="W2" s="15" t="s">
        <v>5</v>
      </c>
      <c r="X2" s="14"/>
      <c r="Y2" s="18" t="s">
        <v>18</v>
      </c>
      <c r="Z2" s="19">
        <f>(2.6*Z$1)/100</f>
        <v>3.64</v>
      </c>
      <c r="AA2" s="15" t="s">
        <v>5</v>
      </c>
      <c r="AB2" s="14"/>
      <c r="AC2" s="12" t="s">
        <v>18</v>
      </c>
      <c r="AD2" s="5">
        <f>(3.5*AD$1)/100</f>
        <v>0</v>
      </c>
      <c r="AE2" s="15" t="s">
        <v>5</v>
      </c>
      <c r="AF2" s="3"/>
      <c r="AG2" s="12" t="s">
        <v>18</v>
      </c>
      <c r="AH2" s="5">
        <f>(13.6*AH$1)/100</f>
        <v>0</v>
      </c>
      <c r="AI2" s="15" t="s">
        <v>5</v>
      </c>
      <c r="AJ2" s="3"/>
      <c r="AK2" s="12" t="s">
        <v>18</v>
      </c>
      <c r="AL2" s="5">
        <f>(6.3*AL$1)/100</f>
        <v>1.89</v>
      </c>
      <c r="AM2" s="15" t="s">
        <v>5</v>
      </c>
      <c r="AN2" s="3"/>
      <c r="AO2" s="12" t="s">
        <v>18</v>
      </c>
      <c r="AP2" s="5">
        <f>(5.8*AP$1)/100</f>
        <v>0</v>
      </c>
      <c r="AQ2" s="15" t="s">
        <v>5</v>
      </c>
      <c r="AR2" s="3"/>
      <c r="AS2" s="12" t="s">
        <v>18</v>
      </c>
      <c r="AT2" s="5">
        <f>(30.1*AT$1)/100</f>
        <v>0</v>
      </c>
      <c r="AU2" s="15" t="s">
        <v>5</v>
      </c>
      <c r="AV2" s="3"/>
    </row>
    <row r="3" spans="1:48">
      <c r="A3" s="15" t="s">
        <v>4</v>
      </c>
      <c r="B3" s="37">
        <f>(362*B$1)/100</f>
        <v>181</v>
      </c>
      <c r="C3" s="20">
        <f>(B3*100)/(B$2*Calculator!$C37)</f>
        <v>166.82027649769586</v>
      </c>
      <c r="D3" s="6">
        <f>C3-AVERAGE(C$3:C$13)</f>
        <v>1.9283127940662723</v>
      </c>
      <c r="E3" s="18" t="s">
        <v>4</v>
      </c>
      <c r="F3" s="19">
        <f>(30*F$1)/100</f>
        <v>0</v>
      </c>
      <c r="G3" s="20" t="e">
        <f>(F3*100)/(F$2*Calculator!$C37)</f>
        <v>#DIV/0!</v>
      </c>
      <c r="H3" s="6" t="e">
        <f>G3-AVERAGE(G$3:G$13)</f>
        <v>#DIV/0!</v>
      </c>
      <c r="I3" s="18" t="s">
        <v>19</v>
      </c>
      <c r="J3" s="19">
        <f>(85*J$1)/100</f>
        <v>0</v>
      </c>
      <c r="K3" s="20" t="e">
        <f>(J3*100)/(J$2*Calculator!$C37)</f>
        <v>#DIV/0!</v>
      </c>
      <c r="L3" s="6" t="e">
        <f>K3-AVERAGE(K$3:K$13)</f>
        <v>#DIV/0!</v>
      </c>
      <c r="M3" s="18" t="s">
        <v>19</v>
      </c>
      <c r="N3" s="19">
        <f>(200*N$1)/100</f>
        <v>0</v>
      </c>
      <c r="O3" s="20" t="e">
        <f>(N3*100)/(N$2*Calculator!$C37)</f>
        <v>#DIV/0!</v>
      </c>
      <c r="P3" s="6" t="e">
        <f>O3-AVERAGE(O$3:O$13)</f>
        <v>#DIV/0!</v>
      </c>
      <c r="Q3" s="18" t="s">
        <v>19</v>
      </c>
      <c r="R3" s="19">
        <f>(81*R$1)/100</f>
        <v>0</v>
      </c>
      <c r="S3" s="20" t="e">
        <f>(R3*100)/(R$2*Calculator!$C37)</f>
        <v>#DIV/0!</v>
      </c>
      <c r="T3" s="6" t="e">
        <f>S3-AVERAGE(S$3:S$13)</f>
        <v>#DIV/0!</v>
      </c>
      <c r="U3" s="18" t="s">
        <v>19</v>
      </c>
      <c r="V3" s="19">
        <f>(115*V$1)/100</f>
        <v>0</v>
      </c>
      <c r="W3" s="20" t="e">
        <f>(V3*100)/(V$2*Calculator!$C37)</f>
        <v>#DIV/0!</v>
      </c>
      <c r="X3" s="6" t="e">
        <f>W3-AVERAGE(W$3:W$13)</f>
        <v>#DIV/0!</v>
      </c>
      <c r="Y3" s="18" t="s">
        <v>19</v>
      </c>
      <c r="Z3" s="19">
        <f>(25*Z$1)/100</f>
        <v>35</v>
      </c>
      <c r="AA3" s="20">
        <f>(Z3*100)/(Z$2*Calculator!$C37)</f>
        <v>137.36263736263737</v>
      </c>
      <c r="AB3" s="6">
        <f>AA3-AVERAGE(AA$3:AA$13)</f>
        <v>-25.200473565356731</v>
      </c>
      <c r="AC3" s="12" t="s">
        <v>19</v>
      </c>
      <c r="AD3" s="5">
        <f>(20*AD$1)/100</f>
        <v>0</v>
      </c>
      <c r="AE3" s="20" t="e">
        <f>(AD3*100)/(AD$2*Calculator!$C37)</f>
        <v>#DIV/0!</v>
      </c>
      <c r="AF3" s="6" t="e">
        <f>AE3-AVERAGE(AE$3:AE$13)</f>
        <v>#DIV/0!</v>
      </c>
      <c r="AG3" s="12" t="s">
        <v>19</v>
      </c>
      <c r="AH3" s="5">
        <f>(180*AH$1)/100</f>
        <v>0</v>
      </c>
      <c r="AI3" s="20" t="e">
        <f>(AH3*100)/(AH$2*Calculator!$C37)</f>
        <v>#DIV/0!</v>
      </c>
      <c r="AJ3" s="6" t="e">
        <f>AI3-AVERAGE(AI$3:AI$13)</f>
        <v>#DIV/0!</v>
      </c>
      <c r="AK3" s="12" t="s">
        <v>19</v>
      </c>
      <c r="AL3" s="5">
        <f>(90*AL$1)/100</f>
        <v>27</v>
      </c>
      <c r="AM3" s="20">
        <f>(AL3*100)/(AL$2*Calculator!$C37)</f>
        <v>204.08163265306123</v>
      </c>
      <c r="AN3" s="6">
        <f>AM3-AVERAGE(AM$3:AM$13)</f>
        <v>47.156322615861427</v>
      </c>
      <c r="AO3" s="12" t="s">
        <v>19</v>
      </c>
      <c r="AP3" s="5">
        <f>(83*AP$1)/100</f>
        <v>0</v>
      </c>
      <c r="AQ3" s="20" t="e">
        <f>(AP3*100)/(AP$2*Reference!$C37)</f>
        <v>#DIV/0!</v>
      </c>
      <c r="AR3" s="6" t="e">
        <f>AQ3-AVERAGE(AQ$3:AQ$13)</f>
        <v>#DIV/0!</v>
      </c>
      <c r="AS3" s="12" t="s">
        <v>19</v>
      </c>
      <c r="AT3" s="5">
        <f>(342*AT$1)/100</f>
        <v>0</v>
      </c>
      <c r="AU3" s="20" t="e">
        <f>(AT3*100)/(AT$2*Reference!$C37)</f>
        <v>#DIV/0!</v>
      </c>
      <c r="AV3" s="6" t="e">
        <f>AU3-AVERAGE(AU$3:AU$13)</f>
        <v>#DIV/0!</v>
      </c>
    </row>
    <row r="4" spans="1:48">
      <c r="A4" s="15" t="s">
        <v>6</v>
      </c>
      <c r="B4" s="37">
        <f>(1310*B$1)/100</f>
        <v>655</v>
      </c>
      <c r="C4" s="20">
        <f>(B4*100)/(B$2*Calculator!$C38)</f>
        <v>156.51135005973717</v>
      </c>
      <c r="D4" s="6">
        <f>C4-AVERAGE(C$3:C$13)</f>
        <v>-8.380613643892417</v>
      </c>
      <c r="E4" s="18" t="s">
        <v>6</v>
      </c>
      <c r="F4" s="19">
        <f>(133*F$1)/100</f>
        <v>0</v>
      </c>
      <c r="G4" s="20" t="e">
        <f>(F4*100)/(F$2*Calculator!$C38)</f>
        <v>#DIV/0!</v>
      </c>
      <c r="H4" s="6" t="e">
        <f>G4-AVERAGE(G$3:G$13)</f>
        <v>#DIV/0!</v>
      </c>
      <c r="I4" s="18" t="s">
        <v>20</v>
      </c>
      <c r="J4" s="19">
        <f>(329*J$1)/100</f>
        <v>0</v>
      </c>
      <c r="K4" s="20" t="e">
        <f>(J4*100)/(J$2*Calculator!$C38)</f>
        <v>#DIV/0!</v>
      </c>
      <c r="L4" s="6" t="e">
        <f>K4-AVERAGE(K$3:K$13)</f>
        <v>#DIV/0!</v>
      </c>
      <c r="M4" s="18" t="s">
        <v>20</v>
      </c>
      <c r="N4" s="19">
        <f>(880*N$1)/100</f>
        <v>0</v>
      </c>
      <c r="O4" s="20" t="e">
        <f>(N4*100)/(N$2*Calculator!$C38)</f>
        <v>#DIV/0!</v>
      </c>
      <c r="P4" s="6" t="e">
        <f>O4-AVERAGE(O$3:O$13)</f>
        <v>#DIV/0!</v>
      </c>
      <c r="Q4" s="18" t="s">
        <v>20</v>
      </c>
      <c r="R4" s="19">
        <f>(323*R$1)/100</f>
        <v>0</v>
      </c>
      <c r="S4" s="20" t="e">
        <f>(R4*100)/(R$2*Calculator!$C38)</f>
        <v>#DIV/0!</v>
      </c>
      <c r="T4" s="6" t="e">
        <f>S4-AVERAGE(S$3:S$13)</f>
        <v>#DIV/0!</v>
      </c>
      <c r="U4" s="18" t="s">
        <v>20</v>
      </c>
      <c r="V4" s="19">
        <f>(409*V$1)/100</f>
        <v>0</v>
      </c>
      <c r="W4" s="20" t="e">
        <f>(V4*100)/(V$2*Calculator!$C38)</f>
        <v>#DIV/0!</v>
      </c>
      <c r="X4" s="6" t="e">
        <f>W4-AVERAGE(W$3:W$13)</f>
        <v>#DIV/0!</v>
      </c>
      <c r="Y4" s="18" t="s">
        <v>20</v>
      </c>
      <c r="Z4" s="19">
        <f>(81*Z$1)/100</f>
        <v>113.4</v>
      </c>
      <c r="AA4" s="20">
        <f>(Z4*100)/(Z$2*Calculator!$C38)</f>
        <v>115.38461538461539</v>
      </c>
      <c r="AB4" s="6">
        <f>AA4-AVERAGE(AA$3:AA$13)</f>
        <v>-47.178495543378716</v>
      </c>
      <c r="AC4" s="12" t="s">
        <v>20</v>
      </c>
      <c r="AD4" s="5">
        <f>(142*AD$1)/100</f>
        <v>0</v>
      </c>
      <c r="AE4" s="20" t="e">
        <f>(AD4*100)/(AD$2*Calculator!$C38)</f>
        <v>#DIV/0!</v>
      </c>
      <c r="AF4" s="6" t="e">
        <f>AE4-AVERAGE(AE$3:AE$13)</f>
        <v>#DIV/0!</v>
      </c>
      <c r="AG4" s="12" t="s">
        <v>20</v>
      </c>
      <c r="AH4" s="5">
        <f>(601*AH$1)/100</f>
        <v>0</v>
      </c>
      <c r="AI4" s="20" t="e">
        <f>(AH4*100)/(AH$2*Calculator!$C38)</f>
        <v>#DIV/0!</v>
      </c>
      <c r="AJ4" s="6" t="e">
        <f>AI4-AVERAGE(AI$3:AI$13)</f>
        <v>#DIV/0!</v>
      </c>
      <c r="AK4" s="12" t="s">
        <v>20</v>
      </c>
      <c r="AL4" s="5">
        <f>(254*AL$1)/100</f>
        <v>76.2</v>
      </c>
      <c r="AM4" s="20">
        <f>(AL4*100)/(AL$2*Calculator!$C38)</f>
        <v>149.3239271017049</v>
      </c>
      <c r="AN4" s="6">
        <f>AM4-AVERAGE(AM$3:AM$13)</f>
        <v>-7.601382935494911</v>
      </c>
      <c r="AO4" s="12" t="s">
        <v>20</v>
      </c>
      <c r="AP4" s="5">
        <f>(206*AP$1)/100</f>
        <v>0</v>
      </c>
      <c r="AQ4" s="20" t="e">
        <f>(AP4*100)/(AP$2*Reference!$C38)</f>
        <v>#DIV/0!</v>
      </c>
      <c r="AR4" s="6" t="e">
        <f>AQ4-AVERAGE(AQ$3:AQ$13)</f>
        <v>#DIV/0!</v>
      </c>
      <c r="AS4" s="12" t="s">
        <v>20</v>
      </c>
      <c r="AT4" s="5">
        <f>(1337*AT$1)/100</f>
        <v>0</v>
      </c>
      <c r="AU4" s="20" t="e">
        <f>(AT4*100)/(AT$2*Reference!$C38)</f>
        <v>#DIV/0!</v>
      </c>
      <c r="AV4" s="6" t="e">
        <f>AU4-AVERAGE(AU$3:AU$13)</f>
        <v>#DIV/0!</v>
      </c>
    </row>
    <row r="5" spans="1:48">
      <c r="A5" s="15" t="s">
        <v>7</v>
      </c>
      <c r="B5" s="37">
        <f>(1638*B$1)/100</f>
        <v>819</v>
      </c>
      <c r="C5" s="20">
        <f>(B5*100)/(B$2*Calculator!$C39)</f>
        <v>211.35483870967741</v>
      </c>
      <c r="D5" s="6">
        <f>C5-AVERAGE(C$3:C$13)</f>
        <v>46.462875006047824</v>
      </c>
      <c r="E5" s="18" t="s">
        <v>7</v>
      </c>
      <c r="F5" s="19">
        <f>(93*F$1)/100</f>
        <v>0</v>
      </c>
      <c r="G5" s="20" t="e">
        <f>(F5*100)/(F$2*Calculator!$C39)</f>
        <v>#DIV/0!</v>
      </c>
      <c r="H5" s="6" t="e">
        <f>G5-AVERAGE(G$3:G$13)</f>
        <v>#DIV/0!</v>
      </c>
      <c r="I5" s="18" t="s">
        <v>21</v>
      </c>
      <c r="J5" s="19">
        <f>(380*J$1)/100</f>
        <v>0</v>
      </c>
      <c r="K5" s="20" t="e">
        <f>(J5*100)/(J$2*Calculator!$C39)</f>
        <v>#DIV/0!</v>
      </c>
      <c r="L5" s="6" t="e">
        <f>K5-AVERAGE(K$3:K$13)</f>
        <v>#DIV/0!</v>
      </c>
      <c r="M5" s="18" t="s">
        <v>21</v>
      </c>
      <c r="N5" s="19">
        <f>(980*N$1)/100</f>
        <v>0</v>
      </c>
      <c r="O5" s="20" t="e">
        <f>(N5*100)/(N$2*Calculator!$C39)</f>
        <v>#DIV/0!</v>
      </c>
      <c r="P5" s="6" t="e">
        <f>O5-AVERAGE(O$3:O$13)</f>
        <v>#DIV/0!</v>
      </c>
      <c r="Q5" s="18" t="s">
        <v>21</v>
      </c>
      <c r="R5" s="19">
        <f>(390*R$1)/100</f>
        <v>0</v>
      </c>
      <c r="S5" s="20" t="e">
        <f>(R5*100)/(R$2*Calculator!$C39)</f>
        <v>#DIV/0!</v>
      </c>
      <c r="T5" s="6" t="e">
        <f>S5-AVERAGE(S$3:S$13)</f>
        <v>#DIV/0!</v>
      </c>
      <c r="U5" s="18" t="s">
        <v>21</v>
      </c>
      <c r="V5" s="19">
        <f>(429*V$1)/100</f>
        <v>0</v>
      </c>
      <c r="W5" s="20" t="e">
        <f>(V5*100)/(V$2*Calculator!$C39)</f>
        <v>#DIV/0!</v>
      </c>
      <c r="X5" s="6" t="e">
        <f>W5-AVERAGE(W$3:W$13)</f>
        <v>#DIV/0!</v>
      </c>
      <c r="Y5" s="18" t="s">
        <v>21</v>
      </c>
      <c r="Z5" s="19">
        <f>(85*Z$1)/100</f>
        <v>119</v>
      </c>
      <c r="AA5" s="20">
        <f>(Z5*100)/(Z$2*Calculator!$C39)</f>
        <v>130.76923076923077</v>
      </c>
      <c r="AB5" s="6">
        <f>AA5-AVERAGE(AA$3:AA$13)</f>
        <v>-31.793880158763329</v>
      </c>
      <c r="AC5" s="12" t="s">
        <v>21</v>
      </c>
      <c r="AD5" s="5">
        <f>(189*AD$1)/100</f>
        <v>0</v>
      </c>
      <c r="AE5" s="20" t="e">
        <f>(AD5*100)/(AD$2*Calculator!$C39)</f>
        <v>#DIV/0!</v>
      </c>
      <c r="AF5" s="6" t="e">
        <f>AE5-AVERAGE(AE$3:AE$13)</f>
        <v>#DIV/0!</v>
      </c>
      <c r="AG5" s="12" t="s">
        <v>21</v>
      </c>
      <c r="AH5" s="5">
        <f>(726*AH$1)/100</f>
        <v>0</v>
      </c>
      <c r="AI5" s="20" t="e">
        <f>(AH5*100)/(AH$2*Calculator!$C39)</f>
        <v>#DIV/0!</v>
      </c>
      <c r="AJ5" s="6" t="e">
        <f>AI5-AVERAGE(AI$3:AI$13)</f>
        <v>#DIV/0!</v>
      </c>
      <c r="AK5" s="12" t="s">
        <v>21</v>
      </c>
      <c r="AL5" s="5">
        <f>(297*AL$1)/100</f>
        <v>89.1</v>
      </c>
      <c r="AM5" s="20">
        <f>(AL5*100)/(AL$2*Calculator!$C39)</f>
        <v>188.57142857142858</v>
      </c>
      <c r="AN5" s="6">
        <f>AM5-AVERAGE(AM$3:AM$13)</f>
        <v>31.646118534228776</v>
      </c>
      <c r="AO5" s="12" t="s">
        <v>21</v>
      </c>
      <c r="AP5" s="5">
        <f>(228*AP$1)/100</f>
        <v>0</v>
      </c>
      <c r="AQ5" s="20" t="e">
        <f>(AP5*100)/(AP$2*Reference!$C39)</f>
        <v>#DIV/0!</v>
      </c>
      <c r="AR5" s="6" t="e">
        <f>AQ5-AVERAGE(AQ$3:AQ$13)</f>
        <v>#DIV/0!</v>
      </c>
      <c r="AS5" s="12" t="s">
        <v>21</v>
      </c>
      <c r="AT5" s="5">
        <f>(1563*AT$1)/100</f>
        <v>0</v>
      </c>
      <c r="AU5" s="20" t="e">
        <f>(AT5*100)/(AT$2*Reference!$C39)</f>
        <v>#DIV/0!</v>
      </c>
      <c r="AV5" s="6" t="e">
        <f>AU5-AVERAGE(AU$3:AU$13)</f>
        <v>#DIV/0!</v>
      </c>
    </row>
    <row r="6" spans="1:48">
      <c r="A6" s="15" t="s">
        <v>8</v>
      </c>
      <c r="B6" s="37">
        <f>(2328*B$1)/100</f>
        <v>1164</v>
      </c>
      <c r="C6" s="20">
        <f>(B6*100)/(B$2*Calculator!$C40)</f>
        <v>136.53958944281524</v>
      </c>
      <c r="D6" s="6">
        <f>C6-AVERAGE(C$3:C$13)</f>
        <v>-28.352374260814344</v>
      </c>
      <c r="E6" s="18" t="s">
        <v>8</v>
      </c>
      <c r="F6" s="19">
        <f>(166*F$1)/100</f>
        <v>0</v>
      </c>
      <c r="G6" s="20" t="e">
        <f>(F6*100)/(F$2*Calculator!$C40)</f>
        <v>#DIV/0!</v>
      </c>
      <c r="H6" s="6" t="e">
        <f>G6-AVERAGE(G$3:G$13)</f>
        <v>#DIV/0!</v>
      </c>
      <c r="I6" s="18" t="s">
        <v>8</v>
      </c>
      <c r="J6" s="19">
        <f>(631*J$1)/100</f>
        <v>0</v>
      </c>
      <c r="K6" s="20" t="e">
        <f>(J6*100)/(J$2*Calculator!$C40)</f>
        <v>#DIV/0!</v>
      </c>
      <c r="L6" s="6" t="e">
        <f>K6-AVERAGE(K$3:K$13)</f>
        <v>#DIV/0!</v>
      </c>
      <c r="M6" s="18" t="s">
        <v>8</v>
      </c>
      <c r="N6" s="19">
        <f>(1720*N$1)/100</f>
        <v>0</v>
      </c>
      <c r="O6" s="20" t="e">
        <f>(N6*100)/(N$2*Calculator!$C40)</f>
        <v>#DIV/0!</v>
      </c>
      <c r="P6" s="6" t="e">
        <f>O6-AVERAGE(O$3:O$13)</f>
        <v>#DIV/0!</v>
      </c>
      <c r="Q6" s="18" t="s">
        <v>8</v>
      </c>
      <c r="R6" s="19">
        <f>(654*R$1)/100</f>
        <v>0</v>
      </c>
      <c r="S6" s="20" t="e">
        <f>(R6*100)/(R$2*Calculator!$C40)</f>
        <v>#DIV/0!</v>
      </c>
      <c r="T6" s="6" t="e">
        <f>S6-AVERAGE(S$3:S$13)</f>
        <v>#DIV/0!</v>
      </c>
      <c r="U6" s="18" t="s">
        <v>8</v>
      </c>
      <c r="V6" s="19">
        <f>(776*V$1)/100</f>
        <v>0</v>
      </c>
      <c r="W6" s="20" t="e">
        <f>(V6*100)/(V$2*Calculator!$C40)</f>
        <v>#DIV/0!</v>
      </c>
      <c r="X6" s="6" t="e">
        <f>W6-AVERAGE(W$3:W$13)</f>
        <v>#DIV/0!</v>
      </c>
      <c r="Y6" s="18" t="s">
        <v>8</v>
      </c>
      <c r="Z6" s="19">
        <f>(335*Z$1)/100</f>
        <v>469</v>
      </c>
      <c r="AA6" s="20">
        <f>(Z6*100)/(Z$2*Calculator!$C40)</f>
        <v>234.26573426573424</v>
      </c>
      <c r="AB6" s="6">
        <f>AA6-AVERAGE(AA$3:AA$13)</f>
        <v>71.702623337740135</v>
      </c>
      <c r="AC6" s="12" t="s">
        <v>8</v>
      </c>
      <c r="AD6" s="5">
        <f>(350*AD$1)/100</f>
        <v>0</v>
      </c>
      <c r="AE6" s="20" t="e">
        <f>(AD6*100)/(AD$2*Calculator!$C40)</f>
        <v>#DIV/0!</v>
      </c>
      <c r="AF6" s="6" t="e">
        <f>AE6-AVERAGE(AE$3:AE$13)</f>
        <v>#DIV/0!</v>
      </c>
      <c r="AG6" s="12" t="s">
        <v>8</v>
      </c>
      <c r="AH6" s="5">
        <f>(1174*AH$1)/100</f>
        <v>0</v>
      </c>
      <c r="AI6" s="20" t="e">
        <f>(AH6*100)/(AH$2*Calculator!$C40)</f>
        <v>#DIV/0!</v>
      </c>
      <c r="AJ6" s="6" t="e">
        <f>AI6-AVERAGE(AI$3:AI$13)</f>
        <v>#DIV/0!</v>
      </c>
      <c r="AK6" s="12" t="s">
        <v>8</v>
      </c>
      <c r="AL6" s="5">
        <f>(503*AL$1)/100</f>
        <v>150.9</v>
      </c>
      <c r="AM6" s="20">
        <f>(AL6*100)/(AL$2*Calculator!$C40)</f>
        <v>145.16594516594517</v>
      </c>
      <c r="AN6" s="6">
        <f>AM6-AVERAGE(AM$3:AM$13)</f>
        <v>-11.759364871254633</v>
      </c>
      <c r="AO6" s="12" t="s">
        <v>8</v>
      </c>
      <c r="AP6" s="5">
        <f>(440*AP$1)/100</f>
        <v>0</v>
      </c>
      <c r="AQ6" s="20" t="e">
        <f>(AP6*100)/(AP$2*Reference!$C40)</f>
        <v>#DIV/0!</v>
      </c>
      <c r="AR6" s="6" t="e">
        <f>AQ6-AVERAGE(AQ$3:AQ$13)</f>
        <v>#DIV/0!</v>
      </c>
      <c r="AS6" s="12" t="s">
        <v>8</v>
      </c>
      <c r="AT6" s="5">
        <f>(2395*AT$1)/100</f>
        <v>0</v>
      </c>
      <c r="AU6" s="20" t="e">
        <f>(AT6*100)/(AT$2*Reference!$C40)</f>
        <v>#DIV/0!</v>
      </c>
      <c r="AV6" s="6" t="e">
        <f>AU6-AVERAGE(AU$3:AU$13)</f>
        <v>#DIV/0!</v>
      </c>
    </row>
    <row r="7" spans="1:48">
      <c r="A7" s="15" t="s">
        <v>9</v>
      </c>
      <c r="B7" s="37">
        <f>(2635*B$1)/100</f>
        <v>1317.5</v>
      </c>
      <c r="C7" s="20">
        <f>(B7*100)/(B$2*Calculator!$C41)</f>
        <v>166.66666666666666</v>
      </c>
      <c r="D7" s="6">
        <f>C7-AVERAGE(C$3:C$13)</f>
        <v>1.7747029630370719</v>
      </c>
      <c r="E7" s="18" t="s">
        <v>9</v>
      </c>
      <c r="F7" s="19">
        <f>(134*F$1)/100</f>
        <v>0</v>
      </c>
      <c r="G7" s="20" t="e">
        <f>(F7*100)/(F$2*Calculator!$C41)</f>
        <v>#DIV/0!</v>
      </c>
      <c r="H7" s="6" t="e">
        <f>G7-AVERAGE(G$3:G$13)</f>
        <v>#DIV/0!</v>
      </c>
      <c r="I7" s="18" t="s">
        <v>22</v>
      </c>
      <c r="J7" s="19">
        <f>(593*J$1)/100</f>
        <v>0</v>
      </c>
      <c r="K7" s="20" t="e">
        <f>(J7*100)/(J$2*Calculator!$C41)</f>
        <v>#DIV/0!</v>
      </c>
      <c r="L7" s="6" t="e">
        <f>K7-AVERAGE(K$3:K$13)</f>
        <v>#DIV/0!</v>
      </c>
      <c r="M7" s="18" t="s">
        <v>22</v>
      </c>
      <c r="N7" s="19">
        <f>(1030*N$1)/100</f>
        <v>0</v>
      </c>
      <c r="O7" s="20" t="e">
        <f>(N7*100)/(N$2*Calculator!$C41)</f>
        <v>#DIV/0!</v>
      </c>
      <c r="P7" s="6" t="e">
        <f>O7-AVERAGE(O$3:O$13)</f>
        <v>#DIV/0!</v>
      </c>
      <c r="Q7" s="18" t="s">
        <v>22</v>
      </c>
      <c r="R7" s="19">
        <f>(630*R$1)/100</f>
        <v>0</v>
      </c>
      <c r="S7" s="20" t="e">
        <f>(R7*100)/(R$2*Calculator!$C41)</f>
        <v>#DIV/0!</v>
      </c>
      <c r="T7" s="6" t="e">
        <f>S7-AVERAGE(S$3:S$13)</f>
        <v>#DIV/0!</v>
      </c>
      <c r="U7" s="18" t="s">
        <v>22</v>
      </c>
      <c r="V7" s="19">
        <f>(668*V$1)/100</f>
        <v>0</v>
      </c>
      <c r="W7" s="20" t="e">
        <f>(V7*100)/(V$2*Calculator!$C41)</f>
        <v>#DIV/0!</v>
      </c>
      <c r="X7" s="6" t="e">
        <f>W7-AVERAGE(W$3:W$13)</f>
        <v>#DIV/0!</v>
      </c>
      <c r="Y7" s="18" t="s">
        <v>22</v>
      </c>
      <c r="Z7" s="19">
        <f>(253*Z$1)/100</f>
        <v>354.2</v>
      </c>
      <c r="AA7" s="20">
        <f>(Z7*100)/(Z$2*Calculator!$C41)</f>
        <v>190.79939668174961</v>
      </c>
      <c r="AB7" s="6">
        <f>AA7-AVERAGE(AA$3:AA$13)</f>
        <v>28.23628575375551</v>
      </c>
      <c r="AC7" s="12" t="s">
        <v>22</v>
      </c>
      <c r="AD7" s="5">
        <f>(311*AD$1)/100</f>
        <v>0</v>
      </c>
      <c r="AE7" s="20" t="e">
        <f>(AD7*100)/(AD$2*Calculator!$C41)</f>
        <v>#DIV/0!</v>
      </c>
      <c r="AF7" s="6" t="e">
        <f>AE7-AVERAGE(AE$3:AE$13)</f>
        <v>#DIV/0!</v>
      </c>
      <c r="AG7" s="12" t="s">
        <v>22</v>
      </c>
      <c r="AH7" s="5">
        <f>(986*AH$1)/100</f>
        <v>0</v>
      </c>
      <c r="AI7" s="20" t="e">
        <f>(AH7*100)/(AH$2*Calculator!$C41)</f>
        <v>#DIV/0!</v>
      </c>
      <c r="AJ7" s="6" t="e">
        <f>AI7-AVERAGE(AI$3:AI$13)</f>
        <v>#DIV/0!</v>
      </c>
      <c r="AK7" s="12" t="s">
        <v>22</v>
      </c>
      <c r="AL7" s="5">
        <f>(357*AL$1)/100</f>
        <v>107.1</v>
      </c>
      <c r="AM7" s="20">
        <f>(AL7*100)/(AL$2*Calculator!$C41)</f>
        <v>111.11111111111111</v>
      </c>
      <c r="AN7" s="6">
        <f>AM7-AVERAGE(AM$3:AM$13)</f>
        <v>-45.814198926088693</v>
      </c>
      <c r="AO7" s="12" t="s">
        <v>22</v>
      </c>
      <c r="AP7" s="5">
        <f>(133*AP$1)/100</f>
        <v>0</v>
      </c>
      <c r="AQ7" s="20" t="e">
        <f>(AP7*100)/(AP$2*Reference!$C41)</f>
        <v>#DIV/0!</v>
      </c>
      <c r="AR7" s="6" t="e">
        <f>AQ7-AVERAGE(AQ$3:AQ$13)</f>
        <v>#DIV/0!</v>
      </c>
      <c r="AS7" s="12" t="s">
        <v>22</v>
      </c>
      <c r="AT7" s="5">
        <f>(2833*AT$1)/100</f>
        <v>0</v>
      </c>
      <c r="AU7" s="20" t="e">
        <f>(AT7*100)/(AT$2*Reference!$C41)</f>
        <v>#DIV/0!</v>
      </c>
      <c r="AV7" s="6" t="e">
        <f>AU7-AVERAGE(AU$3:AU$13)</f>
        <v>#DIV/0!</v>
      </c>
    </row>
    <row r="8" spans="1:48">
      <c r="A8" s="15" t="s">
        <v>10</v>
      </c>
      <c r="B8" s="37">
        <f>(859*B$1)/100</f>
        <v>429.5</v>
      </c>
      <c r="C8" s="20"/>
      <c r="D8" s="14"/>
      <c r="E8" s="18" t="s">
        <v>10</v>
      </c>
      <c r="F8" s="19">
        <f>(20*F$1)/100</f>
        <v>0</v>
      </c>
      <c r="G8" s="20"/>
      <c r="H8" s="14"/>
      <c r="I8" s="18" t="s">
        <v>10</v>
      </c>
      <c r="J8" s="19">
        <f>(116*J$1)/100</f>
        <v>0</v>
      </c>
      <c r="K8" s="20"/>
      <c r="L8" s="14"/>
      <c r="M8" s="18" t="s">
        <v>10</v>
      </c>
      <c r="N8" s="19">
        <f>(580*N$1)/100</f>
        <v>0</v>
      </c>
      <c r="O8" s="20"/>
      <c r="P8" s="14"/>
      <c r="Q8" s="18" t="s">
        <v>10</v>
      </c>
      <c r="R8" s="19">
        <f>(77*R$1)/100</f>
        <v>0</v>
      </c>
      <c r="S8" s="20"/>
      <c r="T8" s="14"/>
      <c r="U8" s="18" t="s">
        <v>10</v>
      </c>
      <c r="V8" s="19">
        <f>(146*V$1)/100</f>
        <v>0</v>
      </c>
      <c r="W8" s="20"/>
      <c r="X8" s="14"/>
      <c r="Y8" s="18" t="s">
        <v>10</v>
      </c>
      <c r="Z8" s="19">
        <f>(62*Z$1)/100</f>
        <v>86.8</v>
      </c>
      <c r="AA8" s="20"/>
      <c r="AB8" s="14"/>
      <c r="AC8" s="12" t="s">
        <v>10</v>
      </c>
      <c r="AD8" s="5">
        <f>(102*AD$1)/100</f>
        <v>0</v>
      </c>
      <c r="AE8" s="20"/>
      <c r="AF8" s="14"/>
      <c r="AG8" s="12" t="s">
        <v>10</v>
      </c>
      <c r="AH8" s="5">
        <f>(410*AH$1)/100</f>
        <v>0</v>
      </c>
      <c r="AI8" s="20"/>
      <c r="AJ8" s="14"/>
      <c r="AK8" s="12" t="s">
        <v>10</v>
      </c>
      <c r="AL8" s="5">
        <f>(91*AL$1)/100</f>
        <v>27.3</v>
      </c>
      <c r="AM8" s="20"/>
      <c r="AN8" s="14"/>
      <c r="AO8" s="12" t="s">
        <v>10</v>
      </c>
      <c r="AP8" s="5">
        <f>(65*AP$1)/100</f>
        <v>0</v>
      </c>
      <c r="AQ8" s="20"/>
      <c r="AR8" s="14"/>
      <c r="AS8" s="12" t="s">
        <v>10</v>
      </c>
      <c r="AT8" s="5">
        <f>(871*AT$1)/100</f>
        <v>0</v>
      </c>
      <c r="AU8" s="20"/>
      <c r="AV8" s="6"/>
    </row>
    <row r="9" spans="1:48">
      <c r="A9" s="15" t="s">
        <v>11</v>
      </c>
      <c r="B9" s="37">
        <f>(397*B$1)/100</f>
        <v>198.5</v>
      </c>
      <c r="C9" s="20">
        <f>((B$8+B$9)*100)/(B2*Calculator!$C$43)</f>
        <v>162.06451612903226</v>
      </c>
      <c r="D9" s="6">
        <f>C9-AVERAGE(C$3:C$13)</f>
        <v>-2.8274475745973291</v>
      </c>
      <c r="E9" s="18" t="s">
        <v>11</v>
      </c>
      <c r="F9" s="19">
        <f>(7*F$1)/100</f>
        <v>0</v>
      </c>
      <c r="G9" s="20" t="e">
        <f>((F$8+F$9)*100)/(F2*Calculator!$C$43)</f>
        <v>#DIV/0!</v>
      </c>
      <c r="H9" s="6" t="e">
        <f>G9-AVERAGE(G$3:G$13)</f>
        <v>#DIV/0!</v>
      </c>
      <c r="I9" s="18" t="s">
        <v>23</v>
      </c>
      <c r="J9" s="19">
        <f>(119*J$1)/100</f>
        <v>0</v>
      </c>
      <c r="K9" s="20" t="e">
        <f>((J$8+J$9)*100)/(J2*Calculator!$C$43)</f>
        <v>#DIV/0!</v>
      </c>
      <c r="L9" s="6" t="e">
        <f>K9-AVERAGE(K$3:K$13)</f>
        <v>#DIV/0!</v>
      </c>
      <c r="M9" s="18" t="s">
        <v>23</v>
      </c>
      <c r="N9" s="19">
        <f>(410*N$1)/100</f>
        <v>0</v>
      </c>
      <c r="O9" s="20" t="e">
        <f>((N$8+N$9)*100)/(N2*Calculator!$C$43)</f>
        <v>#DIV/0!</v>
      </c>
      <c r="P9" s="6" t="e">
        <f>O9-AVERAGE(O$3:O$13)</f>
        <v>#DIV/0!</v>
      </c>
      <c r="Q9" s="18" t="s">
        <v>23</v>
      </c>
      <c r="R9" s="19">
        <f>(118*R$1)/100</f>
        <v>0</v>
      </c>
      <c r="S9" s="20" t="e">
        <f>((R$8+R$9)*100)/(R2*Calculator!$C$43)</f>
        <v>#DIV/0!</v>
      </c>
      <c r="T9" s="6" t="e">
        <f>S9-AVERAGE(S$3:S$13)</f>
        <v>#DIV/0!</v>
      </c>
      <c r="U9" s="18" t="s">
        <v>23</v>
      </c>
      <c r="V9" s="19">
        <f>(106*V$1)/100</f>
        <v>0</v>
      </c>
      <c r="W9" s="20" t="e">
        <f>((V$8+V$9)*100)/(V2*Calculator!$C$43)</f>
        <v>#DIV/0!</v>
      </c>
      <c r="X9" s="6" t="e">
        <f>W9-AVERAGE(W$3:W$13)</f>
        <v>#DIV/0!</v>
      </c>
      <c r="Y9" s="18" t="s">
        <v>23</v>
      </c>
      <c r="Z9" s="19">
        <f>(41*Z$1)/100</f>
        <v>57.4</v>
      </c>
      <c r="AA9" s="20">
        <f>((Z$8+Z$9)*100)/(Z2*Calculator!$C$43)</f>
        <v>158.46153846153845</v>
      </c>
      <c r="AB9" s="6">
        <f>AA9-AVERAGE(AA$3:AA$13)</f>
        <v>-4.1015724664556501</v>
      </c>
      <c r="AC9" s="12" t="s">
        <v>23</v>
      </c>
      <c r="AD9" s="5">
        <f>(32*AD$1)/100</f>
        <v>0</v>
      </c>
      <c r="AE9" s="20" t="e">
        <f>((AD$8+AD$9)*100)/(AD2*Calculator!$C$43)</f>
        <v>#DIV/0!</v>
      </c>
      <c r="AF9" s="6" t="e">
        <f>AE9-AVERAGE(AE$3:AE$13)</f>
        <v>#DIV/0!</v>
      </c>
      <c r="AG9" s="12" t="s">
        <v>23</v>
      </c>
      <c r="AH9" s="5">
        <f>(294*AH$1)/100</f>
        <v>0</v>
      </c>
      <c r="AI9" s="20" t="e">
        <f>((AH$8+AH$9)*100)/(AH2*Calculator!$C$43)</f>
        <v>#DIV/0!</v>
      </c>
      <c r="AJ9" s="6" t="e">
        <f>AI9-AVERAGE(AI$3:AI$13)</f>
        <v>#DIV/0!</v>
      </c>
      <c r="AK9" s="12" t="s">
        <v>23</v>
      </c>
      <c r="AL9" s="5">
        <f>(110*AL$1)/100</f>
        <v>33</v>
      </c>
      <c r="AM9" s="20">
        <f>((AL$8+AL$9)*100)/(AL2*Calculator!$C$43)</f>
        <v>127.61904761904762</v>
      </c>
      <c r="AN9" s="6">
        <f>AM9-AVERAGE(AM$3:AM$13)</f>
        <v>-29.306262418152187</v>
      </c>
      <c r="AO9" s="12" t="s">
        <v>23</v>
      </c>
      <c r="AP9" s="5">
        <f>(113*AP$1)/100</f>
        <v>0</v>
      </c>
      <c r="AQ9" s="20" t="e">
        <f>((AP$8+AP$9)*100)/(AP2*Reference!$C$43)</f>
        <v>#DIV/0!</v>
      </c>
      <c r="AR9" s="6" t="e">
        <f>AQ9-AVERAGE(AQ$3:AQ$13)</f>
        <v>#DIV/0!</v>
      </c>
      <c r="AS9" s="12" t="s">
        <v>23</v>
      </c>
      <c r="AT9" s="5">
        <f>(313*AT$1)/100</f>
        <v>0</v>
      </c>
      <c r="AU9" s="20" t="e">
        <f>((AT$8+AT$9)*100)/(AT2*Reference!$C$43)</f>
        <v>#DIV/0!</v>
      </c>
      <c r="AV9" s="6" t="e">
        <f>AU9-AVERAGE(AU$3:AU$13)</f>
        <v>#DIV/0!</v>
      </c>
    </row>
    <row r="10" spans="1:48">
      <c r="A10" s="15" t="s">
        <v>12</v>
      </c>
      <c r="B10" s="37">
        <f>(1231*B$1)/100</f>
        <v>615.5</v>
      </c>
      <c r="C10" s="20"/>
      <c r="D10" s="14"/>
      <c r="E10" s="18" t="s">
        <v>12</v>
      </c>
      <c r="F10" s="19">
        <f>(114*F$1)/100</f>
        <v>0</v>
      </c>
      <c r="G10" s="20"/>
      <c r="H10" s="14"/>
      <c r="I10" s="18" t="s">
        <v>12</v>
      </c>
      <c r="J10" s="19">
        <f>(475*J$1)/100</f>
        <v>0</v>
      </c>
      <c r="K10" s="20"/>
      <c r="L10" s="14"/>
      <c r="M10" s="18" t="s">
        <v>12</v>
      </c>
      <c r="N10" s="19">
        <f>(1170*N$1)/100</f>
        <v>0</v>
      </c>
      <c r="O10" s="20"/>
      <c r="P10" s="14"/>
      <c r="Q10" s="18" t="s">
        <v>12</v>
      </c>
      <c r="R10" s="19">
        <f>(445*R$1)/100</f>
        <v>0</v>
      </c>
      <c r="S10" s="20"/>
      <c r="T10" s="14"/>
      <c r="U10" s="18" t="s">
        <v>12</v>
      </c>
      <c r="V10" s="19">
        <f>(526*V$1)/100</f>
        <v>0</v>
      </c>
      <c r="W10" s="20"/>
      <c r="X10" s="14"/>
      <c r="Y10" s="18" t="s">
        <v>12</v>
      </c>
      <c r="Z10" s="19">
        <f>(125*Z$1)/100</f>
        <v>175</v>
      </c>
      <c r="AA10" s="20"/>
      <c r="AB10" s="14"/>
      <c r="AC10" s="12" t="s">
        <v>12</v>
      </c>
      <c r="AD10" s="5">
        <f>(189*AD$1)/100</f>
        <v>0</v>
      </c>
      <c r="AE10" s="20"/>
      <c r="AF10" s="14"/>
      <c r="AG10" s="12" t="s">
        <v>12</v>
      </c>
      <c r="AH10" s="5">
        <f>(735*AH$1)/100</f>
        <v>0</v>
      </c>
      <c r="AI10" s="20"/>
      <c r="AJ10" s="14"/>
      <c r="AK10" s="12" t="s">
        <v>12</v>
      </c>
      <c r="AL10" s="5">
        <f>(330*AL$1)/100</f>
        <v>99</v>
      </c>
      <c r="AM10" s="20"/>
      <c r="AN10" s="14"/>
      <c r="AO10" s="12" t="s">
        <v>12</v>
      </c>
      <c r="AP10" s="5">
        <f>(297*AP$1)/100</f>
        <v>0</v>
      </c>
      <c r="AQ10" s="20"/>
      <c r="AR10" s="14"/>
      <c r="AS10" s="12" t="s">
        <v>12</v>
      </c>
      <c r="AT10" s="5">
        <f>(1193*AT$1)/100</f>
        <v>0</v>
      </c>
      <c r="AU10" s="20"/>
      <c r="AV10" s="6"/>
    </row>
    <row r="11" spans="1:48">
      <c r="A11" s="15" t="s">
        <v>13</v>
      </c>
      <c r="B11" s="37">
        <f>(1047*B$1)/100</f>
        <v>523.5</v>
      </c>
      <c r="C11" s="20">
        <f>((B$10+B$11)*100)/(B2*Calculator!$C$45)</f>
        <v>156.34866163349349</v>
      </c>
      <c r="D11" s="6">
        <f>C11-AVERAGE(C$3:C$13)</f>
        <v>-8.5433020701360931</v>
      </c>
      <c r="E11" s="18" t="s">
        <v>13</v>
      </c>
      <c r="F11" s="19">
        <f>(63*F$1)/100</f>
        <v>0</v>
      </c>
      <c r="G11" s="20" t="e">
        <f>((F$10+F$11)*100)/(F2*Calculator!$C$45)</f>
        <v>#DIV/0!</v>
      </c>
      <c r="H11" s="6" t="e">
        <f>G11-AVERAGE(G$3:G$13)</f>
        <v>#DIV/0!</v>
      </c>
      <c r="I11" s="18" t="s">
        <v>24</v>
      </c>
      <c r="J11" s="19">
        <f>(220*J$1)/100</f>
        <v>0</v>
      </c>
      <c r="K11" s="20" t="e">
        <f>((J$10+J$11)*100)/(J2*Calculator!$C$45)</f>
        <v>#DIV/0!</v>
      </c>
      <c r="L11" s="6" t="e">
        <f>K11-AVERAGE(K$3:K$13)</f>
        <v>#DIV/0!</v>
      </c>
      <c r="M11" s="18" t="s">
        <v>24</v>
      </c>
      <c r="N11" s="19">
        <f>(860*N$1)/100</f>
        <v>0</v>
      </c>
      <c r="O11" s="20" t="e">
        <f>((N$10+N$11)*100)/(N2*Calculator!$C$45)</f>
        <v>#DIV/0!</v>
      </c>
      <c r="P11" s="6" t="e">
        <f>O11-AVERAGE(O$3:O$13)</f>
        <v>#DIV/0!</v>
      </c>
      <c r="Q11" s="18" t="s">
        <v>24</v>
      </c>
      <c r="R11" s="19">
        <f>(241*R$1)/100</f>
        <v>0</v>
      </c>
      <c r="S11" s="20" t="e">
        <f>((R$10+R$11)*100)/(R2*Calculator!$C$45)</f>
        <v>#DIV/0!</v>
      </c>
      <c r="T11" s="6" t="e">
        <f>S11-AVERAGE(S$3:S$13)</f>
        <v>#DIV/0!</v>
      </c>
      <c r="U11" s="18" t="s">
        <v>24</v>
      </c>
      <c r="V11" s="19">
        <f>(274*V$1)/100</f>
        <v>0</v>
      </c>
      <c r="W11" s="20" t="e">
        <f>((V$10+V$11)*100)/(V2*Calculator!$C$45)</f>
        <v>#DIV/0!</v>
      </c>
      <c r="X11" s="6" t="e">
        <f>W11-AVERAGE(W$3:W$13)</f>
        <v>#DIV/0!</v>
      </c>
      <c r="Y11" s="18" t="s">
        <v>24</v>
      </c>
      <c r="Z11" s="19">
        <f>(104*Z$1)/100</f>
        <v>145.6</v>
      </c>
      <c r="AA11" s="20">
        <f>((Z$10+Z$11)*100)/(Z2*Calculator!$C$45)</f>
        <v>187.39770867430443</v>
      </c>
      <c r="AB11" s="6">
        <f>AA11-AVERAGE(AA$3:AA$13)</f>
        <v>24.834597746310322</v>
      </c>
      <c r="AC11" s="12" t="s">
        <v>24</v>
      </c>
      <c r="AD11" s="5">
        <f>(175*AD$1)/100</f>
        <v>0</v>
      </c>
      <c r="AE11" s="20" t="e">
        <f>((AD$10+AD$11)*100)/(AD2*Calculator!$C$45)</f>
        <v>#DIV/0!</v>
      </c>
      <c r="AF11" s="6" t="e">
        <f>AE11-AVERAGE(AE$3:AE$13)</f>
        <v>#DIV/0!</v>
      </c>
      <c r="AG11" s="12" t="s">
        <v>24</v>
      </c>
      <c r="AH11" s="5">
        <f>(539*AH$1)/100</f>
        <v>0</v>
      </c>
      <c r="AI11" s="20" t="e">
        <f>((AH$10+AH$11)*100)/(AH2*Calculator!$C$45)</f>
        <v>#DIV/0!</v>
      </c>
      <c r="AJ11" s="6" t="e">
        <f>AI11-AVERAGE(AI$3:AI$13)</f>
        <v>#DIV/0!</v>
      </c>
      <c r="AK11" s="12" t="s">
        <v>24</v>
      </c>
      <c r="AL11" s="5">
        <f>(228*AL$1)/100</f>
        <v>68.400000000000006</v>
      </c>
      <c r="AM11" s="20">
        <f>((AL$10+AL$11)*100)/(AL2*Calculator!$C$45)</f>
        <v>188.44984802431611</v>
      </c>
      <c r="AN11" s="6">
        <f>AM11-AVERAGE(AM$3:AM$13)</f>
        <v>31.524537987116304</v>
      </c>
      <c r="AO11" s="12" t="s">
        <v>24</v>
      </c>
      <c r="AP11" s="5">
        <f>(108*AP$1)/100</f>
        <v>0</v>
      </c>
      <c r="AQ11" s="20" t="e">
        <f>((AP$10+AP$11)*100)/(AP2*Reference!$C$45)</f>
        <v>#DIV/0!</v>
      </c>
      <c r="AR11" s="6" t="e">
        <f>AQ11-AVERAGE(AQ$3:AQ$13)</f>
        <v>#DIV/0!</v>
      </c>
      <c r="AS11" s="12" t="s">
        <v>24</v>
      </c>
      <c r="AT11" s="5">
        <f>(1188*AT$1)/100</f>
        <v>0</v>
      </c>
      <c r="AU11" s="20" t="e">
        <f>((AT$10+AT$11)*100)/(AT2*Reference!$C$45)</f>
        <v>#DIV/0!</v>
      </c>
      <c r="AV11" s="6" t="e">
        <f>AU11-AVERAGE(AU$3:AU$13)</f>
        <v>#DIV/0!</v>
      </c>
    </row>
    <row r="12" spans="1:48">
      <c r="A12" s="15" t="s">
        <v>14</v>
      </c>
      <c r="B12" s="37">
        <f>(1539*B$1)/100</f>
        <v>769.5</v>
      </c>
      <c r="C12" s="20">
        <f>(B12*100)/(B$2*Calculator!$C46)</f>
        <v>155.14112903225808</v>
      </c>
      <c r="D12" s="6">
        <f>C12-AVERAGE(C$3:C$13)</f>
        <v>-9.7508346713715071</v>
      </c>
      <c r="E12" s="18" t="s">
        <v>14</v>
      </c>
      <c r="F12" s="19">
        <f>(137*F$1)/100</f>
        <v>0</v>
      </c>
      <c r="G12" s="20" t="e">
        <f>(F12*100)/(F$2*Calculator!$C46)</f>
        <v>#DIV/0!</v>
      </c>
      <c r="H12" s="6" t="e">
        <f>G12-AVERAGE(G$3:G$13)</f>
        <v>#DIV/0!</v>
      </c>
      <c r="I12" s="18" t="s">
        <v>25</v>
      </c>
      <c r="J12" s="19">
        <f>(372*J$1)/100</f>
        <v>0</v>
      </c>
      <c r="K12" s="20" t="e">
        <f>(J12*100)/(J$2*Calculator!$C46)</f>
        <v>#DIV/0!</v>
      </c>
      <c r="L12" s="6" t="e">
        <f>K12-AVERAGE(K$3:K$13)</f>
        <v>#DIV/0!</v>
      </c>
      <c r="M12" s="18" t="s">
        <v>25</v>
      </c>
      <c r="N12" s="19">
        <f>(1280*N$1)/100</f>
        <v>0</v>
      </c>
      <c r="O12" s="20" t="e">
        <f>(N12*100)/(N$2*Calculator!$C46)</f>
        <v>#DIV/0!</v>
      </c>
      <c r="P12" s="6" t="e">
        <f>O12-AVERAGE(O$3:O$13)</f>
        <v>#DIV/0!</v>
      </c>
      <c r="Q12" s="18" t="s">
        <v>25</v>
      </c>
      <c r="R12" s="19">
        <f>(448*R$1)/100</f>
        <v>0</v>
      </c>
      <c r="S12" s="20" t="e">
        <f>(R12*100)/(R$2*Calculator!$C46)</f>
        <v>#DIV/0!</v>
      </c>
      <c r="T12" s="6" t="e">
        <f>S12-AVERAGE(S$3:S$13)</f>
        <v>#DIV/0!</v>
      </c>
      <c r="U12" s="18" t="s">
        <v>25</v>
      </c>
      <c r="V12" s="19">
        <f>(509*V$1)/100</f>
        <v>0</v>
      </c>
      <c r="W12" s="20" t="e">
        <f>(V12*100)/(V$2*Calculator!$C46)</f>
        <v>#DIV/0!</v>
      </c>
      <c r="X12" s="6" t="e">
        <f>W12-AVERAGE(W$3:W$13)</f>
        <v>#DIV/0!</v>
      </c>
      <c r="Y12" s="18" t="s">
        <v>25</v>
      </c>
      <c r="Z12" s="19">
        <f>(127*Z$1)/100</f>
        <v>177.8</v>
      </c>
      <c r="AA12" s="20">
        <f>(Z12*100)/(Z$2*Calculator!$C46)</f>
        <v>152.64423076923077</v>
      </c>
      <c r="AB12" s="6">
        <f>AA12-AVERAGE(AA$3:AA$13)</f>
        <v>-9.9188801587633293</v>
      </c>
      <c r="AC12" s="12" t="s">
        <v>25</v>
      </c>
      <c r="AD12" s="5">
        <f>(287*AD$1)/100</f>
        <v>0</v>
      </c>
      <c r="AE12" s="20" t="e">
        <f>(AD12*100)/(AD$2*Calculator!$C46)</f>
        <v>#DIV/0!</v>
      </c>
      <c r="AF12" s="6" t="e">
        <f>AE12-AVERAGE(AE$3:AE$13)</f>
        <v>#DIV/0!</v>
      </c>
      <c r="AG12" s="12" t="s">
        <v>25</v>
      </c>
      <c r="AH12" s="5">
        <f>(928*AH$1)/100</f>
        <v>0</v>
      </c>
      <c r="AI12" s="20" t="e">
        <f>(AH12*100)/(AH$2*Calculator!$C46)</f>
        <v>#DIV/0!</v>
      </c>
      <c r="AJ12" s="6" t="e">
        <f>AI12-AVERAGE(AI$3:AI$13)</f>
        <v>#DIV/0!</v>
      </c>
      <c r="AK12" s="12" t="s">
        <v>25</v>
      </c>
      <c r="AL12" s="5">
        <f>(311*AL$1)/100</f>
        <v>93.3</v>
      </c>
      <c r="AM12" s="20">
        <f>(AL12*100)/(AL$2*Calculator!$C46)</f>
        <v>154.26587301587301</v>
      </c>
      <c r="AN12" s="6">
        <f>AM12-AVERAGE(AM$3:AM$13)</f>
        <v>-2.659437021326795</v>
      </c>
      <c r="AO12" s="12" t="s">
        <v>25</v>
      </c>
      <c r="AP12" s="5">
        <f>(262*AP$1)/100</f>
        <v>0</v>
      </c>
      <c r="AQ12" s="20" t="e">
        <f>(AP12*100)/(AP$2*Reference!$C46)</f>
        <v>#DIV/0!</v>
      </c>
      <c r="AR12" s="6" t="e">
        <f>AQ12-AVERAGE(AQ$3:AQ$13)</f>
        <v>#DIV/0!</v>
      </c>
      <c r="AS12" s="12" t="s">
        <v>25</v>
      </c>
      <c r="AT12" s="5">
        <f>(1597*AT$1)/100</f>
        <v>0</v>
      </c>
      <c r="AU12" s="20" t="e">
        <f>(AT12*100)/(AT$2*Reference!$C46)</f>
        <v>#DIV/0!</v>
      </c>
      <c r="AV12" s="6" t="e">
        <f>AU12-AVERAGE(AU$3:AU$13)</f>
        <v>#DIV/0!</v>
      </c>
    </row>
    <row r="13" spans="1:48">
      <c r="A13" s="15" t="s">
        <v>15</v>
      </c>
      <c r="B13" s="37">
        <f>(963*B$1)/100</f>
        <v>481.5</v>
      </c>
      <c r="C13" s="20">
        <f>(B13*100)/(B$2*Calculator!$C47)</f>
        <v>172.58064516129033</v>
      </c>
      <c r="D13" s="6">
        <f>C13-AVERAGE(C$3:C$13)</f>
        <v>7.6886814576607492</v>
      </c>
      <c r="E13" s="18" t="s">
        <v>15</v>
      </c>
      <c r="F13" s="19">
        <f>(40*F$1)/100</f>
        <v>0</v>
      </c>
      <c r="G13" s="20" t="e">
        <f>(F13*100)/(F$2*Calculator!$C47)</f>
        <v>#DIV/0!</v>
      </c>
      <c r="H13" s="6" t="e">
        <f>G13-AVERAGE(G$3:G$13)</f>
        <v>#DIV/0!</v>
      </c>
      <c r="I13" s="18" t="s">
        <v>26</v>
      </c>
      <c r="J13" s="19">
        <f>(244*J$1)/100</f>
        <v>0</v>
      </c>
      <c r="K13" s="20" t="e">
        <f>(J13*100)/(J$2*Calculator!$C47)</f>
        <v>#DIV/0!</v>
      </c>
      <c r="L13" s="6" t="e">
        <f>K13-AVERAGE(K$3:K$13)</f>
        <v>#DIV/0!</v>
      </c>
      <c r="M13" s="18" t="s">
        <v>26</v>
      </c>
      <c r="N13" s="19">
        <f>(710*N$1)/100</f>
        <v>0</v>
      </c>
      <c r="O13" s="20" t="e">
        <f>(N13*100)/(N$2*Calculator!$C47)</f>
        <v>#DIV/0!</v>
      </c>
      <c r="P13" s="6" t="e">
        <f>O13-AVERAGE(O$3:O$13)</f>
        <v>#DIV/0!</v>
      </c>
      <c r="Q13" s="18" t="s">
        <v>26</v>
      </c>
      <c r="R13" s="19">
        <f>(254*R$1)/100</f>
        <v>0</v>
      </c>
      <c r="S13" s="20" t="e">
        <f>(R13*100)/(R$2*Calculator!$C47)</f>
        <v>#DIV/0!</v>
      </c>
      <c r="T13" s="6" t="e">
        <f>S13-AVERAGE(S$3:S$13)</f>
        <v>#DIV/0!</v>
      </c>
      <c r="U13" s="18" t="s">
        <v>26</v>
      </c>
      <c r="V13" s="19">
        <f>(271*V$1)/100</f>
        <v>0</v>
      </c>
      <c r="W13" s="20" t="e">
        <f>(V13*100)/(V$2*Calculator!$C47)</f>
        <v>#DIV/0!</v>
      </c>
      <c r="X13" s="6" t="e">
        <f>W13-AVERAGE(W$3:W$13)</f>
        <v>#DIV/0!</v>
      </c>
      <c r="Y13" s="18" t="s">
        <v>26</v>
      </c>
      <c r="Z13" s="19">
        <f>(73*Z$1)/100</f>
        <v>102.2</v>
      </c>
      <c r="AA13" s="20">
        <f>(Z13*100)/(Z$2*Calculator!$C47)</f>
        <v>155.982905982906</v>
      </c>
      <c r="AB13" s="6">
        <f>AA13-AVERAGE(AA$3:AA$13)</f>
        <v>-6.5802049450880986</v>
      </c>
      <c r="AC13" s="12" t="s">
        <v>26</v>
      </c>
      <c r="AD13" s="5">
        <f>(86*AD$1)/100</f>
        <v>0</v>
      </c>
      <c r="AE13" s="20" t="e">
        <f>(AD13*100)/(AD$2*Calculator!$C47)</f>
        <v>#DIV/0!</v>
      </c>
      <c r="AF13" s="6" t="e">
        <f>AE13-AVERAGE(AE$3:AE$13)</f>
        <v>#DIV/0!</v>
      </c>
      <c r="AG13" s="12" t="s">
        <v>26</v>
      </c>
      <c r="AH13" s="5">
        <f>(334*AH$1)/100</f>
        <v>0</v>
      </c>
      <c r="AI13" s="20" t="e">
        <f>(AH13*100)/(AH$2*Calculator!$C47)</f>
        <v>#DIV/0!</v>
      </c>
      <c r="AJ13" s="6" t="e">
        <f>AI13-AVERAGE(AI$3:AI$13)</f>
        <v>#DIV/0!</v>
      </c>
      <c r="AK13" s="12" t="s">
        <v>26</v>
      </c>
      <c r="AL13" s="5">
        <f>(163*AL$1)/100</f>
        <v>48.9</v>
      </c>
      <c r="AM13" s="20">
        <f>(AL13*100)/(AL$2*Calculator!$C47)</f>
        <v>143.73897707231043</v>
      </c>
      <c r="AN13" s="6">
        <f>AM13-AVERAGE(AM$3:AM$13)</f>
        <v>-13.186332964889374</v>
      </c>
      <c r="AO13" s="12" t="s">
        <v>26</v>
      </c>
      <c r="AP13" s="5">
        <f>(132*AP$1)/100</f>
        <v>0</v>
      </c>
      <c r="AQ13" s="20" t="e">
        <f>(AP13*100)/(AP$2*Reference!$C47)</f>
        <v>#DIV/0!</v>
      </c>
      <c r="AR13" s="6" t="e">
        <f>AQ13-AVERAGE(AQ$3:AQ$13)</f>
        <v>#DIV/0!</v>
      </c>
      <c r="AS13" s="12" t="s">
        <v>26</v>
      </c>
      <c r="AT13" s="5">
        <f>(938*AT$1)/100</f>
        <v>0</v>
      </c>
      <c r="AU13" s="20" t="e">
        <f>(AT13*100)/(AT$2*Reference!$C47)</f>
        <v>#DIV/0!</v>
      </c>
      <c r="AV13" s="6" t="e">
        <f>AU13-AVERAGE(AU$3:AU$13)</f>
        <v>#DIV/0!</v>
      </c>
    </row>
    <row r="14" spans="1:48">
      <c r="A14" s="12" t="s">
        <v>94</v>
      </c>
      <c r="B14" s="19"/>
      <c r="C14" s="14"/>
      <c r="D14" s="16"/>
      <c r="E14" s="12" t="s">
        <v>94</v>
      </c>
      <c r="F14" s="19"/>
      <c r="G14" s="14"/>
      <c r="H14" s="14"/>
      <c r="I14" s="12" t="s">
        <v>94</v>
      </c>
      <c r="J14" s="19"/>
      <c r="K14" s="14"/>
      <c r="L14" s="14"/>
      <c r="M14" s="12" t="s">
        <v>94</v>
      </c>
      <c r="N14" s="19"/>
      <c r="O14" s="14"/>
      <c r="P14" s="14"/>
      <c r="Q14" s="12" t="s">
        <v>94</v>
      </c>
      <c r="R14" s="19"/>
      <c r="S14" s="14"/>
      <c r="T14" s="14"/>
      <c r="U14" s="12" t="s">
        <v>94</v>
      </c>
      <c r="V14" s="19"/>
      <c r="W14" s="14"/>
      <c r="X14" s="14"/>
      <c r="Y14" s="12" t="s">
        <v>94</v>
      </c>
      <c r="Z14" s="19"/>
      <c r="AA14" s="14"/>
      <c r="AB14" s="14"/>
      <c r="AC14" s="12" t="s">
        <v>94</v>
      </c>
      <c r="AD14" s="5"/>
      <c r="AE14" s="44"/>
      <c r="AF14" s="3"/>
      <c r="AG14" s="12" t="s">
        <v>94</v>
      </c>
      <c r="AH14" s="5"/>
      <c r="AI14" s="44"/>
      <c r="AJ14" s="3"/>
      <c r="AK14" s="12" t="s">
        <v>94</v>
      </c>
      <c r="AL14" s="5"/>
      <c r="AM14" s="44"/>
      <c r="AN14" s="3"/>
      <c r="AO14" s="12" t="s">
        <v>94</v>
      </c>
      <c r="AP14" s="5"/>
      <c r="AQ14" s="44"/>
      <c r="AR14" s="3"/>
      <c r="AS14" s="12" t="s">
        <v>94</v>
      </c>
      <c r="AT14" s="5"/>
      <c r="AU14" s="44"/>
      <c r="AV14" s="3"/>
    </row>
    <row r="15" spans="1:48" ht="16.5" thickBot="1">
      <c r="A15" s="21" t="s">
        <v>46</v>
      </c>
      <c r="B15" s="28"/>
      <c r="C15" s="10">
        <f>((B5+B6+B12)*100)/(B$2*(Calculator!$C$40+$C$39+$C$46))</f>
        <v>158.55414746543778</v>
      </c>
      <c r="D15" s="80">
        <f>MAX(D5,D6,D12)-MIN(D5,D6,D12)</f>
        <v>74.815249266862168</v>
      </c>
      <c r="E15" s="21" t="s">
        <v>46</v>
      </c>
      <c r="F15" s="28"/>
      <c r="G15" s="10" t="e">
        <f>((F5+F6+F12)*100)/(F$2*(Calculator!$C$40+$C$39+$C$46))</f>
        <v>#DIV/0!</v>
      </c>
      <c r="H15" s="80" t="e">
        <f>MAX(H5,H6,H12)-MIN(H5,H6,H12)</f>
        <v>#DIV/0!</v>
      </c>
      <c r="I15" s="21" t="s">
        <v>46</v>
      </c>
      <c r="J15" s="28"/>
      <c r="K15" s="10" t="e">
        <f>((J5+J6+J12)*100)/(J$2*(Calculator!$C$40+$C$39+$C$46))</f>
        <v>#DIV/0!</v>
      </c>
      <c r="L15" s="10" t="e">
        <f>MAX(L5,L6,L12)-MIN(L5,L6,L12)</f>
        <v>#DIV/0!</v>
      </c>
      <c r="M15" s="39" t="s">
        <v>46</v>
      </c>
      <c r="N15" s="28"/>
      <c r="O15" s="10" t="e">
        <f>((N5+N6+N12)*100)/(N$2*(Calculator!$C$40+$C$39+$C$46))</f>
        <v>#DIV/0!</v>
      </c>
      <c r="P15" s="80" t="e">
        <f>MAX(P5,P6,P12)-MIN(P5,P6,P12)</f>
        <v>#DIV/0!</v>
      </c>
      <c r="Q15" s="21" t="s">
        <v>46</v>
      </c>
      <c r="R15" s="28"/>
      <c r="S15" s="10" t="e">
        <f>((R5+R6+R12)*100)/(R$2*(Calculator!$C$40+$C$39+$C$46))</f>
        <v>#DIV/0!</v>
      </c>
      <c r="T15" s="80" t="e">
        <f>MAX(T5,T6,T12)-MIN(T5,T6,T12)</f>
        <v>#DIV/0!</v>
      </c>
      <c r="U15" s="21" t="s">
        <v>46</v>
      </c>
      <c r="V15" s="28"/>
      <c r="W15" s="10" t="e">
        <f>((V5+V6+V12)*100)/(V$2*(Calculator!$C$40+$C$39+$C$46))</f>
        <v>#DIV/0!</v>
      </c>
      <c r="X15" s="80" t="e">
        <f>MAX(X5,X6,X12)-MIN(X5,X6,X12)</f>
        <v>#DIV/0!</v>
      </c>
      <c r="Y15" s="21" t="s">
        <v>46</v>
      </c>
      <c r="Z15" s="28"/>
      <c r="AA15" s="10">
        <f>((Z5+Z6+Z12)*100)/(Z$2*(Calculator!$C$40+$C$39+$C$46))</f>
        <v>187.8434065934066</v>
      </c>
      <c r="AB15" s="80">
        <f>MAX(AB5,AB6,AB12)-MIN(AB5,AB6,AB12)</f>
        <v>103.49650349650346</v>
      </c>
      <c r="AC15" s="21" t="s">
        <v>46</v>
      </c>
      <c r="AD15" s="38"/>
      <c r="AE15" s="45" t="e">
        <f>((AD5+AD6+AD12)*100)/(AD$2*(Calculator!$C$40+$C$39+$C$46))</f>
        <v>#DIV/0!</v>
      </c>
      <c r="AF15" s="80" t="e">
        <f>MAX(AF5,AF6,AF12)-MIN(AF5,AF6,AF12)</f>
        <v>#DIV/0!</v>
      </c>
      <c r="AG15" s="21" t="s">
        <v>46</v>
      </c>
      <c r="AH15" s="38"/>
      <c r="AI15" s="45" t="e">
        <f>((AH5+AH6+AH12)*100)/(AH$2*(Calculator!$C$40+$C$39+$C$46))</f>
        <v>#DIV/0!</v>
      </c>
      <c r="AJ15" s="80" t="e">
        <f>MAX(AJ5,AJ6,AJ12)-MIN(AJ5,AJ6,AJ12)</f>
        <v>#DIV/0!</v>
      </c>
      <c r="AK15" s="21" t="s">
        <v>46</v>
      </c>
      <c r="AL15" s="38"/>
      <c r="AM15" s="45">
        <f>((AL5+AL6+AL12)*100)/(AL$2*(Calculator!$C$40+$C$39+$C$46))</f>
        <v>157.45464852607711</v>
      </c>
      <c r="AN15" s="80">
        <f>MAX(AN5,AN6,AN12)-MIN(AN5,AN6,AN12)</f>
        <v>43.405483405483409</v>
      </c>
      <c r="AO15" s="21" t="s">
        <v>46</v>
      </c>
      <c r="AP15" s="38"/>
      <c r="AQ15" s="45" t="e">
        <f>((AP5+AP6+AP12)*100)/(AP$2*(Reference!$C$40+$C$39+$C$46))</f>
        <v>#DIV/0!</v>
      </c>
      <c r="AR15" s="80" t="e">
        <f>MAX(AR5,AR6,AR12)-MIN(AR5,AR6,AR12)</f>
        <v>#DIV/0!</v>
      </c>
      <c r="AS15" s="21" t="s">
        <v>46</v>
      </c>
      <c r="AT15" s="38"/>
      <c r="AU15" s="45" t="e">
        <f>((AT5+AT6+AT12)*100)/(AT$2*(Reference!$C$40+$C$39+$C$46))</f>
        <v>#DIV/0!</v>
      </c>
      <c r="AV15" s="10" t="e">
        <f>MAX(AV5,AV6,AV12)-MIN(AV5,AV6,AV12)</f>
        <v>#DIV/0!</v>
      </c>
    </row>
    <row r="16" spans="1:48">
      <c r="A16" s="14"/>
      <c r="B16" s="19"/>
      <c r="C16" s="14"/>
      <c r="D16" s="16"/>
      <c r="E16" s="18"/>
      <c r="F16" s="19"/>
      <c r="G16" s="14"/>
      <c r="H16" s="14"/>
      <c r="I16" s="18"/>
      <c r="J16" s="19"/>
      <c r="K16" s="14"/>
      <c r="L16" s="14"/>
      <c r="M16" s="18"/>
      <c r="N16" s="19"/>
      <c r="O16" s="14"/>
      <c r="P16" s="14"/>
      <c r="Q16" s="18"/>
      <c r="R16" s="19"/>
      <c r="S16" s="14"/>
      <c r="T16" s="14"/>
      <c r="U16" s="18"/>
      <c r="V16" s="19"/>
      <c r="W16" s="14"/>
      <c r="X16" s="14"/>
      <c r="Y16" s="18"/>
      <c r="Z16" s="19"/>
      <c r="AA16" s="14"/>
      <c r="AB16" s="14"/>
      <c r="AC16" s="12"/>
      <c r="AD16" s="5"/>
      <c r="AE16" s="44"/>
      <c r="AF16" s="3"/>
      <c r="AG16" s="12"/>
      <c r="AH16" s="5"/>
      <c r="AI16" s="44"/>
      <c r="AJ16" s="3"/>
      <c r="AK16" s="12"/>
      <c r="AL16" s="5"/>
      <c r="AM16" s="44"/>
      <c r="AN16" s="3"/>
      <c r="AO16" s="12"/>
      <c r="AP16" s="5"/>
      <c r="AQ16" s="44"/>
      <c r="AR16" s="3"/>
      <c r="AS16" s="12"/>
      <c r="AT16" s="5"/>
      <c r="AU16" s="44"/>
      <c r="AV16" s="3"/>
    </row>
    <row r="17" spans="1:48" ht="47.25">
      <c r="A17" s="23" t="s">
        <v>30</v>
      </c>
      <c r="B17" s="43">
        <f>E37</f>
        <v>0</v>
      </c>
      <c r="C17" s="15" t="s">
        <v>31</v>
      </c>
      <c r="D17" s="51" t="s">
        <v>32</v>
      </c>
      <c r="E17" s="17" t="s">
        <v>33</v>
      </c>
      <c r="F17" s="43">
        <f>F37</f>
        <v>140</v>
      </c>
      <c r="G17" s="15" t="s">
        <v>31</v>
      </c>
      <c r="H17" s="14" t="s">
        <v>32</v>
      </c>
      <c r="I17" s="17" t="s">
        <v>34</v>
      </c>
      <c r="J17" s="43">
        <f>G37</f>
        <v>0</v>
      </c>
      <c r="K17" s="15" t="s">
        <v>31</v>
      </c>
      <c r="L17" s="14" t="s">
        <v>32</v>
      </c>
      <c r="M17" s="17" t="s">
        <v>35</v>
      </c>
      <c r="N17" s="43">
        <f>H37</f>
        <v>0</v>
      </c>
      <c r="O17" s="13" t="s">
        <v>31</v>
      </c>
      <c r="P17" s="14" t="s">
        <v>32</v>
      </c>
      <c r="Q17" s="17" t="s">
        <v>36</v>
      </c>
      <c r="R17" s="43">
        <f>E41</f>
        <v>0</v>
      </c>
      <c r="S17" s="15" t="s">
        <v>31</v>
      </c>
      <c r="T17" s="14" t="s">
        <v>32</v>
      </c>
      <c r="U17" s="17" t="s">
        <v>44</v>
      </c>
      <c r="V17" s="43">
        <f>F41</f>
        <v>0</v>
      </c>
      <c r="W17" s="15" t="s">
        <v>31</v>
      </c>
      <c r="X17" s="14" t="s">
        <v>32</v>
      </c>
      <c r="Y17" s="17" t="s">
        <v>45</v>
      </c>
      <c r="Z17" s="43">
        <f>G41</f>
        <v>0</v>
      </c>
      <c r="AA17" s="15" t="s">
        <v>31</v>
      </c>
      <c r="AB17" s="14" t="s">
        <v>32</v>
      </c>
      <c r="AC17" s="11" t="s">
        <v>47</v>
      </c>
      <c r="AD17" s="43">
        <f>H41</f>
        <v>0</v>
      </c>
      <c r="AE17" s="15" t="s">
        <v>31</v>
      </c>
      <c r="AF17" s="3" t="s">
        <v>32</v>
      </c>
      <c r="AG17" s="11" t="s">
        <v>54</v>
      </c>
      <c r="AH17" s="43">
        <f>F43</f>
        <v>180</v>
      </c>
      <c r="AI17" s="15" t="s">
        <v>31</v>
      </c>
      <c r="AJ17" s="3" t="s">
        <v>32</v>
      </c>
      <c r="AK17" s="11" t="s">
        <v>73</v>
      </c>
      <c r="AL17" s="43">
        <f>H43</f>
        <v>0</v>
      </c>
      <c r="AM17" s="15" t="s">
        <v>31</v>
      </c>
      <c r="AN17" s="3" t="s">
        <v>32</v>
      </c>
      <c r="AO17" s="11" t="s">
        <v>87</v>
      </c>
      <c r="AP17" s="73">
        <f>F45</f>
        <v>0</v>
      </c>
      <c r="AQ17" s="15" t="s">
        <v>31</v>
      </c>
      <c r="AR17" s="3" t="s">
        <v>32</v>
      </c>
      <c r="AS17" s="11" t="s">
        <v>104</v>
      </c>
      <c r="AT17" s="73">
        <f>H45</f>
        <v>0</v>
      </c>
      <c r="AU17" s="15" t="s">
        <v>31</v>
      </c>
      <c r="AV17" s="3" t="s">
        <v>32</v>
      </c>
    </row>
    <row r="18" spans="1:48" ht="47.25">
      <c r="A18" s="14" t="s">
        <v>18</v>
      </c>
      <c r="B18" s="19">
        <f>(24.9*B$17)/100</f>
        <v>0</v>
      </c>
      <c r="C18" s="15" t="s">
        <v>5</v>
      </c>
      <c r="D18" s="16"/>
      <c r="E18" s="18" t="s">
        <v>18</v>
      </c>
      <c r="F18" s="19">
        <f>(2.4*F$17)/100</f>
        <v>3.36</v>
      </c>
      <c r="G18" s="15" t="s">
        <v>5</v>
      </c>
      <c r="H18" s="14"/>
      <c r="I18" s="18" t="s">
        <v>18</v>
      </c>
      <c r="J18" s="19">
        <f>(2.7*J$17)/100</f>
        <v>0</v>
      </c>
      <c r="K18" s="15" t="s">
        <v>5</v>
      </c>
      <c r="L18" s="14"/>
      <c r="M18" s="18" t="s">
        <v>18</v>
      </c>
      <c r="N18" s="19">
        <f>(23.6*N$17)/100</f>
        <v>0</v>
      </c>
      <c r="O18" s="15" t="s">
        <v>5</v>
      </c>
      <c r="P18" s="14"/>
      <c r="Q18" s="18" t="s">
        <v>18</v>
      </c>
      <c r="R18" s="19">
        <f>(15.6*R$17)/100</f>
        <v>0</v>
      </c>
      <c r="S18" s="15" t="s">
        <v>5</v>
      </c>
      <c r="T18" s="14"/>
      <c r="U18" s="18" t="s">
        <v>18</v>
      </c>
      <c r="V18" s="19">
        <f>(17*V$17)/100</f>
        <v>0</v>
      </c>
      <c r="W18" s="15" t="s">
        <v>5</v>
      </c>
      <c r="X18" s="14"/>
      <c r="Y18" s="18" t="s">
        <v>18</v>
      </c>
      <c r="Z18" s="19">
        <f>(2.4*Z$17)/100</f>
        <v>0</v>
      </c>
      <c r="AA18" s="15" t="s">
        <v>5</v>
      </c>
      <c r="AB18" s="14"/>
      <c r="AC18" s="12" t="s">
        <v>18</v>
      </c>
      <c r="AD18" s="5">
        <f>(6*AD$17)/100</f>
        <v>0</v>
      </c>
      <c r="AE18" s="15" t="s">
        <v>5</v>
      </c>
      <c r="AF18" s="3"/>
      <c r="AG18" s="12" t="s">
        <v>18</v>
      </c>
      <c r="AH18" s="5">
        <f>(5.2*AH$17)/100</f>
        <v>9.36</v>
      </c>
      <c r="AI18" s="15" t="s">
        <v>5</v>
      </c>
      <c r="AJ18" s="3"/>
      <c r="AK18" s="12" t="s">
        <v>18</v>
      </c>
      <c r="AL18" s="5">
        <f>(11.7*AL$17)/100</f>
        <v>0</v>
      </c>
      <c r="AM18" s="15" t="s">
        <v>5</v>
      </c>
      <c r="AN18" s="3"/>
      <c r="AO18" s="12" t="s">
        <v>18</v>
      </c>
      <c r="AP18" s="5">
        <f>(22.1*AP$17)/100</f>
        <v>0</v>
      </c>
      <c r="AQ18" s="15" t="s">
        <v>5</v>
      </c>
      <c r="AR18" s="3"/>
      <c r="AS18" s="12" t="s">
        <v>18</v>
      </c>
      <c r="AT18" s="5">
        <f>(13.1*AT$17)/100</f>
        <v>0</v>
      </c>
      <c r="AU18" s="15" t="s">
        <v>5</v>
      </c>
      <c r="AV18" s="3"/>
    </row>
    <row r="19" spans="1:48">
      <c r="A19" s="14" t="s">
        <v>19</v>
      </c>
      <c r="B19" s="19">
        <f>(352*B$17)/100</f>
        <v>0</v>
      </c>
      <c r="C19" s="20" t="e">
        <f>(B19*100)/(B$18*Calculator!$C37)</f>
        <v>#DIV/0!</v>
      </c>
      <c r="D19" s="6" t="e">
        <f>C19-AVERAGE(C$19:C$29)</f>
        <v>#DIV/0!</v>
      </c>
      <c r="E19" s="18" t="s">
        <v>19</v>
      </c>
      <c r="F19" s="19">
        <f>(28*F$17)/100</f>
        <v>39.200000000000003</v>
      </c>
      <c r="G19" s="20">
        <f>(F19*100)/(F$18*Calculator!$C37)</f>
        <v>166.66666666666669</v>
      </c>
      <c r="H19" s="6">
        <f>G19-AVERAGE(G$19:G$29)</f>
        <v>14.894179305415321</v>
      </c>
      <c r="I19" s="18" t="s">
        <v>19</v>
      </c>
      <c r="J19" s="19">
        <f>(31*J$17)/100</f>
        <v>0</v>
      </c>
      <c r="K19" s="20" t="e">
        <f>(J19*100)/(J$18*Calculator!$C37)</f>
        <v>#DIV/0!</v>
      </c>
      <c r="L19" s="6" t="e">
        <f>K19-AVERAGE(K$19:K$29)</f>
        <v>#DIV/0!</v>
      </c>
      <c r="M19" s="18" t="s">
        <v>19</v>
      </c>
      <c r="N19" s="19">
        <f>(265*N$17)/100</f>
        <v>0</v>
      </c>
      <c r="O19" s="20" t="e">
        <f>(N19*100)/(N$18*Calculator!$C37)</f>
        <v>#DIV/0!</v>
      </c>
      <c r="P19" s="6" t="e">
        <f>O19-AVERAGE(O$19:O$29)</f>
        <v>#DIV/0!</v>
      </c>
      <c r="Q19" s="18" t="s">
        <v>19</v>
      </c>
      <c r="R19" s="19">
        <f>(125*R$17)/100</f>
        <v>0</v>
      </c>
      <c r="S19" s="20" t="e">
        <f>(R19*100)/(R$18*Calculator!$C37)</f>
        <v>#DIV/0!</v>
      </c>
      <c r="T19" s="6" t="e">
        <f>S19-AVERAGE(S$19:S$29)</f>
        <v>#DIV/0!</v>
      </c>
      <c r="U19" s="18" t="s">
        <v>19</v>
      </c>
      <c r="V19" s="19">
        <f>(371*V$17)/100</f>
        <v>0</v>
      </c>
      <c r="W19" s="20" t="e">
        <f>(V19*100)/(V$18*Calculator!$C37)</f>
        <v>#DIV/0!</v>
      </c>
      <c r="X19" s="6" t="e">
        <f>W19-AVERAGE(W$19:W$29)</f>
        <v>#DIV/0!</v>
      </c>
      <c r="Y19" s="18" t="s">
        <v>19</v>
      </c>
      <c r="Z19" s="19">
        <f>(34*Z$17)/100</f>
        <v>0</v>
      </c>
      <c r="AA19" s="20" t="e">
        <f>(Z19*100)/(Z$18*Calculator!$C37)</f>
        <v>#DIV/0!</v>
      </c>
      <c r="AB19" s="6" t="e">
        <f>AA19-AVERAGE(AA$19:AA$29)</f>
        <v>#DIV/0!</v>
      </c>
      <c r="AC19" s="12" t="s">
        <v>19</v>
      </c>
      <c r="AD19" s="5">
        <f>(84*AD$17)/100</f>
        <v>0</v>
      </c>
      <c r="AE19" s="20" t="e">
        <f>(AD19*100)/(AD$18*Calculator!$C37)</f>
        <v>#DIV/0!</v>
      </c>
      <c r="AF19" s="6" t="e">
        <f>AE19-AVERAGE(AE$19:AE$29)</f>
        <v>#DIV/0!</v>
      </c>
      <c r="AG19" s="12" t="s">
        <v>19</v>
      </c>
      <c r="AH19" s="5">
        <f>(35*AH$17)/100</f>
        <v>63</v>
      </c>
      <c r="AI19" s="20">
        <f>(AH19*100)/(AH$18*Calculator!$C37)</f>
        <v>96.15384615384616</v>
      </c>
      <c r="AJ19" s="6">
        <f>AI19-AVERAGE(AI$19:AI$29)</f>
        <v>-19.854319659066917</v>
      </c>
      <c r="AK19" s="12" t="s">
        <v>19</v>
      </c>
      <c r="AL19" s="5">
        <f>(155*AL$17)/100</f>
        <v>0</v>
      </c>
      <c r="AM19" s="20" t="e">
        <f>(AL19*100)/(AL$18*Calculator!$C37)</f>
        <v>#DIV/0!</v>
      </c>
      <c r="AN19" s="6" t="e">
        <f>AM19-AVERAGE(AM$19:AM$29)</f>
        <v>#DIV/0!</v>
      </c>
      <c r="AO19" s="12" t="s">
        <v>19</v>
      </c>
      <c r="AP19" s="5">
        <f>(248 *AP$17)/100</f>
        <v>0</v>
      </c>
      <c r="AQ19" s="20" t="e">
        <f>(AP19*100)/(AP$18*Reference!$C37)</f>
        <v>#DIV/0!</v>
      </c>
      <c r="AR19" s="6" t="e">
        <f>AQ19-AVERAGE(AQ$19:AQ$29)</f>
        <v>#DIV/0!</v>
      </c>
      <c r="AS19" s="12" t="s">
        <v>19</v>
      </c>
      <c r="AT19" s="5">
        <f>(182 *AT$17)/100</f>
        <v>0</v>
      </c>
      <c r="AU19" s="20" t="e">
        <f>(AT19*100)/(AT$18*Reference!$C37)</f>
        <v>#DIV/0!</v>
      </c>
      <c r="AV19" s="6" t="e">
        <f>AU19-AVERAGE(AU$19:AU$29)</f>
        <v>#DIV/0!</v>
      </c>
    </row>
    <row r="20" spans="1:48">
      <c r="A20" s="14" t="s">
        <v>20</v>
      </c>
      <c r="B20" s="19">
        <f>(930*B$17)/100</f>
        <v>0</v>
      </c>
      <c r="C20" s="20" t="e">
        <f>(B20*100)/(B$18*Calculator!$C38)</f>
        <v>#DIV/0!</v>
      </c>
      <c r="D20" s="6" t="e">
        <f>C20-AVERAGE(C$19:C$29)</f>
        <v>#DIV/0!</v>
      </c>
      <c r="E20" s="18" t="s">
        <v>20</v>
      </c>
      <c r="F20" s="19">
        <f>(85*F$17)/100</f>
        <v>119</v>
      </c>
      <c r="G20" s="20">
        <f>(F20*100)/(F$18*Calculator!$C38)</f>
        <v>131.17283950617283</v>
      </c>
      <c r="H20" s="6">
        <f>G20-AVERAGE(G$19:G$29)</f>
        <v>-20.59964785507853</v>
      </c>
      <c r="I20" s="18" t="s">
        <v>20</v>
      </c>
      <c r="J20" s="19">
        <f>(96*J$17)/100</f>
        <v>0</v>
      </c>
      <c r="K20" s="20" t="e">
        <f>(J20*100)/(J$18*Calculator!$C38)</f>
        <v>#DIV/0!</v>
      </c>
      <c r="L20" s="6" t="e">
        <f>K20-AVERAGE(K$19:K$29)</f>
        <v>#DIV/0!</v>
      </c>
      <c r="M20" s="18" t="s">
        <v>20</v>
      </c>
      <c r="N20" s="19">
        <f>(1035*N$17)/100</f>
        <v>0</v>
      </c>
      <c r="O20" s="20" t="e">
        <f>(N20*100)/(N$18*Calculator!$C38)</f>
        <v>#DIV/0!</v>
      </c>
      <c r="P20" s="6" t="e">
        <f>O20-AVERAGE(O$19:O$29)</f>
        <v>#DIV/0!</v>
      </c>
      <c r="Q20" s="18" t="s">
        <v>20</v>
      </c>
      <c r="R20" s="19">
        <f>(573*R$17)/100</f>
        <v>0</v>
      </c>
      <c r="S20" s="20" t="e">
        <f>(R20*100)/(R$18*Calculator!$C38)</f>
        <v>#DIV/0!</v>
      </c>
      <c r="T20" s="6" t="e">
        <f>S20-AVERAGE(S$19:S$29)</f>
        <v>#DIV/0!</v>
      </c>
      <c r="U20" s="18" t="s">
        <v>20</v>
      </c>
      <c r="V20" s="19">
        <f>(704*V$17)/100</f>
        <v>0</v>
      </c>
      <c r="W20" s="20" t="e">
        <f>(V20*100)/(V$18*Calculator!$C38)</f>
        <v>#DIV/0!</v>
      </c>
      <c r="X20" s="6" t="e">
        <f>W20-AVERAGE(W$19:W$29)</f>
        <v>#DIV/0!</v>
      </c>
      <c r="Y20" s="18" t="s">
        <v>20</v>
      </c>
      <c r="Z20" s="19">
        <f>(96*Z$17)/100</f>
        <v>0</v>
      </c>
      <c r="AA20" s="20" t="e">
        <f>(Z20*100)/(Z$18*Calculator!$C38)</f>
        <v>#DIV/0!</v>
      </c>
      <c r="AB20" s="6" t="e">
        <f>AA20-AVERAGE(AA$19:AA$29)</f>
        <v>#DIV/0!</v>
      </c>
      <c r="AC20" s="12" t="s">
        <v>20</v>
      </c>
      <c r="AD20" s="5">
        <f>(268*AD$17)/100</f>
        <v>0</v>
      </c>
      <c r="AE20" s="20" t="e">
        <f>(AD20*100)/(AD$18*Calculator!$C38)</f>
        <v>#DIV/0!</v>
      </c>
      <c r="AF20" s="6" t="e">
        <f>AE20-AVERAGE(AE$19:AE$29)</f>
        <v>#DIV/0!</v>
      </c>
      <c r="AG20" s="12" t="s">
        <v>20</v>
      </c>
      <c r="AH20" s="5">
        <f>(193*AH$17)/100</f>
        <v>347.4</v>
      </c>
      <c r="AI20" s="20">
        <f>(AH20*100)/(AH$18*Calculator!$C38)</f>
        <v>137.46438746438747</v>
      </c>
      <c r="AJ20" s="6">
        <f>AI20-AVERAGE(AI$19:AI$29)</f>
        <v>21.456221651474394</v>
      </c>
      <c r="AK20" s="12" t="s">
        <v>20</v>
      </c>
      <c r="AL20" s="5">
        <f>(479*AL$17)/100</f>
        <v>0</v>
      </c>
      <c r="AM20" s="20" t="e">
        <f>(AL20*100)/(AL$18*Calculator!$C38)</f>
        <v>#DIV/0!</v>
      </c>
      <c r="AN20" s="6" t="e">
        <f>AM20-AVERAGE(AM$19:AM$29)</f>
        <v>#DIV/0!</v>
      </c>
      <c r="AO20" s="12" t="s">
        <v>20</v>
      </c>
      <c r="AP20" s="5">
        <f>(969 *AP$17)/100</f>
        <v>0</v>
      </c>
      <c r="AQ20" s="20" t="e">
        <f>(AP20*100)/(AP$18*Reference!$C38)</f>
        <v>#DIV/0!</v>
      </c>
      <c r="AR20" s="6" t="e">
        <f>AQ20-AVERAGE(AQ$19:AQ$29)</f>
        <v>#DIV/0!</v>
      </c>
      <c r="AS20" s="12" t="s">
        <v>20</v>
      </c>
      <c r="AT20" s="5">
        <f>(382 *AT$17)/100</f>
        <v>0</v>
      </c>
      <c r="AU20" s="20" t="e">
        <f>(AT20*100)/(AT$18*Reference!$C38)</f>
        <v>#DIV/0!</v>
      </c>
      <c r="AV20" s="6" t="e">
        <f>AU20-AVERAGE(AU$19:AU$29)</f>
        <v>#DIV/0!</v>
      </c>
    </row>
    <row r="21" spans="1:48">
      <c r="A21" s="14" t="s">
        <v>21</v>
      </c>
      <c r="B21" s="19">
        <f>(1306*B$17)/100</f>
        <v>0</v>
      </c>
      <c r="C21" s="20" t="e">
        <f>(B21*100)/(B$18*Calculator!$C39)</f>
        <v>#DIV/0!</v>
      </c>
      <c r="D21" s="6" t="e">
        <f>C21-AVERAGE(C$19:C$29)</f>
        <v>#DIV/0!</v>
      </c>
      <c r="E21" s="18" t="s">
        <v>21</v>
      </c>
      <c r="F21" s="19">
        <f>(103*F$17)/100</f>
        <v>144.19999999999999</v>
      </c>
      <c r="G21" s="20">
        <f>(F21*100)/(F$18*Calculator!$C39)</f>
        <v>171.66666666666666</v>
      </c>
      <c r="H21" s="6">
        <f>G21-AVERAGE(G$19:G$29)</f>
        <v>19.894179305415292</v>
      </c>
      <c r="I21" s="18" t="s">
        <v>21</v>
      </c>
      <c r="J21" s="19">
        <f>(116*J$17)/100</f>
        <v>0</v>
      </c>
      <c r="K21" s="20" t="e">
        <f>(J21*100)/(J$18*Calculator!$C39)</f>
        <v>#DIV/0!</v>
      </c>
      <c r="L21" s="6" t="e">
        <f>K21-AVERAGE(K$19:K$29)</f>
        <v>#DIV/0!</v>
      </c>
      <c r="M21" s="18" t="s">
        <v>21</v>
      </c>
      <c r="N21" s="19">
        <f>(1088*N$17)/100</f>
        <v>0</v>
      </c>
      <c r="O21" s="20" t="e">
        <f>(N21*100)/(N$18*Calculator!$C39)</f>
        <v>#DIV/0!</v>
      </c>
      <c r="P21" s="6" t="e">
        <f>O21-AVERAGE(O$19:O$29)</f>
        <v>#DIV/0!</v>
      </c>
      <c r="Q21" s="18" t="s">
        <v>21</v>
      </c>
      <c r="R21" s="19">
        <f>(695*R$17)/100</f>
        <v>0</v>
      </c>
      <c r="S21" s="20" t="e">
        <f>(R21*100)/(R$18*Calculator!$C39)</f>
        <v>#DIV/0!</v>
      </c>
      <c r="T21" s="6" t="e">
        <f>S21-AVERAGE(S$19:S$29)</f>
        <v>#DIV/0!</v>
      </c>
      <c r="U21" s="18" t="s">
        <v>21</v>
      </c>
      <c r="V21" s="19">
        <f>(730*V$17)/100</f>
        <v>0</v>
      </c>
      <c r="W21" s="20" t="e">
        <f>(V21*100)/(V$18*Calculator!$C39)</f>
        <v>#DIV/0!</v>
      </c>
      <c r="X21" s="6" t="e">
        <f>W21-AVERAGE(W$19:W$29)</f>
        <v>#DIV/0!</v>
      </c>
      <c r="Y21" s="18" t="s">
        <v>21</v>
      </c>
      <c r="Z21" s="19">
        <f>(92*Z$17)/100</f>
        <v>0</v>
      </c>
      <c r="AA21" s="20" t="e">
        <f>(Z21*100)/(Z$18*Calculator!$C39)</f>
        <v>#DIV/0!</v>
      </c>
      <c r="AB21" s="6" t="e">
        <f>AA21-AVERAGE(AA$19:AA$29)</f>
        <v>#DIV/0!</v>
      </c>
      <c r="AC21" s="12" t="s">
        <v>21</v>
      </c>
      <c r="AD21" s="5">
        <f>(338*AD$17)/100</f>
        <v>0</v>
      </c>
      <c r="AE21" s="20" t="e">
        <f>(AD21*100)/(AD$18*Calculator!$C39)</f>
        <v>#DIV/0!</v>
      </c>
      <c r="AF21" s="6" t="e">
        <f>AE21-AVERAGE(AE$19:AE$29)</f>
        <v>#DIV/0!</v>
      </c>
      <c r="AG21" s="12" t="s">
        <v>21</v>
      </c>
      <c r="AH21" s="5">
        <f>(185*AH$17)/100</f>
        <v>333</v>
      </c>
      <c r="AI21" s="20">
        <f>(AH21*100)/(AH$18*Calculator!$C39)</f>
        <v>142.30769230769232</v>
      </c>
      <c r="AJ21" s="6">
        <f>AI21-AVERAGE(AI$19:AI$29)</f>
        <v>26.299526494779244</v>
      </c>
      <c r="AK21" s="12" t="s">
        <v>21</v>
      </c>
      <c r="AL21" s="5">
        <f>(508*AL$17)/100</f>
        <v>0</v>
      </c>
      <c r="AM21" s="20" t="e">
        <f>(AL21*100)/(AL$18*Calculator!$C39)</f>
        <v>#DIV/0!</v>
      </c>
      <c r="AN21" s="6" t="e">
        <f>AM21-AVERAGE(AM$19:AM$29)</f>
        <v>#DIV/0!</v>
      </c>
      <c r="AO21" s="12" t="s">
        <v>21</v>
      </c>
      <c r="AP21" s="5">
        <f>(1018*AP$17)/100</f>
        <v>0</v>
      </c>
      <c r="AQ21" s="20" t="e">
        <f>(AP21*100)/(AP$18*Reference!$C39)</f>
        <v>#DIV/0!</v>
      </c>
      <c r="AR21" s="6" t="e">
        <f>AQ21-AVERAGE(AQ$19:AQ$29)</f>
        <v>#DIV/0!</v>
      </c>
      <c r="AS21" s="12" t="s">
        <v>21</v>
      </c>
      <c r="AT21" s="5">
        <f>(503*AT$17)/100</f>
        <v>0</v>
      </c>
      <c r="AU21" s="20" t="e">
        <f>(AT21*100)/(AT$18*Reference!$C39)</f>
        <v>#DIV/0!</v>
      </c>
      <c r="AV21" s="6" t="e">
        <f>AU21-AVERAGE(AU$19:AU$29)</f>
        <v>#DIV/0!</v>
      </c>
    </row>
    <row r="22" spans="1:48">
      <c r="A22" s="14" t="s">
        <v>8</v>
      </c>
      <c r="B22" s="19">
        <f>(2564*B$17)/100</f>
        <v>0</v>
      </c>
      <c r="C22" s="20" t="e">
        <f>(B22*100)/(B$18*Calculator!$C40)</f>
        <v>#DIV/0!</v>
      </c>
      <c r="D22" s="6" t="e">
        <f>C22-AVERAGE(C$19:C$29)</f>
        <v>#DIV/0!</v>
      </c>
      <c r="E22" s="18" t="s">
        <v>8</v>
      </c>
      <c r="F22" s="19">
        <f>(197*F$17)/100</f>
        <v>275.8</v>
      </c>
      <c r="G22" s="20">
        <f>(F22*100)/(F$18*Calculator!$C40)</f>
        <v>149.24242424242425</v>
      </c>
      <c r="H22" s="6">
        <f>G22-AVERAGE(G$19:G$29)</f>
        <v>-2.5300631188271154</v>
      </c>
      <c r="I22" s="18" t="s">
        <v>8</v>
      </c>
      <c r="J22" s="19">
        <f>(222*J$17)/100</f>
        <v>0</v>
      </c>
      <c r="K22" s="20" t="e">
        <f>(J22*100)/(J$18*Calculator!$C40)</f>
        <v>#DIV/0!</v>
      </c>
      <c r="L22" s="6" t="e">
        <f>K22-AVERAGE(K$19:K$29)</f>
        <v>#DIV/0!</v>
      </c>
      <c r="M22" s="18" t="s">
        <v>8</v>
      </c>
      <c r="N22" s="19">
        <f>(1920*N$17)/100</f>
        <v>0</v>
      </c>
      <c r="O22" s="20" t="e">
        <f>(N22*100)/(N$18*Calculator!$C40)</f>
        <v>#DIV/0!</v>
      </c>
      <c r="P22" s="6" t="e">
        <f>O22-AVERAGE(O$19:O$29)</f>
        <v>#DIV/0!</v>
      </c>
      <c r="Q22" s="18" t="s">
        <v>8</v>
      </c>
      <c r="R22" s="19">
        <f>(1181*R$17)/100</f>
        <v>0</v>
      </c>
      <c r="S22" s="20" t="e">
        <f>(R22*100)/(R$18*Calculator!$C40)</f>
        <v>#DIV/0!</v>
      </c>
      <c r="T22" s="6" t="e">
        <f>S22-AVERAGE(S$19:S$29)</f>
        <v>#DIV/0!</v>
      </c>
      <c r="U22" s="18" t="s">
        <v>8</v>
      </c>
      <c r="V22" s="19">
        <f>(1299*V$17)/100</f>
        <v>0</v>
      </c>
      <c r="W22" s="20" t="e">
        <f>(V22*100)/(V$18*Calculator!$C40)</f>
        <v>#DIV/0!</v>
      </c>
      <c r="X22" s="6" t="e">
        <f>W22-AVERAGE(W$19:W$29)</f>
        <v>#DIV/0!</v>
      </c>
      <c r="Y22" s="18" t="s">
        <v>8</v>
      </c>
      <c r="Z22" s="19">
        <f>(147*Z$17)/100</f>
        <v>0</v>
      </c>
      <c r="AA22" s="20" t="e">
        <f>(Z22*100)/(Z$18*Calculator!$C40)</f>
        <v>#DIV/0!</v>
      </c>
      <c r="AB22" s="6" t="e">
        <f>AA22-AVERAGE(AA$19:AA$29)</f>
        <v>#DIV/0!</v>
      </c>
      <c r="AC22" s="12" t="s">
        <v>8</v>
      </c>
      <c r="AD22" s="5">
        <f>(587*AD$17)/100</f>
        <v>0</v>
      </c>
      <c r="AE22" s="20" t="e">
        <f>(AD22*100)/(AD$18*Calculator!$C40)</f>
        <v>#DIV/0!</v>
      </c>
      <c r="AF22" s="6" t="e">
        <f>AE22-AVERAGE(AE$19:AE$29)</f>
        <v>#DIV/0!</v>
      </c>
      <c r="AG22" s="12" t="s">
        <v>8</v>
      </c>
      <c r="AH22" s="5">
        <f>(307*AH$17)/100</f>
        <v>552.6</v>
      </c>
      <c r="AI22" s="20">
        <f>(AH22*100)/(AH$18*Calculator!$C40)</f>
        <v>107.34265734265735</v>
      </c>
      <c r="AJ22" s="6">
        <f>AI22-AVERAGE(AI$19:AI$29)</f>
        <v>-8.6655084702557303</v>
      </c>
      <c r="AK22" s="12" t="s">
        <v>8</v>
      </c>
      <c r="AL22" s="5">
        <f>(820*AL$17)/100</f>
        <v>0</v>
      </c>
      <c r="AM22" s="20" t="e">
        <f>(AL22*100)/(AL$18*Calculator!$C40)</f>
        <v>#DIV/0!</v>
      </c>
      <c r="AN22" s="6" t="e">
        <f>AM22-AVERAGE(AM$19:AM$29)</f>
        <v>#DIV/0!</v>
      </c>
      <c r="AO22" s="12" t="s">
        <v>8</v>
      </c>
      <c r="AP22" s="5">
        <f>(1796*AP$17)/100</f>
        <v>0</v>
      </c>
      <c r="AQ22" s="20" t="e">
        <f>(AP22*100)/(AP$18*Reference!$C40)</f>
        <v>#DIV/0!</v>
      </c>
      <c r="AR22" s="6" t="e">
        <f>AQ22-AVERAGE(AQ$19:AQ$29)</f>
        <v>#DIV/0!</v>
      </c>
      <c r="AS22" s="12" t="s">
        <v>8</v>
      </c>
      <c r="AT22" s="5">
        <f>(980*AT$17)/100</f>
        <v>0</v>
      </c>
      <c r="AU22" s="20" t="e">
        <f>(AT22*100)/(AT$18*Reference!$C40)</f>
        <v>#DIV/0!</v>
      </c>
      <c r="AV22" s="6" t="e">
        <f>AU22-AVERAGE(AU$19:AU$29)</f>
        <v>#DIV/0!</v>
      </c>
    </row>
    <row r="23" spans="1:48">
      <c r="A23" s="14" t="s">
        <v>22</v>
      </c>
      <c r="B23" s="19">
        <f>(2654*B$17)/100</f>
        <v>0</v>
      </c>
      <c r="C23" s="20" t="e">
        <f>(B23*100)/(B$18*Calculator!$C41)</f>
        <v>#DIV/0!</v>
      </c>
      <c r="D23" s="6" t="e">
        <f>C23-AVERAGE(C$19:C$29)</f>
        <v>#DIV/0!</v>
      </c>
      <c r="E23" s="18" t="s">
        <v>22</v>
      </c>
      <c r="F23" s="19">
        <f>(86*F$17)/100</f>
        <v>120.4</v>
      </c>
      <c r="G23" s="20">
        <f>(F23*100)/(F$18*Calculator!$C41)</f>
        <v>70.261437908496731</v>
      </c>
      <c r="H23" s="6">
        <f>G23-AVERAGE(G$19:G$29)</f>
        <v>-81.511049452754634</v>
      </c>
      <c r="I23" s="18" t="s">
        <v>22</v>
      </c>
      <c r="J23" s="19">
        <f>(97*J$17)/100</f>
        <v>0</v>
      </c>
      <c r="K23" s="20" t="e">
        <f>(J23*100)/(J$18*Calculator!$C41)</f>
        <v>#DIV/0!</v>
      </c>
      <c r="L23" s="6" t="e">
        <f>K23-AVERAGE(K$19:K$29)</f>
        <v>#DIV/0!</v>
      </c>
      <c r="M23" s="18" t="s">
        <v>22</v>
      </c>
      <c r="N23" s="19">
        <f>(2169*N$17)/100</f>
        <v>0</v>
      </c>
      <c r="O23" s="20" t="e">
        <f>(N23*100)/(N$18*Calculator!$C41)</f>
        <v>#DIV/0!</v>
      </c>
      <c r="P23" s="6" t="e">
        <f>O23-AVERAGE(O$19:O$29)</f>
        <v>#DIV/0!</v>
      </c>
      <c r="Q23" s="18" t="s">
        <v>22</v>
      </c>
      <c r="R23" s="19">
        <f>(832*R$17)/100</f>
        <v>0</v>
      </c>
      <c r="S23" s="20" t="e">
        <f>(R23*100)/(R$18*Calculator!$C41)</f>
        <v>#DIV/0!</v>
      </c>
      <c r="T23" s="6" t="e">
        <f>S23-AVERAGE(S$19:S$29)</f>
        <v>#DIV/0!</v>
      </c>
      <c r="U23" s="18" t="s">
        <v>22</v>
      </c>
      <c r="V23" s="19">
        <f>(544*V$17)/100</f>
        <v>0</v>
      </c>
      <c r="W23" s="20" t="e">
        <f>(V23*100)/(V$18*Calculator!$C41)</f>
        <v>#DIV/0!</v>
      </c>
      <c r="X23" s="6" t="e">
        <f>W23-AVERAGE(W$19:W$29)</f>
        <v>#DIV/0!</v>
      </c>
      <c r="Y23" s="18" t="s">
        <v>22</v>
      </c>
      <c r="Z23" s="19">
        <f>(155*Z$17)/100</f>
        <v>0</v>
      </c>
      <c r="AA23" s="20" t="e">
        <f>(Z23*100)/(Z$18*Calculator!$C41)</f>
        <v>#DIV/0!</v>
      </c>
      <c r="AB23" s="6" t="e">
        <f>AA23-AVERAGE(AA$19:AA$29)</f>
        <v>#DIV/0!</v>
      </c>
      <c r="AC23" s="12" t="s">
        <v>22</v>
      </c>
      <c r="AD23" s="5">
        <f>(513*AD$17)/100</f>
        <v>0</v>
      </c>
      <c r="AE23" s="20" t="e">
        <f>(AD23*100)/(AD$18*Calculator!$C41)</f>
        <v>#DIV/0!</v>
      </c>
      <c r="AF23" s="6" t="e">
        <f>AE23-AVERAGE(AE$19:AE$29)</f>
        <v>#DIV/0!</v>
      </c>
      <c r="AG23" s="12" t="s">
        <v>22</v>
      </c>
      <c r="AH23" s="5">
        <f>(302*AH$17)/100</f>
        <v>543.6</v>
      </c>
      <c r="AI23" s="20">
        <f>(AH23*100)/(AH$18*Calculator!$C41)</f>
        <v>113.87631975867271</v>
      </c>
      <c r="AJ23" s="6">
        <f>AI23-AVERAGE(AI$19:AI$29)</f>
        <v>-2.1318460542403699</v>
      </c>
      <c r="AK23" s="12" t="s">
        <v>22</v>
      </c>
      <c r="AL23" s="5">
        <f>(478*AL$17)/100</f>
        <v>0</v>
      </c>
      <c r="AM23" s="20" t="e">
        <f>(AL23*100)/(AL$18*Calculator!$C41)</f>
        <v>#DIV/0!</v>
      </c>
      <c r="AN23" s="6" t="e">
        <f>AM23-AVERAGE(AM$19:AM$29)</f>
        <v>#DIV/0!</v>
      </c>
      <c r="AO23" s="12" t="s">
        <v>22</v>
      </c>
      <c r="AP23" s="5">
        <f>(2030*AP$17)/100</f>
        <v>0</v>
      </c>
      <c r="AQ23" s="20" t="e">
        <f>(AP23*100)/(AP$18*Reference!$C41)</f>
        <v>#DIV/0!</v>
      </c>
      <c r="AR23" s="6" t="e">
        <f>AQ23-AVERAGE(AQ$19:AQ$29)</f>
        <v>#DIV/0!</v>
      </c>
      <c r="AS23" s="12" t="s">
        <v>22</v>
      </c>
      <c r="AT23" s="5">
        <f>(637*AT$17)/100</f>
        <v>0</v>
      </c>
      <c r="AU23" s="20" t="e">
        <f>(AT23*100)/(AT$18*Reference!$C41)</f>
        <v>#DIV/0!</v>
      </c>
      <c r="AV23" s="6" t="e">
        <f>AU23-AVERAGE(AU$19:AU$29)</f>
        <v>#DIV/0!</v>
      </c>
    </row>
    <row r="24" spans="1:48">
      <c r="A24" s="14" t="s">
        <v>10</v>
      </c>
      <c r="B24" s="19">
        <f>(719*B$17)/100</f>
        <v>0</v>
      </c>
      <c r="C24" s="20"/>
      <c r="D24" s="14"/>
      <c r="E24" s="12" t="s">
        <v>10</v>
      </c>
      <c r="F24" s="19">
        <f>(56*F$17)/100</f>
        <v>78.400000000000006</v>
      </c>
      <c r="G24" s="20"/>
      <c r="H24" s="14"/>
      <c r="I24" s="18" t="s">
        <v>10</v>
      </c>
      <c r="J24" s="19">
        <f>(63*J$17)/100</f>
        <v>0</v>
      </c>
      <c r="K24" s="20"/>
      <c r="L24" s="14"/>
      <c r="M24" s="18" t="s">
        <v>10</v>
      </c>
      <c r="N24" s="19">
        <f>(699*N$17)/100</f>
        <v>0</v>
      </c>
      <c r="O24" s="20"/>
      <c r="P24" s="14"/>
      <c r="Q24" s="18" t="s">
        <v>10</v>
      </c>
      <c r="R24" s="19">
        <f>(110*R$17)/100</f>
        <v>0</v>
      </c>
      <c r="S24" s="20"/>
      <c r="T24" s="14"/>
      <c r="U24" s="18" t="s">
        <v>10</v>
      </c>
      <c r="V24" s="19">
        <f>(560*V$17)/100</f>
        <v>0</v>
      </c>
      <c r="W24" s="20"/>
      <c r="X24" s="14"/>
      <c r="Y24" s="18" t="s">
        <v>10</v>
      </c>
      <c r="Z24" s="19">
        <f>(43*Z$17)/100</f>
        <v>0</v>
      </c>
      <c r="AA24" s="20"/>
      <c r="AB24" s="14"/>
      <c r="AC24" s="12" t="s">
        <v>10</v>
      </c>
      <c r="AD24" s="5">
        <f>(155*AD$17)/100</f>
        <v>0</v>
      </c>
      <c r="AE24" s="20"/>
      <c r="AF24" s="14"/>
      <c r="AG24" s="12" t="s">
        <v>10</v>
      </c>
      <c r="AH24" s="5">
        <f>(78*AH$17)/100</f>
        <v>140.4</v>
      </c>
      <c r="AI24" s="20"/>
      <c r="AJ24" s="14"/>
      <c r="AK24" s="12" t="s">
        <v>10</v>
      </c>
      <c r="AL24" s="5">
        <f>(129*AL$17)/100</f>
        <v>0</v>
      </c>
      <c r="AM24" s="20"/>
      <c r="AN24" s="14"/>
      <c r="AO24" s="12" t="s">
        <v>10</v>
      </c>
      <c r="AP24" s="5">
        <f>(654 *AP$17)/100</f>
        <v>0</v>
      </c>
      <c r="AQ24" s="20"/>
      <c r="AR24" s="14"/>
      <c r="AS24" s="12" t="s">
        <v>10</v>
      </c>
      <c r="AT24" s="5">
        <f>(207 *AT$17)/100</f>
        <v>0</v>
      </c>
      <c r="AU24" s="20"/>
      <c r="AV24" s="6"/>
    </row>
    <row r="25" spans="1:48">
      <c r="A25" s="14" t="s">
        <v>23</v>
      </c>
      <c r="B25" s="19">
        <f>(254*B$17)/100</f>
        <v>0</v>
      </c>
      <c r="C25" s="20" t="e">
        <f>((B$24+B$25)*100)/(B18*Calculator!$C$43)</f>
        <v>#DIV/0!</v>
      </c>
      <c r="D25" s="6" t="e">
        <f>C25-AVERAGE(C$19:C$29)</f>
        <v>#DIV/0!</v>
      </c>
      <c r="E25" s="12" t="s">
        <v>23</v>
      </c>
      <c r="F25" s="19">
        <f>(49*F$17)/100</f>
        <v>68.599999999999994</v>
      </c>
      <c r="G25" s="20">
        <f>((F$24+F$25)*100)/(F18*Calculator!$C$43)</f>
        <v>175</v>
      </c>
      <c r="H25" s="6">
        <f>G25-AVERAGE(G$19:G$29)</f>
        <v>23.227512638748635</v>
      </c>
      <c r="I25" s="18" t="s">
        <v>23</v>
      </c>
      <c r="J25" s="19">
        <f>(55*J$17)/100</f>
        <v>0</v>
      </c>
      <c r="K25" s="20" t="e">
        <f>((J$24+J$25)*100)/(J18*Calculator!$C$43)</f>
        <v>#DIV/0!</v>
      </c>
      <c r="L25" s="6" t="e">
        <f>K25-AVERAGE(K$19:K$29)</f>
        <v>#DIV/0!</v>
      </c>
      <c r="M25" s="18" t="s">
        <v>23</v>
      </c>
      <c r="N25" s="19">
        <f>(253*N$17)/100</f>
        <v>0</v>
      </c>
      <c r="O25" s="20" t="e">
        <f>((N$24+N$25)*100)/(N18*Calculator!$C$43)</f>
        <v>#DIV/0!</v>
      </c>
      <c r="P25" s="6" t="e">
        <f>O25-AVERAGE(O$19:O$29)</f>
        <v>#DIV/0!</v>
      </c>
      <c r="Q25" s="18" t="s">
        <v>23</v>
      </c>
      <c r="R25" s="19">
        <f>(192*R$17)/100</f>
        <v>0</v>
      </c>
      <c r="S25" s="20" t="e">
        <f>((R$24+R$25)*100)/(R18*Calculator!$C$43)</f>
        <v>#DIV/0!</v>
      </c>
      <c r="T25" s="6" t="e">
        <f>S25-AVERAGE(S$19:S$29)</f>
        <v>#DIV/0!</v>
      </c>
      <c r="U25" s="18" t="s">
        <v>23</v>
      </c>
      <c r="V25" s="19">
        <f>(342*V$17)/100</f>
        <v>0</v>
      </c>
      <c r="W25" s="20" t="e">
        <f>((V$24+V$25)*100)/(V18*Calculator!$C$43)</f>
        <v>#DIV/0!</v>
      </c>
      <c r="X25" s="6" t="e">
        <f>W25-AVERAGE(W$19:W$29)</f>
        <v>#DIV/0!</v>
      </c>
      <c r="Y25" s="18" t="s">
        <v>23</v>
      </c>
      <c r="Z25" s="19">
        <f>(31*Z$17)/100</f>
        <v>0</v>
      </c>
      <c r="AA25" s="20" t="e">
        <f>((Z$24+Z$25)*100)/(Z18*Calculator!$C$43)</f>
        <v>#DIV/0!</v>
      </c>
      <c r="AB25" s="6" t="e">
        <f>AA25-AVERAGE(AA$19:AA$29)</f>
        <v>#DIV/0!</v>
      </c>
      <c r="AC25" s="12" t="s">
        <v>23</v>
      </c>
      <c r="AD25" s="5">
        <f>(35*AD$17)/100</f>
        <v>0</v>
      </c>
      <c r="AE25" s="20" t="e">
        <f>((AD$24+AD$25)*100)/(AD18*Calculator!$C$43)</f>
        <v>#DIV/0!</v>
      </c>
      <c r="AF25" s="6" t="e">
        <f>AE25-AVERAGE(AE$19:AE$29)</f>
        <v>#DIV/0!</v>
      </c>
      <c r="AG25" s="12" t="s">
        <v>23</v>
      </c>
      <c r="AH25" s="5">
        <f>(30*AH$17)/100</f>
        <v>54</v>
      </c>
      <c r="AI25" s="20">
        <f>((AH$24+AH$25)*100)/(AH18*Calculator!$C$43)</f>
        <v>83.07692307692308</v>
      </c>
      <c r="AJ25" s="6">
        <f>AI25-AVERAGE(AI$19:AI$29)</f>
        <v>-32.931242735989997</v>
      </c>
      <c r="AK25" s="12" t="s">
        <v>23</v>
      </c>
      <c r="AL25" s="5">
        <f>(0*AL$17)/100</f>
        <v>0</v>
      </c>
      <c r="AM25" s="20" t="e">
        <f>((AL$24+AL$25)*100)/(AL18*Calculator!$C$43)</f>
        <v>#DIV/0!</v>
      </c>
      <c r="AN25" s="6" t="e">
        <f>AM25-AVERAGE(AM$19:AM$29)</f>
        <v>#DIV/0!</v>
      </c>
      <c r="AO25" s="12" t="s">
        <v>23</v>
      </c>
      <c r="AP25" s="5">
        <f>(237 *AP$17)/100</f>
        <v>0</v>
      </c>
      <c r="AQ25" s="20" t="e">
        <f>((AP$24+AP$25)*100)/(AP18*Reference!$C$43)</f>
        <v>#DIV/0!</v>
      </c>
      <c r="AR25" s="6" t="e">
        <f>AQ25-AVERAGE(AQ$19:AQ$29)</f>
        <v>#DIV/0!</v>
      </c>
      <c r="AS25" s="12" t="s">
        <v>23</v>
      </c>
      <c r="AT25" s="5">
        <f>(455 *AT$17)/100</f>
        <v>0</v>
      </c>
      <c r="AU25" s="20" t="e">
        <f>((AT$24+AT$25)*100)/(AT18*Reference!$C$43)</f>
        <v>#DIV/0!</v>
      </c>
      <c r="AV25" s="6" t="e">
        <f>AU25-AVERAGE(AU$19:AU$29)</f>
        <v>#DIV/0!</v>
      </c>
    </row>
    <row r="26" spans="1:48">
      <c r="A26" s="14" t="s">
        <v>12</v>
      </c>
      <c r="B26" s="19">
        <f>(1431*B$17)/100</f>
        <v>0</v>
      </c>
      <c r="C26" s="20"/>
      <c r="D26" s="14"/>
      <c r="E26" s="12" t="s">
        <v>12</v>
      </c>
      <c r="F26" s="19">
        <f>(127*F$17)/100</f>
        <v>177.8</v>
      </c>
      <c r="G26" s="20"/>
      <c r="H26" s="14"/>
      <c r="I26" s="18" t="s">
        <v>12</v>
      </c>
      <c r="J26" s="19">
        <f>(144*J$17)/100</f>
        <v>0</v>
      </c>
      <c r="K26" s="20"/>
      <c r="L26" s="14"/>
      <c r="M26" s="18" t="s">
        <v>12</v>
      </c>
      <c r="N26" s="19">
        <f>(922*N$17)/100</f>
        <v>0</v>
      </c>
      <c r="O26" s="20"/>
      <c r="P26" s="14"/>
      <c r="Q26" s="18" t="s">
        <v>12</v>
      </c>
      <c r="R26" s="19">
        <f>(618*R$17)/100</f>
        <v>0</v>
      </c>
      <c r="S26" s="20"/>
      <c r="T26" s="14"/>
      <c r="U26" s="18" t="s">
        <v>12</v>
      </c>
      <c r="V26" s="19">
        <f>(899*V$17)/100</f>
        <v>0</v>
      </c>
      <c r="W26" s="20"/>
      <c r="X26" s="14"/>
      <c r="Y26" s="18" t="s">
        <v>12</v>
      </c>
      <c r="Z26" s="19">
        <f>(116*Z$17)/100</f>
        <v>0</v>
      </c>
      <c r="AA26" s="20"/>
      <c r="AB26" s="14"/>
      <c r="AC26" s="12" t="s">
        <v>12</v>
      </c>
      <c r="AD26" s="5">
        <f>(284*AD$17)/100</f>
        <v>0</v>
      </c>
      <c r="AE26" s="20"/>
      <c r="AF26" s="14"/>
      <c r="AG26" s="12" t="s">
        <v>12</v>
      </c>
      <c r="AH26" s="5">
        <f>(190*AH$17)/100</f>
        <v>342</v>
      </c>
      <c r="AI26" s="20"/>
      <c r="AJ26" s="14"/>
      <c r="AK26" s="12" t="s">
        <v>12</v>
      </c>
      <c r="AL26" s="5">
        <f>(486*AL$17)/100</f>
        <v>0</v>
      </c>
      <c r="AM26" s="20"/>
      <c r="AN26" s="14"/>
      <c r="AO26" s="12" t="s">
        <v>12</v>
      </c>
      <c r="AP26" s="5">
        <f>(863 *AP$17)/100</f>
        <v>0</v>
      </c>
      <c r="AQ26" s="20"/>
      <c r="AR26" s="14"/>
      <c r="AS26" s="12" t="s">
        <v>12</v>
      </c>
      <c r="AT26" s="5">
        <f>(655 *AT$17)/100</f>
        <v>0</v>
      </c>
      <c r="AU26" s="20"/>
      <c r="AV26" s="6"/>
    </row>
    <row r="27" spans="1:48">
      <c r="A27" s="14" t="s">
        <v>24</v>
      </c>
      <c r="B27" s="19">
        <f>(1454*B$17)/100</f>
        <v>0</v>
      </c>
      <c r="C27" s="20" t="e">
        <f>((B$26+B$27)*100)/(B18*Calculator!$C$45)</f>
        <v>#DIV/0!</v>
      </c>
      <c r="D27" s="6" t="e">
        <f>C27-AVERAGE(C$19:C$29)</f>
        <v>#DIV/0!</v>
      </c>
      <c r="E27" s="18" t="s">
        <v>24</v>
      </c>
      <c r="F27" s="19">
        <f>(80*F$17)/100</f>
        <v>112</v>
      </c>
      <c r="G27" s="20">
        <f>((F$26+F$27)*100)/(F18*Calculator!$C$45)</f>
        <v>183.51063829787236</v>
      </c>
      <c r="H27" s="6">
        <f>G27-AVERAGE(G$19:G$29)</f>
        <v>31.738150936620997</v>
      </c>
      <c r="I27" s="18" t="s">
        <v>24</v>
      </c>
      <c r="J27" s="19">
        <f>(90*J$17)/100</f>
        <v>0</v>
      </c>
      <c r="K27" s="20" t="e">
        <f>((J$26+J$27)*100)/(J18*Calculator!$C$45)</f>
        <v>#DIV/0!</v>
      </c>
      <c r="L27" s="6" t="e">
        <f>K27-AVERAGE(K$19:K$29)</f>
        <v>#DIV/0!</v>
      </c>
      <c r="M27" s="18" t="s">
        <v>24</v>
      </c>
      <c r="N27" s="19">
        <f>(797*N$17)/100</f>
        <v>0</v>
      </c>
      <c r="O27" s="20" t="e">
        <f>((N$26+N$27)*100)/(N18*Calculator!$C$45)</f>
        <v>#DIV/0!</v>
      </c>
      <c r="P27" s="6" t="e">
        <f>O27-AVERAGE(O$19:O$29)</f>
        <v>#DIV/0!</v>
      </c>
      <c r="Q27" s="18" t="s">
        <v>24</v>
      </c>
      <c r="R27" s="19">
        <f>(585*R$17)/100</f>
        <v>0</v>
      </c>
      <c r="S27" s="20" t="e">
        <f>((R$26+R$27)*100)/(R18*Calculator!$C$45)</f>
        <v>#DIV/0!</v>
      </c>
      <c r="T27" s="6" t="e">
        <f>S27-AVERAGE(S$19:S$29)</f>
        <v>#DIV/0!</v>
      </c>
      <c r="U27" s="18" t="s">
        <v>24</v>
      </c>
      <c r="V27" s="19">
        <f>(710*V$17)/100</f>
        <v>0</v>
      </c>
      <c r="W27" s="20" t="e">
        <f>((V$26+V$27)*100)/(V18*Calculator!$C$45)</f>
        <v>#DIV/0!</v>
      </c>
      <c r="X27" s="6" t="e">
        <f>W27-AVERAGE(W$19:W$29)</f>
        <v>#DIV/0!</v>
      </c>
      <c r="Y27" s="18" t="s">
        <v>24</v>
      </c>
      <c r="Z27" s="19">
        <f>(60*Z$17)/100</f>
        <v>0</v>
      </c>
      <c r="AA27" s="20" t="e">
        <f>((Z$26+Z$27)*100)/(Z18*Calculator!$C$45)</f>
        <v>#DIV/0!</v>
      </c>
      <c r="AB27" s="6" t="e">
        <f>AA27-AVERAGE(AA$19:AA$29)</f>
        <v>#DIV/0!</v>
      </c>
      <c r="AC27" s="12" t="s">
        <v>24</v>
      </c>
      <c r="AD27" s="5">
        <f>(281*AD$17)/100</f>
        <v>0</v>
      </c>
      <c r="AE27" s="20" t="e">
        <f>((AD$26+AD$27)*100)/(AD18*Calculator!$C$45)</f>
        <v>#DIV/0!</v>
      </c>
      <c r="AF27" s="6" t="e">
        <f>AE27-AVERAGE(AE$19:AE$29)</f>
        <v>#DIV/0!</v>
      </c>
      <c r="AG27" s="12" t="s">
        <v>24</v>
      </c>
      <c r="AH27" s="5">
        <f>(108*AH$17)/100</f>
        <v>194.4</v>
      </c>
      <c r="AI27" s="20">
        <f>((AH$26+AH$27)*100)/(AH18*Calculator!$C$45)</f>
        <v>121.93126022913258</v>
      </c>
      <c r="AJ27" s="6">
        <f>AI27-AVERAGE(AI$19:AI$29)</f>
        <v>5.9230944162194987</v>
      </c>
      <c r="AK27" s="12" t="s">
        <v>24</v>
      </c>
      <c r="AL27" s="5">
        <f>(352*AL$17)/100</f>
        <v>0</v>
      </c>
      <c r="AM27" s="20" t="e">
        <f>((AL$26+AL$27)*100)/(AL18*Calculator!$C$45)</f>
        <v>#DIV/0!</v>
      </c>
      <c r="AN27" s="6" t="e">
        <f>AM27-AVERAGE(AM$19:AM$29)</f>
        <v>#DIV/0!</v>
      </c>
      <c r="AO27" s="12" t="s">
        <v>24</v>
      </c>
      <c r="AP27" s="5">
        <f>(746 *AP$17)/100</f>
        <v>0</v>
      </c>
      <c r="AQ27" s="20" t="e">
        <f>((AP$26+AP$27)*100)/(AP18*Reference!$C$45)</f>
        <v>#DIV/0!</v>
      </c>
      <c r="AR27" s="6" t="e">
        <f>AQ27-AVERAGE(AQ$19:AQ$29)</f>
        <v>#DIV/0!</v>
      </c>
      <c r="AS27" s="12" t="s">
        <v>24</v>
      </c>
      <c r="AT27" s="5">
        <f>(395 *AT$17)/100</f>
        <v>0</v>
      </c>
      <c r="AU27" s="20" t="e">
        <f>((AT$26+AT$27)*100)/(AT18*Reference!$C$45)</f>
        <v>#DIV/0!</v>
      </c>
      <c r="AV27" s="6" t="e">
        <f>AU27-AVERAGE(AU$19:AU$29)</f>
        <v>#DIV/0!</v>
      </c>
    </row>
    <row r="28" spans="1:48">
      <c r="A28" s="14" t="s">
        <v>25</v>
      </c>
      <c r="B28" s="19">
        <f>(1806*B$17)/100</f>
        <v>0</v>
      </c>
      <c r="C28" s="20" t="e">
        <f>(B28*100)/(B$18*Calculator!$C46)</f>
        <v>#DIV/0!</v>
      </c>
      <c r="D28" s="6" t="e">
        <f>C28-AVERAGE(C$19:C$29)</f>
        <v>#DIV/0!</v>
      </c>
      <c r="E28" s="18" t="s">
        <v>25</v>
      </c>
      <c r="F28" s="19">
        <f>(145*F$17)/100</f>
        <v>203</v>
      </c>
      <c r="G28" s="20">
        <f>(F28*100)/(F$18*Calculator!$C46)</f>
        <v>188.80208333333334</v>
      </c>
      <c r="H28" s="6">
        <f>G28-AVERAGE(G$19:G$29)</f>
        <v>37.029595972081978</v>
      </c>
      <c r="I28" s="18" t="s">
        <v>25</v>
      </c>
      <c r="J28" s="19">
        <f>(164*J$17)/100</f>
        <v>0</v>
      </c>
      <c r="K28" s="20" t="e">
        <f>(J28*100)/(J$18*Calculator!$C46)</f>
        <v>#DIV/0!</v>
      </c>
      <c r="L28" s="6" t="e">
        <f>K28-AVERAGE(K$19:K$29)</f>
        <v>#DIV/0!</v>
      </c>
      <c r="M28" s="18" t="s">
        <v>25</v>
      </c>
      <c r="N28" s="19">
        <f>(1217*N$17)/100</f>
        <v>0</v>
      </c>
      <c r="O28" s="20" t="e">
        <f>(N28*100)/(N$18*Calculator!$C46)</f>
        <v>#DIV/0!</v>
      </c>
      <c r="P28" s="6" t="e">
        <f>O28-AVERAGE(O$19:O$29)</f>
        <v>#DIV/0!</v>
      </c>
      <c r="Q28" s="18" t="s">
        <v>25</v>
      </c>
      <c r="R28" s="19">
        <f>(650*R$17)/100</f>
        <v>0</v>
      </c>
      <c r="S28" s="20" t="e">
        <f>(R28*100)/(R$18*Calculator!$C46)</f>
        <v>#DIV/0!</v>
      </c>
      <c r="T28" s="6" t="e">
        <f>S28-AVERAGE(S$19:S$29)</f>
        <v>#DIV/0!</v>
      </c>
      <c r="U28" s="18" t="s">
        <v>25</v>
      </c>
      <c r="V28" s="19">
        <f>(947*V$17)/100</f>
        <v>0</v>
      </c>
      <c r="W28" s="20" t="e">
        <f>(V28*100)/(V$18*Calculator!$C46)</f>
        <v>#DIV/0!</v>
      </c>
      <c r="X28" s="6" t="e">
        <f>W28-AVERAGE(W$19:W$29)</f>
        <v>#DIV/0!</v>
      </c>
      <c r="Y28" s="18" t="s">
        <v>25</v>
      </c>
      <c r="Z28" s="19">
        <f>(138*Z$17)/100</f>
        <v>0</v>
      </c>
      <c r="AA28" s="20" t="e">
        <f>(Z28*100)/(Z$18*Calculator!$C46)</f>
        <v>#DIV/0!</v>
      </c>
      <c r="AB28" s="6" t="e">
        <f>AA28-AVERAGE(AA$19:AA$29)</f>
        <v>#DIV/0!</v>
      </c>
      <c r="AC28" s="12" t="s">
        <v>25</v>
      </c>
      <c r="AD28" s="5">
        <f>(448*AD$17)/100</f>
        <v>0</v>
      </c>
      <c r="AE28" s="20" t="e">
        <f>(AD28*100)/(AD$18*Calculator!$C46)</f>
        <v>#DIV/0!</v>
      </c>
      <c r="AF28" s="6" t="e">
        <f>AE28-AVERAGE(AE$19:AE$29)</f>
        <v>#DIV/0!</v>
      </c>
      <c r="AG28" s="12" t="s">
        <v>25</v>
      </c>
      <c r="AH28" s="5">
        <f>(223*AH$17)/100</f>
        <v>401.4</v>
      </c>
      <c r="AI28" s="20">
        <f>(AH28*100)/(AH$18*Calculator!$C46)</f>
        <v>134.01442307692309</v>
      </c>
      <c r="AJ28" s="6">
        <f>AI28-AVERAGE(AI$19:AI$29)</f>
        <v>18.006257264010017</v>
      </c>
      <c r="AK28" s="12" t="s">
        <v>25</v>
      </c>
      <c r="AL28" s="5">
        <f>(547*AL$17)/100</f>
        <v>0</v>
      </c>
      <c r="AM28" s="20" t="e">
        <f>(AL28*100)/(AL$18*Calculator!$C46)</f>
        <v>#DIV/0!</v>
      </c>
      <c r="AN28" s="6" t="e">
        <f>AM28-AVERAGE(AM$19:AM$29)</f>
        <v>#DIV/0!</v>
      </c>
      <c r="AO28" s="12" t="s">
        <v>25</v>
      </c>
      <c r="AP28" s="5">
        <f>(1139*AP$17)/100</f>
        <v>0</v>
      </c>
      <c r="AQ28" s="20" t="e">
        <f>(AP28*100)/(AP$18*Reference!$C46)</f>
        <v>#DIV/0!</v>
      </c>
      <c r="AR28" s="6" t="e">
        <f>AQ28-AVERAGE(AQ$19:AQ$29)</f>
        <v>#DIV/0!</v>
      </c>
      <c r="AS28" s="12" t="s">
        <v>25</v>
      </c>
      <c r="AT28" s="5">
        <f>(688*AT$17)/100</f>
        <v>0</v>
      </c>
      <c r="AU28" s="20" t="e">
        <f>(AT28*100)/(AT$18*Reference!$C46)</f>
        <v>#DIV/0!</v>
      </c>
      <c r="AV28" s="6" t="e">
        <f>AU28-AVERAGE(AU$19:AU$29)</f>
        <v>#DIV/0!</v>
      </c>
    </row>
    <row r="29" spans="1:48">
      <c r="A29" s="14" t="s">
        <v>26</v>
      </c>
      <c r="B29" s="19">
        <f>(962*B$17)/100</f>
        <v>0</v>
      </c>
      <c r="C29" s="20" t="e">
        <f>(B29*100)/(B$18*Calculator!$C47)</f>
        <v>#DIV/0!</v>
      </c>
      <c r="D29" s="6" t="e">
        <f>C29-AVERAGE(C$19:C$29)</f>
        <v>#DIV/0!</v>
      </c>
      <c r="E29" s="18" t="s">
        <v>26</v>
      </c>
      <c r="F29" s="19">
        <f>(56*F$17)/100</f>
        <v>78.400000000000006</v>
      </c>
      <c r="G29" s="20">
        <f>(F29*100)/(F$18*Calculator!$C47)</f>
        <v>129.62962962962965</v>
      </c>
      <c r="H29" s="6">
        <f>G29-AVERAGE(G$19:G$29)</f>
        <v>-22.142857731621717</v>
      </c>
      <c r="I29" s="18" t="s">
        <v>26</v>
      </c>
      <c r="J29" s="19">
        <f>(63*J$17)/100</f>
        <v>0</v>
      </c>
      <c r="K29" s="20" t="e">
        <f>(J29*100)/(J$18*Calculator!$C47)</f>
        <v>#DIV/0!</v>
      </c>
      <c r="L29" s="6" t="e">
        <f>K29-AVERAGE(K$19:K$29)</f>
        <v>#DIV/0!</v>
      </c>
      <c r="M29" s="18" t="s">
        <v>26</v>
      </c>
      <c r="N29" s="19">
        <f>(695*N$17)/100</f>
        <v>0</v>
      </c>
      <c r="O29" s="20" t="e">
        <f>(N29*100)/(N$18*Calculator!$C47)</f>
        <v>#DIV/0!</v>
      </c>
      <c r="P29" s="6" t="e">
        <f>O29-AVERAGE(O$19:O$29)</f>
        <v>#DIV/0!</v>
      </c>
      <c r="Q29" s="18" t="s">
        <v>26</v>
      </c>
      <c r="R29" s="19">
        <f>(443*R$17)/100</f>
        <v>0</v>
      </c>
      <c r="S29" s="20" t="e">
        <f>(R29*100)/(R$18*Calculator!$C47)</f>
        <v>#DIV/0!</v>
      </c>
      <c r="T29" s="6" t="e">
        <f>S29-AVERAGE(S$19:S$29)</f>
        <v>#DIV/0!</v>
      </c>
      <c r="U29" s="18" t="s">
        <v>26</v>
      </c>
      <c r="V29" s="19">
        <f>(499*V$17)/100</f>
        <v>0</v>
      </c>
      <c r="W29" s="20" t="e">
        <f>(V29*100)/(V$18*Calculator!$C47)</f>
        <v>#DIV/0!</v>
      </c>
      <c r="X29" s="6" t="e">
        <f>W29-AVERAGE(W$19:W$29)</f>
        <v>#DIV/0!</v>
      </c>
      <c r="Y29" s="18" t="s">
        <v>26</v>
      </c>
      <c r="Z29" s="19">
        <f>(63*Z$17)/100</f>
        <v>0</v>
      </c>
      <c r="AA29" s="20" t="e">
        <f>(Z29*100)/(Z$18*Calculator!$C47)</f>
        <v>#DIV/0!</v>
      </c>
      <c r="AB29" s="6" t="e">
        <f>AA29-AVERAGE(AA$19:AA$29)</f>
        <v>#DIV/0!</v>
      </c>
      <c r="AC29" s="12" t="s">
        <v>26</v>
      </c>
      <c r="AD29" s="5">
        <f>(167*AD$17)/100</f>
        <v>0</v>
      </c>
      <c r="AE29" s="20" t="e">
        <f>(AD29*100)/(AD$18*Calculator!$C47)</f>
        <v>#DIV/0!</v>
      </c>
      <c r="AF29" s="6" t="e">
        <f>AE29-AVERAGE(AE$19:AE$29)</f>
        <v>#DIV/0!</v>
      </c>
      <c r="AG29" s="12" t="s">
        <v>26</v>
      </c>
      <c r="AH29" s="5">
        <f>(101*AH$17)/100</f>
        <v>181.8</v>
      </c>
      <c r="AI29" s="20">
        <f>(AH29*100)/(AH$18*Calculator!$C47)</f>
        <v>107.90598290598291</v>
      </c>
      <c r="AJ29" s="6">
        <f>AI29-AVERAGE(AI$19:AI$29)</f>
        <v>-8.1021829069301674</v>
      </c>
      <c r="AK29" s="12" t="s">
        <v>26</v>
      </c>
      <c r="AL29" s="5">
        <f>(243*AL$17)/100</f>
        <v>0</v>
      </c>
      <c r="AM29" s="20" t="e">
        <f>(AL29*100)/(AL$18*Calculator!$C47)</f>
        <v>#DIV/0!</v>
      </c>
      <c r="AN29" s="6" t="e">
        <f>AM29-AVERAGE(AM$19:AM$29)</f>
        <v>#DIV/0!</v>
      </c>
      <c r="AO29" s="12" t="s">
        <v>26</v>
      </c>
      <c r="AP29" s="5">
        <f>(651 *AP$17)/100</f>
        <v>0</v>
      </c>
      <c r="AQ29" s="20" t="e">
        <f>(AP29*100)/(AP$18*Reference!$C47)</f>
        <v>#DIV/0!</v>
      </c>
      <c r="AR29" s="6" t="e">
        <f>AQ29-AVERAGE(AQ$19:AQ$29)</f>
        <v>#DIV/0!</v>
      </c>
      <c r="AS29" s="12" t="s">
        <v>26</v>
      </c>
      <c r="AT29" s="5">
        <f>(275 *AT$17)/100</f>
        <v>0</v>
      </c>
      <c r="AU29" s="20" t="e">
        <f>(AT29*100)/(AT$18*Reference!$C47)</f>
        <v>#DIV/0!</v>
      </c>
      <c r="AV29" s="6" t="e">
        <f>AU29-AVERAGE(AU$19:AU$29)</f>
        <v>#DIV/0!</v>
      </c>
    </row>
    <row r="30" spans="1:48">
      <c r="A30" s="12" t="s">
        <v>94</v>
      </c>
      <c r="B30" s="19"/>
      <c r="C30" s="14"/>
      <c r="D30" s="16"/>
      <c r="E30" s="12" t="s">
        <v>94</v>
      </c>
      <c r="F30" s="19"/>
      <c r="G30" s="14"/>
      <c r="H30" s="6"/>
      <c r="I30" s="12" t="s">
        <v>94</v>
      </c>
      <c r="J30" s="19"/>
      <c r="K30" s="14"/>
      <c r="L30" s="14"/>
      <c r="M30" s="12" t="s">
        <v>94</v>
      </c>
      <c r="N30" s="19"/>
      <c r="O30" s="14"/>
      <c r="P30" s="6"/>
      <c r="Q30" s="12" t="s">
        <v>94</v>
      </c>
      <c r="R30" s="19"/>
      <c r="S30" s="14"/>
      <c r="T30" s="14"/>
      <c r="U30" s="12" t="s">
        <v>94</v>
      </c>
      <c r="V30" s="19"/>
      <c r="W30" s="14"/>
      <c r="X30" s="14"/>
      <c r="Y30" s="12" t="s">
        <v>94</v>
      </c>
      <c r="Z30" s="19"/>
      <c r="AA30" s="14"/>
      <c r="AB30" s="14"/>
      <c r="AC30" s="12" t="s">
        <v>94</v>
      </c>
      <c r="AD30" s="5"/>
      <c r="AE30" s="44"/>
      <c r="AF30" s="3"/>
      <c r="AG30" s="12" t="s">
        <v>94</v>
      </c>
      <c r="AH30" s="5"/>
      <c r="AI30" s="44"/>
      <c r="AJ30" s="3"/>
      <c r="AK30" s="12" t="s">
        <v>94</v>
      </c>
      <c r="AL30" s="5"/>
      <c r="AM30" s="44"/>
      <c r="AN30" s="3"/>
      <c r="AO30" s="12" t="s">
        <v>94</v>
      </c>
      <c r="AP30" s="5"/>
      <c r="AQ30" s="44"/>
      <c r="AR30" s="3"/>
      <c r="AS30" s="12" t="s">
        <v>94</v>
      </c>
      <c r="AT30" s="5"/>
      <c r="AU30" s="44"/>
      <c r="AV30" s="3"/>
    </row>
    <row r="31" spans="1:48" ht="16.5" thickBot="1">
      <c r="A31" s="21" t="s">
        <v>46</v>
      </c>
      <c r="B31" s="31"/>
      <c r="C31" s="10" t="e">
        <f>((B21+B22+B28)*100)/(B$18*(Calculator!$C$39+$C$40+$C$46))</f>
        <v>#DIV/0!</v>
      </c>
      <c r="D31" s="80" t="e">
        <f>MAX(D21,D22,D28)-MIN(D21,D22,D28)</f>
        <v>#DIV/0!</v>
      </c>
      <c r="E31" s="21" t="s">
        <v>46</v>
      </c>
      <c r="F31" s="28"/>
      <c r="G31" s="10">
        <f>((F21+F22+F28)*100)/(F$18*(Calculator!$C$39+$C$40+$C$46))</f>
        <v>165.55059523809524</v>
      </c>
      <c r="H31" s="10">
        <f>MAX(H21,H22,H28)-MIN(H21,H22,H28)</f>
        <v>39.559659090909093</v>
      </c>
      <c r="I31" s="21" t="s">
        <v>46</v>
      </c>
      <c r="J31" s="28"/>
      <c r="K31" s="10" t="e">
        <f>((J21+J22+J28)*100)/(J$18*(Calculator!$C$39+$C$40+$C$46))</f>
        <v>#DIV/0!</v>
      </c>
      <c r="L31" s="80" t="e">
        <f>MAX(L21,L22,L28)-MIN(L21,L22,L28)</f>
        <v>#DIV/0!</v>
      </c>
      <c r="M31" s="21" t="s">
        <v>46</v>
      </c>
      <c r="N31" s="28"/>
      <c r="O31" s="10" t="e">
        <f>((N21+N22+N28)*100)/(N$18*(Calculator!$C$39+$C$40+$C$46))</f>
        <v>#DIV/0!</v>
      </c>
      <c r="P31" s="80" t="e">
        <f>MAX(P21,P22,P28)-MIN(P21,P22,P28)</f>
        <v>#DIV/0!</v>
      </c>
      <c r="Q31" s="21" t="s">
        <v>46</v>
      </c>
      <c r="R31" s="28"/>
      <c r="S31" s="10" t="e">
        <f>((R21+R22+R28)*100)/(R$18*(Calculator!$C$39+$C$40+$C$46))</f>
        <v>#DIV/0!</v>
      </c>
      <c r="T31" s="80" t="e">
        <f>MAX(T21,T22,T28)-MIN(T21,T22,T28)</f>
        <v>#DIV/0!</v>
      </c>
      <c r="U31" s="21" t="s">
        <v>46</v>
      </c>
      <c r="V31" s="28"/>
      <c r="W31" s="10" t="e">
        <f>((V21+V22+V28)*100)/(V$18*(Calculator!$C$39+$C$40+$C$46))</f>
        <v>#DIV/0!</v>
      </c>
      <c r="X31" s="80" t="e">
        <f>MAX(X21,X22,X28)-MIN(X21,X22,X28)</f>
        <v>#DIV/0!</v>
      </c>
      <c r="Y31" s="21" t="s">
        <v>46</v>
      </c>
      <c r="Z31" s="28"/>
      <c r="AA31" s="10" t="e">
        <f>((Z21+Z22+Z28)*100)/(Z$18*(Calculator!$C$39+$C$40+$C$46))</f>
        <v>#DIV/0!</v>
      </c>
      <c r="AB31" s="80" t="e">
        <f>MAX(AB21,AB22,AB28)-MIN(AB21,AB22,AB28)</f>
        <v>#DIV/0!</v>
      </c>
      <c r="AC31" s="21" t="s">
        <v>46</v>
      </c>
      <c r="AD31" s="38"/>
      <c r="AE31" s="45" t="e">
        <f>((AD21+AD22+AD28)*100)/(AD$18*(Calculator!$C$39+$C$40+$C$46))</f>
        <v>#DIV/0!</v>
      </c>
      <c r="AF31" s="80" t="e">
        <f>MAX(AF21,AF22,AF28)-MIN(AF21,AF22,AF28)</f>
        <v>#DIV/0!</v>
      </c>
      <c r="AG31" s="21" t="s">
        <v>46</v>
      </c>
      <c r="AH31" s="38"/>
      <c r="AI31" s="45">
        <f>((AH21+AH22+AH28)*100)/(AH$18*(Calculator!$C$39+$C$40+$C$46))</f>
        <v>122.76785714285715</v>
      </c>
      <c r="AJ31" s="80">
        <f>MAX(AJ21,AJ22,AJ28)-MIN(AJ21,AJ22,AJ28)</f>
        <v>34.965034965034974</v>
      </c>
      <c r="AK31" s="21" t="s">
        <v>46</v>
      </c>
      <c r="AL31" s="38"/>
      <c r="AM31" s="45" t="e">
        <f>((AL21+AL22+AL28)*100)/(AL$18*(Calculator!$C$39+$C$40+$C$46))</f>
        <v>#DIV/0!</v>
      </c>
      <c r="AN31" s="80" t="e">
        <f>MAX(AN21,AN22,AN28)-MIN(AN21,AN22,AN28)</f>
        <v>#DIV/0!</v>
      </c>
      <c r="AO31" s="21" t="s">
        <v>46</v>
      </c>
      <c r="AP31" s="38"/>
      <c r="AQ31" s="45" t="e">
        <f>((AP21+AP22+AP28)*100)/(AP$18*(Reference!$C$39+$C$40+$C$46))</f>
        <v>#DIV/0!</v>
      </c>
      <c r="AR31" s="80" t="e">
        <f>MAX(AR21,AR22,AR28)-MIN(AR21,AR22,AR28)</f>
        <v>#DIV/0!</v>
      </c>
      <c r="AS31" s="21" t="s">
        <v>46</v>
      </c>
      <c r="AT31" s="38"/>
      <c r="AU31" s="45" t="e">
        <f>((AT21+AT22+AT28)*100)/(AT$18*(Reference!$C$39+$C$40+$C$46))</f>
        <v>#DIV/0!</v>
      </c>
      <c r="AV31" s="10" t="e">
        <f>MAX(AV21,AV22,AV28)-MIN(AV21,AV22,AV28)</f>
        <v>#DIV/0!</v>
      </c>
    </row>
    <row r="32" spans="1:48" ht="15.75" customHeight="1">
      <c r="A32" s="14"/>
      <c r="B32" s="32"/>
      <c r="C32" s="14"/>
      <c r="D32" s="16"/>
      <c r="E32" s="14"/>
      <c r="F32" s="19"/>
      <c r="G32" s="14"/>
      <c r="H32" s="6"/>
      <c r="J32" s="48" t="s">
        <v>42</v>
      </c>
      <c r="K32" s="16">
        <f>B1+B17+F1+F17+N1+N17+R1+R17+J1+J17+V1+V17+Z1+Z17+AD1+AD17+AH1+AH17+AL1+AL17+AP1+AP17+AT1+AT17</f>
        <v>540</v>
      </c>
      <c r="L32" s="14"/>
      <c r="M32" s="14"/>
      <c r="N32" s="19"/>
      <c r="O32" s="14"/>
      <c r="P32" s="6"/>
      <c r="Q32" s="14"/>
      <c r="R32" s="19"/>
      <c r="S32" s="14"/>
      <c r="T32" s="14"/>
      <c r="U32" s="14"/>
      <c r="V32" s="19"/>
      <c r="W32" s="14"/>
      <c r="X32" s="14"/>
      <c r="Y32" s="14"/>
      <c r="Z32" s="19"/>
      <c r="AA32" s="14"/>
      <c r="AB32" s="14"/>
      <c r="AC32" s="3"/>
      <c r="AD32" s="5"/>
      <c r="AE32" s="44"/>
      <c r="AF32" s="3"/>
      <c r="AG32" s="3"/>
      <c r="AH32" s="3"/>
      <c r="AI32" s="3"/>
    </row>
    <row r="33" spans="1:35" ht="15.75" customHeight="1" thickBot="1">
      <c r="A33" s="14"/>
      <c r="B33" s="32"/>
      <c r="C33" s="14"/>
      <c r="D33" s="16"/>
      <c r="E33" s="14"/>
      <c r="F33" s="19"/>
      <c r="G33" s="14"/>
      <c r="H33" s="6"/>
      <c r="J33" s="48" t="s">
        <v>74</v>
      </c>
      <c r="K33" s="63">
        <f>B2+B18+F2+F18+N2+N18+R2+R18+J2+J18+V2+V18+Z2+Z18+AD2+AD18+AH2+AH18+AL2+AL18+AP2+AP18+AT2+AT18</f>
        <v>33.75</v>
      </c>
      <c r="L33" s="7">
        <f>(L47/K47)*K33</f>
        <v>42.147533762943823</v>
      </c>
      <c r="M33" s="49" t="s">
        <v>40</v>
      </c>
      <c r="N33" s="19"/>
      <c r="O33" s="14"/>
      <c r="P33" s="6"/>
      <c r="Q33" s="14"/>
      <c r="R33" s="19"/>
      <c r="S33" s="14"/>
      <c r="T33" s="14"/>
      <c r="U33" s="14"/>
      <c r="V33" s="19"/>
      <c r="W33" s="14"/>
      <c r="X33" s="14"/>
      <c r="Y33" s="14"/>
      <c r="Z33" s="19"/>
      <c r="AA33" s="14"/>
      <c r="AB33" s="14"/>
      <c r="AC33" s="3"/>
      <c r="AD33" s="5"/>
      <c r="AE33" s="44"/>
      <c r="AF33" s="3"/>
      <c r="AG33" s="3"/>
      <c r="AH33" s="3"/>
      <c r="AI33" s="3"/>
    </row>
    <row r="34" spans="1:35" ht="15.75" customHeight="1" thickBot="1">
      <c r="A34" s="14"/>
      <c r="B34" s="5" t="s">
        <v>49</v>
      </c>
      <c r="C34" s="14"/>
      <c r="D34" s="16"/>
      <c r="E34" s="55" t="s">
        <v>56</v>
      </c>
      <c r="F34" s="56" t="s">
        <v>57</v>
      </c>
      <c r="G34" s="57" t="s">
        <v>27</v>
      </c>
      <c r="H34" s="58" t="s">
        <v>58</v>
      </c>
      <c r="I34" s="16" t="s">
        <v>19</v>
      </c>
      <c r="J34" s="1">
        <f>B3+F3+J3+N3+R3+V3+Z3+AD3+AH3+AL3+AP3+AT3+B19+F19+J19+N19+R19+V19+Z19+AD19+AH19+AL19+AP19+AT19</f>
        <v>345.2</v>
      </c>
      <c r="K34" s="20">
        <f>((B3+F3+J3+N3+R3+V3+Z3+AD3+AH3+AL3+AP3+AT3+B19+F19+J19+N19+R19+V19+Z19+AD19+AH19+AL19+AP19+AT19)*100)/($K$33*Calculator!$C37)</f>
        <v>146.11640211640213</v>
      </c>
      <c r="L34" s="6">
        <f>K34-AVERAGE(K$34:K$44)</f>
        <v>-3.2150345264759892</v>
      </c>
      <c r="M34" s="7">
        <f>MIN(L34:L44)</f>
        <v>-10.202547753989251</v>
      </c>
      <c r="N34" s="19"/>
      <c r="O34" s="14"/>
      <c r="P34" s="6"/>
      <c r="Q34" s="14"/>
      <c r="R34" s="19"/>
      <c r="S34" s="14"/>
      <c r="T34" s="14"/>
      <c r="U34" s="14"/>
      <c r="V34" s="19"/>
      <c r="W34" s="14"/>
      <c r="X34" s="14"/>
      <c r="Y34" s="14"/>
      <c r="Z34" s="19"/>
      <c r="AA34" s="14"/>
      <c r="AB34" s="14"/>
      <c r="AC34" s="3"/>
      <c r="AD34" s="5"/>
      <c r="AE34" s="44"/>
      <c r="AF34" s="3"/>
      <c r="AG34" s="3"/>
      <c r="AH34" s="3"/>
      <c r="AI34" s="3"/>
    </row>
    <row r="35" spans="1:35" ht="15.75" customHeight="1">
      <c r="A35" s="14"/>
      <c r="B35" s="33"/>
      <c r="C35" s="24" t="s">
        <v>1</v>
      </c>
      <c r="D35" s="16"/>
      <c r="E35" s="62">
        <v>50</v>
      </c>
      <c r="F35" s="62">
        <v>0</v>
      </c>
      <c r="G35" s="62">
        <v>0</v>
      </c>
      <c r="H35" s="62">
        <v>0</v>
      </c>
      <c r="I35" s="16" t="s">
        <v>20</v>
      </c>
      <c r="J35" s="1">
        <f>B4+F4+J4+N4+R4+V4+Z4+AD4+AH4+AL4+AP4+AT4+B20+F20+J20+N20+R20+V20+Z20+AD20+AH20+AL20+AP20+AT20</f>
        <v>1311</v>
      </c>
      <c r="K35" s="20">
        <f>((B4+F4+J4+N4+R4+V4+Z4+AD4+AH4+AL4+AP4+AT4+B20+F20+J20+N20+R20+V20+Z20+AD20+AH20+AL20+AP20+AT20)*100)/($K$33*Calculator!$C38)</f>
        <v>143.86831275720164</v>
      </c>
      <c r="L35" s="6">
        <f>K35-AVERAGE(K$34:K$44)</f>
        <v>-5.463123885676481</v>
      </c>
      <c r="M35" s="7">
        <f>MAX(L34:L44)</f>
        <v>28.955970764529297</v>
      </c>
      <c r="N35" s="19"/>
      <c r="O35" s="14"/>
      <c r="P35" s="6"/>
      <c r="Q35" s="14"/>
      <c r="R35" s="19"/>
      <c r="S35" s="14"/>
      <c r="T35" s="14"/>
      <c r="U35" s="14"/>
      <c r="V35" s="19"/>
      <c r="W35" s="14"/>
      <c r="X35" s="14"/>
      <c r="Y35" s="14"/>
      <c r="Z35" s="19"/>
      <c r="AA35" s="14"/>
      <c r="AB35" s="14"/>
      <c r="AC35" s="3"/>
      <c r="AD35" s="5"/>
      <c r="AE35" s="44"/>
      <c r="AF35" s="3"/>
      <c r="AG35" s="3"/>
      <c r="AH35" s="3"/>
      <c r="AI35" s="3"/>
    </row>
    <row r="36" spans="1:35">
      <c r="A36" s="14"/>
      <c r="B36" s="34" t="s">
        <v>18</v>
      </c>
      <c r="C36" s="25" t="s">
        <v>3</v>
      </c>
      <c r="D36" s="16"/>
      <c r="E36" s="59" t="s">
        <v>59</v>
      </c>
      <c r="F36" s="53" t="s">
        <v>60</v>
      </c>
      <c r="G36" s="52" t="s">
        <v>61</v>
      </c>
      <c r="H36" s="60" t="s">
        <v>62</v>
      </c>
      <c r="I36" s="16" t="s">
        <v>21</v>
      </c>
      <c r="J36" s="1">
        <f>B5+F5+J5+N5+R5+V5+Z5+AD5+AH5+AL5+AP5+AT5+B21+F21+J21+N21+R21+V21+Z21+AD21+AH21+AL21+AP21+AT21</f>
        <v>1504.3</v>
      </c>
      <c r="K36" s="20">
        <f>((B5+F5+J5+N5+R5+V5+Z5+AD5+AH5+AL5+AP5+AT5+B21+F21+J21+N21+R21+V21+Z21+AD21+AH21+AL21+AP21+AT21)*100)/($K$33*Calculator!$C39)</f>
        <v>178.28740740740741</v>
      </c>
      <c r="L36" s="6">
        <f>K36-AVERAGE(K$34:K$44)</f>
        <v>28.955970764529297</v>
      </c>
      <c r="M36" s="49" t="s">
        <v>41</v>
      </c>
      <c r="N36" s="19"/>
      <c r="O36" s="14"/>
      <c r="P36" s="8"/>
      <c r="Q36" s="14"/>
      <c r="R36" s="19"/>
      <c r="S36" s="14"/>
      <c r="T36" s="14"/>
      <c r="U36" s="14"/>
      <c r="V36" s="19"/>
      <c r="W36" s="14"/>
      <c r="X36" s="14"/>
      <c r="Y36" s="14"/>
      <c r="Z36" s="19"/>
      <c r="AA36" s="14"/>
      <c r="AB36" s="14"/>
      <c r="AC36" s="3"/>
      <c r="AD36" s="5"/>
      <c r="AE36" s="44"/>
      <c r="AF36" s="3"/>
      <c r="AG36" s="3"/>
      <c r="AH36" s="3"/>
      <c r="AI36" s="3"/>
    </row>
    <row r="37" spans="1:35">
      <c r="A37" s="14"/>
      <c r="B37" s="34" t="s">
        <v>19</v>
      </c>
      <c r="C37" s="25">
        <v>7</v>
      </c>
      <c r="D37" s="16"/>
      <c r="E37" s="62">
        <v>0</v>
      </c>
      <c r="F37" s="62">
        <v>140</v>
      </c>
      <c r="G37" s="62">
        <v>0</v>
      </c>
      <c r="H37" s="62">
        <v>0</v>
      </c>
      <c r="I37" s="16" t="s">
        <v>8</v>
      </c>
      <c r="J37" s="1">
        <f>B6+F6+J6+N6+R6+V6+Z6+AD6+AH6+AL6+AP6+AT6+B22+F22+J22+N22+R22+V22+Z22+AD22+AH22+AL22+AP22+AT22</f>
        <v>2612.3000000000002</v>
      </c>
      <c r="K37" s="20">
        <f>((B6+F6+J6+N6+R6+V6+Z6+AD6+AH6+AL6+AP6+AT6+B22+F22+J22+N22+R22+V22+Z22+AD22+AH22+AL22+AP22+AT22)*100)/($K$33*Calculator!$C40)</f>
        <v>140.72996632996635</v>
      </c>
      <c r="L37" s="6">
        <f>K37-AVERAGE(K$34:K$44)</f>
        <v>-8.601470312911772</v>
      </c>
      <c r="M37" s="9">
        <f>SUMIF(L34:L44,"&gt;0")</f>
        <v>37.261970607220661</v>
      </c>
      <c r="N37" s="19"/>
      <c r="O37" s="14"/>
      <c r="P37" s="14"/>
      <c r="Q37" s="14"/>
      <c r="R37" s="14"/>
      <c r="S37" s="14"/>
      <c r="T37" s="14"/>
      <c r="U37" s="14"/>
      <c r="V37" s="14"/>
      <c r="W37" s="14"/>
      <c r="X37" s="14"/>
      <c r="Y37" s="14"/>
      <c r="Z37" s="19"/>
      <c r="AA37" s="14"/>
      <c r="AB37" s="14"/>
      <c r="AC37" s="3"/>
      <c r="AD37" s="5"/>
      <c r="AE37" s="44"/>
      <c r="AF37" s="3"/>
      <c r="AG37" s="3"/>
      <c r="AH37" s="3"/>
      <c r="AI37" s="3"/>
    </row>
    <row r="38" spans="1:35">
      <c r="A38" s="14"/>
      <c r="B38" s="34" t="s">
        <v>20</v>
      </c>
      <c r="C38" s="25">
        <v>27</v>
      </c>
      <c r="D38" s="16"/>
      <c r="E38" s="59" t="s">
        <v>63</v>
      </c>
      <c r="F38" s="54" t="s">
        <v>64</v>
      </c>
      <c r="G38" s="52" t="s">
        <v>65</v>
      </c>
      <c r="H38" s="61" t="s">
        <v>71</v>
      </c>
      <c r="I38" s="16" t="s">
        <v>22</v>
      </c>
      <c r="J38" s="1">
        <f>B7+F7+J7+N7+R7+V7+Z7+AD7+AH7+AL7+AP7+AT7+B23+F23+J23+N23+R23+V23+Z23+AD23+AH23+AL23+AP23+AT23</f>
        <v>2442.8000000000002</v>
      </c>
      <c r="K38" s="20">
        <f>((B7+F7+J7+N7+R7+V7+Z7+AD7+AH7+AL7+AP7+AT7+B23+F23+J23+N23+R23+V23+Z23+AD23+AH23+AL23+AP23+AT23)*100)/($K$33*Calculator!$C41)</f>
        <v>141.92011619462602</v>
      </c>
      <c r="L38" s="6">
        <f>K38-AVERAGE(K$34:K$44)</f>
        <v>-7.4113204482520985</v>
      </c>
      <c r="M38" s="14"/>
      <c r="N38" s="19"/>
      <c r="O38" s="14"/>
      <c r="P38" s="14"/>
      <c r="Q38" s="14"/>
      <c r="R38" s="19"/>
      <c r="S38" s="14"/>
      <c r="T38" s="14"/>
      <c r="U38" s="14"/>
      <c r="V38" s="19"/>
      <c r="W38" s="14"/>
      <c r="X38" s="14"/>
      <c r="Y38" s="14"/>
      <c r="Z38" s="19"/>
      <c r="AA38" s="14"/>
      <c r="AB38" s="14"/>
      <c r="AC38" s="3"/>
      <c r="AD38" s="5"/>
      <c r="AE38" s="44"/>
      <c r="AF38" s="3"/>
      <c r="AG38" s="3"/>
      <c r="AH38" s="3"/>
      <c r="AI38" s="3"/>
    </row>
    <row r="39" spans="1:35">
      <c r="A39" s="14"/>
      <c r="B39" s="34" t="s">
        <v>21</v>
      </c>
      <c r="C39" s="25">
        <v>25</v>
      </c>
      <c r="D39" s="16"/>
      <c r="E39" s="62">
        <v>0</v>
      </c>
      <c r="F39" s="62">
        <v>0</v>
      </c>
      <c r="G39" s="62">
        <v>140</v>
      </c>
      <c r="H39" s="62">
        <v>0</v>
      </c>
      <c r="I39" s="16" t="s">
        <v>10</v>
      </c>
      <c r="K39" s="20"/>
      <c r="L39" s="14"/>
      <c r="M39" s="14"/>
      <c r="N39" s="19"/>
      <c r="O39" s="14"/>
      <c r="P39" s="14"/>
      <c r="Q39" s="14"/>
      <c r="R39" s="19"/>
      <c r="S39" s="14"/>
      <c r="T39" s="14"/>
      <c r="U39" s="14"/>
      <c r="V39" s="19"/>
      <c r="W39" s="14"/>
      <c r="X39" s="14"/>
      <c r="Y39" s="14"/>
      <c r="Z39" s="19"/>
      <c r="AA39" s="14"/>
      <c r="AB39" s="14"/>
      <c r="AC39" s="3"/>
      <c r="AD39" s="5"/>
      <c r="AE39" s="44"/>
      <c r="AF39" s="3"/>
      <c r="AG39" s="3"/>
      <c r="AH39" s="3"/>
      <c r="AI39" s="3"/>
    </row>
    <row r="40" spans="1:35">
      <c r="A40" s="14"/>
      <c r="B40" s="34" t="s">
        <v>8</v>
      </c>
      <c r="C40" s="25">
        <v>55</v>
      </c>
      <c r="D40" s="16"/>
      <c r="E40" s="59" t="s">
        <v>66</v>
      </c>
      <c r="F40" s="54" t="s">
        <v>67</v>
      </c>
      <c r="G40" s="52" t="s">
        <v>68</v>
      </c>
      <c r="H40" s="61" t="s">
        <v>47</v>
      </c>
      <c r="I40" s="16" t="s">
        <v>23</v>
      </c>
      <c r="J40" s="1">
        <f>B9+B8+F9+F8+J9+J8+N9+N8+R9+R8+V9+V8+Z9+Z8+AD9+AD8+AH9+AH8+AL9+AL8+AP8+AP9+AT8+AT9+B24+B25+F24+F25+J24+J25+N24+N25+R24+R25+V24+V25+Z24+Z25+AD24+AD25+AH24+AH25+AL24+AL25+AP24+AP25+AT24+AT25</f>
        <v>1173.8999999999999</v>
      </c>
      <c r="K40" s="20">
        <f>((B9+B8+F9+F8+J9+J8+N9+N8+R9+R8+V9+V8+Z9+Z8+AD9+AD8+AH9+AH8+AL9+AL8+B24+B25+F24+F25+J24+J25+N24+N25+R24+R25+V24+V25+Z24+Z25+AD24+AD25+AH24+AH25+AL24+AL25+AP24+AP25+AT24+AT25)*100)/($K$33*Calculator!$C43)</f>
        <v>139.12888888888887</v>
      </c>
      <c r="L40" s="6">
        <f>K40-AVERAGE(K$34:K$44)</f>
        <v>-10.202547753989251</v>
      </c>
      <c r="M40" s="14"/>
      <c r="N40" s="19"/>
      <c r="O40" s="14"/>
      <c r="P40" s="14"/>
      <c r="Q40" s="14"/>
      <c r="R40" s="19"/>
      <c r="S40" s="14"/>
      <c r="T40" s="14"/>
      <c r="U40" s="14"/>
      <c r="V40" s="19"/>
      <c r="W40" s="14"/>
      <c r="X40" s="14"/>
      <c r="Y40" s="14"/>
      <c r="Z40" s="19"/>
      <c r="AA40" s="14"/>
      <c r="AB40" s="14"/>
      <c r="AC40" s="3"/>
      <c r="AD40" s="5"/>
      <c r="AE40" s="44"/>
      <c r="AF40" s="3"/>
      <c r="AG40" s="3"/>
      <c r="AH40" s="3"/>
      <c r="AI40" s="3"/>
    </row>
    <row r="41" spans="1:35">
      <c r="A41" s="14"/>
      <c r="B41" s="34" t="s">
        <v>22</v>
      </c>
      <c r="C41" s="25">
        <v>51</v>
      </c>
      <c r="D41" s="16"/>
      <c r="E41" s="62">
        <v>0</v>
      </c>
      <c r="F41" s="62">
        <v>0</v>
      </c>
      <c r="G41" s="62">
        <v>0</v>
      </c>
      <c r="H41" s="62">
        <v>0</v>
      </c>
      <c r="I41" s="16" t="s">
        <v>12</v>
      </c>
      <c r="K41" s="20"/>
      <c r="L41" s="14"/>
      <c r="M41" s="14"/>
      <c r="N41" s="19"/>
      <c r="O41" s="14"/>
      <c r="P41" s="14"/>
      <c r="Q41" s="14"/>
      <c r="R41" s="19"/>
      <c r="S41" s="14"/>
      <c r="T41" s="14"/>
      <c r="U41" s="14"/>
      <c r="V41" s="19"/>
      <c r="W41" s="14"/>
      <c r="X41" s="14"/>
      <c r="Y41" s="14"/>
      <c r="Z41" s="19"/>
      <c r="AA41" s="14"/>
      <c r="AB41" s="14"/>
      <c r="AC41" s="3"/>
      <c r="AD41" s="5"/>
      <c r="AE41" s="44"/>
      <c r="AF41" s="3"/>
      <c r="AG41" s="3"/>
      <c r="AH41" s="3"/>
      <c r="AI41" s="3"/>
    </row>
    <row r="42" spans="1:35">
      <c r="A42" s="14"/>
      <c r="B42" s="34" t="s">
        <v>10</v>
      </c>
      <c r="C42" s="25">
        <v>0</v>
      </c>
      <c r="D42" s="16"/>
      <c r="E42" s="59" t="s">
        <v>69</v>
      </c>
      <c r="F42" s="54" t="s">
        <v>70</v>
      </c>
      <c r="G42" s="52" t="s">
        <v>72</v>
      </c>
      <c r="H42" s="61" t="s">
        <v>73</v>
      </c>
      <c r="I42" s="16" t="s">
        <v>24</v>
      </c>
      <c r="J42" s="1">
        <f>B11+B10+F11+F10+J11+J10+N11+N10+R11+R10+V11+V10+Z11+Z10+AD11+AD10+AH11+AH10+AL11+AL10+AP10+AP11+AT10+AT11+B26+B27+F26+F27+J26+J27+N26+N27+R26+R27+V26+V27+Z26+Z27+AD26+AD27+AH26+AH27+AL26+AL27+AP26+AP27+AT26+AT27</f>
        <v>2453.2000000000003</v>
      </c>
      <c r="K42" s="20">
        <f>((B11+B10+F11+F10+J11+J10+N11+N10+R11+R10+V11+V10+Z11+Z10+AD11+AD10+AH11+AH10+AL11+AL10+B26+B27+F26+F27+J26+J27+N26+N27+R26+R27+V26+V27+Z26+Z27+AD26+AD27+AH26+AH27+AL26+AL27+AP26+AP27+AT26+AT27)*100)/($K$33*Calculator!$C45)</f>
        <v>154.65405831363279</v>
      </c>
      <c r="L42" s="6">
        <f>K42-AVERAGE(K$34:K$44)</f>
        <v>5.3226216707546712</v>
      </c>
      <c r="M42" s="14"/>
      <c r="N42" s="19"/>
      <c r="O42" s="14"/>
      <c r="P42" s="14"/>
      <c r="Q42" s="14"/>
      <c r="R42" s="19"/>
      <c r="S42" s="14"/>
      <c r="T42" s="14"/>
      <c r="U42" s="14"/>
      <c r="V42" s="19"/>
      <c r="W42" s="14"/>
      <c r="X42" s="14"/>
      <c r="Y42" s="14"/>
      <c r="Z42" s="19"/>
      <c r="AA42" s="14"/>
      <c r="AB42" s="14"/>
      <c r="AC42" s="3"/>
      <c r="AD42" s="5"/>
      <c r="AE42" s="44"/>
      <c r="AF42" s="3"/>
      <c r="AG42" s="3"/>
      <c r="AH42" s="3"/>
      <c r="AI42" s="3"/>
    </row>
    <row r="43" spans="1:35">
      <c r="A43" s="14"/>
      <c r="B43" s="34" t="s">
        <v>23</v>
      </c>
      <c r="C43" s="25">
        <v>25</v>
      </c>
      <c r="D43" s="16"/>
      <c r="E43" s="62">
        <v>0</v>
      </c>
      <c r="F43" s="62">
        <v>180</v>
      </c>
      <c r="G43" s="62">
        <v>30</v>
      </c>
      <c r="H43" s="62">
        <v>0</v>
      </c>
      <c r="I43" s="16" t="s">
        <v>25</v>
      </c>
      <c r="J43" s="1">
        <f>B12+F12+J12+N12+R12+V12+Z12+AD12+AH12+AL12+AP12+AT12+B28+F28+J28+N28+R28+V28+Z28+AD28+AH28+AL28+AP28+AT28</f>
        <v>1645</v>
      </c>
      <c r="K43" s="20">
        <f>((B12+F12+J12+N12+R12+V12+Z12+AD12+AH12+AL12+AP12+AT12+B28+F28+J28+N28+R28+V28+Z28+AD28+AH28+AL28+AP28+AT28)*100)/($K$33*Calculator!$C46)</f>
        <v>152.31481481481481</v>
      </c>
      <c r="L43" s="6">
        <f>K43-AVERAGE(K$34:K$44)</f>
        <v>2.9833781719366925</v>
      </c>
      <c r="M43" s="14"/>
      <c r="N43" s="19"/>
      <c r="O43" s="14"/>
      <c r="P43" s="14"/>
      <c r="Q43" s="14"/>
      <c r="R43" s="19"/>
      <c r="S43" s="14"/>
      <c r="T43" s="14"/>
      <c r="U43" s="14"/>
      <c r="V43" s="19"/>
      <c r="W43" s="14"/>
      <c r="X43" s="14"/>
      <c r="Y43" s="14"/>
      <c r="Z43" s="19"/>
      <c r="AA43" s="14"/>
      <c r="AB43" s="14"/>
      <c r="AC43" s="3"/>
      <c r="AD43" s="5"/>
      <c r="AE43" s="44"/>
      <c r="AF43" s="3"/>
      <c r="AG43" s="3"/>
      <c r="AH43" s="3"/>
      <c r="AI43" s="3"/>
    </row>
    <row r="44" spans="1:35">
      <c r="A44" s="14"/>
      <c r="B44" s="34" t="s">
        <v>12</v>
      </c>
      <c r="C44" s="25">
        <v>0</v>
      </c>
      <c r="D44" s="16"/>
      <c r="E44" s="59" t="s">
        <v>88</v>
      </c>
      <c r="F44" s="54" t="s">
        <v>86</v>
      </c>
      <c r="G44" s="59" t="s">
        <v>93</v>
      </c>
      <c r="H44" s="54" t="s">
        <v>103</v>
      </c>
      <c r="I44" s="16" t="s">
        <v>26</v>
      </c>
      <c r="J44" s="1">
        <f>B13+F13+J13+N13+R13+V13+Z13+AD13+AH13+AL13+AP13+AT13+B29+F29+J29+N29+R29+V29+Z29+AD29+AH29+AL29+AP29+AT29</f>
        <v>892.8</v>
      </c>
      <c r="K44" s="20">
        <f>((B13+F13+J13+N13+R13+V13+Z13+AD13+AH13+AL13+AP13+AT13+B29+F29+J29+N29+R29+V29+Z29+AD29+AH29+AL29+AP29+AT29)*100)/($K$33*Calculator!$C47)</f>
        <v>146.96296296296296</v>
      </c>
      <c r="L44" s="6">
        <f>K44-AVERAGE(K$34:K$44)</f>
        <v>-2.3684736799151551</v>
      </c>
      <c r="M44" s="72" t="s">
        <v>83</v>
      </c>
      <c r="N44" s="48" t="s">
        <v>84</v>
      </c>
      <c r="O44" s="14"/>
      <c r="P44" s="14"/>
      <c r="Q44" s="14"/>
      <c r="R44" s="19"/>
      <c r="S44" s="14"/>
      <c r="T44" s="14"/>
      <c r="U44" s="14"/>
      <c r="V44" s="19"/>
      <c r="W44" s="14"/>
      <c r="X44" s="14"/>
      <c r="Y44" s="14"/>
      <c r="Z44" s="19"/>
      <c r="AA44" s="14"/>
      <c r="AB44" s="14"/>
      <c r="AC44" s="3"/>
      <c r="AD44" s="5"/>
      <c r="AE44" s="44"/>
      <c r="AF44" s="3"/>
      <c r="AG44" s="3"/>
      <c r="AH44" s="3"/>
      <c r="AI44" s="3"/>
    </row>
    <row r="45" spans="1:35">
      <c r="A45" s="14"/>
      <c r="B45" s="34" t="s">
        <v>24</v>
      </c>
      <c r="C45" s="25">
        <v>47</v>
      </c>
      <c r="D45" s="16"/>
      <c r="E45" s="62">
        <v>0</v>
      </c>
      <c r="F45" s="62">
        <v>0</v>
      </c>
      <c r="G45" s="62">
        <v>0</v>
      </c>
      <c r="H45" s="62">
        <v>0</v>
      </c>
      <c r="I45" s="16"/>
      <c r="K45" s="14"/>
      <c r="L45" s="14"/>
      <c r="M45" s="63">
        <f>(L33*100)/(N45*0.8)</f>
        <v>81.05294954412274</v>
      </c>
      <c r="N45" s="74">
        <v>65</v>
      </c>
      <c r="O45" s="14"/>
      <c r="P45" s="14"/>
      <c r="Q45" s="14"/>
      <c r="R45" s="19"/>
      <c r="S45" s="14"/>
      <c r="T45" s="14"/>
      <c r="U45" s="14"/>
      <c r="V45" s="19"/>
      <c r="W45" s="14"/>
      <c r="X45" s="14"/>
      <c r="Y45" s="14"/>
      <c r="Z45" s="19"/>
      <c r="AA45" s="14"/>
      <c r="AB45" s="14"/>
      <c r="AC45" s="3"/>
      <c r="AD45" s="5"/>
      <c r="AE45" s="44"/>
      <c r="AF45" s="3"/>
      <c r="AG45" s="3"/>
      <c r="AH45" s="3"/>
      <c r="AI45" s="3"/>
    </row>
    <row r="46" spans="1:35">
      <c r="A46" s="14"/>
      <c r="B46" s="34" t="s">
        <v>25</v>
      </c>
      <c r="C46" s="25">
        <v>32</v>
      </c>
      <c r="D46" s="16"/>
      <c r="E46" s="14"/>
      <c r="F46" s="30"/>
      <c r="G46" s="14"/>
      <c r="H46" s="54" t="s">
        <v>106</v>
      </c>
      <c r="I46" s="41" t="s">
        <v>46</v>
      </c>
      <c r="J46" s="1">
        <f>J36+J37+J43</f>
        <v>5761.6</v>
      </c>
      <c r="K46" s="7">
        <f>(($B$5+$B$6+$B$12+$B$21+$B$22+$B$28+$F$5+$F$6+$F$12+$F$21+$F$22+$F$28+$N$5+$N$6+$N$12+$N$21+$N$22+$N$28+$R$5+$R$6+$R$12+$R$21+$R$22+$R$28+$J$5+$J$6+$J$12+$J$21+$J$22+$J$28+$V$5+$V$6+$V$12+$V$21+$V$22+$V$28+$Z$5+$Z$6+$Z$12+$Z$21+$Z$22+$Z$28+$AD$5+$AD$6+$AD$12+$AD$21+$AD$22+$AD$28+$AH$5+$AH$6+$AH$12+$AH$21+$AH$22+$AH$28+$AL$5+$AL$6+$AL$12+$AL$21+$AL$22+$AL$28+$AP$5+$AP$6+$AP$12+$AP$21+$AP$22+$AP$28+$AT$5+$AT$6+$AT$12+$AT$21+$AT$22+$AT$28)*100)/(K$33*(Calculator!$C$39+$C$40+$C$46))</f>
        <v>152.42328042328043</v>
      </c>
      <c r="L46" s="7">
        <f>MAX(L36,L37,L43)-MIN(L36,L37,L43)</f>
        <v>37.557441077441069</v>
      </c>
      <c r="M46" s="72" t="s">
        <v>82</v>
      </c>
      <c r="N46" s="19"/>
      <c r="O46" s="14"/>
      <c r="P46" s="14"/>
      <c r="Q46" s="14"/>
      <c r="R46" s="19"/>
      <c r="S46" s="14"/>
      <c r="T46" s="14"/>
      <c r="U46" s="14"/>
      <c r="V46" s="19"/>
      <c r="W46" s="14"/>
      <c r="X46" s="14"/>
      <c r="Y46" s="14"/>
      <c r="Z46" s="19"/>
      <c r="AA46" s="14"/>
      <c r="AB46" s="14"/>
      <c r="AC46" s="3"/>
      <c r="AD46" s="5"/>
      <c r="AE46" s="44"/>
      <c r="AF46" s="3"/>
      <c r="AG46" s="3"/>
      <c r="AH46" s="3"/>
      <c r="AI46" s="3"/>
    </row>
    <row r="47" spans="1:35" ht="16.5" thickBot="1">
      <c r="A47" s="14"/>
      <c r="B47" s="35" t="s">
        <v>26</v>
      </c>
      <c r="C47" s="27">
        <v>18</v>
      </c>
      <c r="D47" s="16"/>
      <c r="E47" s="14"/>
      <c r="F47" s="30"/>
      <c r="G47" s="14"/>
      <c r="H47" s="62">
        <v>0</v>
      </c>
      <c r="I47" s="64"/>
      <c r="J47" s="66" t="s">
        <v>75</v>
      </c>
      <c r="K47" s="65">
        <f>B6/C40+B20/C38+(F9+F8)/C43+F23/C41+(J9+J8)/C43+J23/C41+N7/C41+N22/C40+(R9+R8)/C43+(R25+R24)/C43+(V9+V8/C43+V23/C41+Z4/C38+Z22/C40+AD3/C37+(AD25+AD24)/C43+AH13/C47+(AH25+AH24)/C43+AL7/C41+(AL25+AL24)/C43+AP7/C43+AT23/C41+AP22/C40+AT6/C40)</f>
        <v>37.600420677361853</v>
      </c>
      <c r="L47" s="65">
        <f>MIN((J34/C37),(J35/C38),(J36/C39),(J37/C40),(J38/C41),(J40/C43),(J42/C45),(J43/C46),(J44/C47))</f>
        <v>46.955999999999996</v>
      </c>
      <c r="M47" s="79">
        <f>(L47*100)/K47</f>
        <v>124.88158151983356</v>
      </c>
      <c r="N47" s="5" t="s">
        <v>81</v>
      </c>
      <c r="O47" s="14"/>
      <c r="P47" s="14"/>
      <c r="Q47" s="14"/>
      <c r="R47" s="19"/>
      <c r="S47" s="14"/>
      <c r="T47" s="14"/>
      <c r="U47" s="14"/>
      <c r="V47" s="19"/>
      <c r="W47" s="14"/>
      <c r="X47" s="14"/>
      <c r="Y47" s="14"/>
      <c r="Z47" s="19"/>
      <c r="AA47" s="14"/>
      <c r="AB47" s="14"/>
      <c r="AC47" s="3"/>
      <c r="AD47" s="5"/>
      <c r="AE47" s="44"/>
      <c r="AF47" s="3"/>
      <c r="AG47" s="3"/>
      <c r="AH47" s="3"/>
      <c r="AI47" s="3"/>
    </row>
    <row r="48" spans="1:35" ht="15.75" customHeight="1">
      <c r="A48" s="14"/>
      <c r="B48" s="19"/>
      <c r="C48" s="14"/>
      <c r="D48" s="16"/>
      <c r="E48" s="14"/>
      <c r="F48" s="19"/>
      <c r="G48" s="14"/>
      <c r="H48" s="14"/>
      <c r="N48" s="19"/>
      <c r="O48" s="14"/>
      <c r="P48" s="14"/>
      <c r="Q48" s="14"/>
      <c r="R48" s="19"/>
      <c r="S48" s="14"/>
      <c r="T48" s="14"/>
      <c r="U48" s="14"/>
      <c r="V48" s="19"/>
      <c r="W48" s="14"/>
      <c r="X48" s="14"/>
      <c r="Y48" s="14"/>
      <c r="Z48" s="19"/>
      <c r="AA48" s="14"/>
      <c r="AB48" s="14"/>
      <c r="AC48" s="3"/>
      <c r="AD48" s="5"/>
      <c r="AE48" s="44"/>
      <c r="AF48" s="3"/>
      <c r="AG48" s="3"/>
      <c r="AH48" s="3"/>
      <c r="AI48" s="3"/>
    </row>
    <row r="49" spans="1:35" ht="44.25" customHeight="1">
      <c r="A49" s="14"/>
      <c r="B49" s="19"/>
      <c r="C49" s="14"/>
      <c r="D49" s="16"/>
      <c r="E49" s="3" t="s">
        <v>107</v>
      </c>
      <c r="F49" s="19"/>
      <c r="G49" s="14"/>
      <c r="H49" s="14"/>
      <c r="K49" s="87" t="s">
        <v>105</v>
      </c>
      <c r="L49" s="87"/>
      <c r="M49" s="87"/>
      <c r="N49" s="87"/>
      <c r="O49" s="87"/>
      <c r="P49" s="87"/>
      <c r="Q49" s="14"/>
      <c r="R49" s="19"/>
      <c r="S49" s="14"/>
      <c r="T49" s="14"/>
      <c r="U49" s="14"/>
      <c r="V49" s="19"/>
      <c r="W49" s="14"/>
      <c r="X49" s="14"/>
      <c r="Y49" s="14"/>
      <c r="Z49" s="19"/>
      <c r="AA49" s="14"/>
      <c r="AB49" s="14"/>
      <c r="AC49" s="3"/>
      <c r="AD49" s="5"/>
      <c r="AE49" s="44"/>
      <c r="AF49" s="3"/>
      <c r="AG49" s="3"/>
      <c r="AH49" s="3"/>
      <c r="AI49" s="3"/>
    </row>
    <row r="50" spans="1:35">
      <c r="A50" s="14"/>
      <c r="B50" s="19"/>
      <c r="C50" s="14"/>
      <c r="D50" s="16"/>
      <c r="E50" s="14"/>
      <c r="F50" s="19"/>
      <c r="G50" s="14"/>
      <c r="H50" s="14"/>
      <c r="I50" s="14"/>
      <c r="J50" s="19"/>
      <c r="K50" s="87"/>
      <c r="L50" s="87"/>
      <c r="M50" s="87"/>
      <c r="N50" s="87"/>
      <c r="O50" s="87"/>
      <c r="P50" s="87"/>
      <c r="Q50" s="14"/>
      <c r="R50" s="19"/>
      <c r="S50" s="14"/>
      <c r="T50" s="14"/>
      <c r="U50" s="14"/>
      <c r="V50" s="19"/>
      <c r="W50" s="14"/>
      <c r="X50" s="14"/>
      <c r="Y50" s="14"/>
      <c r="Z50" s="19"/>
      <c r="AA50" s="14"/>
      <c r="AB50" s="14"/>
      <c r="AC50" s="3"/>
      <c r="AD50" s="5"/>
      <c r="AE50" s="44"/>
      <c r="AF50" s="3"/>
      <c r="AG50" s="3"/>
      <c r="AH50" s="3"/>
      <c r="AI50" s="3"/>
    </row>
    <row r="51" spans="1:35">
      <c r="A51" s="14"/>
      <c r="B51" s="19"/>
      <c r="C51" s="14"/>
      <c r="D51" s="16"/>
      <c r="E51" s="14"/>
      <c r="F51" s="19"/>
      <c r="G51" s="14"/>
      <c r="H51" s="14"/>
      <c r="I51" s="14"/>
      <c r="J51" s="19"/>
      <c r="K51" s="82"/>
      <c r="L51" s="82"/>
      <c r="M51" s="82"/>
      <c r="N51" s="19"/>
      <c r="O51" s="14"/>
      <c r="P51" s="14"/>
      <c r="Q51" s="14"/>
      <c r="R51" s="19"/>
      <c r="S51" s="14"/>
      <c r="T51" s="14"/>
      <c r="U51" s="14"/>
      <c r="V51" s="19"/>
      <c r="W51" s="14"/>
      <c r="X51" s="14"/>
      <c r="Y51" s="14"/>
      <c r="Z51" s="19"/>
      <c r="AA51" s="14"/>
      <c r="AB51" s="14"/>
      <c r="AC51" s="3"/>
      <c r="AD51" s="5"/>
      <c r="AE51" s="44"/>
      <c r="AF51" s="3"/>
      <c r="AG51" s="3"/>
      <c r="AH51" s="3"/>
      <c r="AI51" s="3"/>
    </row>
    <row r="52" spans="1:35">
      <c r="A52" s="3" t="s">
        <v>128</v>
      </c>
      <c r="B52" s="19"/>
      <c r="C52" s="14"/>
      <c r="D52" s="16"/>
      <c r="E52" s="14"/>
      <c r="F52" s="19"/>
      <c r="G52" s="14"/>
      <c r="H52" s="14"/>
      <c r="I52" s="14"/>
      <c r="J52" s="19"/>
      <c r="K52" s="82"/>
      <c r="L52" s="82"/>
      <c r="M52" s="82"/>
      <c r="N52" s="19"/>
      <c r="O52" s="14"/>
      <c r="P52" s="14"/>
      <c r="Q52" s="14"/>
      <c r="R52" s="19"/>
      <c r="S52" s="14"/>
      <c r="T52" s="14"/>
      <c r="U52" s="14"/>
      <c r="V52" s="19"/>
      <c r="W52" s="14"/>
      <c r="X52" s="14"/>
      <c r="Y52" s="14"/>
      <c r="Z52" s="19"/>
      <c r="AA52" s="14"/>
      <c r="AB52" s="14"/>
      <c r="AC52" s="3"/>
      <c r="AD52" s="5"/>
      <c r="AE52" s="44"/>
      <c r="AF52" s="3"/>
      <c r="AG52" s="3"/>
      <c r="AH52" s="3"/>
      <c r="AI52" s="3"/>
    </row>
    <row r="53" spans="1:35">
      <c r="A53" s="3" t="s">
        <v>129</v>
      </c>
      <c r="B53" s="19"/>
      <c r="C53" s="14"/>
      <c r="D53" s="16"/>
      <c r="E53" s="14"/>
      <c r="F53" s="19"/>
      <c r="G53" s="14"/>
      <c r="H53" s="14"/>
      <c r="I53" s="14"/>
      <c r="J53" s="19"/>
      <c r="K53" s="82"/>
      <c r="L53" s="82"/>
      <c r="M53" s="82"/>
      <c r="N53" s="19"/>
      <c r="O53" s="14"/>
      <c r="P53" s="14"/>
      <c r="Q53" s="14"/>
      <c r="R53" s="19"/>
      <c r="S53" s="14"/>
      <c r="T53" s="14"/>
      <c r="U53" s="14"/>
      <c r="V53" s="19"/>
      <c r="W53" s="14"/>
      <c r="X53" s="14"/>
      <c r="Y53" s="14"/>
      <c r="Z53" s="19"/>
      <c r="AA53" s="14"/>
      <c r="AB53" s="14"/>
      <c r="AC53" s="3"/>
      <c r="AD53" s="5"/>
      <c r="AE53" s="44"/>
      <c r="AF53" s="3"/>
      <c r="AG53" s="3"/>
      <c r="AH53" s="3"/>
      <c r="AI53" s="3"/>
    </row>
    <row r="54" spans="1:35">
      <c r="A54" s="3" t="s">
        <v>51</v>
      </c>
      <c r="B54" s="19"/>
      <c r="C54" s="14"/>
      <c r="D54" s="16"/>
      <c r="E54" s="14"/>
      <c r="F54" s="19"/>
      <c r="G54" s="14"/>
      <c r="H54" s="14"/>
      <c r="I54" s="14"/>
      <c r="J54" s="19"/>
      <c r="K54" s="14"/>
      <c r="L54" s="14"/>
      <c r="M54" s="14"/>
      <c r="N54" s="19"/>
      <c r="O54" s="14"/>
      <c r="P54" s="14"/>
      <c r="Q54" s="14"/>
      <c r="R54" s="19"/>
      <c r="S54" s="14"/>
      <c r="T54" s="14"/>
      <c r="U54" s="14"/>
      <c r="V54" s="19"/>
      <c r="W54" s="14"/>
      <c r="X54" s="14"/>
      <c r="Y54" s="14"/>
      <c r="Z54" s="19"/>
      <c r="AA54" s="14"/>
      <c r="AB54" s="14"/>
      <c r="AC54" s="3"/>
      <c r="AD54" s="5"/>
      <c r="AE54" s="44"/>
      <c r="AF54" s="3"/>
      <c r="AG54" s="3"/>
      <c r="AH54" s="3"/>
      <c r="AI54" s="3"/>
    </row>
    <row r="55" spans="1:35">
      <c r="A55" s="14"/>
      <c r="B55" s="19"/>
      <c r="C55" s="14"/>
      <c r="D55" s="16"/>
      <c r="E55" s="14"/>
      <c r="F55" s="19"/>
      <c r="G55" s="14"/>
      <c r="H55" s="14"/>
      <c r="I55" s="14"/>
      <c r="J55" s="19"/>
      <c r="K55" s="14"/>
      <c r="L55" s="14"/>
      <c r="M55" s="14"/>
      <c r="N55" s="19"/>
      <c r="O55" s="14"/>
      <c r="P55" s="14"/>
      <c r="Q55" s="14"/>
      <c r="R55" s="19"/>
      <c r="S55" s="14"/>
      <c r="T55" s="14"/>
      <c r="U55" s="14"/>
      <c r="V55" s="19"/>
      <c r="W55" s="14"/>
      <c r="X55" s="14"/>
      <c r="Y55" s="14"/>
      <c r="Z55" s="19"/>
      <c r="AA55" s="14"/>
      <c r="AB55" s="14"/>
      <c r="AC55" s="3"/>
      <c r="AD55" s="5"/>
      <c r="AE55" s="44"/>
      <c r="AF55" s="3"/>
      <c r="AG55" s="3"/>
      <c r="AH55" s="3"/>
      <c r="AI55" s="3"/>
    </row>
    <row r="56" spans="1:35">
      <c r="A56" s="47" t="s">
        <v>52</v>
      </c>
      <c r="B56" s="19"/>
      <c r="C56" s="14"/>
      <c r="D56" s="16"/>
      <c r="E56" s="14"/>
      <c r="F56" s="19"/>
      <c r="G56" s="14"/>
      <c r="H56" s="14"/>
      <c r="I56" s="14"/>
      <c r="J56" s="19"/>
      <c r="K56" s="14"/>
      <c r="L56" s="14"/>
      <c r="M56" s="14"/>
      <c r="N56" s="19"/>
      <c r="O56" s="14"/>
      <c r="P56" s="14"/>
      <c r="Q56" s="14"/>
      <c r="R56" s="19"/>
      <c r="S56" s="14"/>
      <c r="T56" s="14"/>
      <c r="U56" s="14"/>
      <c r="V56" s="19"/>
      <c r="W56" s="14"/>
      <c r="X56" s="14"/>
      <c r="Y56" s="14"/>
      <c r="Z56" s="19"/>
      <c r="AA56" s="14"/>
      <c r="AB56" s="14"/>
      <c r="AC56" s="3"/>
      <c r="AD56" s="5"/>
      <c r="AE56" s="44"/>
      <c r="AF56" s="3"/>
      <c r="AG56" s="3"/>
      <c r="AH56" s="3"/>
      <c r="AI56" s="3"/>
    </row>
    <row r="57" spans="1:35">
      <c r="A57" s="14"/>
      <c r="B57" s="19"/>
      <c r="C57" s="14"/>
      <c r="D57" s="16"/>
      <c r="E57" s="14"/>
      <c r="F57" s="19"/>
      <c r="G57" s="14"/>
      <c r="H57" s="14"/>
      <c r="I57" s="14"/>
      <c r="J57" s="19"/>
      <c r="K57" s="14"/>
      <c r="L57" s="14"/>
      <c r="M57" s="14"/>
      <c r="N57" s="19"/>
      <c r="O57" s="14"/>
      <c r="P57" s="14"/>
      <c r="Q57" s="14"/>
      <c r="R57" s="19"/>
      <c r="S57" s="14"/>
      <c r="T57" s="14"/>
      <c r="U57" s="14"/>
      <c r="V57" s="19"/>
      <c r="W57" s="14"/>
      <c r="X57" s="14"/>
      <c r="Y57" s="14"/>
      <c r="Z57" s="19"/>
      <c r="AA57" s="14"/>
      <c r="AB57" s="14"/>
      <c r="AC57" s="3"/>
      <c r="AD57" s="5"/>
      <c r="AE57" s="44"/>
      <c r="AF57" s="3"/>
      <c r="AG57" s="3"/>
      <c r="AH57" s="3"/>
      <c r="AI57" s="3"/>
    </row>
    <row r="58" spans="1:35">
      <c r="A58" s="14"/>
      <c r="B58" s="19"/>
      <c r="C58" s="14"/>
      <c r="D58" s="16"/>
      <c r="E58" s="14"/>
      <c r="F58" s="19"/>
      <c r="G58" s="14"/>
      <c r="H58" s="14"/>
      <c r="I58" s="14"/>
      <c r="J58" s="19"/>
      <c r="K58" s="14"/>
      <c r="L58" s="14"/>
      <c r="M58" s="14"/>
      <c r="N58" s="19"/>
      <c r="O58" s="14"/>
      <c r="P58" s="14"/>
      <c r="Q58" s="14"/>
      <c r="R58" s="19"/>
      <c r="S58" s="14"/>
      <c r="T58" s="14"/>
      <c r="U58" s="14"/>
      <c r="V58" s="19"/>
      <c r="W58" s="14"/>
      <c r="X58" s="14"/>
      <c r="Y58" s="14"/>
      <c r="Z58" s="19"/>
      <c r="AA58" s="14"/>
      <c r="AB58" s="14"/>
      <c r="AC58" s="3"/>
      <c r="AD58" s="5"/>
      <c r="AE58" s="44"/>
      <c r="AF58" s="3"/>
      <c r="AG58" s="3"/>
      <c r="AH58" s="3"/>
      <c r="AI58" s="3"/>
    </row>
    <row r="59" spans="1:35">
      <c r="A59" s="14"/>
      <c r="B59" s="19"/>
      <c r="C59" s="14"/>
      <c r="D59" s="16"/>
      <c r="E59" s="14"/>
      <c r="F59" s="19"/>
      <c r="G59" s="14"/>
      <c r="H59" s="14"/>
      <c r="I59" s="14"/>
      <c r="J59" s="19"/>
      <c r="K59" s="14"/>
      <c r="L59" s="14"/>
      <c r="M59" s="14"/>
      <c r="N59" s="19"/>
      <c r="O59" s="14"/>
      <c r="P59" s="14"/>
      <c r="Q59" s="14"/>
      <c r="R59" s="19"/>
      <c r="S59" s="14"/>
      <c r="T59" s="14"/>
      <c r="U59" s="14"/>
      <c r="V59" s="19"/>
      <c r="W59" s="14"/>
      <c r="X59" s="14"/>
      <c r="Y59" s="14"/>
      <c r="Z59" s="19"/>
      <c r="AA59" s="14"/>
      <c r="AB59" s="14"/>
      <c r="AC59" s="3"/>
      <c r="AD59" s="5"/>
      <c r="AE59" s="44"/>
      <c r="AF59" s="3"/>
      <c r="AG59" s="3"/>
      <c r="AH59" s="3"/>
      <c r="AI59" s="3"/>
    </row>
    <row r="60" spans="1:35">
      <c r="A60" s="14"/>
      <c r="B60" s="19"/>
      <c r="C60" s="14"/>
      <c r="D60" s="16"/>
      <c r="E60" s="14"/>
      <c r="F60" s="19"/>
      <c r="G60" s="14"/>
      <c r="H60" s="14"/>
      <c r="I60" s="14"/>
      <c r="J60" s="19"/>
      <c r="K60" s="14"/>
      <c r="L60" s="14"/>
      <c r="M60" s="14"/>
      <c r="N60" s="19"/>
      <c r="O60" s="14"/>
      <c r="P60" s="14"/>
      <c r="Q60" s="14"/>
      <c r="R60" s="19"/>
      <c r="S60" s="14"/>
      <c r="T60" s="14"/>
      <c r="U60" s="14"/>
      <c r="V60" s="19"/>
      <c r="W60" s="14"/>
      <c r="X60" s="14"/>
      <c r="Y60" s="14"/>
      <c r="Z60" s="19"/>
      <c r="AA60" s="14"/>
      <c r="AB60" s="14"/>
      <c r="AC60" s="3"/>
      <c r="AD60" s="5"/>
      <c r="AE60" s="44"/>
      <c r="AF60" s="3"/>
      <c r="AG60" s="3"/>
      <c r="AH60" s="3"/>
      <c r="AI60" s="3"/>
    </row>
    <row r="61" spans="1:35">
      <c r="A61" s="14"/>
      <c r="B61" s="19"/>
      <c r="C61" s="14"/>
      <c r="D61" s="16"/>
      <c r="E61" s="14"/>
      <c r="F61" s="19"/>
      <c r="G61" s="14"/>
      <c r="H61" s="14"/>
      <c r="I61" s="14"/>
      <c r="J61" s="19"/>
      <c r="K61" s="14"/>
      <c r="L61" s="14"/>
      <c r="M61" s="14"/>
      <c r="N61" s="19"/>
      <c r="O61" s="14"/>
      <c r="P61" s="14"/>
      <c r="Q61" s="14"/>
      <c r="R61" s="19"/>
      <c r="S61" s="14"/>
      <c r="T61" s="14"/>
      <c r="U61" s="14"/>
      <c r="V61" s="19"/>
      <c r="W61" s="14"/>
      <c r="X61" s="14"/>
      <c r="Y61" s="14"/>
      <c r="Z61" s="19"/>
      <c r="AA61" s="14"/>
      <c r="AB61" s="14"/>
      <c r="AC61" s="3"/>
      <c r="AD61" s="5"/>
      <c r="AE61" s="44"/>
      <c r="AF61" s="3"/>
      <c r="AG61" s="3"/>
      <c r="AH61" s="3"/>
      <c r="AI61" s="3"/>
    </row>
    <row r="62" spans="1:35">
      <c r="A62" s="14"/>
      <c r="B62" s="19"/>
      <c r="C62" s="14"/>
      <c r="D62" s="16"/>
      <c r="E62" s="14"/>
      <c r="F62" s="19"/>
      <c r="G62" s="14"/>
      <c r="H62" s="14"/>
      <c r="I62" s="14"/>
      <c r="J62" s="19"/>
      <c r="K62" s="14"/>
      <c r="L62" s="14"/>
      <c r="M62" s="14"/>
      <c r="N62" s="19"/>
      <c r="O62" s="14"/>
      <c r="P62" s="14"/>
      <c r="Q62" s="14"/>
      <c r="R62" s="19"/>
      <c r="S62" s="14"/>
      <c r="T62" s="14"/>
      <c r="U62" s="14"/>
      <c r="V62" s="19"/>
      <c r="W62" s="14"/>
      <c r="X62" s="14"/>
      <c r="Y62" s="14"/>
      <c r="Z62" s="19"/>
      <c r="AA62" s="14"/>
      <c r="AB62" s="14"/>
      <c r="AC62" s="3"/>
      <c r="AD62" s="5"/>
      <c r="AE62" s="44"/>
      <c r="AF62" s="3"/>
      <c r="AG62" s="3"/>
      <c r="AH62" s="3"/>
      <c r="AI62" s="3"/>
    </row>
    <row r="63" spans="1:35">
      <c r="A63" s="14"/>
      <c r="B63" s="19"/>
      <c r="C63" s="14"/>
      <c r="D63" s="16"/>
      <c r="E63" s="14"/>
      <c r="F63" s="19"/>
      <c r="G63" s="14"/>
      <c r="H63" s="14"/>
      <c r="I63" s="14"/>
      <c r="J63" s="19"/>
      <c r="K63" s="14"/>
      <c r="L63" s="14"/>
      <c r="M63" s="14"/>
      <c r="N63" s="19"/>
      <c r="O63" s="14"/>
      <c r="P63" s="14"/>
      <c r="Q63" s="14"/>
      <c r="R63" s="19"/>
      <c r="S63" s="14"/>
      <c r="T63" s="14"/>
      <c r="U63" s="14"/>
      <c r="V63" s="19"/>
      <c r="W63" s="14"/>
      <c r="X63" s="14"/>
      <c r="Y63" s="14"/>
      <c r="Z63" s="19"/>
      <c r="AA63" s="14"/>
      <c r="AB63" s="14"/>
      <c r="AC63" s="3"/>
      <c r="AD63" s="5"/>
      <c r="AE63" s="44"/>
      <c r="AF63" s="3"/>
      <c r="AG63" s="3"/>
      <c r="AH63" s="3"/>
      <c r="AI63" s="3"/>
    </row>
    <row r="64" spans="1:35">
      <c r="A64" s="14"/>
      <c r="B64" s="19"/>
      <c r="C64" s="14"/>
      <c r="D64" s="16"/>
      <c r="E64" s="14"/>
      <c r="F64" s="19"/>
      <c r="G64" s="14"/>
      <c r="H64" s="14"/>
      <c r="I64" s="14"/>
      <c r="J64" s="19"/>
      <c r="K64" s="14"/>
      <c r="L64" s="14"/>
      <c r="M64" s="14"/>
      <c r="N64" s="19"/>
      <c r="O64" s="14"/>
      <c r="P64" s="14"/>
      <c r="Q64" s="14"/>
      <c r="R64" s="19"/>
      <c r="S64" s="14"/>
      <c r="T64" s="14"/>
      <c r="U64" s="14"/>
      <c r="V64" s="19"/>
      <c r="W64" s="14"/>
      <c r="X64" s="14"/>
      <c r="Y64" s="14"/>
      <c r="Z64" s="19"/>
      <c r="AA64" s="14"/>
      <c r="AB64" s="14"/>
      <c r="AC64" s="3"/>
      <c r="AD64" s="5"/>
      <c r="AE64" s="44"/>
      <c r="AF64" s="3"/>
      <c r="AG64" s="3"/>
      <c r="AH64" s="3"/>
      <c r="AI64" s="3"/>
    </row>
    <row r="65" spans="1:35">
      <c r="A65" s="14"/>
      <c r="B65" s="19"/>
      <c r="C65" s="14"/>
      <c r="D65" s="16"/>
      <c r="E65" s="14"/>
      <c r="F65" s="19"/>
      <c r="G65" s="14"/>
      <c r="H65" s="14"/>
      <c r="I65" s="14"/>
      <c r="J65" s="19"/>
      <c r="K65" s="14"/>
      <c r="L65" s="14"/>
      <c r="M65" s="14"/>
      <c r="N65" s="19"/>
      <c r="O65" s="14"/>
      <c r="P65" s="14"/>
      <c r="Q65" s="14"/>
      <c r="R65" s="19"/>
      <c r="S65" s="14"/>
      <c r="T65" s="14"/>
      <c r="U65" s="14"/>
      <c r="V65" s="19"/>
      <c r="W65" s="14"/>
      <c r="X65" s="14"/>
      <c r="Y65" s="14"/>
      <c r="Z65" s="19"/>
      <c r="AA65" s="14"/>
      <c r="AB65" s="14"/>
      <c r="AC65" s="3"/>
      <c r="AD65" s="5"/>
      <c r="AE65" s="44"/>
      <c r="AF65" s="3"/>
      <c r="AG65" s="3"/>
      <c r="AH65" s="3"/>
      <c r="AI65" s="3"/>
    </row>
    <row r="66" spans="1:35">
      <c r="A66" s="14"/>
      <c r="B66" s="19"/>
      <c r="C66" s="14"/>
      <c r="D66" s="16"/>
      <c r="E66" s="14"/>
      <c r="F66" s="19"/>
      <c r="G66" s="14"/>
      <c r="H66" s="14"/>
      <c r="I66" s="14"/>
      <c r="J66" s="19"/>
      <c r="K66" s="14"/>
      <c r="L66" s="14"/>
      <c r="M66" s="14"/>
      <c r="N66" s="19"/>
      <c r="O66" s="14"/>
      <c r="P66" s="14"/>
      <c r="Q66" s="14"/>
      <c r="R66" s="19"/>
      <c r="S66" s="14"/>
      <c r="T66" s="14"/>
      <c r="U66" s="14"/>
      <c r="V66" s="19"/>
      <c r="W66" s="14"/>
      <c r="X66" s="14"/>
      <c r="Y66" s="14"/>
      <c r="Z66" s="19"/>
      <c r="AA66" s="14"/>
      <c r="AB66" s="14"/>
      <c r="AC66" s="3"/>
      <c r="AD66" s="5"/>
      <c r="AE66" s="44"/>
      <c r="AF66" s="3"/>
      <c r="AG66" s="3"/>
      <c r="AH66" s="3"/>
      <c r="AI66" s="3"/>
    </row>
    <row r="67" spans="1:35">
      <c r="A67" s="14"/>
      <c r="B67" s="19"/>
      <c r="C67" s="14"/>
      <c r="D67" s="16"/>
      <c r="E67" s="14"/>
      <c r="F67" s="19"/>
      <c r="G67" s="14"/>
      <c r="H67" s="14"/>
      <c r="I67" s="14"/>
      <c r="J67" s="19"/>
      <c r="K67" s="14"/>
      <c r="L67" s="14"/>
      <c r="M67" s="14"/>
      <c r="N67" s="19"/>
      <c r="O67" s="14"/>
      <c r="P67" s="14"/>
      <c r="Q67" s="14"/>
      <c r="R67" s="19"/>
      <c r="S67" s="14"/>
      <c r="T67" s="14"/>
      <c r="U67" s="14"/>
      <c r="V67" s="19"/>
      <c r="W67" s="14"/>
      <c r="X67" s="14"/>
      <c r="Y67" s="14"/>
      <c r="Z67" s="19"/>
      <c r="AA67" s="14"/>
      <c r="AB67" s="14"/>
      <c r="AC67" s="3"/>
      <c r="AD67" s="5"/>
      <c r="AE67" s="44"/>
      <c r="AF67" s="3"/>
      <c r="AG67" s="3"/>
      <c r="AH67" s="3"/>
      <c r="AI67" s="3"/>
    </row>
    <row r="68" spans="1:35">
      <c r="A68" s="14"/>
      <c r="B68" s="19"/>
      <c r="C68" s="14"/>
      <c r="D68" s="16"/>
      <c r="E68" s="14"/>
      <c r="F68" s="19"/>
      <c r="G68" s="14"/>
      <c r="H68" s="14"/>
      <c r="I68" s="14"/>
      <c r="J68" s="19"/>
      <c r="K68" s="14"/>
      <c r="L68" s="14"/>
      <c r="M68" s="14"/>
      <c r="N68" s="19"/>
      <c r="O68" s="14"/>
      <c r="P68" s="14"/>
      <c r="Q68" s="14"/>
      <c r="R68" s="19"/>
      <c r="S68" s="14"/>
      <c r="T68" s="14"/>
      <c r="U68" s="14"/>
      <c r="V68" s="19"/>
      <c r="W68" s="14"/>
      <c r="X68" s="14"/>
      <c r="Y68" s="14"/>
      <c r="Z68" s="19"/>
      <c r="AA68" s="14"/>
      <c r="AB68" s="14"/>
      <c r="AC68" s="3"/>
      <c r="AD68" s="5"/>
      <c r="AE68" s="44"/>
      <c r="AF68" s="3"/>
      <c r="AG68" s="3"/>
      <c r="AH68" s="3"/>
      <c r="AI68" s="3"/>
    </row>
    <row r="69" spans="1:35">
      <c r="A69" s="14"/>
      <c r="B69" s="19"/>
      <c r="C69" s="14"/>
      <c r="D69" s="16"/>
      <c r="E69" s="14"/>
      <c r="F69" s="19"/>
      <c r="G69" s="14"/>
      <c r="H69" s="14"/>
      <c r="I69" s="14"/>
      <c r="J69" s="19"/>
      <c r="K69" s="14"/>
      <c r="L69" s="14"/>
      <c r="M69" s="14"/>
      <c r="N69" s="19"/>
      <c r="O69" s="14"/>
      <c r="P69" s="14"/>
      <c r="Q69" s="14"/>
      <c r="R69" s="19"/>
      <c r="S69" s="14"/>
      <c r="T69" s="14"/>
      <c r="U69" s="14"/>
      <c r="V69" s="19"/>
      <c r="W69" s="14"/>
      <c r="X69" s="14"/>
      <c r="Y69" s="14"/>
      <c r="Z69" s="19"/>
      <c r="AA69" s="14"/>
      <c r="AB69" s="14"/>
      <c r="AC69" s="3"/>
      <c r="AD69" s="5"/>
      <c r="AE69" s="44"/>
      <c r="AF69" s="3"/>
      <c r="AG69" s="3"/>
      <c r="AH69" s="3"/>
      <c r="AI69" s="3"/>
    </row>
    <row r="70" spans="1:35">
      <c r="A70" s="14"/>
      <c r="B70" s="19"/>
      <c r="C70" s="14"/>
      <c r="D70" s="16"/>
      <c r="E70" s="14"/>
      <c r="F70" s="19"/>
      <c r="G70" s="14"/>
      <c r="H70" s="14"/>
      <c r="I70" s="14"/>
      <c r="J70" s="19"/>
      <c r="K70" s="14"/>
      <c r="L70" s="14"/>
      <c r="M70" s="14"/>
      <c r="N70" s="19"/>
      <c r="O70" s="14"/>
      <c r="P70" s="14"/>
      <c r="Q70" s="14"/>
      <c r="R70" s="19"/>
      <c r="S70" s="14"/>
      <c r="T70" s="14"/>
      <c r="U70" s="14"/>
      <c r="V70" s="19"/>
      <c r="W70" s="14"/>
      <c r="X70" s="14"/>
      <c r="Y70" s="14"/>
      <c r="Z70" s="19"/>
      <c r="AA70" s="14"/>
      <c r="AB70" s="14"/>
      <c r="AC70" s="3"/>
      <c r="AD70" s="5"/>
      <c r="AE70" s="44"/>
      <c r="AF70" s="3"/>
      <c r="AG70" s="3"/>
      <c r="AH70" s="3"/>
      <c r="AI70" s="3"/>
    </row>
    <row r="71" spans="1:35">
      <c r="A71" s="14"/>
      <c r="B71" s="19"/>
      <c r="C71" s="14"/>
      <c r="D71" s="16"/>
      <c r="E71" s="14"/>
      <c r="F71" s="19"/>
      <c r="G71" s="14"/>
      <c r="H71" s="14"/>
      <c r="I71" s="14"/>
      <c r="J71" s="19"/>
      <c r="K71" s="14"/>
      <c r="L71" s="14"/>
      <c r="M71" s="14"/>
      <c r="N71" s="19"/>
      <c r="O71" s="14"/>
      <c r="P71" s="14"/>
      <c r="Q71" s="14"/>
      <c r="R71" s="19"/>
      <c r="S71" s="14"/>
      <c r="T71" s="14"/>
      <c r="U71" s="14"/>
      <c r="V71" s="19"/>
      <c r="W71" s="14"/>
      <c r="X71" s="14"/>
      <c r="Y71" s="14"/>
      <c r="Z71" s="19"/>
      <c r="AA71" s="14"/>
      <c r="AB71" s="14"/>
      <c r="AC71" s="3"/>
      <c r="AD71" s="5"/>
      <c r="AE71" s="44"/>
      <c r="AF71" s="3"/>
      <c r="AG71" s="3"/>
      <c r="AH71" s="3"/>
      <c r="AI71" s="3"/>
    </row>
    <row r="72" spans="1:35">
      <c r="A72" s="14"/>
      <c r="B72" s="19"/>
      <c r="C72" s="14"/>
      <c r="D72" s="16"/>
      <c r="E72" s="14"/>
      <c r="F72" s="19"/>
      <c r="G72" s="14"/>
      <c r="H72" s="14"/>
      <c r="I72" s="14"/>
      <c r="J72" s="19"/>
      <c r="K72" s="14"/>
      <c r="L72" s="14"/>
      <c r="M72" s="14"/>
      <c r="N72" s="19"/>
      <c r="O72" s="14"/>
      <c r="P72" s="14"/>
      <c r="Q72" s="14"/>
      <c r="R72" s="19"/>
      <c r="S72" s="14"/>
      <c r="T72" s="14"/>
      <c r="U72" s="14"/>
      <c r="V72" s="19"/>
      <c r="W72" s="14"/>
      <c r="X72" s="14"/>
      <c r="Y72" s="14"/>
      <c r="Z72" s="19"/>
      <c r="AA72" s="14"/>
      <c r="AB72" s="14"/>
      <c r="AC72" s="3"/>
      <c r="AD72" s="5"/>
      <c r="AE72" s="44"/>
      <c r="AF72" s="3"/>
      <c r="AG72" s="3"/>
      <c r="AH72" s="3"/>
      <c r="AI72" s="3"/>
    </row>
    <row r="73" spans="1:35">
      <c r="A73" s="14"/>
      <c r="B73" s="19"/>
      <c r="C73" s="14"/>
      <c r="D73" s="16"/>
      <c r="E73" s="14"/>
      <c r="F73" s="19"/>
      <c r="G73" s="14"/>
      <c r="H73" s="14"/>
      <c r="I73" s="14"/>
      <c r="J73" s="19"/>
      <c r="K73" s="14"/>
      <c r="L73" s="14"/>
      <c r="M73" s="14"/>
      <c r="N73" s="19"/>
      <c r="O73" s="14"/>
      <c r="P73" s="14"/>
      <c r="Q73" s="14"/>
      <c r="R73" s="19"/>
      <c r="S73" s="14"/>
      <c r="T73" s="14"/>
      <c r="U73" s="14"/>
      <c r="V73" s="19"/>
      <c r="W73" s="14"/>
      <c r="X73" s="14"/>
      <c r="Y73" s="14"/>
      <c r="Z73" s="19"/>
      <c r="AA73" s="14"/>
      <c r="AB73" s="14"/>
      <c r="AC73" s="3"/>
      <c r="AD73" s="5"/>
      <c r="AE73" s="44"/>
      <c r="AF73" s="3"/>
      <c r="AG73" s="3"/>
      <c r="AH73" s="3"/>
      <c r="AI73" s="3"/>
    </row>
    <row r="74" spans="1:35">
      <c r="A74" s="14"/>
      <c r="B74" s="19"/>
      <c r="C74" s="14"/>
      <c r="D74" s="16"/>
      <c r="E74" s="14"/>
      <c r="F74" s="19"/>
      <c r="G74" s="14"/>
      <c r="H74" s="14"/>
      <c r="I74" s="14"/>
      <c r="J74" s="19"/>
      <c r="K74" s="14"/>
      <c r="L74" s="14"/>
      <c r="M74" s="14"/>
      <c r="N74" s="19"/>
      <c r="O74" s="14"/>
      <c r="P74" s="14"/>
      <c r="Q74" s="14"/>
      <c r="R74" s="19"/>
      <c r="S74" s="14"/>
      <c r="T74" s="14"/>
      <c r="U74" s="14"/>
      <c r="V74" s="19"/>
      <c r="W74" s="14"/>
      <c r="X74" s="14"/>
      <c r="Y74" s="14"/>
      <c r="Z74" s="19"/>
      <c r="AA74" s="14"/>
      <c r="AB74" s="14"/>
      <c r="AC74" s="3"/>
      <c r="AD74" s="5"/>
      <c r="AE74" s="44"/>
      <c r="AF74" s="3"/>
      <c r="AG74" s="3"/>
      <c r="AH74" s="3"/>
      <c r="AI74" s="3"/>
    </row>
    <row r="75" spans="1:35">
      <c r="A75" s="14"/>
      <c r="B75" s="19"/>
      <c r="C75" s="14"/>
      <c r="D75" s="16"/>
      <c r="E75" s="14"/>
      <c r="F75" s="19"/>
      <c r="G75" s="14"/>
      <c r="H75" s="14"/>
      <c r="I75" s="14"/>
      <c r="J75" s="19"/>
      <c r="K75" s="14"/>
      <c r="L75" s="14"/>
      <c r="M75" s="14"/>
      <c r="N75" s="19"/>
      <c r="O75" s="14"/>
      <c r="P75" s="14"/>
      <c r="Q75" s="14"/>
      <c r="R75" s="19"/>
      <c r="S75" s="14"/>
      <c r="T75" s="14"/>
      <c r="U75" s="14"/>
      <c r="V75" s="19"/>
      <c r="W75" s="14"/>
      <c r="X75" s="14"/>
      <c r="Y75" s="14"/>
      <c r="Z75" s="19"/>
      <c r="AA75" s="14"/>
      <c r="AB75" s="14"/>
      <c r="AC75" s="3"/>
      <c r="AD75" s="5"/>
      <c r="AE75" s="44"/>
      <c r="AF75" s="3"/>
      <c r="AG75" s="3"/>
      <c r="AH75" s="3"/>
      <c r="AI75" s="3"/>
    </row>
    <row r="76" spans="1:35">
      <c r="A76" s="14"/>
      <c r="B76" s="19"/>
      <c r="C76" s="14"/>
      <c r="D76" s="16"/>
      <c r="E76" s="14"/>
      <c r="F76" s="19"/>
      <c r="G76" s="14"/>
      <c r="H76" s="14"/>
      <c r="I76" s="14"/>
      <c r="J76" s="19"/>
      <c r="K76" s="14"/>
      <c r="L76" s="14"/>
      <c r="M76" s="14"/>
      <c r="N76" s="19"/>
      <c r="O76" s="14"/>
      <c r="P76" s="14"/>
      <c r="Q76" s="14"/>
      <c r="R76" s="19"/>
      <c r="S76" s="14"/>
      <c r="T76" s="14"/>
      <c r="U76" s="14"/>
      <c r="V76" s="19"/>
      <c r="W76" s="14"/>
      <c r="X76" s="14"/>
      <c r="Y76" s="14"/>
      <c r="Z76" s="19"/>
      <c r="AA76" s="14"/>
      <c r="AB76" s="14"/>
      <c r="AC76" s="3"/>
      <c r="AD76" s="5"/>
      <c r="AE76" s="44"/>
      <c r="AF76" s="3"/>
      <c r="AG76" s="3"/>
      <c r="AH76" s="3"/>
      <c r="AI76" s="3"/>
    </row>
    <row r="77" spans="1:35">
      <c r="A77" s="14"/>
      <c r="B77" s="19"/>
      <c r="C77" s="14"/>
      <c r="D77" s="16"/>
      <c r="E77" s="14"/>
      <c r="F77" s="19"/>
      <c r="G77" s="14"/>
      <c r="H77" s="14"/>
      <c r="I77" s="14"/>
      <c r="J77" s="19"/>
      <c r="K77" s="14"/>
      <c r="L77" s="14"/>
      <c r="M77" s="14"/>
      <c r="N77" s="19"/>
      <c r="O77" s="14"/>
      <c r="P77" s="14"/>
      <c r="Q77" s="14"/>
      <c r="R77" s="19"/>
      <c r="S77" s="14"/>
      <c r="T77" s="14"/>
      <c r="U77" s="14"/>
      <c r="V77" s="19"/>
      <c r="W77" s="14"/>
      <c r="X77" s="14"/>
      <c r="Y77" s="14"/>
      <c r="Z77" s="19"/>
      <c r="AA77" s="14"/>
      <c r="AB77" s="14"/>
      <c r="AC77" s="3"/>
      <c r="AD77" s="5"/>
      <c r="AE77" s="44"/>
      <c r="AF77" s="3"/>
      <c r="AG77" s="3"/>
      <c r="AH77" s="3"/>
      <c r="AI77" s="3"/>
    </row>
    <row r="78" spans="1:35">
      <c r="A78" s="14"/>
      <c r="B78" s="19"/>
      <c r="C78" s="14"/>
      <c r="D78" s="16"/>
      <c r="E78" s="14"/>
      <c r="F78" s="19"/>
      <c r="G78" s="14"/>
      <c r="H78" s="14"/>
      <c r="I78" s="14"/>
      <c r="J78" s="19"/>
      <c r="K78" s="14"/>
      <c r="L78" s="14"/>
      <c r="M78" s="14"/>
      <c r="N78" s="19"/>
      <c r="O78" s="14"/>
      <c r="P78" s="14"/>
      <c r="Q78" s="14"/>
      <c r="R78" s="19"/>
      <c r="S78" s="14"/>
      <c r="T78" s="14"/>
      <c r="U78" s="14"/>
      <c r="V78" s="19"/>
      <c r="W78" s="14"/>
      <c r="X78" s="14"/>
      <c r="Y78" s="14"/>
      <c r="Z78" s="19"/>
      <c r="AA78" s="14"/>
      <c r="AB78" s="14"/>
      <c r="AC78" s="3"/>
      <c r="AD78" s="5"/>
      <c r="AE78" s="44"/>
      <c r="AF78" s="3"/>
      <c r="AG78" s="3"/>
      <c r="AH78" s="3"/>
      <c r="AI78" s="3"/>
    </row>
    <row r="79" spans="1:35">
      <c r="A79" s="14"/>
      <c r="B79" s="19"/>
      <c r="C79" s="14"/>
      <c r="D79" s="16"/>
      <c r="E79" s="14"/>
      <c r="F79" s="19"/>
      <c r="G79" s="14"/>
      <c r="H79" s="14"/>
      <c r="I79" s="14"/>
      <c r="J79" s="19"/>
      <c r="K79" s="14"/>
      <c r="L79" s="14"/>
      <c r="M79" s="14"/>
      <c r="N79" s="19"/>
      <c r="O79" s="14"/>
      <c r="P79" s="14"/>
      <c r="Q79" s="14"/>
      <c r="R79" s="19"/>
      <c r="S79" s="14"/>
      <c r="T79" s="14"/>
      <c r="U79" s="14"/>
      <c r="V79" s="19"/>
      <c r="W79" s="14"/>
      <c r="X79" s="14"/>
      <c r="Y79" s="14"/>
      <c r="Z79" s="19"/>
      <c r="AA79" s="14"/>
      <c r="AB79" s="14"/>
      <c r="AC79" s="3"/>
      <c r="AD79" s="5"/>
      <c r="AE79" s="44"/>
      <c r="AF79" s="3"/>
      <c r="AG79" s="3"/>
      <c r="AH79" s="3"/>
      <c r="AI79" s="3"/>
    </row>
    <row r="80" spans="1:35">
      <c r="A80" s="14"/>
      <c r="B80" s="19"/>
      <c r="C80" s="14"/>
      <c r="D80" s="16"/>
      <c r="E80" s="14"/>
      <c r="F80" s="19"/>
      <c r="G80" s="14"/>
      <c r="H80" s="14"/>
      <c r="I80" s="14"/>
      <c r="J80" s="19"/>
      <c r="K80" s="14"/>
      <c r="L80" s="14"/>
      <c r="M80" s="14"/>
      <c r="N80" s="19"/>
      <c r="O80" s="14"/>
      <c r="P80" s="14"/>
      <c r="Q80" s="14"/>
      <c r="R80" s="19"/>
      <c r="S80" s="14"/>
      <c r="T80" s="14"/>
      <c r="U80" s="14"/>
      <c r="V80" s="19"/>
      <c r="W80" s="14"/>
      <c r="X80" s="14"/>
      <c r="Y80" s="14"/>
      <c r="Z80" s="19"/>
      <c r="AA80" s="14"/>
      <c r="AB80" s="14"/>
      <c r="AC80" s="3"/>
      <c r="AD80" s="5"/>
      <c r="AE80" s="44"/>
      <c r="AF80" s="3"/>
      <c r="AG80" s="3"/>
      <c r="AH80" s="3"/>
      <c r="AI80" s="3"/>
    </row>
    <row r="81" spans="1:35">
      <c r="A81" s="14"/>
      <c r="B81" s="19"/>
      <c r="C81" s="14"/>
      <c r="D81" s="16"/>
      <c r="E81" s="14"/>
      <c r="F81" s="19"/>
      <c r="G81" s="14"/>
      <c r="H81" s="14"/>
      <c r="I81" s="14"/>
      <c r="J81" s="19"/>
      <c r="K81" s="14"/>
      <c r="L81" s="14"/>
      <c r="M81" s="14"/>
      <c r="N81" s="19"/>
      <c r="O81" s="14"/>
      <c r="P81" s="14"/>
      <c r="Q81" s="14"/>
      <c r="R81" s="19"/>
      <c r="S81" s="14"/>
      <c r="T81" s="14"/>
      <c r="U81" s="14"/>
      <c r="V81" s="19"/>
      <c r="W81" s="14"/>
      <c r="X81" s="14"/>
      <c r="Y81" s="14"/>
      <c r="Z81" s="19"/>
      <c r="AA81" s="14"/>
      <c r="AB81" s="14"/>
      <c r="AC81" s="3"/>
      <c r="AD81" s="5"/>
      <c r="AE81" s="44"/>
      <c r="AF81" s="3"/>
      <c r="AG81" s="3"/>
      <c r="AH81" s="3"/>
      <c r="AI81" s="3"/>
    </row>
    <row r="82" spans="1:35">
      <c r="A82" s="14"/>
      <c r="B82" s="19"/>
      <c r="C82" s="14"/>
      <c r="D82" s="16"/>
      <c r="E82" s="14"/>
      <c r="F82" s="19"/>
      <c r="G82" s="14"/>
      <c r="H82" s="14"/>
      <c r="I82" s="14"/>
      <c r="J82" s="19"/>
      <c r="K82" s="14"/>
      <c r="L82" s="14"/>
      <c r="M82" s="14"/>
      <c r="N82" s="19"/>
      <c r="O82" s="14"/>
      <c r="P82" s="14"/>
      <c r="Q82" s="14"/>
      <c r="R82" s="19"/>
      <c r="S82" s="14"/>
      <c r="T82" s="14"/>
      <c r="U82" s="14"/>
      <c r="V82" s="19"/>
      <c r="W82" s="14"/>
      <c r="X82" s="14"/>
      <c r="Y82" s="14"/>
      <c r="Z82" s="19"/>
      <c r="AA82" s="14"/>
      <c r="AB82" s="14"/>
      <c r="AC82" s="3"/>
      <c r="AD82" s="5"/>
      <c r="AE82" s="44"/>
      <c r="AF82" s="3"/>
      <c r="AG82" s="3"/>
      <c r="AH82" s="3"/>
      <c r="AI82" s="3"/>
    </row>
    <row r="83" spans="1:35">
      <c r="A83" s="14"/>
      <c r="B83" s="19"/>
      <c r="C83" s="14"/>
      <c r="D83" s="16"/>
      <c r="E83" s="14"/>
      <c r="F83" s="19"/>
      <c r="G83" s="14"/>
      <c r="H83" s="14"/>
      <c r="I83" s="14"/>
      <c r="J83" s="19"/>
      <c r="K83" s="14"/>
      <c r="L83" s="14"/>
      <c r="M83" s="14"/>
      <c r="N83" s="19"/>
      <c r="O83" s="14"/>
      <c r="P83" s="14"/>
      <c r="Q83" s="14"/>
      <c r="R83" s="19"/>
      <c r="S83" s="14"/>
      <c r="T83" s="14"/>
      <c r="U83" s="14"/>
      <c r="V83" s="19"/>
      <c r="W83" s="14"/>
      <c r="X83" s="14"/>
      <c r="Y83" s="14"/>
      <c r="Z83" s="19"/>
      <c r="AA83" s="14"/>
      <c r="AB83" s="14"/>
      <c r="AC83" s="3"/>
      <c r="AD83" s="5"/>
      <c r="AE83" s="44"/>
      <c r="AF83" s="3"/>
      <c r="AG83" s="3"/>
      <c r="AH83" s="3"/>
      <c r="AI83" s="3"/>
    </row>
    <row r="84" spans="1:35">
      <c r="A84" s="14"/>
      <c r="B84" s="19"/>
      <c r="C84" s="14"/>
      <c r="D84" s="16"/>
      <c r="E84" s="14"/>
      <c r="F84" s="19"/>
      <c r="G84" s="14"/>
      <c r="H84" s="14"/>
      <c r="I84" s="14"/>
      <c r="J84" s="19"/>
      <c r="K84" s="14"/>
      <c r="L84" s="14"/>
      <c r="M84" s="14"/>
      <c r="N84" s="19"/>
      <c r="O84" s="14"/>
      <c r="P84" s="14"/>
      <c r="Q84" s="14"/>
      <c r="R84" s="19"/>
      <c r="S84" s="14"/>
      <c r="T84" s="14"/>
      <c r="U84" s="14"/>
      <c r="V84" s="19"/>
      <c r="W84" s="14"/>
      <c r="X84" s="14"/>
      <c r="Y84" s="14"/>
      <c r="Z84" s="19"/>
      <c r="AA84" s="14"/>
      <c r="AB84" s="14"/>
      <c r="AC84" s="3"/>
      <c r="AD84" s="5"/>
      <c r="AE84" s="44"/>
      <c r="AF84" s="3"/>
      <c r="AG84" s="3"/>
      <c r="AH84" s="3"/>
      <c r="AI84" s="3"/>
    </row>
    <row r="85" spans="1:35">
      <c r="A85" s="14"/>
      <c r="B85" s="19"/>
      <c r="C85" s="14"/>
      <c r="D85" s="16"/>
      <c r="E85" s="14"/>
      <c r="F85" s="19"/>
      <c r="G85" s="14"/>
      <c r="H85" s="14"/>
      <c r="I85" s="14"/>
      <c r="J85" s="19"/>
      <c r="K85" s="14"/>
      <c r="L85" s="14"/>
      <c r="M85" s="14"/>
      <c r="N85" s="19"/>
      <c r="O85" s="14"/>
      <c r="P85" s="14"/>
      <c r="Q85" s="14"/>
      <c r="R85" s="19"/>
      <c r="S85" s="14"/>
      <c r="T85" s="14"/>
      <c r="U85" s="14"/>
      <c r="V85" s="19"/>
      <c r="W85" s="14"/>
      <c r="X85" s="14"/>
      <c r="Y85" s="14"/>
      <c r="Z85" s="19"/>
      <c r="AA85" s="14"/>
      <c r="AB85" s="14"/>
      <c r="AC85" s="3"/>
      <c r="AD85" s="5"/>
      <c r="AE85" s="44"/>
      <c r="AF85" s="3"/>
      <c r="AG85" s="3"/>
      <c r="AH85" s="3"/>
      <c r="AI85" s="3"/>
    </row>
    <row r="86" spans="1:35">
      <c r="A86" s="14"/>
      <c r="B86" s="19"/>
      <c r="C86" s="14"/>
      <c r="D86" s="16"/>
      <c r="E86" s="14"/>
      <c r="F86" s="19"/>
      <c r="G86" s="14"/>
      <c r="H86" s="14"/>
      <c r="I86" s="14"/>
      <c r="J86" s="19"/>
      <c r="K86" s="14"/>
      <c r="L86" s="14"/>
      <c r="M86" s="14"/>
      <c r="N86" s="19"/>
      <c r="O86" s="14"/>
      <c r="P86" s="14"/>
      <c r="Q86" s="14"/>
      <c r="R86" s="19"/>
      <c r="S86" s="14"/>
      <c r="T86" s="14"/>
      <c r="U86" s="14"/>
      <c r="V86" s="19"/>
      <c r="W86" s="14"/>
      <c r="X86" s="14"/>
      <c r="Y86" s="14"/>
      <c r="Z86" s="19"/>
      <c r="AA86" s="14"/>
      <c r="AB86" s="14"/>
      <c r="AC86" s="3"/>
      <c r="AD86" s="5"/>
      <c r="AE86" s="44"/>
      <c r="AF86" s="3"/>
      <c r="AG86" s="3"/>
      <c r="AH86" s="3"/>
      <c r="AI86" s="3"/>
    </row>
    <row r="87" spans="1:35">
      <c r="A87" s="14"/>
      <c r="B87" s="19"/>
      <c r="C87" s="14"/>
      <c r="D87" s="16"/>
      <c r="E87" s="14"/>
      <c r="F87" s="19"/>
      <c r="G87" s="14"/>
      <c r="H87" s="14"/>
      <c r="I87" s="14"/>
      <c r="J87" s="19"/>
      <c r="K87" s="14"/>
      <c r="L87" s="14"/>
      <c r="M87" s="14"/>
      <c r="N87" s="19"/>
      <c r="O87" s="14"/>
      <c r="P87" s="14"/>
      <c r="Q87" s="14"/>
      <c r="R87" s="19"/>
      <c r="S87" s="14"/>
      <c r="T87" s="14"/>
      <c r="U87" s="14"/>
      <c r="V87" s="19"/>
      <c r="W87" s="14"/>
      <c r="X87" s="14"/>
      <c r="Y87" s="14"/>
      <c r="Z87" s="19"/>
      <c r="AA87" s="14"/>
      <c r="AB87" s="14"/>
      <c r="AC87" s="3"/>
      <c r="AD87" s="5"/>
      <c r="AE87" s="44"/>
      <c r="AF87" s="3"/>
      <c r="AG87" s="3"/>
      <c r="AH87" s="3"/>
      <c r="AI87" s="3"/>
    </row>
    <row r="88" spans="1:35">
      <c r="A88" s="14"/>
      <c r="B88" s="19"/>
      <c r="C88" s="14"/>
      <c r="D88" s="16"/>
      <c r="E88" s="14"/>
      <c r="F88" s="19"/>
      <c r="G88" s="14"/>
      <c r="H88" s="14"/>
      <c r="I88" s="14"/>
      <c r="J88" s="19"/>
      <c r="K88" s="14"/>
      <c r="L88" s="14"/>
      <c r="M88" s="14"/>
      <c r="N88" s="19"/>
      <c r="O88" s="14"/>
      <c r="P88" s="14"/>
      <c r="Q88" s="14"/>
      <c r="R88" s="19"/>
      <c r="S88" s="14"/>
      <c r="T88" s="14"/>
      <c r="U88" s="14"/>
      <c r="V88" s="19"/>
      <c r="W88" s="14"/>
      <c r="X88" s="14"/>
      <c r="Y88" s="14"/>
      <c r="Z88" s="19"/>
      <c r="AA88" s="14"/>
      <c r="AB88" s="14"/>
      <c r="AC88" s="3"/>
      <c r="AD88" s="5"/>
      <c r="AE88" s="44"/>
      <c r="AF88" s="3"/>
      <c r="AG88" s="3"/>
      <c r="AH88" s="3"/>
      <c r="AI88" s="3"/>
    </row>
    <row r="89" spans="1:35">
      <c r="A89" s="14"/>
      <c r="B89" s="19"/>
      <c r="C89" s="14"/>
      <c r="D89" s="16"/>
      <c r="E89" s="14"/>
      <c r="F89" s="19"/>
      <c r="G89" s="14"/>
      <c r="H89" s="14"/>
      <c r="I89" s="14"/>
      <c r="J89" s="19"/>
      <c r="K89" s="14"/>
      <c r="L89" s="14"/>
      <c r="M89" s="14"/>
      <c r="N89" s="19"/>
      <c r="O89" s="14"/>
      <c r="P89" s="14"/>
      <c r="Q89" s="14"/>
      <c r="R89" s="19"/>
      <c r="S89" s="14"/>
      <c r="T89" s="14"/>
      <c r="U89" s="14"/>
      <c r="V89" s="19"/>
      <c r="W89" s="14"/>
      <c r="X89" s="14"/>
      <c r="Y89" s="14"/>
      <c r="Z89" s="19"/>
      <c r="AA89" s="14"/>
      <c r="AB89" s="14"/>
      <c r="AC89" s="3"/>
      <c r="AD89" s="5"/>
      <c r="AE89" s="44"/>
      <c r="AF89" s="3"/>
      <c r="AG89" s="3"/>
      <c r="AH89" s="3"/>
      <c r="AI89" s="3"/>
    </row>
    <row r="90" spans="1:35">
      <c r="A90" s="14"/>
      <c r="B90" s="19"/>
      <c r="C90" s="14"/>
      <c r="D90" s="16"/>
      <c r="E90" s="14"/>
      <c r="F90" s="19"/>
      <c r="G90" s="14"/>
      <c r="H90" s="14"/>
      <c r="I90" s="14"/>
      <c r="J90" s="19"/>
      <c r="K90" s="14"/>
      <c r="L90" s="14"/>
      <c r="M90" s="14"/>
      <c r="N90" s="19"/>
      <c r="O90" s="14"/>
      <c r="P90" s="14"/>
      <c r="Q90" s="14"/>
      <c r="R90" s="19"/>
      <c r="S90" s="14"/>
      <c r="T90" s="14"/>
      <c r="U90" s="14"/>
      <c r="V90" s="19"/>
      <c r="W90" s="14"/>
      <c r="X90" s="14"/>
      <c r="Y90" s="14"/>
      <c r="Z90" s="19"/>
      <c r="AA90" s="14"/>
      <c r="AB90" s="14"/>
      <c r="AC90" s="3"/>
      <c r="AD90" s="5"/>
      <c r="AE90" s="44"/>
      <c r="AF90" s="3"/>
      <c r="AG90" s="3"/>
      <c r="AH90" s="3"/>
      <c r="AI90" s="3"/>
    </row>
    <row r="91" spans="1:35">
      <c r="A91" s="14"/>
      <c r="B91" s="19"/>
      <c r="C91" s="14"/>
      <c r="D91" s="16"/>
      <c r="E91" s="14"/>
      <c r="F91" s="19"/>
      <c r="G91" s="14"/>
      <c r="H91" s="14"/>
      <c r="I91" s="14"/>
      <c r="J91" s="19"/>
      <c r="K91" s="14"/>
      <c r="L91" s="14"/>
      <c r="M91" s="14"/>
      <c r="N91" s="19"/>
      <c r="O91" s="14"/>
      <c r="P91" s="14"/>
      <c r="Q91" s="14"/>
      <c r="R91" s="19"/>
      <c r="S91" s="14"/>
      <c r="T91" s="14"/>
      <c r="U91" s="14"/>
      <c r="V91" s="19"/>
      <c r="W91" s="14"/>
      <c r="X91" s="14"/>
      <c r="Y91" s="14"/>
      <c r="Z91" s="19"/>
      <c r="AA91" s="14"/>
      <c r="AB91" s="14"/>
      <c r="AC91" s="3"/>
      <c r="AD91" s="5"/>
      <c r="AE91" s="44"/>
      <c r="AF91" s="3"/>
      <c r="AG91" s="3"/>
      <c r="AH91" s="3"/>
      <c r="AI91" s="3"/>
    </row>
    <row r="92" spans="1:35">
      <c r="A92" s="14"/>
      <c r="B92" s="19"/>
      <c r="C92" s="14"/>
      <c r="D92" s="16"/>
      <c r="E92" s="14"/>
      <c r="F92" s="19"/>
      <c r="G92" s="14"/>
      <c r="H92" s="14"/>
      <c r="I92" s="14"/>
      <c r="J92" s="19"/>
      <c r="K92" s="14"/>
      <c r="L92" s="14"/>
      <c r="M92" s="14"/>
      <c r="N92" s="19"/>
      <c r="O92" s="14"/>
      <c r="P92" s="14"/>
      <c r="Q92" s="14"/>
      <c r="R92" s="19"/>
      <c r="S92" s="14"/>
      <c r="T92" s="14"/>
      <c r="U92" s="14"/>
      <c r="V92" s="19"/>
      <c r="W92" s="14"/>
      <c r="X92" s="14"/>
      <c r="Y92" s="14"/>
      <c r="Z92" s="19"/>
      <c r="AA92" s="14"/>
      <c r="AB92" s="14"/>
      <c r="AC92" s="3"/>
      <c r="AD92" s="5"/>
      <c r="AE92" s="44"/>
      <c r="AF92" s="3"/>
      <c r="AG92" s="3"/>
      <c r="AH92" s="3"/>
      <c r="AI92" s="3"/>
    </row>
    <row r="93" spans="1:35">
      <c r="A93" s="14"/>
      <c r="B93" s="19"/>
      <c r="C93" s="14"/>
      <c r="D93" s="16"/>
      <c r="E93" s="14"/>
      <c r="F93" s="19"/>
      <c r="G93" s="14"/>
      <c r="H93" s="14"/>
      <c r="I93" s="14"/>
      <c r="J93" s="19"/>
      <c r="K93" s="14"/>
      <c r="L93" s="14"/>
      <c r="M93" s="14"/>
      <c r="N93" s="19"/>
      <c r="O93" s="14"/>
      <c r="P93" s="14"/>
      <c r="Q93" s="14"/>
      <c r="R93" s="19"/>
      <c r="S93" s="14"/>
      <c r="T93" s="14"/>
      <c r="U93" s="14"/>
      <c r="V93" s="19"/>
      <c r="W93" s="14"/>
      <c r="X93" s="14"/>
      <c r="Y93" s="14"/>
      <c r="Z93" s="19"/>
      <c r="AA93" s="14"/>
      <c r="AB93" s="14"/>
      <c r="AC93" s="3"/>
      <c r="AD93" s="5"/>
      <c r="AE93" s="44"/>
      <c r="AF93" s="3"/>
      <c r="AG93" s="3"/>
      <c r="AH93" s="3"/>
      <c r="AI93" s="3"/>
    </row>
    <row r="94" spans="1:35">
      <c r="A94" s="14"/>
      <c r="B94" s="19"/>
      <c r="C94" s="14"/>
      <c r="D94" s="16"/>
      <c r="E94" s="14"/>
      <c r="F94" s="19"/>
      <c r="G94" s="14"/>
      <c r="H94" s="14"/>
      <c r="I94" s="14"/>
      <c r="J94" s="19"/>
      <c r="K94" s="14"/>
      <c r="L94" s="14"/>
      <c r="M94" s="14"/>
      <c r="N94" s="19"/>
      <c r="O94" s="14"/>
      <c r="P94" s="14"/>
      <c r="Q94" s="14"/>
      <c r="R94" s="19"/>
      <c r="S94" s="14"/>
      <c r="T94" s="14"/>
      <c r="U94" s="14"/>
      <c r="V94" s="19"/>
      <c r="W94" s="14"/>
      <c r="X94" s="14"/>
      <c r="Y94" s="14"/>
      <c r="Z94" s="19"/>
      <c r="AA94" s="14"/>
      <c r="AB94" s="14"/>
      <c r="AC94" s="3"/>
      <c r="AD94" s="5"/>
      <c r="AE94" s="44"/>
      <c r="AF94" s="3"/>
      <c r="AG94" s="3"/>
      <c r="AH94" s="3"/>
      <c r="AI94" s="3"/>
    </row>
    <row r="95" spans="1:35">
      <c r="A95" s="14"/>
      <c r="B95" s="19"/>
      <c r="C95" s="14"/>
      <c r="D95" s="16"/>
      <c r="E95" s="14"/>
      <c r="F95" s="19"/>
      <c r="G95" s="14"/>
      <c r="H95" s="14"/>
      <c r="I95" s="14"/>
      <c r="J95" s="19"/>
      <c r="K95" s="14"/>
      <c r="L95" s="14"/>
      <c r="M95" s="14"/>
      <c r="N95" s="19"/>
      <c r="O95" s="14"/>
      <c r="P95" s="14"/>
      <c r="Q95" s="14"/>
      <c r="R95" s="19"/>
      <c r="S95" s="14"/>
      <c r="T95" s="14"/>
      <c r="U95" s="14"/>
      <c r="V95" s="19"/>
      <c r="W95" s="14"/>
      <c r="X95" s="14"/>
      <c r="Y95" s="14"/>
      <c r="Z95" s="19"/>
      <c r="AA95" s="14"/>
      <c r="AB95" s="14"/>
      <c r="AC95" s="3"/>
      <c r="AD95" s="5"/>
      <c r="AE95" s="44"/>
      <c r="AF95" s="3"/>
      <c r="AG95" s="3"/>
      <c r="AH95" s="3"/>
      <c r="AI95" s="3"/>
    </row>
    <row r="96" spans="1:35">
      <c r="A96" s="14"/>
      <c r="B96" s="19"/>
      <c r="C96" s="14"/>
      <c r="D96" s="16"/>
      <c r="E96" s="14"/>
      <c r="F96" s="19"/>
      <c r="G96" s="14"/>
      <c r="H96" s="14"/>
      <c r="I96" s="14"/>
      <c r="J96" s="19"/>
      <c r="K96" s="14"/>
      <c r="L96" s="14"/>
      <c r="M96" s="14"/>
      <c r="N96" s="19"/>
      <c r="O96" s="14"/>
      <c r="P96" s="14"/>
      <c r="Q96" s="14"/>
      <c r="R96" s="19"/>
      <c r="S96" s="14"/>
      <c r="T96" s="14"/>
      <c r="U96" s="14"/>
      <c r="V96" s="19"/>
      <c r="W96" s="14"/>
      <c r="X96" s="14"/>
      <c r="Y96" s="14"/>
      <c r="Z96" s="19"/>
      <c r="AA96" s="14"/>
      <c r="AB96" s="14"/>
      <c r="AC96" s="3"/>
      <c r="AD96" s="5"/>
      <c r="AE96" s="44"/>
      <c r="AF96" s="3"/>
      <c r="AG96" s="3"/>
      <c r="AH96" s="3"/>
      <c r="AI96" s="3"/>
    </row>
    <row r="97" spans="1:35">
      <c r="A97" s="14"/>
      <c r="B97" s="19"/>
      <c r="C97" s="14"/>
      <c r="D97" s="16"/>
      <c r="E97" s="14"/>
      <c r="F97" s="19"/>
      <c r="G97" s="14"/>
      <c r="H97" s="14"/>
      <c r="I97" s="14"/>
      <c r="J97" s="19"/>
      <c r="K97" s="14"/>
      <c r="L97" s="14"/>
      <c r="M97" s="14"/>
      <c r="N97" s="19"/>
      <c r="O97" s="14"/>
      <c r="P97" s="14"/>
      <c r="Q97" s="14"/>
      <c r="R97" s="19"/>
      <c r="S97" s="14"/>
      <c r="T97" s="14"/>
      <c r="U97" s="14"/>
      <c r="V97" s="19"/>
      <c r="W97" s="14"/>
      <c r="X97" s="14"/>
      <c r="Y97" s="14"/>
      <c r="Z97" s="19"/>
      <c r="AA97" s="14"/>
      <c r="AB97" s="14"/>
      <c r="AC97" s="3"/>
      <c r="AD97" s="5"/>
      <c r="AE97" s="44"/>
      <c r="AF97" s="3"/>
      <c r="AG97" s="3"/>
      <c r="AH97" s="3"/>
      <c r="AI97" s="3"/>
    </row>
    <row r="98" spans="1:35">
      <c r="A98" s="14"/>
      <c r="B98" s="19"/>
      <c r="C98" s="14"/>
      <c r="D98" s="16"/>
      <c r="E98" s="14"/>
      <c r="F98" s="19"/>
      <c r="G98" s="14"/>
      <c r="H98" s="14"/>
      <c r="I98" s="14"/>
      <c r="J98" s="19"/>
      <c r="K98" s="14"/>
      <c r="L98" s="14"/>
      <c r="M98" s="14"/>
      <c r="N98" s="19"/>
      <c r="O98" s="14"/>
      <c r="P98" s="14"/>
      <c r="Q98" s="14"/>
      <c r="R98" s="19"/>
      <c r="S98" s="14"/>
      <c r="T98" s="14"/>
      <c r="U98" s="14"/>
      <c r="V98" s="19"/>
      <c r="W98" s="14"/>
      <c r="X98" s="14"/>
      <c r="Y98" s="14"/>
      <c r="Z98" s="19"/>
      <c r="AA98" s="14"/>
      <c r="AB98" s="14"/>
      <c r="AC98" s="3"/>
      <c r="AD98" s="5"/>
      <c r="AE98" s="44"/>
      <c r="AF98" s="3"/>
      <c r="AG98" s="3"/>
      <c r="AH98" s="3"/>
      <c r="AI98" s="3"/>
    </row>
    <row r="99" spans="1:35">
      <c r="A99" s="3"/>
      <c r="B99" s="5"/>
      <c r="C99" s="3"/>
      <c r="D99" s="4"/>
      <c r="E99" s="3"/>
      <c r="F99" s="5"/>
      <c r="G99" s="3"/>
      <c r="H99" s="3"/>
      <c r="I99" s="3"/>
      <c r="J99" s="5"/>
      <c r="K99" s="3"/>
      <c r="L99" s="3"/>
      <c r="M99" s="3"/>
      <c r="N99" s="5"/>
      <c r="O99" s="3"/>
      <c r="P99" s="3"/>
      <c r="Q99" s="3"/>
      <c r="R99" s="5"/>
      <c r="S99" s="3"/>
      <c r="T99" s="3"/>
      <c r="U99" s="3"/>
      <c r="V99" s="5"/>
      <c r="W99" s="3"/>
      <c r="X99" s="3"/>
      <c r="Y99" s="3"/>
      <c r="Z99" s="5"/>
      <c r="AA99" s="3"/>
      <c r="AB99" s="3"/>
      <c r="AC99" s="3"/>
      <c r="AD99" s="5"/>
      <c r="AE99" s="44"/>
      <c r="AF99" s="3"/>
      <c r="AG99" s="3"/>
      <c r="AH99" s="3"/>
      <c r="AI99" s="3"/>
    </row>
    <row r="100" spans="1:35">
      <c r="A100" s="3"/>
      <c r="B100" s="5"/>
      <c r="C100" s="3"/>
      <c r="D100" s="4"/>
      <c r="E100" s="3"/>
      <c r="F100" s="5"/>
      <c r="G100" s="3"/>
      <c r="H100" s="3"/>
      <c r="I100" s="3"/>
      <c r="J100" s="5"/>
      <c r="K100" s="3"/>
      <c r="L100" s="3"/>
      <c r="M100" s="3"/>
      <c r="N100" s="5"/>
      <c r="O100" s="3"/>
      <c r="P100" s="3"/>
      <c r="Q100" s="3"/>
      <c r="R100" s="5"/>
      <c r="S100" s="3"/>
      <c r="T100" s="3"/>
      <c r="U100" s="3"/>
      <c r="V100" s="5"/>
      <c r="W100" s="3"/>
      <c r="X100" s="3"/>
      <c r="Y100" s="3"/>
      <c r="Z100" s="5"/>
      <c r="AA100" s="3"/>
      <c r="AB100" s="3"/>
      <c r="AC100" s="3"/>
      <c r="AD100" s="5"/>
      <c r="AE100" s="44"/>
      <c r="AF100" s="3"/>
      <c r="AG100" s="3"/>
      <c r="AH100" s="3"/>
      <c r="AI100" s="3"/>
    </row>
    <row r="101" spans="1:35">
      <c r="A101" s="3"/>
      <c r="B101" s="5"/>
      <c r="C101" s="3"/>
      <c r="D101" s="4"/>
      <c r="E101" s="3"/>
      <c r="F101" s="5"/>
      <c r="G101" s="3"/>
      <c r="H101" s="3"/>
      <c r="I101" s="3"/>
      <c r="J101" s="5"/>
      <c r="K101" s="3"/>
      <c r="L101" s="3"/>
      <c r="M101" s="3"/>
      <c r="N101" s="5"/>
      <c r="O101" s="3"/>
      <c r="P101" s="3"/>
      <c r="Q101" s="3"/>
      <c r="R101" s="5"/>
      <c r="S101" s="3"/>
      <c r="T101" s="3"/>
      <c r="U101" s="3"/>
      <c r="V101" s="5"/>
      <c r="W101" s="3"/>
      <c r="X101" s="3"/>
      <c r="Y101" s="3"/>
      <c r="Z101" s="5"/>
      <c r="AA101" s="3"/>
      <c r="AB101" s="3"/>
      <c r="AC101" s="3"/>
      <c r="AD101" s="5"/>
      <c r="AE101" s="44"/>
      <c r="AF101" s="3"/>
      <c r="AG101" s="3"/>
      <c r="AH101" s="3"/>
      <c r="AI101" s="3"/>
    </row>
    <row r="102" spans="1:35">
      <c r="A102" s="3"/>
      <c r="B102" s="5"/>
      <c r="C102" s="3"/>
      <c r="D102" s="4"/>
      <c r="E102" s="3"/>
      <c r="F102" s="5"/>
      <c r="G102" s="3"/>
      <c r="H102" s="3"/>
      <c r="I102" s="3"/>
      <c r="J102" s="5"/>
      <c r="K102" s="3"/>
      <c r="L102" s="3"/>
      <c r="M102" s="3"/>
      <c r="N102" s="5"/>
      <c r="O102" s="3"/>
      <c r="P102" s="3"/>
      <c r="Q102" s="3"/>
      <c r="R102" s="5"/>
      <c r="S102" s="3"/>
      <c r="T102" s="3"/>
      <c r="U102" s="3"/>
      <c r="V102" s="5"/>
      <c r="W102" s="3"/>
      <c r="X102" s="3"/>
      <c r="Y102" s="3"/>
      <c r="Z102" s="5"/>
      <c r="AA102" s="3"/>
      <c r="AB102" s="3"/>
      <c r="AC102" s="3"/>
      <c r="AD102" s="5"/>
      <c r="AE102" s="44"/>
      <c r="AF102" s="3"/>
      <c r="AG102" s="3"/>
      <c r="AH102" s="3"/>
      <c r="AI102" s="3"/>
    </row>
    <row r="103" spans="1:35">
      <c r="A103" s="3"/>
      <c r="B103" s="5"/>
      <c r="C103" s="3"/>
      <c r="D103" s="4"/>
      <c r="E103" s="3"/>
      <c r="F103" s="5"/>
      <c r="G103" s="3"/>
      <c r="H103" s="3"/>
      <c r="I103" s="3"/>
      <c r="J103" s="5"/>
      <c r="K103" s="3"/>
      <c r="L103" s="3"/>
      <c r="M103" s="3"/>
      <c r="N103" s="5"/>
      <c r="O103" s="3"/>
      <c r="P103" s="3"/>
      <c r="Q103" s="3"/>
      <c r="R103" s="5"/>
      <c r="S103" s="3"/>
      <c r="T103" s="3"/>
      <c r="U103" s="3"/>
      <c r="V103" s="5"/>
      <c r="W103" s="3"/>
      <c r="X103" s="3"/>
      <c r="Y103" s="3"/>
      <c r="Z103" s="5"/>
      <c r="AA103" s="3"/>
      <c r="AB103" s="3"/>
      <c r="AC103" s="3"/>
      <c r="AD103" s="5"/>
      <c r="AE103" s="44"/>
      <c r="AF103" s="3"/>
      <c r="AG103" s="3"/>
      <c r="AH103" s="3"/>
      <c r="AI103" s="3"/>
    </row>
  </sheetData>
  <mergeCells count="1">
    <mergeCell ref="K49:P50"/>
  </mergeCells>
  <conditionalFormatting sqref="AE3:AE7 AE9 AE11:AE13 C19:C23 C25 C27:C29 G19:G23 G25 G27:G29 K19:K23 K25 K27:K29 O19:O23 O25 O27:O29 S19:S23 S25 S27:S29 G3:G7 C3:C7 C9 C11:C13 K3:K7 O3:O7 S3:S7 G9 K9 S9 O9 G11:G13 K11:K13 O11:O13 S11:S13 W19:W23 W25 W27:W29 W3:W7 W9 W11:W13 AA19:AA23 AA25 AA27:AA29 AA3:AA7 AA9 AA11:AA13 AE19:AE23 AE25 AE27:AE29">
    <cfRule type="colorScale" priority="170">
      <colorScale>
        <cfvo type="num" val="0"/>
        <cfvo type="num" val="100"/>
        <cfvo type="num" val="250"/>
        <color rgb="FF64BE7C"/>
        <color rgb="FFFFEB84"/>
        <color rgb="FFF86A6D"/>
      </colorScale>
    </cfRule>
  </conditionalFormatting>
  <conditionalFormatting sqref="E16">
    <cfRule type="colorScale" priority="168">
      <colorScale>
        <cfvo type="min" val="0"/>
        <cfvo type="max" val="0"/>
        <color rgb="FFFFEF9C"/>
        <color rgb="FF63BE7B"/>
      </colorScale>
    </cfRule>
    <cfRule type="colorScale" priority="169">
      <colorScale>
        <cfvo type="min" val="0"/>
        <cfvo type="percentile" val="50"/>
        <cfvo type="max" val="0"/>
        <color rgb="FFF8696B"/>
        <color rgb="FFFFEB84"/>
        <color rgb="FF63BE7B"/>
      </colorScale>
    </cfRule>
  </conditionalFormatting>
  <conditionalFormatting sqref="M34:M35">
    <cfRule type="colorScale" priority="146">
      <colorScale>
        <cfvo type="num" val="-90"/>
        <cfvo type="num" val="0"/>
        <cfvo type="num" val="90"/>
        <color rgb="FFF8696B"/>
        <color rgb="FFFFEB84"/>
        <color rgb="FF63BE7B"/>
      </colorScale>
    </cfRule>
  </conditionalFormatting>
  <conditionalFormatting sqref="M37">
    <cfRule type="colorScale" priority="145">
      <colorScale>
        <cfvo type="num" val="0"/>
        <cfvo type="num" val="100"/>
        <color rgb="FF75923C"/>
        <color rgb="FFF86A6D"/>
      </colorScale>
    </cfRule>
  </conditionalFormatting>
  <conditionalFormatting sqref="K46 C15 G31 K31 O31 S31 W31 AA31 G15 K15 S15 O15 AA15 W15 C31 AE31 AE15">
    <cfRule type="colorScale" priority="135">
      <colorScale>
        <cfvo type="num" val="-50"/>
        <cfvo type="num" val="100"/>
        <cfvo type="num" val="200"/>
        <color rgb="FF75923C"/>
        <color rgb="FFFFEB84"/>
        <color rgb="FFF86A6D"/>
      </colorScale>
    </cfRule>
  </conditionalFormatting>
  <conditionalFormatting sqref="L46 H31 D31 D15 H15 L15 P15 P31 L31 T15 T31 X31 X15 AB31 AB15 AF31 AF15">
    <cfRule type="colorScale" priority="110">
      <colorScale>
        <cfvo type="num" val="15"/>
        <cfvo type="num" val="25"/>
        <cfvo type="num" val="50"/>
        <color rgb="FF75923C"/>
        <color rgb="FFFFEB84"/>
        <color rgb="FFF86A6D"/>
      </colorScale>
    </cfRule>
  </conditionalFormatting>
  <conditionalFormatting sqref="D3:D13">
    <cfRule type="colorScale" priority="65">
      <colorScale>
        <cfvo type="percentile" val="10"/>
        <cfvo type="percentile" val="50"/>
        <cfvo type="percentile" val="90"/>
        <color rgb="FFF8696B"/>
        <color rgb="FFFFEB84"/>
        <color rgb="FF75923C"/>
      </colorScale>
    </cfRule>
  </conditionalFormatting>
  <conditionalFormatting sqref="D19:D29">
    <cfRule type="colorScale" priority="48">
      <colorScale>
        <cfvo type="percentile" val="10"/>
        <cfvo type="percentile" val="50"/>
        <cfvo type="percentile" val="90"/>
        <color rgb="FFF8696B"/>
        <color rgb="FFFFEB84"/>
        <color rgb="FF75923C"/>
      </colorScale>
    </cfRule>
  </conditionalFormatting>
  <conditionalFormatting sqref="H3:H13">
    <cfRule type="colorScale" priority="47">
      <colorScale>
        <cfvo type="percentile" val="10"/>
        <cfvo type="percentile" val="50"/>
        <cfvo type="percentile" val="90"/>
        <color rgb="FFF8696B"/>
        <color rgb="FFFFEB84"/>
        <color rgb="FF75923C"/>
      </colorScale>
    </cfRule>
  </conditionalFormatting>
  <conditionalFormatting sqref="H19:H29">
    <cfRule type="colorScale" priority="46">
      <colorScale>
        <cfvo type="percentile" val="10"/>
        <cfvo type="percentile" val="50"/>
        <cfvo type="percentile" val="90"/>
        <color rgb="FFF8696B"/>
        <color rgb="FFFFEB84"/>
        <color rgb="FF75923C"/>
      </colorScale>
    </cfRule>
  </conditionalFormatting>
  <conditionalFormatting sqref="L3:L13">
    <cfRule type="colorScale" priority="45">
      <colorScale>
        <cfvo type="percentile" val="10"/>
        <cfvo type="percentile" val="50"/>
        <cfvo type="percentile" val="90"/>
        <color rgb="FFF8696B"/>
        <color rgb="FFFFEB84"/>
        <color rgb="FF75923C"/>
      </colorScale>
    </cfRule>
  </conditionalFormatting>
  <conditionalFormatting sqref="L19:L29">
    <cfRule type="colorScale" priority="44">
      <colorScale>
        <cfvo type="percentile" val="10"/>
        <cfvo type="percentile" val="50"/>
        <cfvo type="percentile" val="90"/>
        <color rgb="FFF8696B"/>
        <color rgb="FFFFEB84"/>
        <color rgb="FF75923C"/>
      </colorScale>
    </cfRule>
  </conditionalFormatting>
  <conditionalFormatting sqref="P3:P13">
    <cfRule type="colorScale" priority="43">
      <colorScale>
        <cfvo type="percentile" val="10"/>
        <cfvo type="percentile" val="50"/>
        <cfvo type="percentile" val="90"/>
        <color rgb="FFF8696B"/>
        <color rgb="FFFFEB84"/>
        <color rgb="FF75923C"/>
      </colorScale>
    </cfRule>
  </conditionalFormatting>
  <conditionalFormatting sqref="P19:P29">
    <cfRule type="colorScale" priority="42">
      <colorScale>
        <cfvo type="percentile" val="10"/>
        <cfvo type="percentile" val="50"/>
        <cfvo type="percentile" val="90"/>
        <color rgb="FFF8696B"/>
        <color rgb="FFFFEB84"/>
        <color rgb="FF75923C"/>
      </colorScale>
    </cfRule>
  </conditionalFormatting>
  <conditionalFormatting sqref="T3:T13">
    <cfRule type="colorScale" priority="41">
      <colorScale>
        <cfvo type="percentile" val="10"/>
        <cfvo type="percentile" val="50"/>
        <cfvo type="percentile" val="90"/>
        <color rgb="FFF8696B"/>
        <color rgb="FFFFEB84"/>
        <color rgb="FF75923C"/>
      </colorScale>
    </cfRule>
  </conditionalFormatting>
  <conditionalFormatting sqref="T19:T29">
    <cfRule type="colorScale" priority="40">
      <colorScale>
        <cfvo type="percentile" val="10"/>
        <cfvo type="percentile" val="50"/>
        <cfvo type="percentile" val="90"/>
        <color rgb="FFF8696B"/>
        <color rgb="FFFFEB84"/>
        <color rgb="FF75923C"/>
      </colorScale>
    </cfRule>
  </conditionalFormatting>
  <conditionalFormatting sqref="X3:X13">
    <cfRule type="colorScale" priority="39">
      <colorScale>
        <cfvo type="percentile" val="10"/>
        <cfvo type="percentile" val="50"/>
        <cfvo type="percentile" val="90"/>
        <color rgb="FFF8696B"/>
        <color rgb="FFFFEB84"/>
        <color rgb="FF75923C"/>
      </colorScale>
    </cfRule>
  </conditionalFormatting>
  <conditionalFormatting sqref="X19:X29">
    <cfRule type="colorScale" priority="38">
      <colorScale>
        <cfvo type="percentile" val="10"/>
        <cfvo type="percentile" val="50"/>
        <cfvo type="percentile" val="90"/>
        <color rgb="FFF8696B"/>
        <color rgb="FFFFEB84"/>
        <color rgb="FF75923C"/>
      </colorScale>
    </cfRule>
  </conditionalFormatting>
  <conditionalFormatting sqref="AB3:AB13">
    <cfRule type="colorScale" priority="37">
      <colorScale>
        <cfvo type="percentile" val="10"/>
        <cfvo type="percentile" val="50"/>
        <cfvo type="percentile" val="90"/>
        <color rgb="FFF8696B"/>
        <color rgb="FFFFEB84"/>
        <color rgb="FF75923C"/>
      </colorScale>
    </cfRule>
  </conditionalFormatting>
  <conditionalFormatting sqref="AB19:AB29">
    <cfRule type="colorScale" priority="36">
      <colorScale>
        <cfvo type="percentile" val="10"/>
        <cfvo type="percentile" val="50"/>
        <cfvo type="percentile" val="90"/>
        <color rgb="FFF8696B"/>
        <color rgb="FFFFEB84"/>
        <color rgb="FF75923C"/>
      </colorScale>
    </cfRule>
  </conditionalFormatting>
  <conditionalFormatting sqref="AF3:AF13">
    <cfRule type="colorScale" priority="35">
      <colorScale>
        <cfvo type="percentile" val="10"/>
        <cfvo type="percentile" val="50"/>
        <cfvo type="percentile" val="90"/>
        <color rgb="FFF8696B"/>
        <color rgb="FFFFEB84"/>
        <color rgb="FF75923C"/>
      </colorScale>
    </cfRule>
  </conditionalFormatting>
  <conditionalFormatting sqref="AF19:AF29">
    <cfRule type="colorScale" priority="34">
      <colorScale>
        <cfvo type="percentile" val="10"/>
        <cfvo type="percentile" val="50"/>
        <cfvo type="percentile" val="90"/>
        <color rgb="FFF8696B"/>
        <color rgb="FFFFEB84"/>
        <color rgb="FF75923C"/>
      </colorScale>
    </cfRule>
  </conditionalFormatting>
  <conditionalFormatting sqref="L34:L44">
    <cfRule type="colorScale" priority="33">
      <colorScale>
        <cfvo type="percentile" val="10"/>
        <cfvo type="percentile" val="50"/>
        <cfvo type="percentile" val="90"/>
        <color rgb="FFF8696B"/>
        <color rgb="FFFFEB84"/>
        <color rgb="FF75923C"/>
      </colorScale>
    </cfRule>
  </conditionalFormatting>
  <conditionalFormatting sqref="K34:K38 K40 K42:K44">
    <cfRule type="colorScale" priority="32">
      <colorScale>
        <cfvo type="num" val="0"/>
        <cfvo type="num" val="100"/>
        <cfvo type="num" val="250"/>
        <color rgb="FF64BE7C"/>
        <color rgb="FFFFEB84"/>
        <color rgb="FFF86A6D"/>
      </colorScale>
    </cfRule>
  </conditionalFormatting>
  <conditionalFormatting sqref="AI3:AI7 AI9 AI11:AI13 AI19:AI23 AI25 AI27:AI29">
    <cfRule type="colorScale" priority="31">
      <colorScale>
        <cfvo type="num" val="0"/>
        <cfvo type="num" val="100"/>
        <cfvo type="num" val="250"/>
        <color rgb="FF64BE7C"/>
        <color rgb="FFFFEB84"/>
        <color rgb="FFF86A6D"/>
      </colorScale>
    </cfRule>
  </conditionalFormatting>
  <conditionalFormatting sqref="AI31 AI15">
    <cfRule type="colorScale" priority="30">
      <colorScale>
        <cfvo type="num" val="-50"/>
        <cfvo type="num" val="100"/>
        <cfvo type="num" val="200"/>
        <color rgb="FF75923C"/>
        <color rgb="FFFFEB84"/>
        <color rgb="FFF86A6D"/>
      </colorScale>
    </cfRule>
  </conditionalFormatting>
  <conditionalFormatting sqref="AJ31 AJ15">
    <cfRule type="colorScale" priority="29">
      <colorScale>
        <cfvo type="num" val="15"/>
        <cfvo type="num" val="25"/>
        <cfvo type="num" val="50"/>
        <color rgb="FF75923C"/>
        <color rgb="FFFFEB84"/>
        <color rgb="FFF86A6D"/>
      </colorScale>
    </cfRule>
  </conditionalFormatting>
  <conditionalFormatting sqref="AJ3:AJ13">
    <cfRule type="colorScale" priority="28">
      <colorScale>
        <cfvo type="percentile" val="10"/>
        <cfvo type="percentile" val="50"/>
        <cfvo type="percentile" val="90"/>
        <color rgb="FFF8696B"/>
        <color rgb="FFFFEB84"/>
        <color rgb="FF75923C"/>
      </colorScale>
    </cfRule>
  </conditionalFormatting>
  <conditionalFormatting sqref="AJ19:AJ29">
    <cfRule type="colorScale" priority="27">
      <colorScale>
        <cfvo type="percentile" val="10"/>
        <cfvo type="percentile" val="50"/>
        <cfvo type="percentile" val="90"/>
        <color rgb="FFF8696B"/>
        <color rgb="FFFFEB84"/>
        <color rgb="FF75923C"/>
      </colorScale>
    </cfRule>
  </conditionalFormatting>
  <conditionalFormatting sqref="AM3:AM7 AM9 AM11:AM13 AM19:AM23 AM25 AM27:AM29">
    <cfRule type="colorScale" priority="26">
      <colorScale>
        <cfvo type="num" val="0"/>
        <cfvo type="num" val="100"/>
        <cfvo type="num" val="250"/>
        <color rgb="FF64BE7C"/>
        <color rgb="FFFFEB84"/>
        <color rgb="FFF86A6D"/>
      </colorScale>
    </cfRule>
  </conditionalFormatting>
  <conditionalFormatting sqref="AM31 AM15">
    <cfRule type="colorScale" priority="25">
      <colorScale>
        <cfvo type="num" val="-50"/>
        <cfvo type="num" val="100"/>
        <cfvo type="num" val="200"/>
        <color rgb="FF75923C"/>
        <color rgb="FFFFEB84"/>
        <color rgb="FFF86A6D"/>
      </colorScale>
    </cfRule>
  </conditionalFormatting>
  <conditionalFormatting sqref="AN31 AN15">
    <cfRule type="colorScale" priority="24">
      <colorScale>
        <cfvo type="num" val="15"/>
        <cfvo type="num" val="25"/>
        <cfvo type="num" val="50"/>
        <color rgb="FF75923C"/>
        <color rgb="FFFFEB84"/>
        <color rgb="FFF86A6D"/>
      </colorScale>
    </cfRule>
  </conditionalFormatting>
  <conditionalFormatting sqref="AN3:AN13">
    <cfRule type="colorScale" priority="23">
      <colorScale>
        <cfvo type="percentile" val="10"/>
        <cfvo type="percentile" val="50"/>
        <cfvo type="percentile" val="90"/>
        <color rgb="FFF8696B"/>
        <color rgb="FFFFEB84"/>
        <color rgb="FF75923C"/>
      </colorScale>
    </cfRule>
  </conditionalFormatting>
  <conditionalFormatting sqref="AN19:AN29">
    <cfRule type="colorScale" priority="22">
      <colorScale>
        <cfvo type="percentile" val="10"/>
        <cfvo type="percentile" val="50"/>
        <cfvo type="percentile" val="90"/>
        <color rgb="FFF8696B"/>
        <color rgb="FFFFEB84"/>
        <color rgb="FF75923C"/>
      </colorScale>
    </cfRule>
  </conditionalFormatting>
  <conditionalFormatting sqref="L33">
    <cfRule type="colorScale" priority="21">
      <colorScale>
        <cfvo type="num" val="$K$33-20"/>
        <cfvo type="num" val="$K$33"/>
        <cfvo type="num" val="$K$33+20"/>
        <color rgb="FFF8696B"/>
        <color rgb="FFFFEB84"/>
        <color rgb="FF63BE7B"/>
      </colorScale>
    </cfRule>
  </conditionalFormatting>
  <conditionalFormatting sqref="AQ15">
    <cfRule type="colorScale" priority="15">
      <colorScale>
        <cfvo type="num" val="-50"/>
        <cfvo type="num" val="100"/>
        <cfvo type="num" val="200"/>
        <color rgb="FF75923C"/>
        <color rgb="FFFFEB84"/>
        <color rgb="FFF86A6D"/>
      </colorScale>
    </cfRule>
  </conditionalFormatting>
  <conditionalFormatting sqref="AR15">
    <cfRule type="colorScale" priority="14">
      <colorScale>
        <cfvo type="num" val="15"/>
        <cfvo type="num" val="25"/>
        <cfvo type="num" val="50"/>
        <color rgb="FF75923C"/>
        <color rgb="FFFFEB84"/>
        <color rgb="FFF86A6D"/>
      </colorScale>
    </cfRule>
  </conditionalFormatting>
  <conditionalFormatting sqref="AQ31">
    <cfRule type="colorScale" priority="13">
      <colorScale>
        <cfvo type="num" val="-50"/>
        <cfvo type="num" val="100"/>
        <cfvo type="num" val="200"/>
        <color rgb="FF75923C"/>
        <color rgb="FFFFEB84"/>
        <color rgb="FFF86A6D"/>
      </colorScale>
    </cfRule>
  </conditionalFormatting>
  <conditionalFormatting sqref="AR31">
    <cfRule type="colorScale" priority="12">
      <colorScale>
        <cfvo type="num" val="15"/>
        <cfvo type="num" val="25"/>
        <cfvo type="num" val="50"/>
        <color rgb="FF75923C"/>
        <color rgb="FFFFEB84"/>
        <color rgb="FFF86A6D"/>
      </colorScale>
    </cfRule>
  </conditionalFormatting>
  <conditionalFormatting sqref="AQ3:AQ7 AQ9 AQ11:AQ13">
    <cfRule type="colorScale" priority="11">
      <colorScale>
        <cfvo type="num" val="0"/>
        <cfvo type="num" val="100"/>
        <cfvo type="num" val="250"/>
        <color rgb="FF64BE7C"/>
        <color rgb="FFFFEB84"/>
        <color rgb="FFF86A6D"/>
      </colorScale>
    </cfRule>
  </conditionalFormatting>
  <conditionalFormatting sqref="AQ19:AQ23 AQ25 AQ27:AQ29">
    <cfRule type="colorScale" priority="10">
      <colorScale>
        <cfvo type="num" val="0"/>
        <cfvo type="num" val="100"/>
        <cfvo type="num" val="250"/>
        <color rgb="FF64BE7C"/>
        <color rgb="FFFFEB84"/>
        <color rgb="FFF86A6D"/>
      </colorScale>
    </cfRule>
  </conditionalFormatting>
  <conditionalFormatting sqref="AR3:AR13">
    <cfRule type="colorScale" priority="9">
      <colorScale>
        <cfvo type="percentile" val="10"/>
        <cfvo type="percentile" val="50"/>
        <cfvo type="percentile" val="90"/>
        <color rgb="FFF8696B"/>
        <color rgb="FFFFEB84"/>
        <color rgb="FF75923C"/>
      </colorScale>
    </cfRule>
  </conditionalFormatting>
  <conditionalFormatting sqref="AR19:AR29">
    <cfRule type="colorScale" priority="8">
      <colorScale>
        <cfvo type="percentile" val="10"/>
        <cfvo type="percentile" val="50"/>
        <cfvo type="percentile" val="90"/>
        <color rgb="FFF8696B"/>
        <color rgb="FFFFEB84"/>
        <color rgb="FF75923C"/>
      </colorScale>
    </cfRule>
  </conditionalFormatting>
  <conditionalFormatting sqref="AU31 AU15">
    <cfRule type="colorScale" priority="7">
      <colorScale>
        <cfvo type="num" val="-50"/>
        <cfvo type="num" val="100"/>
        <cfvo type="num" val="200"/>
        <color rgb="FF75923C"/>
        <color rgb="FFFFEB84"/>
        <color rgb="FFF86A6D"/>
      </colorScale>
    </cfRule>
  </conditionalFormatting>
  <conditionalFormatting sqref="AV31 AV15">
    <cfRule type="colorScale" priority="6">
      <colorScale>
        <cfvo type="num" val="15"/>
        <cfvo type="num" val="25"/>
        <cfvo type="num" val="50"/>
        <color rgb="FF75923C"/>
        <color rgb="FFFFEB84"/>
        <color rgb="FFF86A6D"/>
      </colorScale>
    </cfRule>
  </conditionalFormatting>
  <conditionalFormatting sqref="AU3:AU13">
    <cfRule type="colorScale" priority="5">
      <colorScale>
        <cfvo type="num" val="0"/>
        <cfvo type="num" val="100"/>
        <cfvo type="num" val="250"/>
        <color rgb="FF64BE7C"/>
        <color rgb="FFFFEB84"/>
        <color rgb="FFF86A6D"/>
      </colorScale>
    </cfRule>
  </conditionalFormatting>
  <conditionalFormatting sqref="AU19:AU29">
    <cfRule type="colorScale" priority="4">
      <colorScale>
        <cfvo type="num" val="0"/>
        <cfvo type="num" val="100"/>
        <cfvo type="num" val="250"/>
        <color rgb="FF64BE7C"/>
        <color rgb="FFFFEB84"/>
        <color rgb="FFF86A6D"/>
      </colorScale>
    </cfRule>
  </conditionalFormatting>
  <conditionalFormatting sqref="AV3:AV13">
    <cfRule type="colorScale" priority="3">
      <colorScale>
        <cfvo type="percentile" val="10"/>
        <cfvo type="percentile" val="50"/>
        <cfvo type="percentile" val="90"/>
        <color rgb="FFF8696B"/>
        <color rgb="FFFFEB84"/>
        <color rgb="FF75923C"/>
      </colorScale>
    </cfRule>
  </conditionalFormatting>
  <conditionalFormatting sqref="AV19:AV29">
    <cfRule type="colorScale" priority="2">
      <colorScale>
        <cfvo type="percentile" val="10"/>
        <cfvo type="percentile" val="50"/>
        <cfvo type="percentile" val="90"/>
        <color rgb="FFF8696B"/>
        <color rgb="FFFFEB84"/>
        <color rgb="FF75923C"/>
      </colorScale>
    </cfRule>
  </conditionalFormatting>
  <conditionalFormatting sqref="M47">
    <cfRule type="colorScale" priority="1">
      <colorScale>
        <cfvo type="num" val="60"/>
        <cfvo type="num" val="100"/>
        <cfvo type="num" val="150"/>
        <color rgb="FFF8696B"/>
        <color rgb="FFFFEB84"/>
        <color rgb="FF63BE7B"/>
      </colorScale>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BH103"/>
  <sheetViews>
    <sheetView showGridLines="0" workbookViewId="0">
      <selection activeCell="BG15" sqref="BG15"/>
    </sheetView>
  </sheetViews>
  <sheetFormatPr defaultRowHeight="15.75"/>
  <cols>
    <col min="1" max="1" width="17.5703125" customWidth="1"/>
    <col min="2" max="2" width="11.140625" style="1" customWidth="1"/>
    <col min="3" max="3" width="12" customWidth="1"/>
    <col min="4" max="4" width="9.7109375" style="2" customWidth="1"/>
    <col min="5" max="5" width="18.85546875" customWidth="1"/>
    <col min="6" max="6" width="11.140625" style="1" customWidth="1"/>
    <col min="7" max="7" width="12" customWidth="1"/>
    <col min="8" max="8" width="9.7109375" customWidth="1"/>
    <col min="9" max="9" width="15.42578125" customWidth="1"/>
    <col min="10" max="10" width="11.140625" style="1" customWidth="1"/>
    <col min="11" max="11" width="12" customWidth="1"/>
    <col min="12" max="12" width="9.7109375" customWidth="1"/>
    <col min="13" max="13" width="19.5703125" bestFit="1" customWidth="1"/>
    <col min="14" max="14" width="11.140625" style="1" customWidth="1"/>
    <col min="15" max="15" width="12" customWidth="1"/>
    <col min="16" max="16" width="9.7109375" customWidth="1"/>
    <col min="17" max="17" width="15.28515625" customWidth="1"/>
    <col min="18" max="18" width="7.42578125" style="1" customWidth="1"/>
    <col min="19" max="19" width="12" customWidth="1"/>
    <col min="20" max="20" width="9.7109375" customWidth="1"/>
    <col min="21" max="21" width="17.85546875" customWidth="1"/>
    <col min="22" max="22" width="7.7109375" style="1" customWidth="1"/>
    <col min="23" max="23" width="13.85546875" customWidth="1"/>
    <col min="24" max="24" width="9.28515625" customWidth="1"/>
    <col min="25" max="25" width="16" customWidth="1"/>
    <col min="26" max="26" width="8.140625" style="1" customWidth="1"/>
    <col min="27" max="27" width="13.85546875" bestFit="1" customWidth="1"/>
    <col min="28" max="28" width="10.42578125" customWidth="1"/>
    <col min="29" max="29" width="18.85546875" customWidth="1"/>
    <col min="30" max="30" width="8" style="1" customWidth="1"/>
    <col min="31" max="31" width="10.28515625" style="46" customWidth="1"/>
    <col min="32" max="32" width="10.7109375" customWidth="1"/>
    <col min="33" max="33" width="19.5703125" bestFit="1" customWidth="1"/>
    <col min="34" max="34" width="9" customWidth="1"/>
    <col min="35" max="35" width="10.42578125" customWidth="1"/>
    <col min="36" max="36" width="10.140625" customWidth="1"/>
    <col min="37" max="37" width="19.5703125" bestFit="1" customWidth="1"/>
    <col min="38" max="38" width="7.42578125" customWidth="1"/>
    <col min="39" max="39" width="11.7109375" customWidth="1"/>
    <col min="40" max="40" width="12.85546875" customWidth="1"/>
    <col min="41" max="41" width="19.5703125" bestFit="1" customWidth="1"/>
    <col min="45" max="45" width="18.28515625" customWidth="1"/>
    <col min="46" max="46" width="10.5703125" customWidth="1"/>
    <col min="47" max="47" width="11" customWidth="1"/>
    <col min="48" max="48" width="10.140625" customWidth="1"/>
    <col min="49" max="49" width="15" customWidth="1"/>
    <col min="53" max="53" width="14.140625" customWidth="1"/>
    <col min="56" max="56" width="9.28515625" bestFit="1" customWidth="1"/>
    <col min="57" max="57" width="13.5703125" customWidth="1"/>
    <col min="58" max="58" width="7.42578125" customWidth="1"/>
    <col min="59" max="59" width="9.7109375" customWidth="1"/>
    <col min="60" max="60" width="9.140625" customWidth="1"/>
  </cols>
  <sheetData>
    <row r="1" spans="1:60" ht="31.5" customHeight="1">
      <c r="A1" s="13" t="s">
        <v>0</v>
      </c>
      <c r="B1" s="19">
        <v>100</v>
      </c>
      <c r="C1" s="15" t="s">
        <v>31</v>
      </c>
      <c r="D1" s="50" t="s">
        <v>32</v>
      </c>
      <c r="E1" s="17" t="s">
        <v>17</v>
      </c>
      <c r="F1" s="19">
        <v>100</v>
      </c>
      <c r="G1" s="15" t="s">
        <v>31</v>
      </c>
      <c r="H1" s="14" t="s">
        <v>32</v>
      </c>
      <c r="I1" s="17" t="s">
        <v>27</v>
      </c>
      <c r="J1" s="19">
        <v>100</v>
      </c>
      <c r="K1" s="15" t="s">
        <v>31</v>
      </c>
      <c r="L1" s="14" t="s">
        <v>32</v>
      </c>
      <c r="M1" s="17" t="s">
        <v>28</v>
      </c>
      <c r="N1" s="19">
        <v>100</v>
      </c>
      <c r="O1" s="15" t="s">
        <v>31</v>
      </c>
      <c r="P1" s="14" t="s">
        <v>32</v>
      </c>
      <c r="Q1" s="17" t="s">
        <v>29</v>
      </c>
      <c r="R1" s="19">
        <v>100</v>
      </c>
      <c r="S1" s="15" t="s">
        <v>31</v>
      </c>
      <c r="T1" s="14" t="s">
        <v>32</v>
      </c>
      <c r="U1" s="17" t="s">
        <v>43</v>
      </c>
      <c r="V1" s="19">
        <v>100</v>
      </c>
      <c r="W1" s="15" t="s">
        <v>31</v>
      </c>
      <c r="X1" s="14" t="s">
        <v>32</v>
      </c>
      <c r="Y1" s="17" t="s">
        <v>53</v>
      </c>
      <c r="Z1" s="19">
        <v>100</v>
      </c>
      <c r="AA1" s="15" t="s">
        <v>31</v>
      </c>
      <c r="AB1" s="14" t="s">
        <v>32</v>
      </c>
      <c r="AC1" s="17" t="s">
        <v>48</v>
      </c>
      <c r="AD1" s="5">
        <v>100</v>
      </c>
      <c r="AE1" s="15" t="s">
        <v>31</v>
      </c>
      <c r="AF1" s="3" t="s">
        <v>32</v>
      </c>
      <c r="AG1" s="17" t="s">
        <v>55</v>
      </c>
      <c r="AH1" s="32">
        <v>100</v>
      </c>
      <c r="AI1" s="15" t="s">
        <v>31</v>
      </c>
      <c r="AJ1" s="3" t="s">
        <v>32</v>
      </c>
      <c r="AK1" s="17" t="s">
        <v>72</v>
      </c>
      <c r="AL1" s="32">
        <v>100</v>
      </c>
      <c r="AM1" s="15" t="s">
        <v>31</v>
      </c>
      <c r="AN1" s="3" t="s">
        <v>32</v>
      </c>
      <c r="AO1" s="17" t="s">
        <v>85</v>
      </c>
      <c r="AP1" s="5">
        <v>100</v>
      </c>
      <c r="AQ1" s="15" t="s">
        <v>31</v>
      </c>
      <c r="AR1" s="3" t="s">
        <v>32</v>
      </c>
      <c r="AS1" s="17" t="s">
        <v>92</v>
      </c>
      <c r="AT1" s="5">
        <v>100</v>
      </c>
      <c r="AU1" s="15" t="s">
        <v>31</v>
      </c>
      <c r="AV1" s="3" t="s">
        <v>32</v>
      </c>
      <c r="AW1" s="17" t="s">
        <v>118</v>
      </c>
      <c r="AX1" s="5">
        <v>100</v>
      </c>
      <c r="AY1" s="15" t="s">
        <v>31</v>
      </c>
      <c r="AZ1" s="3" t="s">
        <v>32</v>
      </c>
      <c r="BA1" s="17" t="s">
        <v>121</v>
      </c>
      <c r="BB1" s="5">
        <v>100</v>
      </c>
      <c r="BC1" s="15" t="s">
        <v>31</v>
      </c>
      <c r="BD1" s="3" t="s">
        <v>32</v>
      </c>
      <c r="BE1" s="17" t="s">
        <v>126</v>
      </c>
      <c r="BF1" s="5">
        <v>100</v>
      </c>
      <c r="BG1" s="15" t="s">
        <v>31</v>
      </c>
      <c r="BH1" s="3" t="s">
        <v>32</v>
      </c>
    </row>
    <row r="2" spans="1:60" ht="31.5" customHeight="1">
      <c r="A2" s="37" t="s">
        <v>2</v>
      </c>
      <c r="B2" s="37">
        <f>(31*B$1)/100</f>
        <v>31</v>
      </c>
      <c r="C2" s="15" t="s">
        <v>5</v>
      </c>
      <c r="D2" s="16"/>
      <c r="E2" s="42" t="s">
        <v>16</v>
      </c>
      <c r="F2" s="36">
        <f>(2.3*F$1)/100</f>
        <v>2.2999999999999998</v>
      </c>
      <c r="G2" s="15" t="s">
        <v>5</v>
      </c>
      <c r="H2" s="14"/>
      <c r="I2" s="18" t="s">
        <v>18</v>
      </c>
      <c r="J2" s="19">
        <f>(8.9*J$1)/100</f>
        <v>8.9</v>
      </c>
      <c r="K2" s="15" t="s">
        <v>5</v>
      </c>
      <c r="L2" s="14"/>
      <c r="M2" s="18" t="s">
        <v>18</v>
      </c>
      <c r="N2" s="19">
        <f>(36.7*N$1)/100</f>
        <v>36.700000000000003</v>
      </c>
      <c r="O2" s="15" t="s">
        <v>5</v>
      </c>
      <c r="P2" s="14"/>
      <c r="Q2" s="18" t="s">
        <v>18</v>
      </c>
      <c r="R2" s="19">
        <f>(9*R$1)/100</f>
        <v>9</v>
      </c>
      <c r="S2" s="15" t="s">
        <v>5</v>
      </c>
      <c r="T2" s="14"/>
      <c r="U2" s="18" t="s">
        <v>18</v>
      </c>
      <c r="V2" s="19">
        <f>(9.7*V$1)/100</f>
        <v>9.6999999999999993</v>
      </c>
      <c r="W2" s="15" t="s">
        <v>5</v>
      </c>
      <c r="X2" s="14"/>
      <c r="Y2" s="18" t="s">
        <v>18</v>
      </c>
      <c r="Z2" s="19">
        <f>(2.6*Z$1)/100</f>
        <v>2.6</v>
      </c>
      <c r="AA2" s="15" t="s">
        <v>5</v>
      </c>
      <c r="AB2" s="14"/>
      <c r="AC2" s="12" t="s">
        <v>18</v>
      </c>
      <c r="AD2" s="5">
        <f>(3.5*AD$1)/100</f>
        <v>3.5</v>
      </c>
      <c r="AE2" s="15" t="s">
        <v>5</v>
      </c>
      <c r="AF2" s="3"/>
      <c r="AG2" s="12" t="s">
        <v>18</v>
      </c>
      <c r="AH2" s="5">
        <f>(13.6*AH$1)/100</f>
        <v>13.6</v>
      </c>
      <c r="AI2" s="15" t="s">
        <v>5</v>
      </c>
      <c r="AJ2" s="3"/>
      <c r="AK2" s="12" t="s">
        <v>18</v>
      </c>
      <c r="AL2" s="5">
        <f>(6.3*AL$1)/100</f>
        <v>6.3</v>
      </c>
      <c r="AM2" s="15" t="s">
        <v>5</v>
      </c>
      <c r="AN2" s="3"/>
      <c r="AO2" s="12" t="s">
        <v>18</v>
      </c>
      <c r="AP2" s="5">
        <f>(5.8*AP$1)/100</f>
        <v>5.8</v>
      </c>
      <c r="AQ2" s="15" t="s">
        <v>5</v>
      </c>
      <c r="AR2" s="3"/>
      <c r="AS2" s="12" t="s">
        <v>18</v>
      </c>
      <c r="AT2" s="5">
        <f>(30.1*AT$1)/100</f>
        <v>30.1</v>
      </c>
      <c r="AU2" s="15" t="s">
        <v>5</v>
      </c>
      <c r="AV2" s="3"/>
      <c r="AW2" s="12" t="s">
        <v>18</v>
      </c>
      <c r="AX2" s="5">
        <f>(15*AX$1)/100</f>
        <v>15</v>
      </c>
      <c r="AY2" s="15" t="s">
        <v>5</v>
      </c>
      <c r="AZ2" s="3"/>
      <c r="BA2" s="12" t="s">
        <v>18</v>
      </c>
      <c r="BB2" s="5">
        <f>(53.3*BB$1)/100</f>
        <v>53.3</v>
      </c>
      <c r="BC2" s="15" t="s">
        <v>5</v>
      </c>
      <c r="BD2" s="3"/>
      <c r="BE2" s="12" t="s">
        <v>18</v>
      </c>
      <c r="BF2" s="5">
        <f>(1.7*BF$1)/100</f>
        <v>1.7</v>
      </c>
      <c r="BG2" s="15" t="s">
        <v>5</v>
      </c>
      <c r="BH2" s="3"/>
    </row>
    <row r="3" spans="1:60">
      <c r="A3" s="15" t="s">
        <v>4</v>
      </c>
      <c r="B3" s="37">
        <f>(362*B$1)/100</f>
        <v>362</v>
      </c>
      <c r="C3" s="20">
        <f>(B3*100)/(B$2*Reference!$C37)</f>
        <v>166.82027649769586</v>
      </c>
      <c r="D3" s="6">
        <f>C3-AVERAGE(C$3:C$13)</f>
        <v>1.9283127940662723</v>
      </c>
      <c r="E3" s="18" t="s">
        <v>4</v>
      </c>
      <c r="F3" s="19">
        <f>(30*F$1)/100</f>
        <v>30</v>
      </c>
      <c r="G3" s="20">
        <f>(F3*100)/(F$2*Reference!$C37)</f>
        <v>186.33540372670811</v>
      </c>
      <c r="H3" s="6">
        <f>G3-AVERAGE(G$3:G$13)</f>
        <v>41.761960831805112</v>
      </c>
      <c r="I3" s="18" t="s">
        <v>19</v>
      </c>
      <c r="J3" s="19">
        <f>(85*J$1)/100</f>
        <v>85</v>
      </c>
      <c r="K3" s="20">
        <f>(J3*100)/(J$2*Reference!$C37)</f>
        <v>136.43659711075441</v>
      </c>
      <c r="L3" s="6">
        <f>K3-AVERAGE(K$3:K$13)</f>
        <v>-3.3836403165495881</v>
      </c>
      <c r="M3" s="18" t="s">
        <v>19</v>
      </c>
      <c r="N3" s="19">
        <f>(200*N$1)/100</f>
        <v>200</v>
      </c>
      <c r="O3" s="20">
        <f>(N3*100)/(N$2*Reference!$C37)</f>
        <v>77.851304009342144</v>
      </c>
      <c r="P3" s="6">
        <f>O3-AVERAGE(O$3:O$13)</f>
        <v>-17.234605973784582</v>
      </c>
      <c r="Q3" s="18" t="s">
        <v>19</v>
      </c>
      <c r="R3" s="19">
        <f>(81*R$1)/100</f>
        <v>81</v>
      </c>
      <c r="S3" s="20">
        <f>(R3*100)/(R$2*Reference!$C37)</f>
        <v>128.57142857142858</v>
      </c>
      <c r="T3" s="6">
        <f>S3-AVERAGE(S$3:S$13)</f>
        <v>-12.027457346760798</v>
      </c>
      <c r="U3" s="18" t="s">
        <v>19</v>
      </c>
      <c r="V3" s="19">
        <f>(115*V$1)/100</f>
        <v>115</v>
      </c>
      <c r="W3" s="20">
        <f>(V3*100)/(V$2*Reference!$C37)</f>
        <v>169.36671575846836</v>
      </c>
      <c r="X3" s="6">
        <f>W3-AVERAGE(W$3:W$13)</f>
        <v>15.865075606352661</v>
      </c>
      <c r="Y3" s="18" t="s">
        <v>19</v>
      </c>
      <c r="Z3" s="19">
        <f>(25*Z$1)/100</f>
        <v>25</v>
      </c>
      <c r="AA3" s="20">
        <f>(Z3*100)/(Z$2*Reference!$C37)</f>
        <v>137.36263736263737</v>
      </c>
      <c r="AB3" s="6">
        <f>AA3-AVERAGE(AA$3:AA$13)</f>
        <v>-25.200473565356731</v>
      </c>
      <c r="AC3" s="12" t="s">
        <v>19</v>
      </c>
      <c r="AD3" s="5">
        <f>(20*AD$1)/100</f>
        <v>20</v>
      </c>
      <c r="AE3" s="20">
        <f>(AD3*100)/(AD$2*Reference!$C37)</f>
        <v>81.632653061224488</v>
      </c>
      <c r="AF3" s="6">
        <f>AE3-AVERAGE(AE$3:AE$13)</f>
        <v>-92.936509873906829</v>
      </c>
      <c r="AG3" s="12" t="s">
        <v>19</v>
      </c>
      <c r="AH3" s="5">
        <f>(180*AH$1)/100</f>
        <v>180</v>
      </c>
      <c r="AI3" s="20">
        <f>(AH3*100)/(AH$2*Calculator!$C37)</f>
        <v>189.07563025210084</v>
      </c>
      <c r="AJ3" s="6">
        <f>AI3-AVERAGE(AI$3:AI$13)</f>
        <v>8.9169117989866038</v>
      </c>
      <c r="AK3" s="12" t="s">
        <v>19</v>
      </c>
      <c r="AL3" s="5">
        <f>(90*AL$1)/100</f>
        <v>90</v>
      </c>
      <c r="AM3" s="20">
        <f>(AL3*100)/(AL$2*Calculator!$C37)</f>
        <v>204.08163265306121</v>
      </c>
      <c r="AN3" s="6">
        <f>AM3-AVERAGE(AM$3:AM$13)</f>
        <v>47.156322615861399</v>
      </c>
      <c r="AO3" s="12" t="s">
        <v>19</v>
      </c>
      <c r="AP3" s="5">
        <f>(83*AP$1)/100</f>
        <v>83</v>
      </c>
      <c r="AQ3" s="20">
        <f>(AP3*100)/(AP$2*Reference!$C37)</f>
        <v>204.43349753694579</v>
      </c>
      <c r="AR3" s="6">
        <f>AQ3-AVERAGE(AQ$3:AQ$13)</f>
        <v>69.428765287987034</v>
      </c>
      <c r="AS3" s="12" t="s">
        <v>19</v>
      </c>
      <c r="AT3" s="5">
        <f>(342*AT$1)/100</f>
        <v>342</v>
      </c>
      <c r="AU3" s="20">
        <f>(AT3*100)/(AT$2*Reference!$C37)</f>
        <v>162.31608922638821</v>
      </c>
      <c r="AV3" s="6">
        <f>AU3-AVERAGE(AU$3:AU$13)</f>
        <v>-7.4982596507455241</v>
      </c>
      <c r="AW3" s="12" t="s">
        <v>19</v>
      </c>
      <c r="AX3" s="5">
        <f>(194*AX$1)/100</f>
        <v>194</v>
      </c>
      <c r="AY3" s="20">
        <f>(AX3*100)/(AX$2*Reference!$C37)</f>
        <v>184.76190476190476</v>
      </c>
      <c r="AZ3" s="6">
        <f>AY3-AVERAGE(AY$3:AY$13)</f>
        <v>48.535851458253319</v>
      </c>
      <c r="BA3" s="12" t="s">
        <v>123</v>
      </c>
      <c r="BB3" s="5">
        <f>(381*BB$1)/100</f>
        <v>381</v>
      </c>
      <c r="BC3" s="20">
        <f>(BB3*100)/(BB$2*Reference!$C37)</f>
        <v>102.11739480032163</v>
      </c>
      <c r="BD3" s="6">
        <f>BC3-AVERAGE(BC$3:BC$13)</f>
        <v>-7.258968419756286</v>
      </c>
      <c r="BE3" s="12" t="s">
        <v>4</v>
      </c>
      <c r="BF3" s="5">
        <f>(27*BF$1)/100</f>
        <v>27</v>
      </c>
      <c r="BG3" s="20">
        <f>(BF3*100)/(BF$2*Reference!$C37)</f>
        <v>226.890756302521</v>
      </c>
      <c r="BH3" s="6">
        <f>BG3-AVERAGE(BG$3:BG$13)</f>
        <v>77.118098604433641</v>
      </c>
    </row>
    <row r="4" spans="1:60">
      <c r="A4" s="15" t="s">
        <v>6</v>
      </c>
      <c r="B4" s="37">
        <f>(1310*B$1)/100</f>
        <v>1310</v>
      </c>
      <c r="C4" s="20">
        <f>(B4*100)/(B$2*Reference!$C38)</f>
        <v>156.51135005973717</v>
      </c>
      <c r="D4" s="6">
        <f>C4-AVERAGE(C$3:C$13)</f>
        <v>-8.380613643892417</v>
      </c>
      <c r="E4" s="18" t="s">
        <v>6</v>
      </c>
      <c r="F4" s="19">
        <f>(133*F$1)/100</f>
        <v>133</v>
      </c>
      <c r="G4" s="20">
        <f>(F4*100)/(F$2*Reference!$C38)</f>
        <v>214.170692431562</v>
      </c>
      <c r="H4" s="6">
        <f>G4-AVERAGE(G$3:G$13)</f>
        <v>69.597249536659007</v>
      </c>
      <c r="I4" s="18" t="s">
        <v>20</v>
      </c>
      <c r="J4" s="19">
        <f>(329*J$1)/100</f>
        <v>329</v>
      </c>
      <c r="K4" s="20">
        <f>(J4*100)/(J$2*Reference!$C38)</f>
        <v>136.91219309196836</v>
      </c>
      <c r="L4" s="6">
        <f>K4-AVERAGE(K$3:K$13)</f>
        <v>-2.9080443353356316</v>
      </c>
      <c r="M4" s="18" t="s">
        <v>20</v>
      </c>
      <c r="N4" s="19">
        <f>(880*N$1)/100</f>
        <v>880</v>
      </c>
      <c r="O4" s="20">
        <f>(N4*100)/(N$2*Reference!$C38)</f>
        <v>88.808154203249558</v>
      </c>
      <c r="P4" s="6">
        <f>O4-AVERAGE(O$3:O$13)</f>
        <v>-6.2777557798771682</v>
      </c>
      <c r="Q4" s="18" t="s">
        <v>20</v>
      </c>
      <c r="R4" s="19">
        <f>(323*R$1)/100</f>
        <v>323</v>
      </c>
      <c r="S4" s="20">
        <f>(R4*100)/(R$2*Reference!$C38)</f>
        <v>132.92181069958849</v>
      </c>
      <c r="T4" s="6">
        <f>S4-AVERAGE(S$3:S$13)</f>
        <v>-7.6770752186008906</v>
      </c>
      <c r="U4" s="18" t="s">
        <v>20</v>
      </c>
      <c r="V4" s="19">
        <f>(409*V$1)/100</f>
        <v>409</v>
      </c>
      <c r="W4" s="20">
        <f>(V4*100)/(V$2*Reference!$C38)</f>
        <v>156.16647575410462</v>
      </c>
      <c r="X4" s="6">
        <f>W4-AVERAGE(W$3:W$13)</f>
        <v>2.6648356019889263</v>
      </c>
      <c r="Y4" s="18" t="s">
        <v>20</v>
      </c>
      <c r="Z4" s="19">
        <f>(81*Z$1)/100</f>
        <v>81</v>
      </c>
      <c r="AA4" s="20">
        <f>(Z4*100)/(Z$2*Reference!$C38)</f>
        <v>115.38461538461539</v>
      </c>
      <c r="AB4" s="6">
        <f>AA4-AVERAGE(AA$3:AA$13)</f>
        <v>-47.178495543378716</v>
      </c>
      <c r="AC4" s="12" t="s">
        <v>20</v>
      </c>
      <c r="AD4" s="5">
        <f>(142*AD$1)/100</f>
        <v>142</v>
      </c>
      <c r="AE4" s="20">
        <f>(AD4*100)/(AD$2*Reference!$C38)</f>
        <v>150.26455026455025</v>
      </c>
      <c r="AF4" s="6">
        <f>AE4-AVERAGE(AE$3:AE$13)</f>
        <v>-24.304612670581065</v>
      </c>
      <c r="AG4" s="12" t="s">
        <v>20</v>
      </c>
      <c r="AH4" s="5">
        <f>(601*AH$1)/100</f>
        <v>601</v>
      </c>
      <c r="AI4" s="20">
        <f>(AH4*100)/(AH$2*Calculator!$C38)</f>
        <v>163.67102396514161</v>
      </c>
      <c r="AJ4" s="6">
        <f>AI4-AVERAGE(AI$3:AI$13)</f>
        <v>-16.487694487972618</v>
      </c>
      <c r="AK4" s="12" t="s">
        <v>20</v>
      </c>
      <c r="AL4" s="5">
        <f>(254*AL$1)/100</f>
        <v>254</v>
      </c>
      <c r="AM4" s="20">
        <f>(AL4*100)/(AL$2*Calculator!$C38)</f>
        <v>149.3239271017049</v>
      </c>
      <c r="AN4" s="6">
        <f>AM4-AVERAGE(AM$3:AM$13)</f>
        <v>-7.601382935494911</v>
      </c>
      <c r="AO4" s="12" t="s">
        <v>20</v>
      </c>
      <c r="AP4" s="5">
        <f>(206*AP$1)/100</f>
        <v>206</v>
      </c>
      <c r="AQ4" s="20">
        <f>(AP4*100)/(AP$2*Reference!$C38)</f>
        <v>131.54533844189018</v>
      </c>
      <c r="AR4" s="6">
        <f>AQ4-AVERAGE(AQ$3:AQ$13)</f>
        <v>-3.4593938070685795</v>
      </c>
      <c r="AS4" s="12" t="s">
        <v>20</v>
      </c>
      <c r="AT4" s="5">
        <f>(1337*AT$1)/100</f>
        <v>1337</v>
      </c>
      <c r="AU4" s="20">
        <f>(AT4*100)/(AT$2*Reference!$C38)</f>
        <v>164.51335055986218</v>
      </c>
      <c r="AV4" s="6">
        <f>AU4-AVERAGE(AU$3:AU$13)</f>
        <v>-5.3009983172715636</v>
      </c>
      <c r="AW4" s="12" t="s">
        <v>20</v>
      </c>
      <c r="AX4" s="5">
        <f>(499*AX$1)/100</f>
        <v>499</v>
      </c>
      <c r="AY4" s="20">
        <f>(AX4*100)/(AX$2*Reference!$C38)</f>
        <v>123.20987654320987</v>
      </c>
      <c r="AZ4" s="6">
        <f>AY4-AVERAGE(AY$3:AY$13)</f>
        <v>-13.016176760441567</v>
      </c>
      <c r="BA4" s="12" t="s">
        <v>20</v>
      </c>
      <c r="BB4" s="5">
        <f>(1800*BB$1)/100</f>
        <v>1800</v>
      </c>
      <c r="BC4" s="20">
        <f>(BB4*100)/(BB$2*Reference!$C38)</f>
        <v>125.07817385866167</v>
      </c>
      <c r="BD4" s="6">
        <f>BC4-AVERAGE(BC$3:BC$13)</f>
        <v>15.701810638583751</v>
      </c>
      <c r="BE4" s="12" t="s">
        <v>6</v>
      </c>
      <c r="BF4" s="5">
        <f>(62*BF$1)/100</f>
        <v>62</v>
      </c>
      <c r="BG4" s="20">
        <f>(BF4*100)/(BF$2*Reference!$C38)</f>
        <v>135.07625272331154</v>
      </c>
      <c r="BH4" s="6">
        <f>BG4-AVERAGE(BG$3:BG$13)</f>
        <v>-14.696404974775817</v>
      </c>
    </row>
    <row r="5" spans="1:60">
      <c r="A5" s="15" t="s">
        <v>7</v>
      </c>
      <c r="B5" s="37">
        <f>(1638*B$1)/100</f>
        <v>1638</v>
      </c>
      <c r="C5" s="20">
        <f>(B5*100)/(B$2*Reference!$C39)</f>
        <v>211.35483870967741</v>
      </c>
      <c r="D5" s="6">
        <f>C5-AVERAGE(C$3:C$13)</f>
        <v>46.462875006047824</v>
      </c>
      <c r="E5" s="18" t="s">
        <v>7</v>
      </c>
      <c r="F5" s="19">
        <f>(93*F$1)/100</f>
        <v>93</v>
      </c>
      <c r="G5" s="20">
        <f>(F5*100)/(F$2*Reference!$C39)</f>
        <v>161.73913043478262</v>
      </c>
      <c r="H5" s="6">
        <f>G5-AVERAGE(G$3:G$13)</f>
        <v>17.165687539879627</v>
      </c>
      <c r="I5" s="18" t="s">
        <v>21</v>
      </c>
      <c r="J5" s="19">
        <f>(380*J$1)/100</f>
        <v>380</v>
      </c>
      <c r="K5" s="20">
        <f>(J5*100)/(J$2*Reference!$C39)</f>
        <v>170.7865168539326</v>
      </c>
      <c r="L5" s="6">
        <f>K5-AVERAGE(K$3:K$13)</f>
        <v>30.966279426628603</v>
      </c>
      <c r="M5" s="18" t="s">
        <v>21</v>
      </c>
      <c r="N5" s="19">
        <f>(980*N$1)/100</f>
        <v>980</v>
      </c>
      <c r="O5" s="20">
        <f>(N5*100)/(N$2*Reference!$C39)</f>
        <v>106.81198910081743</v>
      </c>
      <c r="P5" s="6">
        <f>O5-AVERAGE(O$3:O$13)</f>
        <v>11.726079117690702</v>
      </c>
      <c r="Q5" s="18" t="s">
        <v>21</v>
      </c>
      <c r="R5" s="19">
        <f>(390*R$1)/100</f>
        <v>390</v>
      </c>
      <c r="S5" s="20">
        <f>(R5*100)/(R$2*Reference!$C39)</f>
        <v>173.33333333333334</v>
      </c>
      <c r="T5" s="6">
        <f>S5-AVERAGE(S$3:S$13)</f>
        <v>32.734447415143961</v>
      </c>
      <c r="U5" s="18" t="s">
        <v>21</v>
      </c>
      <c r="V5" s="19">
        <f>(429*V$1)/100</f>
        <v>429</v>
      </c>
      <c r="W5" s="20">
        <f>(V5*100)/(V$2*Reference!$C39)</f>
        <v>176.90721649484539</v>
      </c>
      <c r="X5" s="6">
        <f>W5-AVERAGE(W$3:W$13)</f>
        <v>23.405576342729688</v>
      </c>
      <c r="Y5" s="18" t="s">
        <v>21</v>
      </c>
      <c r="Z5" s="19">
        <f>(85*Z$1)/100</f>
        <v>85</v>
      </c>
      <c r="AA5" s="20">
        <f>(Z5*100)/(Z$2*Reference!$C39)</f>
        <v>130.76923076923077</v>
      </c>
      <c r="AB5" s="6">
        <f>AA5-AVERAGE(AA$3:AA$13)</f>
        <v>-31.793880158763329</v>
      </c>
      <c r="AC5" s="12" t="s">
        <v>21</v>
      </c>
      <c r="AD5" s="5">
        <f>(189*AD$1)/100</f>
        <v>189</v>
      </c>
      <c r="AE5" s="20">
        <f>(AD5*100)/(AD$2*Reference!$C39)</f>
        <v>216</v>
      </c>
      <c r="AF5" s="6">
        <f>AE5-AVERAGE(AE$3:AE$13)</f>
        <v>41.430837064868683</v>
      </c>
      <c r="AG5" s="12" t="s">
        <v>21</v>
      </c>
      <c r="AH5" s="5">
        <f>(726*AH$1)/100</f>
        <v>726</v>
      </c>
      <c r="AI5" s="20">
        <f>(AH5*100)/(AH$2*Calculator!$C39)</f>
        <v>213.52941176470588</v>
      </c>
      <c r="AJ5" s="6">
        <f>AI5-AVERAGE(AI$3:AI$13)</f>
        <v>33.370693311591651</v>
      </c>
      <c r="AK5" s="12" t="s">
        <v>21</v>
      </c>
      <c r="AL5" s="5">
        <f>(297*AL$1)/100</f>
        <v>297</v>
      </c>
      <c r="AM5" s="20">
        <f>(AL5*100)/(AL$2*Calculator!$C39)</f>
        <v>188.57142857142858</v>
      </c>
      <c r="AN5" s="6">
        <f>AM5-AVERAGE(AM$3:AM$13)</f>
        <v>31.646118534228776</v>
      </c>
      <c r="AO5" s="12" t="s">
        <v>21</v>
      </c>
      <c r="AP5" s="5">
        <f>(228*AP$1)/100</f>
        <v>228</v>
      </c>
      <c r="AQ5" s="20">
        <f>(AP5*100)/(AP$2*Reference!$C39)</f>
        <v>157.24137931034483</v>
      </c>
      <c r="AR5" s="6">
        <f>AQ5-AVERAGE(AQ$3:AQ$13)</f>
        <v>22.236647061386066</v>
      </c>
      <c r="AS5" s="12" t="s">
        <v>21</v>
      </c>
      <c r="AT5" s="5">
        <f>(1563*AT$1)/100</f>
        <v>1563</v>
      </c>
      <c r="AU5" s="20">
        <f>(AT5*100)/(AT$2*Reference!$C39)</f>
        <v>207.7076411960133</v>
      </c>
      <c r="AV5" s="6">
        <f>AU5-AVERAGE(AU$3:AU$13)</f>
        <v>37.89329231887956</v>
      </c>
      <c r="AW5" s="12" t="s">
        <v>21</v>
      </c>
      <c r="AX5" s="5">
        <f>(548*AX$1)/100</f>
        <v>548</v>
      </c>
      <c r="AY5" s="20">
        <f>(AX5*100)/(AX$2*Reference!$C39)</f>
        <v>146.13333333333333</v>
      </c>
      <c r="AZ5" s="6">
        <f>AY5-AVERAGE(AY$3:AY$13)</f>
        <v>9.9072800296818855</v>
      </c>
      <c r="BA5" s="12" t="s">
        <v>21</v>
      </c>
      <c r="BB5" s="5">
        <f>(1620*BB$1)/100</f>
        <v>1620</v>
      </c>
      <c r="BC5" s="20">
        <f>(BB5*100)/(BB$2*Reference!$C39)</f>
        <v>121.57598499061913</v>
      </c>
      <c r="BD5" s="6">
        <f>BC5-AVERAGE(BC$3:BC$13)</f>
        <v>12.199621770541214</v>
      </c>
      <c r="BE5" s="12" t="s">
        <v>21</v>
      </c>
      <c r="BF5" s="5">
        <f>(70*BF$1)/100</f>
        <v>70</v>
      </c>
      <c r="BG5" s="20">
        <f>(BF5*100)/(BF$2*Reference!$C39)</f>
        <v>164.70588235294119</v>
      </c>
      <c r="BH5" s="6">
        <f>BG5-AVERAGE(BG$3:BG$13)</f>
        <v>14.933224654853831</v>
      </c>
    </row>
    <row r="6" spans="1:60">
      <c r="A6" s="15" t="s">
        <v>8</v>
      </c>
      <c r="B6" s="37">
        <f>(2328*B$1)/100</f>
        <v>2328</v>
      </c>
      <c r="C6" s="20">
        <f>(B6*100)/(B$2*Reference!$C40)</f>
        <v>136.53958944281524</v>
      </c>
      <c r="D6" s="6">
        <f>C6-AVERAGE(C$3:C$13)</f>
        <v>-28.352374260814344</v>
      </c>
      <c r="E6" s="18" t="s">
        <v>8</v>
      </c>
      <c r="F6" s="19">
        <f>(166*F$1)/100</f>
        <v>166</v>
      </c>
      <c r="G6" s="20">
        <f>(F6*100)/(F$2*Reference!$C40)</f>
        <v>131.22529644268775</v>
      </c>
      <c r="H6" s="6">
        <f>G6-AVERAGE(G$3:G$13)</f>
        <v>-13.348146452215246</v>
      </c>
      <c r="I6" s="18" t="s">
        <v>8</v>
      </c>
      <c r="J6" s="19">
        <f>(631*J$1)/100</f>
        <v>631</v>
      </c>
      <c r="K6" s="20">
        <f>(J6*100)/(J$2*Reference!$C40)</f>
        <v>128.90704800817161</v>
      </c>
      <c r="L6" s="6">
        <f>K6-AVERAGE(K$3:K$13)</f>
        <v>-10.913189419132379</v>
      </c>
      <c r="M6" s="18" t="s">
        <v>8</v>
      </c>
      <c r="N6" s="19">
        <f>(1720*N$1)/100</f>
        <v>1720</v>
      </c>
      <c r="O6" s="20">
        <f>(N6*100)/(N$2*Reference!$C40)</f>
        <v>85.211790933861764</v>
      </c>
      <c r="P6" s="6">
        <f>O6-AVERAGE(O$3:O$13)</f>
        <v>-9.8741190492649622</v>
      </c>
      <c r="Q6" s="18" t="s">
        <v>8</v>
      </c>
      <c r="R6" s="19">
        <f>(654*R$1)/100</f>
        <v>654</v>
      </c>
      <c r="S6" s="20">
        <f>(R6*100)/(R$2*Reference!$C40)</f>
        <v>132.12121212121212</v>
      </c>
      <c r="T6" s="6">
        <f>S6-AVERAGE(S$3:S$13)</f>
        <v>-8.4776737969772569</v>
      </c>
      <c r="U6" s="18" t="s">
        <v>8</v>
      </c>
      <c r="V6" s="19">
        <f>(776*V$1)/100</f>
        <v>776</v>
      </c>
      <c r="W6" s="20">
        <f>(V6*100)/(V$2*Reference!$C40)</f>
        <v>145.45454545454547</v>
      </c>
      <c r="X6" s="6">
        <f>W6-AVERAGE(W$3:W$13)</f>
        <v>-8.0470946975702304</v>
      </c>
      <c r="Y6" s="18" t="s">
        <v>8</v>
      </c>
      <c r="Z6" s="19">
        <f>(335*Z$1)/100</f>
        <v>335</v>
      </c>
      <c r="AA6" s="20">
        <f>(Z6*100)/(Z$2*Reference!$C40)</f>
        <v>234.26573426573427</v>
      </c>
      <c r="AB6" s="6">
        <f>AA6-AVERAGE(AA$3:AA$13)</f>
        <v>71.702623337740164</v>
      </c>
      <c r="AC6" s="12" t="s">
        <v>8</v>
      </c>
      <c r="AD6" s="5">
        <f>(350*AD$1)/100</f>
        <v>350</v>
      </c>
      <c r="AE6" s="20">
        <f>(AD6*100)/(AD$2*Reference!$C40)</f>
        <v>181.81818181818181</v>
      </c>
      <c r="AF6" s="6">
        <f>AE6-AVERAGE(AE$3:AE$13)</f>
        <v>7.2490188830504962</v>
      </c>
      <c r="AG6" s="12" t="s">
        <v>8</v>
      </c>
      <c r="AH6" s="5">
        <f>(1174*AH$1)/100</f>
        <v>1174</v>
      </c>
      <c r="AI6" s="20">
        <f>(AH6*100)/(AH$2*Calculator!$C40)</f>
        <v>156.951871657754</v>
      </c>
      <c r="AJ6" s="6">
        <f>AI6-AVERAGE(AI$3:AI$13)</f>
        <v>-23.206846795360235</v>
      </c>
      <c r="AK6" s="12" t="s">
        <v>8</v>
      </c>
      <c r="AL6" s="5">
        <f>(503*AL$1)/100</f>
        <v>503</v>
      </c>
      <c r="AM6" s="20">
        <f>(AL6*100)/(AL$2*Calculator!$C40)</f>
        <v>145.16594516594517</v>
      </c>
      <c r="AN6" s="6">
        <f>AM6-AVERAGE(AM$3:AM$13)</f>
        <v>-11.759364871254633</v>
      </c>
      <c r="AO6" s="12" t="s">
        <v>8</v>
      </c>
      <c r="AP6" s="5">
        <f>(440*AP$1)/100</f>
        <v>440</v>
      </c>
      <c r="AQ6" s="20">
        <f>(AP6*100)/(AP$2*Reference!$C40)</f>
        <v>137.93103448275863</v>
      </c>
      <c r="AR6" s="6">
        <f>AQ6-AVERAGE(AQ$3:AQ$13)</f>
        <v>2.9263022337998734</v>
      </c>
      <c r="AS6" s="12" t="s">
        <v>8</v>
      </c>
      <c r="AT6" s="5">
        <f>(2395*AT$1)/100</f>
        <v>2395</v>
      </c>
      <c r="AU6" s="20">
        <f>(AT6*100)/(AT$2*Reference!$C40)</f>
        <v>144.66928420416792</v>
      </c>
      <c r="AV6" s="6">
        <f>AU6-AVERAGE(AU$3:AU$13)</f>
        <v>-25.145064672965816</v>
      </c>
      <c r="AW6" s="12" t="s">
        <v>8</v>
      </c>
      <c r="AX6" s="5">
        <f>(1069*AX$1)/100</f>
        <v>1069</v>
      </c>
      <c r="AY6" s="20">
        <f>(AX6*100)/(AX$2*Reference!$C40)</f>
        <v>129.57575757575756</v>
      </c>
      <c r="AZ6" s="6">
        <f>AY6-AVERAGE(AY$3:AY$13)</f>
        <v>-6.6502957278938766</v>
      </c>
      <c r="BA6" s="12" t="s">
        <v>8</v>
      </c>
      <c r="BB6" s="5">
        <f>(2479*BB$1)/100</f>
        <v>2479</v>
      </c>
      <c r="BC6" s="20">
        <f>(BB6*100)/(BB$2*Reference!$C40)</f>
        <v>84.56421627153334</v>
      </c>
      <c r="BD6" s="6">
        <f>BC6-AVERAGE(BC$3:BC$13)</f>
        <v>-24.81214694854458</v>
      </c>
      <c r="BE6" s="12" t="s">
        <v>8</v>
      </c>
      <c r="BF6" s="5">
        <f>(103*BF$1)/100</f>
        <v>103</v>
      </c>
      <c r="BG6" s="20">
        <f>(BF6*100)/(BF$2*Reference!$C40)</f>
        <v>110.16042780748663</v>
      </c>
      <c r="BH6" s="6">
        <f>BG6-AVERAGE(BG$3:BG$13)</f>
        <v>-39.61222989060073</v>
      </c>
    </row>
    <row r="7" spans="1:60">
      <c r="A7" s="15" t="s">
        <v>9</v>
      </c>
      <c r="B7" s="37">
        <f>(2635*B$1)/100</f>
        <v>2635</v>
      </c>
      <c r="C7" s="20">
        <f>(B7*100)/(B$2*Reference!$C41)</f>
        <v>166.66666666666666</v>
      </c>
      <c r="D7" s="6">
        <f>C7-AVERAGE(C$3:C$13)</f>
        <v>1.7747029630370719</v>
      </c>
      <c r="E7" s="18" t="s">
        <v>9</v>
      </c>
      <c r="F7" s="19">
        <f>(134*F$1)/100</f>
        <v>134</v>
      </c>
      <c r="G7" s="20">
        <f>(F7*100)/(F$2*Reference!$C41)</f>
        <v>114.23699914748508</v>
      </c>
      <c r="H7" s="6">
        <f>G7-AVERAGE(G$3:G$13)</f>
        <v>-30.336443747417917</v>
      </c>
      <c r="I7" s="18" t="s">
        <v>22</v>
      </c>
      <c r="J7" s="19">
        <f>(593*J$1)/100</f>
        <v>593</v>
      </c>
      <c r="K7" s="20">
        <f>(J7*100)/(J$2*Reference!$C41)</f>
        <v>130.64551663361974</v>
      </c>
      <c r="L7" s="6">
        <f>K7-AVERAGE(K$3:K$13)</f>
        <v>-9.1747207936842585</v>
      </c>
      <c r="M7" s="18" t="s">
        <v>22</v>
      </c>
      <c r="N7" s="19">
        <f>(1030*N$1)/100</f>
        <v>1030</v>
      </c>
      <c r="O7" s="20">
        <f>(N7*100)/(N$2*Reference!$C41)</f>
        <v>55.030186461505579</v>
      </c>
      <c r="P7" s="6">
        <f>O7-AVERAGE(O$3:O$13)</f>
        <v>-40.055723521621147</v>
      </c>
      <c r="Q7" s="18" t="s">
        <v>22</v>
      </c>
      <c r="R7" s="19">
        <f>(630*R$1)/100</f>
        <v>630</v>
      </c>
      <c r="S7" s="20">
        <f>(R7*100)/(R$2*Reference!$C41)</f>
        <v>137.25490196078431</v>
      </c>
      <c r="T7" s="6">
        <f>S7-AVERAGE(S$3:S$13)</f>
        <v>-3.3439839574050723</v>
      </c>
      <c r="U7" s="18" t="s">
        <v>22</v>
      </c>
      <c r="V7" s="19">
        <f>(668*V$1)/100</f>
        <v>668</v>
      </c>
      <c r="W7" s="20">
        <f>(V7*100)/(V$2*Reference!$C41)</f>
        <v>135.03133212047706</v>
      </c>
      <c r="X7" s="6">
        <f>W7-AVERAGE(W$3:W$13)</f>
        <v>-18.470308031638638</v>
      </c>
      <c r="Y7" s="18" t="s">
        <v>22</v>
      </c>
      <c r="Z7" s="19">
        <f>(253*Z$1)/100</f>
        <v>253</v>
      </c>
      <c r="AA7" s="20">
        <f>(Z7*100)/(Z$2*Reference!$C41)</f>
        <v>190.79939668174964</v>
      </c>
      <c r="AB7" s="6">
        <f>AA7-AVERAGE(AA$3:AA$13)</f>
        <v>28.236285753755539</v>
      </c>
      <c r="AC7" s="12" t="s">
        <v>22</v>
      </c>
      <c r="AD7" s="5">
        <f>(311*AD$1)/100</f>
        <v>311</v>
      </c>
      <c r="AE7" s="20">
        <f>(AD7*100)/(AD$2*Reference!$C41)</f>
        <v>174.22969187675071</v>
      </c>
      <c r="AF7" s="6">
        <f>AE7-AVERAGE(AE$3:AE$13)</f>
        <v>-0.3394710583806102</v>
      </c>
      <c r="AG7" s="12" t="s">
        <v>22</v>
      </c>
      <c r="AH7" s="5">
        <f>(986*AH$1)/100</f>
        <v>986</v>
      </c>
      <c r="AI7" s="20">
        <f>(AH7*100)/(AH$2*Calculator!$C41)</f>
        <v>142.15686274509804</v>
      </c>
      <c r="AJ7" s="6">
        <f>AI7-AVERAGE(AI$3:AI$13)</f>
        <v>-38.001855708016194</v>
      </c>
      <c r="AK7" s="12" t="s">
        <v>22</v>
      </c>
      <c r="AL7" s="5">
        <f>(357*AL$1)/100</f>
        <v>357</v>
      </c>
      <c r="AM7" s="20">
        <f>(AL7*100)/(AL$2*Calculator!$C41)</f>
        <v>111.11111111111111</v>
      </c>
      <c r="AN7" s="6">
        <f>AM7-AVERAGE(AM$3:AM$13)</f>
        <v>-45.814198926088693</v>
      </c>
      <c r="AO7" s="12" t="s">
        <v>22</v>
      </c>
      <c r="AP7" s="5">
        <f>(133*AP$1)/100</f>
        <v>133</v>
      </c>
      <c r="AQ7" s="20">
        <f>(AP7*100)/(AP$2*Reference!$C41)</f>
        <v>44.962812711291413</v>
      </c>
      <c r="AR7" s="6">
        <f>AQ7-AVERAGE(AQ$3:AQ$13)</f>
        <v>-90.041919537667354</v>
      </c>
      <c r="AS7" s="12" t="s">
        <v>22</v>
      </c>
      <c r="AT7" s="5">
        <f>(2833*AT$1)/100</f>
        <v>2833</v>
      </c>
      <c r="AU7" s="20">
        <f>(AT7*100)/(AT$2*Reference!$C41)</f>
        <v>184.54823789981108</v>
      </c>
      <c r="AV7" s="6">
        <f>AU7-AVERAGE(AU$3:AU$13)</f>
        <v>14.733889022677346</v>
      </c>
      <c r="AW7" s="12" t="s">
        <v>22</v>
      </c>
      <c r="AX7" s="5">
        <f>(422*AX$1)/100</f>
        <v>422</v>
      </c>
      <c r="AY7" s="20">
        <f>(AX7*100)/(AX$2*Reference!$C41)</f>
        <v>55.16339869281046</v>
      </c>
      <c r="AZ7" s="6">
        <f>AY7-AVERAGE(AY$3:AY$13)</f>
        <v>-81.06265461084098</v>
      </c>
      <c r="BA7" s="12" t="s">
        <v>22</v>
      </c>
      <c r="BB7" s="5">
        <f>(2373*BB$1)/100</f>
        <v>2373</v>
      </c>
      <c r="BC7" s="20">
        <f>(BB7*100)/(BB$2*Reference!$C41)</f>
        <v>87.297207813707104</v>
      </c>
      <c r="BD7" s="6">
        <f>BC7-AVERAGE(BC$3:BC$13)</f>
        <v>-22.079155406370816</v>
      </c>
      <c r="BE7" s="12" t="s">
        <v>22</v>
      </c>
      <c r="BF7" s="5">
        <f>(104*BF$1)/100</f>
        <v>104</v>
      </c>
      <c r="BG7" s="20">
        <f>(BF7*100)/(BF$2*Reference!$C41)</f>
        <v>119.95386389850057</v>
      </c>
      <c r="BH7" s="6">
        <f>BG7-AVERAGE(BG$3:BG$13)</f>
        <v>-29.818793799586786</v>
      </c>
    </row>
    <row r="8" spans="1:60">
      <c r="A8" s="15" t="s">
        <v>10</v>
      </c>
      <c r="B8" s="37">
        <f>(859*B$1)/100</f>
        <v>859</v>
      </c>
      <c r="C8" s="20"/>
      <c r="D8" s="6"/>
      <c r="E8" s="18" t="s">
        <v>10</v>
      </c>
      <c r="F8" s="19">
        <f>(20*F$1)/100</f>
        <v>20</v>
      </c>
      <c r="G8" s="20"/>
      <c r="H8" s="6"/>
      <c r="I8" s="18" t="s">
        <v>10</v>
      </c>
      <c r="J8" s="19">
        <f>(116*J$1)/100</f>
        <v>116</v>
      </c>
      <c r="K8" s="20"/>
      <c r="L8" s="6"/>
      <c r="M8" s="18" t="s">
        <v>10</v>
      </c>
      <c r="N8" s="19">
        <f>(580*N$1)/100</f>
        <v>580</v>
      </c>
      <c r="O8" s="20"/>
      <c r="P8" s="6"/>
      <c r="Q8" s="18" t="s">
        <v>10</v>
      </c>
      <c r="R8" s="19">
        <f>(77*R$1)/100</f>
        <v>77</v>
      </c>
      <c r="S8" s="20"/>
      <c r="T8" s="6"/>
      <c r="U8" s="18" t="s">
        <v>10</v>
      </c>
      <c r="V8" s="19">
        <f>(146*V$1)/100</f>
        <v>146</v>
      </c>
      <c r="W8" s="20"/>
      <c r="X8" s="6"/>
      <c r="Y8" s="18" t="s">
        <v>10</v>
      </c>
      <c r="Z8" s="19">
        <f>(62*Z$1)/100</f>
        <v>62</v>
      </c>
      <c r="AA8" s="20"/>
      <c r="AB8" s="6"/>
      <c r="AC8" s="12" t="s">
        <v>10</v>
      </c>
      <c r="AD8" s="5">
        <f>(102*AD$1)/100</f>
        <v>102</v>
      </c>
      <c r="AE8" s="20"/>
      <c r="AF8" s="6"/>
      <c r="AG8" s="12" t="s">
        <v>10</v>
      </c>
      <c r="AH8" s="5">
        <f>(410*AH$1)/100</f>
        <v>410</v>
      </c>
      <c r="AI8" s="20"/>
      <c r="AJ8" s="14"/>
      <c r="AK8" s="12" t="s">
        <v>10</v>
      </c>
      <c r="AL8" s="5">
        <f>(91*AL$1)/100</f>
        <v>91</v>
      </c>
      <c r="AM8" s="20"/>
      <c r="AN8" s="14"/>
      <c r="AO8" s="12" t="s">
        <v>10</v>
      </c>
      <c r="AP8" s="5">
        <f>(65*AP$1)/100</f>
        <v>65</v>
      </c>
      <c r="AQ8" s="20"/>
      <c r="AR8" s="6"/>
      <c r="AS8" s="12" t="s">
        <v>10</v>
      </c>
      <c r="AT8" s="5">
        <f>(871*AT$1)/100</f>
        <v>871</v>
      </c>
      <c r="AU8" s="20"/>
      <c r="AV8" s="6"/>
      <c r="AW8" s="12" t="s">
        <v>10</v>
      </c>
      <c r="AX8" s="5">
        <f>(222*AX$1)/100</f>
        <v>222</v>
      </c>
      <c r="AY8" s="20"/>
      <c r="AZ8" s="6"/>
      <c r="BA8" s="12" t="s">
        <v>10</v>
      </c>
      <c r="BB8" s="5">
        <f>(963*BB$1)/100</f>
        <v>963</v>
      </c>
      <c r="BC8" s="20"/>
      <c r="BD8" s="6"/>
      <c r="BE8" s="12" t="s">
        <v>10</v>
      </c>
      <c r="BF8" s="5">
        <f>(27*BF$1)/100</f>
        <v>27</v>
      </c>
      <c r="BG8" s="20"/>
      <c r="BH8" s="6"/>
    </row>
    <row r="9" spans="1:60">
      <c r="A9" s="15" t="s">
        <v>11</v>
      </c>
      <c r="B9" s="37">
        <f>(397*B$1)/100</f>
        <v>397</v>
      </c>
      <c r="C9" s="20">
        <f>((B$8+B$9)*100)/(B2*Reference!$C$43)</f>
        <v>162.06451612903226</v>
      </c>
      <c r="D9" s="6">
        <f>C9-AVERAGE(C$3:C$13)</f>
        <v>-2.8274475745973291</v>
      </c>
      <c r="E9" s="18" t="s">
        <v>11</v>
      </c>
      <c r="F9" s="19">
        <f>(7*F$1)/100</f>
        <v>7</v>
      </c>
      <c r="G9" s="20">
        <f>((F$8+F$9)*100)/(F2*Reference!$C$43)</f>
        <v>46.956521739130437</v>
      </c>
      <c r="H9" s="6">
        <f>G9-AVERAGE(G$3:G$13)</f>
        <v>-97.616921155772559</v>
      </c>
      <c r="I9" s="18" t="s">
        <v>23</v>
      </c>
      <c r="J9" s="19">
        <f>(119*J$1)/100</f>
        <v>119</v>
      </c>
      <c r="K9" s="20">
        <f>((J$8+J$9)*100)/(J2*Reference!$C$43)</f>
        <v>105.61797752808988</v>
      </c>
      <c r="L9" s="6">
        <f>K9-AVERAGE(K$3:K$13)</f>
        <v>-34.202259899214113</v>
      </c>
      <c r="M9" s="18" t="s">
        <v>23</v>
      </c>
      <c r="N9" s="19">
        <f>(410*N$1)/100</f>
        <v>410</v>
      </c>
      <c r="O9" s="20">
        <f>((N$8+N$9)*100)/(N2*Reference!$C$43)</f>
        <v>107.90190735694821</v>
      </c>
      <c r="P9" s="6">
        <f>O9-AVERAGE(O$3:O$13)</f>
        <v>12.815997373821489</v>
      </c>
      <c r="Q9" s="18" t="s">
        <v>23</v>
      </c>
      <c r="R9" s="19">
        <f>(118*R$1)/100</f>
        <v>118</v>
      </c>
      <c r="S9" s="20">
        <f>((R$8+R$9)*100)/(R2*Reference!$C$43)</f>
        <v>86.666666666666671</v>
      </c>
      <c r="T9" s="6">
        <f>S9-AVERAGE(S$3:S$13)</f>
        <v>-53.93221925152271</v>
      </c>
      <c r="U9" s="18" t="s">
        <v>23</v>
      </c>
      <c r="V9" s="19">
        <f>(106*V$1)/100</f>
        <v>106</v>
      </c>
      <c r="W9" s="20">
        <f>((V$8+V$9)*100)/(V2*Reference!$C$43)</f>
        <v>103.91752577319589</v>
      </c>
      <c r="X9" s="6">
        <f>W9-AVERAGE(W$3:W$13)</f>
        <v>-49.584114378919807</v>
      </c>
      <c r="Y9" s="18" t="s">
        <v>23</v>
      </c>
      <c r="Z9" s="19">
        <f>(41*Z$1)/100</f>
        <v>41</v>
      </c>
      <c r="AA9" s="20">
        <f>((Z$8+Z$9)*100)/(Z2*Reference!$C$43)</f>
        <v>158.46153846153845</v>
      </c>
      <c r="AB9" s="6">
        <f>AA9-AVERAGE(AA$3:AA$13)</f>
        <v>-4.1015724664556501</v>
      </c>
      <c r="AC9" s="12" t="s">
        <v>23</v>
      </c>
      <c r="AD9" s="5">
        <f>(32*AD$1)/100</f>
        <v>32</v>
      </c>
      <c r="AE9" s="20">
        <f>((AD$8+AD$9)*100)/(AD2*Reference!$C$43)</f>
        <v>153.14285714285714</v>
      </c>
      <c r="AF9" s="6">
        <f>AE9-AVERAGE(AE$3:AE$13)</f>
        <v>-21.426305792274178</v>
      </c>
      <c r="AG9" s="12" t="s">
        <v>23</v>
      </c>
      <c r="AH9" s="5">
        <f>(294*AH$1)/100</f>
        <v>294</v>
      </c>
      <c r="AI9" s="20">
        <f>((AH$8+AH$9)*100)/(AH2*Calculator!$C$43)</f>
        <v>207.05882352941177</v>
      </c>
      <c r="AJ9" s="6">
        <f>AI9-AVERAGE(AI$3:AI$13)</f>
        <v>26.900105076297535</v>
      </c>
      <c r="AK9" s="12" t="s">
        <v>23</v>
      </c>
      <c r="AL9" s="5">
        <f>(110*AL$1)/100</f>
        <v>110</v>
      </c>
      <c r="AM9" s="20">
        <f>((AL$8+AL$9)*100)/(AL2*Calculator!$C$43)</f>
        <v>127.61904761904762</v>
      </c>
      <c r="AN9" s="6">
        <f>AM9-AVERAGE(AM$3:AM$13)</f>
        <v>-29.306262418152187</v>
      </c>
      <c r="AO9" s="12" t="s">
        <v>23</v>
      </c>
      <c r="AP9" s="5">
        <f>(113*AP$1)/100</f>
        <v>113</v>
      </c>
      <c r="AQ9" s="20">
        <f>((AP$8+AP$9)*100)/(AP2*Reference!$C$43)</f>
        <v>122.75862068965517</v>
      </c>
      <c r="AR9" s="6">
        <f>AQ9-AVERAGE(AQ$3:AQ$13)</f>
        <v>-12.246111559303586</v>
      </c>
      <c r="AS9" s="12" t="s">
        <v>23</v>
      </c>
      <c r="AT9" s="5">
        <f>(313*AT$1)/100</f>
        <v>313</v>
      </c>
      <c r="AU9" s="20">
        <f>((AT$8+AT$9)*100)/(AT2*Reference!$C$43)</f>
        <v>157.34219269102991</v>
      </c>
      <c r="AV9" s="6">
        <f>AU9-AVERAGE(AU$3:AU$13)</f>
        <v>-12.472156186103831</v>
      </c>
      <c r="AW9" s="12" t="s">
        <v>23</v>
      </c>
      <c r="AX9" s="5">
        <f>(278*AX$1)/100</f>
        <v>278</v>
      </c>
      <c r="AY9" s="20">
        <f>((AX$8+AX$9)*100)/(AX2*Reference!$C$43)</f>
        <v>133.33333333333334</v>
      </c>
      <c r="AZ9" s="6">
        <f>AY9-AVERAGE(AY$3:AY$13)</f>
        <v>-2.8927199703180975</v>
      </c>
      <c r="BA9" s="12" t="s">
        <v>124</v>
      </c>
      <c r="BB9" s="5">
        <f>(445*BB$1)/100</f>
        <v>445</v>
      </c>
      <c r="BC9" s="20">
        <f>((BB$8+BB$9)*100)/(BB2*Reference!$C$43)</f>
        <v>105.66604127579737</v>
      </c>
      <c r="BD9" s="6">
        <f>BC9-AVERAGE(BC$3:BC$13)</f>
        <v>-3.7103219442805511</v>
      </c>
      <c r="BE9" s="12" t="s">
        <v>11</v>
      </c>
      <c r="BF9" s="5">
        <f>(22*BF$1)/100</f>
        <v>22</v>
      </c>
      <c r="BG9" s="20">
        <f>((BF$8+BF$9)*100)/(BF2*Reference!$C$43)</f>
        <v>115.29411764705883</v>
      </c>
      <c r="BH9" s="6">
        <f>BG9-AVERAGE(BG$3:BG$13)</f>
        <v>-34.478540051028531</v>
      </c>
    </row>
    <row r="10" spans="1:60">
      <c r="A10" s="15" t="s">
        <v>12</v>
      </c>
      <c r="B10" s="37">
        <f>(1231*B$1)/100</f>
        <v>1231</v>
      </c>
      <c r="C10" s="20"/>
      <c r="D10" s="6"/>
      <c r="E10" s="18" t="s">
        <v>12</v>
      </c>
      <c r="F10" s="19">
        <f>(114*F$1)/100</f>
        <v>114</v>
      </c>
      <c r="G10" s="20"/>
      <c r="H10" s="6"/>
      <c r="I10" s="18" t="s">
        <v>12</v>
      </c>
      <c r="J10" s="19">
        <f>(475*J$1)/100</f>
        <v>475</v>
      </c>
      <c r="K10" s="20"/>
      <c r="L10" s="6"/>
      <c r="M10" s="18" t="s">
        <v>12</v>
      </c>
      <c r="N10" s="19">
        <f>(1170*N$1)/100</f>
        <v>1170</v>
      </c>
      <c r="O10" s="20"/>
      <c r="P10" s="6"/>
      <c r="Q10" s="18" t="s">
        <v>12</v>
      </c>
      <c r="R10" s="19">
        <f>(445*R$1)/100</f>
        <v>445</v>
      </c>
      <c r="S10" s="20"/>
      <c r="T10" s="6"/>
      <c r="U10" s="18" t="s">
        <v>12</v>
      </c>
      <c r="V10" s="19">
        <f>(526*V$1)/100</f>
        <v>526</v>
      </c>
      <c r="W10" s="20"/>
      <c r="X10" s="6"/>
      <c r="Y10" s="18" t="s">
        <v>12</v>
      </c>
      <c r="Z10" s="19">
        <f>(125*Z$1)/100</f>
        <v>125</v>
      </c>
      <c r="AA10" s="20"/>
      <c r="AB10" s="6"/>
      <c r="AC10" s="12" t="s">
        <v>12</v>
      </c>
      <c r="AD10" s="5">
        <f>(189*AD$1)/100</f>
        <v>189</v>
      </c>
      <c r="AE10" s="20"/>
      <c r="AF10" s="6"/>
      <c r="AG10" s="12" t="s">
        <v>12</v>
      </c>
      <c r="AH10" s="5">
        <f>(735*AH$1)/100</f>
        <v>735</v>
      </c>
      <c r="AI10" s="20"/>
      <c r="AJ10" s="14"/>
      <c r="AK10" s="12" t="s">
        <v>12</v>
      </c>
      <c r="AL10" s="5">
        <f>(330*AL$1)/100</f>
        <v>330</v>
      </c>
      <c r="AM10" s="20"/>
      <c r="AN10" s="14"/>
      <c r="AO10" s="12" t="s">
        <v>12</v>
      </c>
      <c r="AP10" s="5">
        <f>(297*AP$1)/100</f>
        <v>297</v>
      </c>
      <c r="AQ10" s="20"/>
      <c r="AR10" s="6"/>
      <c r="AS10" s="12" t="s">
        <v>12</v>
      </c>
      <c r="AT10" s="5">
        <f>(1193*AT$1)/100</f>
        <v>1193</v>
      </c>
      <c r="AU10" s="20"/>
      <c r="AV10" s="6"/>
      <c r="AW10" s="12" t="s">
        <v>12</v>
      </c>
      <c r="AX10" s="5">
        <f>(667*AX$1)/100</f>
        <v>667</v>
      </c>
      <c r="AY10" s="20"/>
      <c r="AZ10" s="6"/>
      <c r="BA10" s="12" t="s">
        <v>12</v>
      </c>
      <c r="BB10" s="5">
        <f>(1507*BB$1)/100</f>
        <v>1507</v>
      </c>
      <c r="BC10" s="20"/>
      <c r="BD10" s="6"/>
      <c r="BE10" s="12" t="s">
        <v>12</v>
      </c>
      <c r="BF10" s="5">
        <f>(76*BF$1)/100</f>
        <v>76</v>
      </c>
      <c r="BG10" s="20"/>
      <c r="BH10" s="6"/>
    </row>
    <row r="11" spans="1:60">
      <c r="A11" s="15" t="s">
        <v>13</v>
      </c>
      <c r="B11" s="37">
        <f>(1047*B$1)/100</f>
        <v>1047</v>
      </c>
      <c r="C11" s="20">
        <f>((B$10+B$11)*100)/(B2*Reference!$C$45)</f>
        <v>156.34866163349349</v>
      </c>
      <c r="D11" s="6">
        <f>C11-AVERAGE(C$3:C$13)</f>
        <v>-8.5433020701360931</v>
      </c>
      <c r="E11" s="18" t="s">
        <v>13</v>
      </c>
      <c r="F11" s="19">
        <f>(63*F$1)/100</f>
        <v>63</v>
      </c>
      <c r="G11" s="20">
        <f>((F$10+F$11)*100)/(F2*Reference!$C$45)</f>
        <v>163.73728029602222</v>
      </c>
      <c r="H11" s="6">
        <f>G11-AVERAGE(G$3:G$13)</f>
        <v>19.163837401119224</v>
      </c>
      <c r="I11" s="18" t="s">
        <v>24</v>
      </c>
      <c r="J11" s="19">
        <f>(220*J$1)/100</f>
        <v>220</v>
      </c>
      <c r="K11" s="20">
        <f>((J$10+J$11)*100)/(J2*Reference!$C$45)</f>
        <v>166.14869710733922</v>
      </c>
      <c r="L11" s="6">
        <f>K11-AVERAGE(K$3:K$13)</f>
        <v>26.328459680035223</v>
      </c>
      <c r="M11" s="18" t="s">
        <v>24</v>
      </c>
      <c r="N11" s="19">
        <f>(860*N$1)/100</f>
        <v>860</v>
      </c>
      <c r="O11" s="20">
        <f>((N$10+N$11)*100)/(N2*Reference!$C$45)</f>
        <v>117.6879819119949</v>
      </c>
      <c r="P11" s="6">
        <f>O11-AVERAGE(O$3:O$13)</f>
        <v>22.60207192886817</v>
      </c>
      <c r="Q11" s="18" t="s">
        <v>24</v>
      </c>
      <c r="R11" s="19">
        <f>(241*R$1)/100</f>
        <v>241</v>
      </c>
      <c r="S11" s="20">
        <f>((R$10+R$11)*100)/(R2*Reference!$C$45)</f>
        <v>162.17494089834514</v>
      </c>
      <c r="T11" s="6">
        <f>S11-AVERAGE(S$3:S$13)</f>
        <v>21.57605498015576</v>
      </c>
      <c r="U11" s="18" t="s">
        <v>24</v>
      </c>
      <c r="V11" s="19">
        <f>(274*V$1)/100</f>
        <v>274</v>
      </c>
      <c r="W11" s="20">
        <f>((V$10+V$11)*100)/(V2*Reference!$C$45)</f>
        <v>175.47707830664621</v>
      </c>
      <c r="X11" s="6">
        <f>W11-AVERAGE(W$3:W$13)</f>
        <v>21.975438154530508</v>
      </c>
      <c r="Y11" s="18" t="s">
        <v>24</v>
      </c>
      <c r="Z11" s="19">
        <f>(104*Z$1)/100</f>
        <v>104</v>
      </c>
      <c r="AA11" s="20">
        <f>((Z$10+Z$11)*100)/(Z2*Reference!$C$45)</f>
        <v>187.39770867430443</v>
      </c>
      <c r="AB11" s="6">
        <f>AA11-AVERAGE(AA$3:AA$13)</f>
        <v>24.834597746310322</v>
      </c>
      <c r="AC11" s="12" t="s">
        <v>24</v>
      </c>
      <c r="AD11" s="5">
        <f>(175*AD$1)/100</f>
        <v>175</v>
      </c>
      <c r="AE11" s="20">
        <f>((AD$10+AD$11)*100)/(AD2*Reference!$C$45)</f>
        <v>221.27659574468086</v>
      </c>
      <c r="AF11" s="6">
        <f>AE11-AVERAGE(AE$3:AE$13)</f>
        <v>46.707432809549545</v>
      </c>
      <c r="AG11" s="12" t="s">
        <v>24</v>
      </c>
      <c r="AH11" s="5">
        <f>(539*AH$1)/100</f>
        <v>539</v>
      </c>
      <c r="AI11" s="20">
        <f>((AH$10+AH$11)*100)/(AH2*Calculator!$C$45)</f>
        <v>199.31163954943682</v>
      </c>
      <c r="AJ11" s="6">
        <f>AI11-AVERAGE(AI$3:AI$13)</f>
        <v>19.152921096322586</v>
      </c>
      <c r="AK11" s="12" t="s">
        <v>24</v>
      </c>
      <c r="AL11" s="5">
        <f>(228*AL$1)/100</f>
        <v>228</v>
      </c>
      <c r="AM11" s="20">
        <f>((AL$10+AL$11)*100)/(AL2*Calculator!$C$45)</f>
        <v>188.44984802431614</v>
      </c>
      <c r="AN11" s="6">
        <f>AM11-AVERAGE(AM$3:AM$13)</f>
        <v>31.524537987116332</v>
      </c>
      <c r="AO11" s="12" t="s">
        <v>24</v>
      </c>
      <c r="AP11" s="5">
        <f>(108*AP$1)/100</f>
        <v>108</v>
      </c>
      <c r="AQ11" s="20">
        <f>((AP$10+AP$11)*100)/(AP2*Reference!$C$45)</f>
        <v>148.56933235509908</v>
      </c>
      <c r="AR11" s="6">
        <f>AQ11-AVERAGE(AQ$3:AQ$13)</f>
        <v>13.564600106140318</v>
      </c>
      <c r="AS11" s="12" t="s">
        <v>24</v>
      </c>
      <c r="AT11" s="5">
        <f>(1188*AT$1)/100</f>
        <v>1188</v>
      </c>
      <c r="AU11" s="20">
        <f>((AT$10+AT$11)*100)/(AT2*Reference!$C$45)</f>
        <v>168.30423411323954</v>
      </c>
      <c r="AV11" s="6">
        <f>AU11-AVERAGE(AU$3:AU$13)</f>
        <v>-1.5101147638941939</v>
      </c>
      <c r="AW11" s="12" t="s">
        <v>24</v>
      </c>
      <c r="AX11" s="5">
        <f>(364*AX$1)/100</f>
        <v>364</v>
      </c>
      <c r="AY11" s="20">
        <f>((AX$10+AX$11)*100)/(AX2*Reference!$C$45)</f>
        <v>146.24113475177305</v>
      </c>
      <c r="AZ11" s="6">
        <f>AY11-AVERAGE(AY$3:AY$13)</f>
        <v>10.015081448121606</v>
      </c>
      <c r="BA11" s="12" t="s">
        <v>24</v>
      </c>
      <c r="BB11" s="5">
        <f>(1352*BB$1)/100</f>
        <v>1352</v>
      </c>
      <c r="BC11" s="20">
        <f>((BB$10+BB$11)*100)/(BB2*Reference!$C$45)</f>
        <v>114.12718055167458</v>
      </c>
      <c r="BD11" s="6">
        <f>BC11-AVERAGE(BC$3:BC$13)</f>
        <v>4.7508173315966644</v>
      </c>
      <c r="BE11" s="12" t="s">
        <v>24</v>
      </c>
      <c r="BF11" s="5">
        <f>(64*BF$1)/100</f>
        <v>64</v>
      </c>
      <c r="BG11" s="20">
        <f>((BF$10+BF$11)*100)/(BF2*Reference!$C$45)</f>
        <v>175.21902377972467</v>
      </c>
      <c r="BH11" s="6">
        <f>BG11-AVERAGE(BG$3:BG$13)</f>
        <v>25.446366081637308</v>
      </c>
    </row>
    <row r="12" spans="1:60">
      <c r="A12" s="15" t="s">
        <v>14</v>
      </c>
      <c r="B12" s="37">
        <f>(1539*B$1)/100</f>
        <v>1539</v>
      </c>
      <c r="C12" s="20">
        <f>(B12*100)/(B$2*Reference!$C46)</f>
        <v>155.14112903225808</v>
      </c>
      <c r="D12" s="6">
        <f>C12-AVERAGE(C$3:C$13)</f>
        <v>-9.7508346713715071</v>
      </c>
      <c r="E12" s="18" t="s">
        <v>14</v>
      </c>
      <c r="F12" s="19">
        <f>(137*F$1)/100</f>
        <v>137</v>
      </c>
      <c r="G12" s="20">
        <f>(F12*100)/(F$2*Reference!$C46)</f>
        <v>186.14130434782609</v>
      </c>
      <c r="H12" s="6">
        <f>G12-AVERAGE(G$3:G$13)</f>
        <v>41.567861452923097</v>
      </c>
      <c r="I12" s="18" t="s">
        <v>25</v>
      </c>
      <c r="J12" s="19">
        <f>(372*J$1)/100</f>
        <v>372</v>
      </c>
      <c r="K12" s="20">
        <f>(J12*100)/(J$2*Reference!$C46)</f>
        <v>130.61797752808988</v>
      </c>
      <c r="L12" s="6">
        <f>K12-AVERAGE(K$3:K$13)</f>
        <v>-9.2022598992141127</v>
      </c>
      <c r="M12" s="18" t="s">
        <v>25</v>
      </c>
      <c r="N12" s="19">
        <f>(1280*N$1)/100</f>
        <v>1280</v>
      </c>
      <c r="O12" s="20">
        <f>(N12*100)/(N$2*Reference!$C46)</f>
        <v>108.99182561307902</v>
      </c>
      <c r="P12" s="6">
        <f>O12-AVERAGE(O$3:O$13)</f>
        <v>13.90591562995229</v>
      </c>
      <c r="Q12" s="18" t="s">
        <v>25</v>
      </c>
      <c r="R12" s="19">
        <f>(448*R$1)/100</f>
        <v>448</v>
      </c>
      <c r="S12" s="20">
        <f>(R12*100)/(R$2*Reference!$C46)</f>
        <v>155.55555555555554</v>
      </c>
      <c r="T12" s="6">
        <f>S12-AVERAGE(S$3:S$13)</f>
        <v>14.956669637366161</v>
      </c>
      <c r="U12" s="18" t="s">
        <v>25</v>
      </c>
      <c r="V12" s="19">
        <f>(509*V$1)/100</f>
        <v>509</v>
      </c>
      <c r="W12" s="20">
        <f>(V12*100)/(V$2*Reference!$C46)</f>
        <v>163.98195876288662</v>
      </c>
      <c r="X12" s="6">
        <f>W12-AVERAGE(W$3:W$13)</f>
        <v>10.480318610770922</v>
      </c>
      <c r="Y12" s="18" t="s">
        <v>25</v>
      </c>
      <c r="Z12" s="19">
        <f>(127*Z$1)/100</f>
        <v>127</v>
      </c>
      <c r="AA12" s="20">
        <f>(Z12*100)/(Z$2*Reference!$C46)</f>
        <v>152.64423076923077</v>
      </c>
      <c r="AB12" s="6">
        <f>AA12-AVERAGE(AA$3:AA$13)</f>
        <v>-9.9188801587633293</v>
      </c>
      <c r="AC12" s="12" t="s">
        <v>25</v>
      </c>
      <c r="AD12" s="5">
        <f>(287*AD$1)/100</f>
        <v>287</v>
      </c>
      <c r="AE12" s="20">
        <f>(AD12*100)/(AD$2*Reference!$C46)</f>
        <v>256.25</v>
      </c>
      <c r="AF12" s="6">
        <f>AE12-AVERAGE(AE$3:AE$13)</f>
        <v>81.680837064868683</v>
      </c>
      <c r="AG12" s="12" t="s">
        <v>25</v>
      </c>
      <c r="AH12" s="5">
        <f>(928*AH$1)/100</f>
        <v>928</v>
      </c>
      <c r="AI12" s="20">
        <f>(AH12*100)/(AH$2*Calculator!$C46)</f>
        <v>213.23529411764707</v>
      </c>
      <c r="AJ12" s="6">
        <f>AI12-AVERAGE(AI$3:AI$13)</f>
        <v>33.076575664532839</v>
      </c>
      <c r="AK12" s="12" t="s">
        <v>25</v>
      </c>
      <c r="AL12" s="5">
        <f>(311*AL$1)/100</f>
        <v>311</v>
      </c>
      <c r="AM12" s="20">
        <f>(AL12*100)/(AL$2*Calculator!$C46)</f>
        <v>154.26587301587301</v>
      </c>
      <c r="AN12" s="6">
        <f>AM12-AVERAGE(AM$3:AM$13)</f>
        <v>-2.659437021326795</v>
      </c>
      <c r="AO12" s="12" t="s">
        <v>25</v>
      </c>
      <c r="AP12" s="5">
        <f>(262*AP$1)/100</f>
        <v>262</v>
      </c>
      <c r="AQ12" s="20">
        <f>(AP12*100)/(AP$2*Reference!$C46)</f>
        <v>141.16379310344828</v>
      </c>
      <c r="AR12" s="6">
        <f>AQ12-AVERAGE(AQ$3:AQ$13)</f>
        <v>6.1590608544895247</v>
      </c>
      <c r="AS12" s="12" t="s">
        <v>25</v>
      </c>
      <c r="AT12" s="5">
        <f>(1597*AT$1)/100</f>
        <v>1597</v>
      </c>
      <c r="AU12" s="20">
        <f>(AT12*100)/(AT$2*Reference!$C46)</f>
        <v>165.80149501661128</v>
      </c>
      <c r="AV12" s="6">
        <f>AU12-AVERAGE(AU$3:AU$13)</f>
        <v>-4.0128538605224549</v>
      </c>
      <c r="AW12" s="12" t="s">
        <v>25</v>
      </c>
      <c r="AX12" s="5">
        <f>(705*AX$1)/100</f>
        <v>705</v>
      </c>
      <c r="AY12" s="20">
        <f>(AX12*100)/(AX$2*Reference!$C46)</f>
        <v>146.875</v>
      </c>
      <c r="AZ12" s="6">
        <f>AY12-AVERAGE(AY$3:AY$13)</f>
        <v>10.64894669634856</v>
      </c>
      <c r="BA12" s="12" t="s">
        <v>25</v>
      </c>
      <c r="BB12" s="5">
        <f>(1889*BB$1)/100</f>
        <v>1889</v>
      </c>
      <c r="BC12" s="20">
        <f>(BB12*100)/(BB$2*Reference!$C46)</f>
        <v>110.75281425891183</v>
      </c>
      <c r="BD12" s="6">
        <f>BC12-AVERAGE(BC$3:BC$13)</f>
        <v>1.3764510388339062</v>
      </c>
      <c r="BE12" s="12" t="s">
        <v>25</v>
      </c>
      <c r="BF12" s="5">
        <f>(96*BF$1)/100</f>
        <v>96</v>
      </c>
      <c r="BG12" s="20">
        <f>(BF12*100)/(BF$2*Reference!$C46)</f>
        <v>176.47058823529412</v>
      </c>
      <c r="BH12" s="6">
        <f>BG12-AVERAGE(BG$3:BG$13)</f>
        <v>26.697930537206759</v>
      </c>
    </row>
    <row r="13" spans="1:60">
      <c r="A13" s="15" t="s">
        <v>15</v>
      </c>
      <c r="B13" s="37">
        <f>(963*B$1)/100</f>
        <v>963</v>
      </c>
      <c r="C13" s="20">
        <f>(B13*100)/(B$2*Reference!$C47)</f>
        <v>172.58064516129033</v>
      </c>
      <c r="D13" s="6">
        <f>C13-AVERAGE(C$3:C$13)</f>
        <v>7.6886814576607492</v>
      </c>
      <c r="E13" s="18" t="s">
        <v>15</v>
      </c>
      <c r="F13" s="19">
        <f>(40*F$1)/100</f>
        <v>40</v>
      </c>
      <c r="G13" s="20">
        <f>(F13*100)/(F$2*Reference!$C47)</f>
        <v>96.618357487922708</v>
      </c>
      <c r="H13" s="6">
        <f>G13-AVERAGE(G$3:G$13)</f>
        <v>-47.955085406980288</v>
      </c>
      <c r="I13" s="18" t="s">
        <v>26</v>
      </c>
      <c r="J13" s="19">
        <f>(244*J$1)/100</f>
        <v>244</v>
      </c>
      <c r="K13" s="20">
        <f>(J13*100)/(J$2*Reference!$C47)</f>
        <v>152.30961298377028</v>
      </c>
      <c r="L13" s="6">
        <f>K13-AVERAGE(K$3:K$13)</f>
        <v>12.489375556466285</v>
      </c>
      <c r="M13" s="18" t="s">
        <v>26</v>
      </c>
      <c r="N13" s="19">
        <f>(710*N$1)/100</f>
        <v>710</v>
      </c>
      <c r="O13" s="20">
        <f>(N13*100)/(N$2*Reference!$C47)</f>
        <v>107.47805025734181</v>
      </c>
      <c r="P13" s="6">
        <f>O13-AVERAGE(O$3:O$13)</f>
        <v>12.39214027421508</v>
      </c>
      <c r="Q13" s="18" t="s">
        <v>26</v>
      </c>
      <c r="R13" s="19">
        <f>(254*R$1)/100</f>
        <v>254</v>
      </c>
      <c r="S13" s="20">
        <f>(R13*100)/(R$2*Reference!$C47)</f>
        <v>156.79012345679013</v>
      </c>
      <c r="T13" s="6">
        <f>S13-AVERAGE(S$3:S$13)</f>
        <v>16.191237538600745</v>
      </c>
      <c r="U13" s="18" t="s">
        <v>26</v>
      </c>
      <c r="V13" s="19">
        <f>(271*V$1)/100</f>
        <v>271</v>
      </c>
      <c r="W13" s="20">
        <f>(V13*100)/(V$2*Reference!$C47)</f>
        <v>155.21191294387171</v>
      </c>
      <c r="X13" s="6">
        <f>W13-AVERAGE(W$3:W$13)</f>
        <v>1.7102727917560117</v>
      </c>
      <c r="Y13" s="18" t="s">
        <v>26</v>
      </c>
      <c r="Z13" s="19">
        <f>(73*Z$1)/100</f>
        <v>73</v>
      </c>
      <c r="AA13" s="20">
        <f>(Z13*100)/(Z$2*Reference!$C47)</f>
        <v>155.98290598290598</v>
      </c>
      <c r="AB13" s="6">
        <f>AA13-AVERAGE(AA$3:AA$13)</f>
        <v>-6.580204945088127</v>
      </c>
      <c r="AC13" s="12" t="s">
        <v>26</v>
      </c>
      <c r="AD13" s="5">
        <f>(86*AD$1)/100</f>
        <v>86</v>
      </c>
      <c r="AE13" s="20">
        <f>(AD13*100)/(AD$2*Reference!$C47)</f>
        <v>136.50793650793651</v>
      </c>
      <c r="AF13" s="6">
        <f>AE13-AVERAGE(AE$3:AE$13)</f>
        <v>-38.061226427194811</v>
      </c>
      <c r="AG13" s="12" t="s">
        <v>26</v>
      </c>
      <c r="AH13" s="5">
        <f>(334*AH$1)/100</f>
        <v>334</v>
      </c>
      <c r="AI13" s="20">
        <f>(AH13*100)/(AH$2*Calculator!$C47)</f>
        <v>136.43790849673204</v>
      </c>
      <c r="AJ13" s="6">
        <f>AI13-AVERAGE(AI$3:AI$13)</f>
        <v>-43.720809956382197</v>
      </c>
      <c r="AK13" s="12" t="s">
        <v>26</v>
      </c>
      <c r="AL13" s="5">
        <f>(163*AL$1)/100</f>
        <v>163</v>
      </c>
      <c r="AM13" s="20">
        <f>(AL13*100)/(AL$2*Calculator!$C47)</f>
        <v>143.7389770723104</v>
      </c>
      <c r="AN13" s="6">
        <f>AM13-AVERAGE(AM$3:AM$13)</f>
        <v>-13.186332964889402</v>
      </c>
      <c r="AO13" s="12" t="s">
        <v>26</v>
      </c>
      <c r="AP13" s="5">
        <f>(132*AP$1)/100</f>
        <v>132</v>
      </c>
      <c r="AQ13" s="20">
        <f>(AP13*100)/(AP$2*Reference!$C47)</f>
        <v>126.43678160919541</v>
      </c>
      <c r="AR13" s="6">
        <f>AQ13-AVERAGE(AQ$3:AQ$13)</f>
        <v>-8.5679506397633531</v>
      </c>
      <c r="AS13" s="12" t="s">
        <v>26</v>
      </c>
      <c r="AT13" s="5">
        <f>(938*AT$1)/100</f>
        <v>938</v>
      </c>
      <c r="AU13" s="20">
        <f>(AT13*100)/(AT$2*Reference!$C47)</f>
        <v>173.12661498708007</v>
      </c>
      <c r="AV13" s="6">
        <f>AU13-AVERAGE(AU$3:AU$13)</f>
        <v>3.3122661099463357</v>
      </c>
      <c r="AW13" s="12" t="s">
        <v>26</v>
      </c>
      <c r="AX13" s="5">
        <f>(434*AX$1)/100</f>
        <v>434</v>
      </c>
      <c r="AY13" s="20">
        <f>(AX13*100)/(AX$2*Reference!$C47)</f>
        <v>160.74074074074073</v>
      </c>
      <c r="AZ13" s="6">
        <f>AY13-AVERAGE(AY$3:AY$13)</f>
        <v>24.514687437089293</v>
      </c>
      <c r="BA13" s="12" t="s">
        <v>26</v>
      </c>
      <c r="BB13" s="5">
        <f>(1278*BB$1)/100</f>
        <v>1278</v>
      </c>
      <c r="BC13" s="20">
        <f>(BB13*100)/(BB$2*Reference!$C47)</f>
        <v>133.20825515947467</v>
      </c>
      <c r="BD13" s="6">
        <f>BC13-AVERAGE(BC$3:BC$13)</f>
        <v>23.831891939396755</v>
      </c>
      <c r="BE13" s="12" t="s">
        <v>26</v>
      </c>
      <c r="BF13" s="5">
        <f>(38*BF$1)/100</f>
        <v>38</v>
      </c>
      <c r="BG13" s="20">
        <f>(BF13*100)/(BF$2*Reference!$C47)</f>
        <v>124.18300653594773</v>
      </c>
      <c r="BH13" s="6">
        <f>BG13-AVERAGE(BG$3:BG$13)</f>
        <v>-25.589651162139631</v>
      </c>
    </row>
    <row r="14" spans="1:60">
      <c r="A14" s="12" t="s">
        <v>94</v>
      </c>
      <c r="B14" s="19">
        <v>4646</v>
      </c>
      <c r="C14" s="14"/>
      <c r="D14" s="16"/>
      <c r="E14" s="12" t="s">
        <v>94</v>
      </c>
      <c r="F14" s="19"/>
      <c r="G14" s="14"/>
      <c r="H14" s="14"/>
      <c r="I14" s="12" t="s">
        <v>94</v>
      </c>
      <c r="J14" s="19"/>
      <c r="K14" s="14"/>
      <c r="L14" s="14"/>
      <c r="M14" s="12" t="s">
        <v>94</v>
      </c>
      <c r="N14" s="19"/>
      <c r="O14" s="14"/>
      <c r="P14" s="14"/>
      <c r="Q14" s="12" t="s">
        <v>94</v>
      </c>
      <c r="R14" s="19"/>
      <c r="S14" s="14"/>
      <c r="T14" s="14"/>
      <c r="U14" s="12" t="s">
        <v>94</v>
      </c>
      <c r="V14" s="19"/>
      <c r="W14" s="14"/>
      <c r="X14" s="14"/>
      <c r="Y14" s="12" t="s">
        <v>94</v>
      </c>
      <c r="Z14" s="19"/>
      <c r="AA14" s="14"/>
      <c r="AB14" s="14"/>
      <c r="AC14" s="12" t="s">
        <v>94</v>
      </c>
      <c r="AD14" s="5"/>
      <c r="AE14" s="44"/>
      <c r="AF14" s="3"/>
      <c r="AG14" s="12" t="s">
        <v>94</v>
      </c>
      <c r="AH14" s="5"/>
      <c r="AI14" s="44"/>
      <c r="AJ14" s="3"/>
      <c r="AK14" s="12" t="s">
        <v>94</v>
      </c>
      <c r="AL14" s="5"/>
      <c r="AM14" s="44"/>
      <c r="AN14" s="3"/>
      <c r="AO14" s="12" t="s">
        <v>94</v>
      </c>
      <c r="AP14" s="5"/>
      <c r="AQ14" s="44"/>
      <c r="AR14" s="3"/>
      <c r="AS14" s="12" t="s">
        <v>94</v>
      </c>
      <c r="AT14" s="5"/>
      <c r="AU14" s="44"/>
      <c r="AV14" s="3"/>
      <c r="AW14" s="12" t="s">
        <v>94</v>
      </c>
      <c r="AX14" s="5"/>
      <c r="AY14" s="44"/>
      <c r="AZ14" s="3"/>
      <c r="BA14" s="12" t="s">
        <v>94</v>
      </c>
      <c r="BB14" s="5"/>
      <c r="BC14" s="44"/>
      <c r="BD14" s="3"/>
      <c r="BE14" s="12" t="s">
        <v>94</v>
      </c>
      <c r="BF14" s="5"/>
      <c r="BG14" s="44"/>
      <c r="BH14" s="3"/>
    </row>
    <row r="15" spans="1:60" ht="16.5" thickBot="1">
      <c r="A15" s="21" t="s">
        <v>46</v>
      </c>
      <c r="B15" s="28"/>
      <c r="C15" s="10">
        <f>((B5+B6+B12)*100)/(B$2*(Reference!$C$40+$C$39+$C$46))</f>
        <v>158.55414746543778</v>
      </c>
      <c r="D15" s="80">
        <f>MAX(D5,D6,D12)-MIN(D5,D6,D12)</f>
        <v>74.815249266862168</v>
      </c>
      <c r="E15" s="21" t="s">
        <v>46</v>
      </c>
      <c r="F15" s="28"/>
      <c r="G15" s="10">
        <f>((F5+F6+F12)*100)/(F$2*(Reference!$C$40+$C$39+$C$46))</f>
        <v>153.72670807453417</v>
      </c>
      <c r="H15" s="80">
        <f>MAX(H5,H6,H12)-MIN(H5,H6,H12)</f>
        <v>54.916007905138343</v>
      </c>
      <c r="I15" s="21" t="s">
        <v>46</v>
      </c>
      <c r="J15" s="28"/>
      <c r="K15" s="10">
        <f>((J5+J6+J12)*100)/(J$2*(Reference!$C$40+$C$39+$C$46))</f>
        <v>138.74398073836275</v>
      </c>
      <c r="L15" s="80">
        <f>MAX(L5,L6,L12)-MIN(L5,L6,L12)</f>
        <v>41.879468845760982</v>
      </c>
      <c r="M15" s="21" t="s">
        <v>46</v>
      </c>
      <c r="N15" s="28"/>
      <c r="O15" s="10">
        <f>((N5+N6+N12)*100)/(N$2*(Reference!$C$40+$C$39+$C$46))</f>
        <v>96.827559361619294</v>
      </c>
      <c r="P15" s="80">
        <f>MAX(P5,P6,P12)-MIN(P5,P6,P12)</f>
        <v>23.780034679217252</v>
      </c>
      <c r="Q15" s="21" t="s">
        <v>46</v>
      </c>
      <c r="R15" s="28"/>
      <c r="S15" s="10">
        <f>((R5+R6+R12)*100)/(R$2*(Reference!$C$40+$C$39+$C$46))</f>
        <v>148.01587301587301</v>
      </c>
      <c r="T15" s="80">
        <f>MAX(T5,T6,T12)-MIN(T5,T6,T12)</f>
        <v>41.212121212121218</v>
      </c>
      <c r="U15" s="21" t="s">
        <v>46</v>
      </c>
      <c r="V15" s="28"/>
      <c r="W15" s="10">
        <f>((V5+V6+V12)*100)/(V$2*(Reference!$C$40+$C$39+$C$46))</f>
        <v>157.76877761413846</v>
      </c>
      <c r="X15" s="80">
        <f>MAX(X5,X6,X12)-MIN(X5,X6,X12)</f>
        <v>31.452671040299919</v>
      </c>
      <c r="Y15" s="21" t="s">
        <v>46</v>
      </c>
      <c r="Z15" s="28"/>
      <c r="AA15" s="10">
        <f>((Z5+Z6+Z12)*100)/(Z$2*(Reference!$C$40+$C$39+$C$46))</f>
        <v>187.8434065934066</v>
      </c>
      <c r="AB15" s="80">
        <f>MAX(AB5,AB6,AB12)-MIN(AB5,AB6,AB12)</f>
        <v>103.49650349650349</v>
      </c>
      <c r="AC15" s="21" t="s">
        <v>46</v>
      </c>
      <c r="AD15" s="38"/>
      <c r="AE15" s="45">
        <f>((AD5+AD6+AD12)*100)/(AD$2*(Reference!$C$40+$C$39+$C$46))</f>
        <v>210.71428571428572</v>
      </c>
      <c r="AF15" s="80">
        <f>MAX(AF5,AF6,AF12)-MIN(AF5,AF6,AF12)</f>
        <v>74.431818181818187</v>
      </c>
      <c r="AG15" s="21" t="s">
        <v>46</v>
      </c>
      <c r="AH15" s="38"/>
      <c r="AI15" s="45">
        <f>((AH5+AH6+AH12)*100)/(AH$2*(Calculator!$C$40+$C$39+$C$46))</f>
        <v>185.66176470588235</v>
      </c>
      <c r="AJ15" s="80">
        <f>MAX(AJ5,AJ6,AJ12)-MIN(AJ5,AJ6,AJ12)</f>
        <v>56.577540106951886</v>
      </c>
      <c r="AK15" s="21" t="s">
        <v>46</v>
      </c>
      <c r="AL15" s="38"/>
      <c r="AM15" s="45">
        <f>((AL5+AL6+AL12)*100)/(AL$2*(Calculator!$C$40+$C$39+$C$46))</f>
        <v>157.45464852607708</v>
      </c>
      <c r="AN15" s="80">
        <f>MAX(AN5,AN6,AN12)-MIN(AN5,AN6,AN12)</f>
        <v>43.405483405483409</v>
      </c>
      <c r="AO15" s="21" t="s">
        <v>46</v>
      </c>
      <c r="AP15" s="38"/>
      <c r="AQ15" s="45">
        <f>((AP5+AP6+AP12)*100)/(AP$2*(Reference!$C$40+$C$39+$C$46))</f>
        <v>143.16502463054186</v>
      </c>
      <c r="AR15" s="80">
        <f>MAX(AR5,AR6,AR12)-MIN(AR5,AR6,AR12)</f>
        <v>19.310344827586192</v>
      </c>
      <c r="AS15" s="21" t="s">
        <v>46</v>
      </c>
      <c r="AT15" s="38"/>
      <c r="AU15" s="45">
        <f>((AT5+AT6+AT12)*100)/(AT$2*(Reference!$C$40+$C$39+$C$46))</f>
        <v>164.77812055054579</v>
      </c>
      <c r="AV15" s="10">
        <f>MAX(AV5,AV6,AV12)-MIN(AV5,AV6,AV12)</f>
        <v>63.038356991845376</v>
      </c>
      <c r="AW15" s="21" t="s">
        <v>46</v>
      </c>
      <c r="AX15" s="38"/>
      <c r="AY15" s="45">
        <f>((AX5+AX6+AX12)*100)/(AX$2*(Reference!$C$40+$C$39+$C$46))</f>
        <v>138.21428571428572</v>
      </c>
      <c r="AZ15" s="10">
        <f>MAX(AZ5,AZ6,AZ12)-MIN(AZ5,AZ6,AZ12)</f>
        <v>17.299242424242436</v>
      </c>
      <c r="BA15" s="21" t="s">
        <v>46</v>
      </c>
      <c r="BB15" s="38"/>
      <c r="BC15" s="45">
        <f>((BB5+BB6+BB12)*100)/(BB$2*(Reference!$C$40+$C$39+$C$46))</f>
        <v>100.30822835700886</v>
      </c>
      <c r="BD15" s="10">
        <f>MAX(BD5,BD6,BD12)-MIN(BD5,BD6,BD12)</f>
        <v>37.011768719085794</v>
      </c>
      <c r="BE15" s="21" t="s">
        <v>46</v>
      </c>
      <c r="BF15" s="38"/>
      <c r="BG15" s="45">
        <f>((BF5+BF6+BF12)*100)/(BF$2*(Reference!$C$40+$C$39+$C$46))</f>
        <v>141.28151260504202</v>
      </c>
      <c r="BH15" s="10">
        <f>MAX(BH5,BH6,BH12)-MIN(BH5,BH6,BH12)</f>
        <v>66.310160427807489</v>
      </c>
    </row>
    <row r="16" spans="1:60" ht="15.75" customHeight="1">
      <c r="A16" s="14"/>
      <c r="B16" s="83" t="s">
        <v>109</v>
      </c>
      <c r="C16" s="7">
        <f>(C15/D15)*B2</f>
        <v>65.697549892487572</v>
      </c>
      <c r="D16" s="7">
        <f>((MIN(C5,C6,C12)*3)-300)*B2</f>
        <v>3398.1818181818185</v>
      </c>
      <c r="E16" s="18"/>
      <c r="F16" s="83" t="s">
        <v>109</v>
      </c>
      <c r="G16" s="7">
        <f>(G15/H15)*F2</f>
        <v>6.4384037015615965</v>
      </c>
      <c r="H16" s="7">
        <f>((MIN(G5,G6,G12)*3)-300)*F2</f>
        <v>215.45454545454547</v>
      </c>
      <c r="I16" s="18"/>
      <c r="J16" s="83" t="s">
        <v>109</v>
      </c>
      <c r="K16" s="7">
        <f>(K15/L15)*J2</f>
        <v>29.485126306620206</v>
      </c>
      <c r="L16" s="7">
        <f>((MIN(K5,K6,K12)*3)-300)*J2</f>
        <v>771.8181818181821</v>
      </c>
      <c r="M16" s="18"/>
      <c r="N16" s="83" t="s">
        <v>109</v>
      </c>
      <c r="O16" s="7">
        <f>(O15/P15)*N2</f>
        <v>149.43508184523802</v>
      </c>
      <c r="P16" s="7">
        <f>((MIN(O5,O6,O12)*3)-300)*N2</f>
        <v>-1628.1818181818205</v>
      </c>
      <c r="Q16" s="18"/>
      <c r="R16" s="83" t="s">
        <v>109</v>
      </c>
      <c r="S16" s="7">
        <f>(S15/T15)*R2</f>
        <v>32.324054621848731</v>
      </c>
      <c r="T16" s="7">
        <f>((MIN(S5,S6,S12)*3)-300)*R2</f>
        <v>867.27272727272737</v>
      </c>
      <c r="U16" s="18"/>
      <c r="V16" s="83" t="s">
        <v>109</v>
      </c>
      <c r="W16" s="7">
        <f>(W15/X15)*V2</f>
        <v>48.655872211816771</v>
      </c>
      <c r="X16" s="7">
        <f>((MIN(W5,W6,W12)*3)-300)*V2</f>
        <v>1322.7272727272727</v>
      </c>
      <c r="Y16" s="18"/>
      <c r="Z16" s="83" t="s">
        <v>109</v>
      </c>
      <c r="AA16" s="7">
        <f>(AA15/AB15)*Z2</f>
        <v>4.7189309845559855</v>
      </c>
      <c r="AB16" s="7">
        <f>((MIN(AA5,AA6,AA12)*3)-300)*Z2</f>
        <v>240.00000000000003</v>
      </c>
      <c r="AC16" s="12"/>
      <c r="AD16" s="83" t="s">
        <v>109</v>
      </c>
      <c r="AE16" s="7">
        <f>(AE15/AF15)*AD2</f>
        <v>9.9083969465648849</v>
      </c>
      <c r="AF16" s="7">
        <f>((MIN(AE5,AE6,AE12)*3)-300)*AD2</f>
        <v>859.09090909090924</v>
      </c>
      <c r="AG16" s="12"/>
      <c r="AH16" s="83" t="s">
        <v>109</v>
      </c>
      <c r="AI16" s="7">
        <f>(AI15/AJ15)*AH2</f>
        <v>44.629017013232499</v>
      </c>
      <c r="AJ16" s="7">
        <f>((MIN(AI5,AI6,AI12)*3)-300)*AH2</f>
        <v>2323.6363636363631</v>
      </c>
      <c r="AK16" s="12"/>
      <c r="AL16" s="83" t="s">
        <v>109</v>
      </c>
      <c r="AM16" s="7">
        <f>(AM15/AN15)*AL2</f>
        <v>22.853432513297868</v>
      </c>
      <c r="AN16" s="7">
        <f>((MIN(AM5,AM6,AM12)*3)-300)*AL2</f>
        <v>853.63636363636374</v>
      </c>
      <c r="AO16" s="12"/>
      <c r="AP16" s="83" t="s">
        <v>109</v>
      </c>
      <c r="AQ16" s="7">
        <f>(AQ15/AR15)*AP2</f>
        <v>43.000637755102069</v>
      </c>
      <c r="AR16" s="7">
        <f>((MIN(AQ5,AQ6,AQ12)*3)-300)*AP2</f>
        <v>660.00000000000034</v>
      </c>
      <c r="AS16" s="12"/>
      <c r="AT16" s="83" t="s">
        <v>109</v>
      </c>
      <c r="AU16" s="7">
        <f>(AU15/AV15)*AT2</f>
        <v>78.679420994633944</v>
      </c>
      <c r="AV16" s="7">
        <f>((MIN(AU5,AU6,AU12)*3)-300)*AT2</f>
        <v>4033.6363636363635</v>
      </c>
      <c r="AW16" s="12"/>
      <c r="AX16" s="83" t="s">
        <v>109</v>
      </c>
      <c r="AY16" s="7">
        <f>(AY15/AZ15)*AX2</f>
        <v>119.84422409208914</v>
      </c>
      <c r="AZ16" s="7">
        <f>((MIN(AY5,AY6,AY12)*3)-300)*AX2</f>
        <v>1330.9090909090903</v>
      </c>
      <c r="BA16" s="12"/>
      <c r="BB16" s="83" t="s">
        <v>109</v>
      </c>
      <c r="BC16" s="7">
        <f>(BC15/BD15)*BB2</f>
        <v>144.45212310730744</v>
      </c>
      <c r="BD16" s="7">
        <f>(MIN(BB5,BB6,BB12)/100)*MIN(BC5,BC6,BC12)</f>
        <v>1369.94030359884</v>
      </c>
      <c r="BF16" s="83" t="s">
        <v>109</v>
      </c>
      <c r="BG16" s="7">
        <f>(BG15/BH15)*BF2</f>
        <v>3.6220478110599075</v>
      </c>
      <c r="BH16" s="7">
        <f>((MIN(BG5,BG6,BG12)*3)-300)*BF2</f>
        <v>51.818181818181849</v>
      </c>
    </row>
    <row r="17" spans="1:57" ht="31.5" customHeight="1">
      <c r="A17" s="23" t="s">
        <v>30</v>
      </c>
      <c r="B17" s="19">
        <v>100</v>
      </c>
      <c r="C17" s="15" t="s">
        <v>31</v>
      </c>
      <c r="D17" s="50" t="s">
        <v>32</v>
      </c>
      <c r="E17" s="17" t="s">
        <v>33</v>
      </c>
      <c r="F17" s="19">
        <v>100</v>
      </c>
      <c r="G17" s="15" t="s">
        <v>31</v>
      </c>
      <c r="H17" s="14" t="s">
        <v>32</v>
      </c>
      <c r="I17" s="17" t="s">
        <v>34</v>
      </c>
      <c r="J17" s="19">
        <v>100</v>
      </c>
      <c r="K17" s="15" t="s">
        <v>31</v>
      </c>
      <c r="L17" s="14" t="s">
        <v>32</v>
      </c>
      <c r="M17" s="17" t="s">
        <v>35</v>
      </c>
      <c r="N17" s="19">
        <v>100</v>
      </c>
      <c r="O17" s="13" t="s">
        <v>31</v>
      </c>
      <c r="P17" s="14" t="s">
        <v>32</v>
      </c>
      <c r="Q17" s="17" t="s">
        <v>36</v>
      </c>
      <c r="R17" s="19">
        <v>100</v>
      </c>
      <c r="S17" s="15" t="s">
        <v>31</v>
      </c>
      <c r="T17" s="14" t="s">
        <v>32</v>
      </c>
      <c r="U17" s="17" t="s">
        <v>44</v>
      </c>
      <c r="V17" s="19">
        <v>100</v>
      </c>
      <c r="W17" s="15" t="s">
        <v>31</v>
      </c>
      <c r="X17" s="14" t="s">
        <v>32</v>
      </c>
      <c r="Y17" s="17" t="s">
        <v>45</v>
      </c>
      <c r="Z17" s="19">
        <v>100</v>
      </c>
      <c r="AA17" s="15" t="s">
        <v>31</v>
      </c>
      <c r="AB17" s="14" t="s">
        <v>32</v>
      </c>
      <c r="AC17" s="17" t="s">
        <v>47</v>
      </c>
      <c r="AD17" s="5">
        <v>100</v>
      </c>
      <c r="AE17" s="15" t="s">
        <v>31</v>
      </c>
      <c r="AF17" s="3" t="s">
        <v>32</v>
      </c>
      <c r="AG17" s="17" t="s">
        <v>54</v>
      </c>
      <c r="AH17" s="32">
        <v>100</v>
      </c>
      <c r="AI17" s="15" t="s">
        <v>31</v>
      </c>
      <c r="AJ17" s="3" t="s">
        <v>32</v>
      </c>
      <c r="AK17" s="17" t="s">
        <v>73</v>
      </c>
      <c r="AL17" s="32">
        <v>100</v>
      </c>
      <c r="AM17" s="15" t="s">
        <v>31</v>
      </c>
      <c r="AN17" s="3" t="s">
        <v>32</v>
      </c>
      <c r="AO17" s="17" t="s">
        <v>87</v>
      </c>
      <c r="AP17" s="5">
        <v>100</v>
      </c>
      <c r="AQ17" s="15" t="s">
        <v>31</v>
      </c>
      <c r="AR17" s="3" t="s">
        <v>32</v>
      </c>
      <c r="AS17" s="17" t="s">
        <v>102</v>
      </c>
      <c r="AT17" s="5">
        <v>100</v>
      </c>
      <c r="AU17" s="15" t="s">
        <v>31</v>
      </c>
      <c r="AV17" s="3" t="s">
        <v>32</v>
      </c>
      <c r="AW17" s="17" t="s">
        <v>108</v>
      </c>
      <c r="AX17" s="5">
        <v>100</v>
      </c>
      <c r="AY17" s="15" t="s">
        <v>31</v>
      </c>
      <c r="AZ17" s="3" t="s">
        <v>32</v>
      </c>
      <c r="BA17" s="17" t="s">
        <v>125</v>
      </c>
      <c r="BB17" s="5">
        <v>100</v>
      </c>
      <c r="BC17" s="15" t="s">
        <v>31</v>
      </c>
      <c r="BD17" s="3" t="s">
        <v>32</v>
      </c>
      <c r="BE17" t="s">
        <v>122</v>
      </c>
    </row>
    <row r="18" spans="1:57" ht="31.5" customHeight="1">
      <c r="A18" s="14" t="s">
        <v>18</v>
      </c>
      <c r="B18" s="19">
        <f>(24.9*B$17)/100</f>
        <v>24.9</v>
      </c>
      <c r="C18" s="15" t="s">
        <v>5</v>
      </c>
      <c r="D18" s="16"/>
      <c r="E18" s="18" t="s">
        <v>18</v>
      </c>
      <c r="F18" s="19">
        <f>(2.4*F$17)/100</f>
        <v>2.4</v>
      </c>
      <c r="G18" s="15" t="s">
        <v>5</v>
      </c>
      <c r="H18" s="14"/>
      <c r="I18" s="18" t="s">
        <v>18</v>
      </c>
      <c r="J18" s="19">
        <f>(2.7*J$17)/100</f>
        <v>2.7</v>
      </c>
      <c r="K18" s="15" t="s">
        <v>5</v>
      </c>
      <c r="L18" s="14"/>
      <c r="M18" s="18" t="s">
        <v>18</v>
      </c>
      <c r="N18" s="19">
        <f>(23.6*N$17)/100</f>
        <v>23.6</v>
      </c>
      <c r="O18" s="15" t="s">
        <v>5</v>
      </c>
      <c r="P18" s="14"/>
      <c r="Q18" s="18" t="s">
        <v>18</v>
      </c>
      <c r="R18" s="19">
        <f>(15.6*R$17)/100</f>
        <v>15.6</v>
      </c>
      <c r="S18" s="15" t="s">
        <v>5</v>
      </c>
      <c r="T18" s="14"/>
      <c r="U18" s="18" t="s">
        <v>18</v>
      </c>
      <c r="V18" s="19">
        <f>(17*V$17)/100</f>
        <v>17</v>
      </c>
      <c r="W18" s="15" t="s">
        <v>5</v>
      </c>
      <c r="X18" s="14"/>
      <c r="Y18" s="18" t="s">
        <v>18</v>
      </c>
      <c r="Z18" s="19">
        <f>(2.4*Z$17)/100</f>
        <v>2.4</v>
      </c>
      <c r="AA18" s="15" t="s">
        <v>5</v>
      </c>
      <c r="AB18" s="14"/>
      <c r="AC18" s="12" t="s">
        <v>18</v>
      </c>
      <c r="AD18" s="5">
        <f>(6*AD$17)/100</f>
        <v>6</v>
      </c>
      <c r="AE18" s="15" t="s">
        <v>5</v>
      </c>
      <c r="AF18" s="3"/>
      <c r="AG18" s="12" t="s">
        <v>18</v>
      </c>
      <c r="AH18" s="5">
        <f>(5.2*AH$17)/100</f>
        <v>5.2</v>
      </c>
      <c r="AI18" s="15" t="s">
        <v>5</v>
      </c>
      <c r="AJ18" s="3"/>
      <c r="AK18" s="12" t="s">
        <v>18</v>
      </c>
      <c r="AL18" s="5">
        <f>(11.7*AL$17)/100</f>
        <v>11.7</v>
      </c>
      <c r="AM18" s="15" t="s">
        <v>5</v>
      </c>
      <c r="AN18" s="3"/>
      <c r="AO18" s="12" t="s">
        <v>18</v>
      </c>
      <c r="AP18" s="5">
        <f>(22.1*AP$17)/100</f>
        <v>22.1</v>
      </c>
      <c r="AQ18" s="15" t="s">
        <v>5</v>
      </c>
      <c r="AR18" s="3"/>
      <c r="AS18" s="12" t="s">
        <v>18</v>
      </c>
      <c r="AT18" s="5">
        <f>(13.1*AT$17)/100</f>
        <v>13.1</v>
      </c>
      <c r="AU18" s="15" t="s">
        <v>5</v>
      </c>
      <c r="AV18" s="3"/>
      <c r="AW18" s="12" t="s">
        <v>18</v>
      </c>
      <c r="AX18" s="5">
        <f>(19.6*AX$17)/100</f>
        <v>19.600000000000001</v>
      </c>
      <c r="AY18" s="15" t="s">
        <v>5</v>
      </c>
      <c r="AZ18" s="3"/>
      <c r="BA18" s="12" t="s">
        <v>18</v>
      </c>
      <c r="BB18" s="5">
        <f>(43.3*BB$17)/100</f>
        <v>43.3</v>
      </c>
      <c r="BC18" s="15" t="s">
        <v>5</v>
      </c>
      <c r="BD18" s="3"/>
    </row>
    <row r="19" spans="1:57">
      <c r="A19" s="14" t="s">
        <v>19</v>
      </c>
      <c r="B19" s="19">
        <f>(352*B$17)/100</f>
        <v>352</v>
      </c>
      <c r="C19" s="20">
        <f>(B19*100)/(B$18*Reference!$C37)</f>
        <v>201.95065978198511</v>
      </c>
      <c r="D19" s="6">
        <f>C19-AVERAGE(C$19:C$29)</f>
        <v>3.0160415747277511</v>
      </c>
      <c r="E19" s="18" t="s">
        <v>19</v>
      </c>
      <c r="F19" s="19">
        <f>(28*F$17)/100</f>
        <v>28</v>
      </c>
      <c r="G19" s="20">
        <f>(F19*100)/(F$18*Reference!$C37)</f>
        <v>166.66666666666666</v>
      </c>
      <c r="H19" s="6">
        <f>G19-AVERAGE(G$19:G$29)</f>
        <v>14.894179305415292</v>
      </c>
      <c r="I19" s="18" t="s">
        <v>19</v>
      </c>
      <c r="J19" s="19">
        <f>(31*J$17)/100</f>
        <v>31</v>
      </c>
      <c r="K19" s="20">
        <f>(J19*100)/(J$18*Reference!$C37)</f>
        <v>164.021164021164</v>
      </c>
      <c r="L19" s="6">
        <f>K19-AVERAGE(K$19:K$29)</f>
        <v>12.226205959190054</v>
      </c>
      <c r="M19" s="18" t="s">
        <v>19</v>
      </c>
      <c r="N19" s="19">
        <f>(265*N$17)/100</f>
        <v>265</v>
      </c>
      <c r="O19" s="20">
        <f>(N19*100)/(N$18*Reference!$C37)</f>
        <v>160.41162227602905</v>
      </c>
      <c r="P19" s="6">
        <f>O19-AVERAGE(O$19:O$29)</f>
        <v>-3.6400764341830438</v>
      </c>
      <c r="Q19" s="18" t="s">
        <v>19</v>
      </c>
      <c r="R19" s="19">
        <f>(125*R$17)/100</f>
        <v>125</v>
      </c>
      <c r="S19" s="20">
        <f>(R19*100)/(R$18*Reference!$C37)</f>
        <v>114.46886446886447</v>
      </c>
      <c r="T19" s="6">
        <f>S19-AVERAGE(S$19:S$29)</f>
        <v>-18.910888831883824</v>
      </c>
      <c r="U19" s="18" t="s">
        <v>19</v>
      </c>
      <c r="V19" s="19">
        <f>(371*V$17)/100</f>
        <v>371</v>
      </c>
      <c r="W19" s="20">
        <f>(V19*100)/(V$18*Reference!$C37)</f>
        <v>311.76470588235293</v>
      </c>
      <c r="X19" s="6">
        <f>W19-AVERAGE(W$19:W$29)</f>
        <v>135.17062919324425</v>
      </c>
      <c r="Y19" s="18" t="s">
        <v>19</v>
      </c>
      <c r="Z19" s="19">
        <f>(34*Z$17)/100</f>
        <v>34</v>
      </c>
      <c r="AA19" s="20">
        <f>(Z19*100)/(Z$18*Reference!$C37)</f>
        <v>202.38095238095238</v>
      </c>
      <c r="AB19" s="6">
        <f>AA19-AVERAGE(AA$19:AA$29)</f>
        <v>52.742886534822645</v>
      </c>
      <c r="AC19" s="12" t="s">
        <v>19</v>
      </c>
      <c r="AD19" s="5">
        <f>(84*AD$17)/100</f>
        <v>84</v>
      </c>
      <c r="AE19" s="20">
        <f>(AD19*100)/(AD$18*Reference!$C37)</f>
        <v>200</v>
      </c>
      <c r="AF19" s="6">
        <f>AE19-AVERAGE(AE$19:AE$29)</f>
        <v>16.524942404467765</v>
      </c>
      <c r="AG19" s="12" t="s">
        <v>19</v>
      </c>
      <c r="AH19" s="5">
        <f>(35*AH$17)/100</f>
        <v>35</v>
      </c>
      <c r="AI19" s="20">
        <f>(AH19*100)/(AH$18*Calculator!$C37)</f>
        <v>96.15384615384616</v>
      </c>
      <c r="AJ19" s="6">
        <f>AI19-AVERAGE(AI$19:AI$29)</f>
        <v>-19.854319659066917</v>
      </c>
      <c r="AK19" s="12" t="s">
        <v>19</v>
      </c>
      <c r="AL19" s="5">
        <f>(155*AL$17)/100</f>
        <v>155</v>
      </c>
      <c r="AM19" s="20">
        <f>(AL19*100)/(AL$18*Calculator!$C37)</f>
        <v>189.25518925518926</v>
      </c>
      <c r="AN19" s="6">
        <f>AM19-AVERAGE(AM$19:AM$29)</f>
        <v>58.135744766737957</v>
      </c>
      <c r="AO19" s="12" t="s">
        <v>19</v>
      </c>
      <c r="AP19" s="5">
        <f>(248 *AP$17)/100</f>
        <v>248</v>
      </c>
      <c r="AQ19" s="20">
        <f>(AP19*100)/(AP$18*Reference!$C37)</f>
        <v>160.31027795733675</v>
      </c>
      <c r="AR19" s="6">
        <f>AQ19-AVERAGE(AQ$19:AQ$29)</f>
        <v>-3.6567338880585964</v>
      </c>
      <c r="AS19" s="12" t="s">
        <v>19</v>
      </c>
      <c r="AT19" s="5">
        <f>(182 *AT$17)/100</f>
        <v>182</v>
      </c>
      <c r="AU19" s="20">
        <f>(AT19*100)/(AT$18*Reference!$C37)</f>
        <v>198.47328244274809</v>
      </c>
      <c r="AV19" s="6">
        <f>AU19-AVERAGE(AU$19:AU$29)</f>
        <v>49.046031081888032</v>
      </c>
      <c r="AW19" s="12" t="s">
        <v>19</v>
      </c>
      <c r="AX19" s="5">
        <f>(293 *AX$17)/100</f>
        <v>293</v>
      </c>
      <c r="AY19" s="20">
        <f>(AX19*100)/(AX$18*Reference!$C37)</f>
        <v>213.55685131195332</v>
      </c>
      <c r="AZ19" s="6">
        <f>AY19-AVERAGE(AY$19:AY$29)</f>
        <v>71.37729744494348</v>
      </c>
      <c r="BA19" s="12" t="s">
        <v>19</v>
      </c>
      <c r="BB19" s="5">
        <f>(400 *BB$17)/100</f>
        <v>400</v>
      </c>
      <c r="BC19" s="20">
        <f>(BB19*100)/(BB$18*Reference!$C37)</f>
        <v>131.96964698119433</v>
      </c>
      <c r="BD19" s="6">
        <f>BC19-AVERAGE(BC$19:BC$29)</f>
        <v>-80.098757055342162</v>
      </c>
    </row>
    <row r="20" spans="1:57">
      <c r="A20" s="14" t="s">
        <v>20</v>
      </c>
      <c r="B20" s="19">
        <f>(930*B$17)/100</f>
        <v>930</v>
      </c>
      <c r="C20" s="20">
        <f>(B20*100)/(B$18*Reference!$C38)</f>
        <v>138.33110218652388</v>
      </c>
      <c r="D20" s="6">
        <f>C20-AVERAGE(C$19:C$29)</f>
        <v>-60.60351602073348</v>
      </c>
      <c r="E20" s="18" t="s">
        <v>20</v>
      </c>
      <c r="F20" s="19">
        <f>(85*F$17)/100</f>
        <v>85</v>
      </c>
      <c r="G20" s="20">
        <f>(F20*100)/(F$18*Reference!$C38)</f>
        <v>131.17283950617283</v>
      </c>
      <c r="H20" s="6">
        <f>G20-AVERAGE(G$19:G$29)</f>
        <v>-20.59964785507853</v>
      </c>
      <c r="I20" s="18" t="s">
        <v>20</v>
      </c>
      <c r="J20" s="19">
        <f>(96*J$17)/100</f>
        <v>96</v>
      </c>
      <c r="K20" s="20">
        <f>(J20*100)/(J$18*Reference!$C38)</f>
        <v>131.68724279835391</v>
      </c>
      <c r="L20" s="6">
        <f>K20-AVERAGE(K$19:K$29)</f>
        <v>-20.107715263620037</v>
      </c>
      <c r="M20" s="18" t="s">
        <v>20</v>
      </c>
      <c r="N20" s="19">
        <f>(1035*N$17)/100</f>
        <v>1035</v>
      </c>
      <c r="O20" s="20">
        <f>(N20*100)/(N$18*Reference!$C38)</f>
        <v>162.42937853107344</v>
      </c>
      <c r="P20" s="6">
        <f>O20-AVERAGE(O$19:O$29)</f>
        <v>-1.6223201791386543</v>
      </c>
      <c r="Q20" s="18" t="s">
        <v>20</v>
      </c>
      <c r="R20" s="19">
        <f>(573*R$17)/100</f>
        <v>573</v>
      </c>
      <c r="S20" s="20">
        <f>(R20*100)/(R$18*Reference!$C38)</f>
        <v>136.03988603988606</v>
      </c>
      <c r="T20" s="6">
        <f>S20-AVERAGE(S$19:S$29)</f>
        <v>2.6601327391377652</v>
      </c>
      <c r="U20" s="18" t="s">
        <v>20</v>
      </c>
      <c r="V20" s="19">
        <f>(704*V$17)/100</f>
        <v>704</v>
      </c>
      <c r="W20" s="20">
        <f>(V20*100)/(V$18*Reference!$C38)</f>
        <v>153.3769063180828</v>
      </c>
      <c r="X20" s="6">
        <f>W20-AVERAGE(W$19:W$29)</f>
        <v>-23.217170371025873</v>
      </c>
      <c r="Y20" s="18" t="s">
        <v>20</v>
      </c>
      <c r="Z20" s="19">
        <f>(96*Z$17)/100</f>
        <v>96</v>
      </c>
      <c r="AA20" s="20">
        <f>(Z20*100)/(Z$18*Reference!$C38)</f>
        <v>148.14814814814815</v>
      </c>
      <c r="AB20" s="6">
        <f>AA20-AVERAGE(AA$19:AA$29)</f>
        <v>-1.489917697981582</v>
      </c>
      <c r="AC20" s="12" t="s">
        <v>20</v>
      </c>
      <c r="AD20" s="5">
        <f>(268*AD$17)/100</f>
        <v>268</v>
      </c>
      <c r="AE20" s="20">
        <f>(AD20*100)/(AD$18*Reference!$C38)</f>
        <v>165.4320987654321</v>
      </c>
      <c r="AF20" s="6">
        <f>AE20-AVERAGE(AE$19:AE$29)</f>
        <v>-18.042958830100133</v>
      </c>
      <c r="AG20" s="12" t="s">
        <v>20</v>
      </c>
      <c r="AH20" s="5">
        <f>(193*AH$17)/100</f>
        <v>193</v>
      </c>
      <c r="AI20" s="20">
        <f>(AH20*100)/(AH$18*Calculator!$C38)</f>
        <v>137.46438746438747</v>
      </c>
      <c r="AJ20" s="6">
        <f>AI20-AVERAGE(AI$19:AI$29)</f>
        <v>21.456221651474394</v>
      </c>
      <c r="AK20" s="12" t="s">
        <v>20</v>
      </c>
      <c r="AL20" s="5">
        <f>(479*AL$17)/100</f>
        <v>479</v>
      </c>
      <c r="AM20" s="20">
        <f>(AL20*100)/(AL$18*Calculator!$C38)</f>
        <v>151.63026274137385</v>
      </c>
      <c r="AN20" s="6">
        <f>AM20-AVERAGE(AM$19:AM$29)</f>
        <v>20.510818252922547</v>
      </c>
      <c r="AO20" s="12" t="s">
        <v>20</v>
      </c>
      <c r="AP20" s="5">
        <f>(969 *AP$17)/100</f>
        <v>969</v>
      </c>
      <c r="AQ20" s="20">
        <f>(AP20*100)/(AP$18*Reference!$C38)</f>
        <v>162.39316239316238</v>
      </c>
      <c r="AR20" s="6">
        <f>AQ20-AVERAGE(AQ$19:AQ$29)</f>
        <v>-1.5738494522329631</v>
      </c>
      <c r="AS20" s="12" t="s">
        <v>20</v>
      </c>
      <c r="AT20" s="5">
        <f>(382 *AT$17)/100</f>
        <v>382</v>
      </c>
      <c r="AU20" s="20">
        <f>(AT20*100)/(AT$18*Reference!$C38)</f>
        <v>108.00113090189427</v>
      </c>
      <c r="AV20" s="6">
        <f>AU20-AVERAGE(AU$19:AU$29)</f>
        <v>-41.426120458965784</v>
      </c>
      <c r="AW20" s="12" t="s">
        <v>20</v>
      </c>
      <c r="AX20" s="5">
        <f>(776 *AX$17)/100</f>
        <v>776</v>
      </c>
      <c r="AY20" s="20">
        <f>(AX20*100)/(AX$18*Reference!$C38)</f>
        <v>146.63643235071805</v>
      </c>
      <c r="AZ20" s="6">
        <f>AY20-AVERAGE(AY$19:AY$29)</f>
        <v>4.4568784837082092</v>
      </c>
      <c r="BA20" s="12" t="s">
        <v>20</v>
      </c>
      <c r="BB20" s="5">
        <f>(3100 *BB$17)/100</f>
        <v>3100</v>
      </c>
      <c r="BC20" s="20">
        <f>(BB20*100)/(BB$18*Reference!$C38)</f>
        <v>265.16123513814046</v>
      </c>
      <c r="BD20" s="6">
        <f>BC20-AVERAGE(BC$19:BC$29)</f>
        <v>53.092831101603963</v>
      </c>
    </row>
    <row r="21" spans="1:57">
      <c r="A21" s="14" t="s">
        <v>21</v>
      </c>
      <c r="B21" s="19">
        <f>(1306*B$17)/100</f>
        <v>1306</v>
      </c>
      <c r="C21" s="20">
        <f>(B21*100)/(B$18*Reference!$C39)</f>
        <v>209.79919678714859</v>
      </c>
      <c r="D21" s="6">
        <f>C21-AVERAGE(C$19:C$29)</f>
        <v>10.86457857989123</v>
      </c>
      <c r="E21" s="18" t="s">
        <v>21</v>
      </c>
      <c r="F21" s="19">
        <f>(103*F$17)/100</f>
        <v>103</v>
      </c>
      <c r="G21" s="20">
        <f>(F21*100)/(F$18*Reference!$C39)</f>
        <v>171.66666666666666</v>
      </c>
      <c r="H21" s="6">
        <f>G21-AVERAGE(G$19:G$29)</f>
        <v>19.894179305415292</v>
      </c>
      <c r="I21" s="18" t="s">
        <v>21</v>
      </c>
      <c r="J21" s="19">
        <f>(116*J$17)/100</f>
        <v>116</v>
      </c>
      <c r="K21" s="20">
        <f>(J21*100)/(J$18*Reference!$C39)</f>
        <v>171.85185185185185</v>
      </c>
      <c r="L21" s="6">
        <f>K21-AVERAGE(K$19:K$29)</f>
        <v>20.056893789877904</v>
      </c>
      <c r="M21" s="18" t="s">
        <v>21</v>
      </c>
      <c r="N21" s="19">
        <f>(1088*N$17)/100</f>
        <v>1088</v>
      </c>
      <c r="O21" s="20">
        <f>(N21*100)/(N$18*Reference!$C39)</f>
        <v>184.40677966101694</v>
      </c>
      <c r="P21" s="6">
        <f>O21-AVERAGE(O$19:O$29)</f>
        <v>20.355080950804847</v>
      </c>
      <c r="Q21" s="18" t="s">
        <v>21</v>
      </c>
      <c r="R21" s="19">
        <f>(695*R$17)/100</f>
        <v>695</v>
      </c>
      <c r="S21" s="20">
        <f>(R21*100)/(R$18*Reference!$C39)</f>
        <v>178.2051282051282</v>
      </c>
      <c r="T21" s="6">
        <f>S21-AVERAGE(S$19:S$29)</f>
        <v>44.825374904379913</v>
      </c>
      <c r="U21" s="18" t="s">
        <v>21</v>
      </c>
      <c r="V21" s="19">
        <f>(730*V$17)/100</f>
        <v>730</v>
      </c>
      <c r="W21" s="20">
        <f>(V21*100)/(V$18*Reference!$C39)</f>
        <v>171.76470588235293</v>
      </c>
      <c r="X21" s="6">
        <f>W21-AVERAGE(W$19:W$29)</f>
        <v>-4.8293708067557475</v>
      </c>
      <c r="Y21" s="18" t="s">
        <v>21</v>
      </c>
      <c r="Z21" s="19">
        <f>(92*Z$17)/100</f>
        <v>92</v>
      </c>
      <c r="AA21" s="20">
        <f>(Z21*100)/(Z$18*Reference!$C39)</f>
        <v>153.33333333333334</v>
      </c>
      <c r="AB21" s="6">
        <f>AA21-AVERAGE(AA$19:AA$29)</f>
        <v>3.6952674872036084</v>
      </c>
      <c r="AC21" s="12" t="s">
        <v>21</v>
      </c>
      <c r="AD21" s="5">
        <f>(338*AD$17)/100</f>
        <v>338</v>
      </c>
      <c r="AE21" s="20">
        <f>(AD21*100)/(AD$18*Reference!$C39)</f>
        <v>225.33333333333334</v>
      </c>
      <c r="AF21" s="6">
        <f>AE21-AVERAGE(AE$19:AE$29)</f>
        <v>41.858275737801108</v>
      </c>
      <c r="AG21" s="12" t="s">
        <v>21</v>
      </c>
      <c r="AH21" s="5">
        <f>(185*AH$17)/100</f>
        <v>185</v>
      </c>
      <c r="AI21" s="20">
        <f>(AH21*100)/(AH$18*Calculator!$C39)</f>
        <v>142.30769230769232</v>
      </c>
      <c r="AJ21" s="6">
        <f>AI21-AVERAGE(AI$19:AI$29)</f>
        <v>26.299526494779244</v>
      </c>
      <c r="AK21" s="12" t="s">
        <v>21</v>
      </c>
      <c r="AL21" s="5">
        <f>(508*AL$17)/100</f>
        <v>508</v>
      </c>
      <c r="AM21" s="20">
        <f>(AL21*100)/(AL$18*Calculator!$C39)</f>
        <v>173.67521367521368</v>
      </c>
      <c r="AN21" s="6">
        <f>AM21-AVERAGE(AM$19:AM$29)</f>
        <v>42.555769186762376</v>
      </c>
      <c r="AO21" s="12" t="s">
        <v>21</v>
      </c>
      <c r="AP21" s="5">
        <f>(1018*AP$17)/100</f>
        <v>1018</v>
      </c>
      <c r="AQ21" s="20">
        <f>(AP21*100)/(AP$18*Reference!$C39)</f>
        <v>184.25339366515837</v>
      </c>
      <c r="AR21" s="6">
        <f>AQ21-AVERAGE(AQ$19:AQ$29)</f>
        <v>20.286381819763022</v>
      </c>
      <c r="AS21" s="12" t="s">
        <v>21</v>
      </c>
      <c r="AT21" s="5">
        <f>(503*AT$17)/100</f>
        <v>503</v>
      </c>
      <c r="AU21" s="20">
        <f>(AT21*100)/(AT$18*Reference!$C39)</f>
        <v>153.58778625954199</v>
      </c>
      <c r="AV21" s="6">
        <f>AU21-AVERAGE(AU$19:AU$29)</f>
        <v>4.1605348986819308</v>
      </c>
      <c r="AW21" s="12" t="s">
        <v>21</v>
      </c>
      <c r="AX21" s="5">
        <f>(760*AX$17)/100</f>
        <v>760</v>
      </c>
      <c r="AY21" s="20">
        <f>(AX21*100)/(AX$18*Reference!$C39)</f>
        <v>155.10204081632651</v>
      </c>
      <c r="AZ21" s="6">
        <f>AY21-AVERAGE(AY$19:AY$29)</f>
        <v>12.922486949316664</v>
      </c>
      <c r="BA21" s="12" t="s">
        <v>21</v>
      </c>
      <c r="BB21" s="5">
        <f>(2500*BB$17)/100</f>
        <v>2500</v>
      </c>
      <c r="BC21" s="20">
        <f>(BB21*100)/(BB$18*Reference!$C39)</f>
        <v>230.94688221709006</v>
      </c>
      <c r="BD21" s="6">
        <f>BC21-AVERAGE(BC$19:BC$29)</f>
        <v>18.878478180553572</v>
      </c>
    </row>
    <row r="22" spans="1:57">
      <c r="A22" s="14" t="s">
        <v>8</v>
      </c>
      <c r="B22" s="19">
        <f>(2564*B$17)/100</f>
        <v>2564</v>
      </c>
      <c r="C22" s="20">
        <f>(B22*100)/(B$18*Reference!$C40)</f>
        <v>187.22161372763782</v>
      </c>
      <c r="D22" s="6">
        <f>C22-AVERAGE(C$19:C$29)</f>
        <v>-11.713004479619542</v>
      </c>
      <c r="E22" s="18" t="s">
        <v>8</v>
      </c>
      <c r="F22" s="19">
        <f>(197*F$17)/100</f>
        <v>197</v>
      </c>
      <c r="G22" s="20">
        <f>(F22*100)/(F$18*Reference!$C40)</f>
        <v>149.24242424242425</v>
      </c>
      <c r="H22" s="6">
        <f>G22-AVERAGE(G$19:G$29)</f>
        <v>-2.5300631188271154</v>
      </c>
      <c r="I22" s="18" t="s">
        <v>8</v>
      </c>
      <c r="J22" s="19">
        <f>(222*J$17)/100</f>
        <v>222</v>
      </c>
      <c r="K22" s="20">
        <f>(J22*100)/(J$18*Reference!$C40)</f>
        <v>149.49494949494951</v>
      </c>
      <c r="L22" s="6">
        <f>K22-AVERAGE(K$19:K$29)</f>
        <v>-2.3000085670244346</v>
      </c>
      <c r="M22" s="18" t="s">
        <v>8</v>
      </c>
      <c r="N22" s="19">
        <f>(1920*N$17)/100</f>
        <v>1920</v>
      </c>
      <c r="O22" s="20">
        <f>(N22*100)/(N$18*Reference!$C40)</f>
        <v>147.91987673343607</v>
      </c>
      <c r="P22" s="6">
        <f>O22-AVERAGE(O$19:O$29)</f>
        <v>-16.131821976776024</v>
      </c>
      <c r="Q22" s="18" t="s">
        <v>8</v>
      </c>
      <c r="R22" s="19">
        <f>(1181*R$17)/100</f>
        <v>1181</v>
      </c>
      <c r="S22" s="20">
        <f>(R22*100)/(R$18*Reference!$C40)</f>
        <v>137.64568764568764</v>
      </c>
      <c r="T22" s="6">
        <f>S22-AVERAGE(S$19:S$29)</f>
        <v>4.2659343449393532</v>
      </c>
      <c r="U22" s="18" t="s">
        <v>8</v>
      </c>
      <c r="V22" s="19">
        <f>(1299*V$17)/100</f>
        <v>1299</v>
      </c>
      <c r="W22" s="20">
        <f>(V22*100)/(V$18*Reference!$C40)</f>
        <v>138.93048128342247</v>
      </c>
      <c r="X22" s="6">
        <f>W22-AVERAGE(W$19:W$29)</f>
        <v>-37.663595405686209</v>
      </c>
      <c r="Y22" s="18" t="s">
        <v>8</v>
      </c>
      <c r="Z22" s="19">
        <f>(147*Z$17)/100</f>
        <v>147</v>
      </c>
      <c r="AA22" s="20">
        <f>(Z22*100)/(Z$18*Reference!$C40)</f>
        <v>111.36363636363636</v>
      </c>
      <c r="AB22" s="6">
        <f>AA22-AVERAGE(AA$19:AA$29)</f>
        <v>-38.274429482493375</v>
      </c>
      <c r="AC22" s="12" t="s">
        <v>8</v>
      </c>
      <c r="AD22" s="5">
        <f>(587*AD$17)/100</f>
        <v>587</v>
      </c>
      <c r="AE22" s="20">
        <f>(AD22*100)/(AD$18*Reference!$C40)</f>
        <v>177.87878787878788</v>
      </c>
      <c r="AF22" s="6">
        <f>AE22-AVERAGE(AE$19:AE$29)</f>
        <v>-5.5962697167443594</v>
      </c>
      <c r="AG22" s="12" t="s">
        <v>8</v>
      </c>
      <c r="AH22" s="5">
        <f>(307*AH$17)/100</f>
        <v>307</v>
      </c>
      <c r="AI22" s="20">
        <f>(AH22*100)/(AH$18*Calculator!$C40)</f>
        <v>107.34265734265735</v>
      </c>
      <c r="AJ22" s="6">
        <f>AI22-AVERAGE(AI$19:AI$29)</f>
        <v>-8.6655084702557303</v>
      </c>
      <c r="AK22" s="12" t="s">
        <v>8</v>
      </c>
      <c r="AL22" s="5">
        <f>(820*AL$17)/100</f>
        <v>820</v>
      </c>
      <c r="AM22" s="20">
        <f>(AL22*100)/(AL$18*Calculator!$C40)</f>
        <v>127.42812742812742</v>
      </c>
      <c r="AN22" s="6">
        <f>AM22-AVERAGE(AM$19:AM$29)</f>
        <v>-3.6913170603238825</v>
      </c>
      <c r="AO22" s="12" t="s">
        <v>8</v>
      </c>
      <c r="AP22" s="5">
        <f>(1796*AP$17)/100</f>
        <v>1796</v>
      </c>
      <c r="AQ22" s="20">
        <f>(AP22*100)/(AP$18*Reference!$C40)</f>
        <v>147.75812422871246</v>
      </c>
      <c r="AR22" s="6">
        <f>AQ22-AVERAGE(AQ$19:AQ$29)</f>
        <v>-16.208887616682887</v>
      </c>
      <c r="AS22" s="12" t="s">
        <v>8</v>
      </c>
      <c r="AT22" s="5">
        <f>(980*AT$17)/100</f>
        <v>980</v>
      </c>
      <c r="AU22" s="20">
        <f>(AT22*100)/(AT$18*Reference!$C40)</f>
        <v>136.01665510062458</v>
      </c>
      <c r="AV22" s="6">
        <f>AU22-AVERAGE(AU$19:AU$29)</f>
        <v>-13.410596260235479</v>
      </c>
      <c r="AW22" s="12" t="s">
        <v>8</v>
      </c>
      <c r="AX22" s="5">
        <f>(1189*AX$17)/100</f>
        <v>1189</v>
      </c>
      <c r="AY22" s="20">
        <f>(AX22*100)/(AX$18*Reference!$C40)</f>
        <v>110.29684601113172</v>
      </c>
      <c r="AZ22" s="6">
        <f>AY22-AVERAGE(AY$19:AY$29)</f>
        <v>-31.882707855878124</v>
      </c>
      <c r="BA22" s="12" t="s">
        <v>8</v>
      </c>
      <c r="BB22" s="5">
        <f>(4100*BB$17)/100</f>
        <v>4100</v>
      </c>
      <c r="BC22" s="20">
        <f>(BB22*100)/(BB$18*Reference!$C40)</f>
        <v>172.16040310728533</v>
      </c>
      <c r="BD22" s="6">
        <f>BC22-AVERAGE(BC$19:BC$29)</f>
        <v>-39.908000929251159</v>
      </c>
    </row>
    <row r="23" spans="1:57">
      <c r="A23" s="14" t="s">
        <v>22</v>
      </c>
      <c r="B23" s="19">
        <f>(2654*B$17)/100</f>
        <v>2654</v>
      </c>
      <c r="C23" s="20">
        <f>(B23*100)/(B$18*Reference!$C41)</f>
        <v>208.99283408142375</v>
      </c>
      <c r="D23" s="6">
        <f>C23-AVERAGE(C$19:C$29)</f>
        <v>10.058215874166393</v>
      </c>
      <c r="E23" s="18" t="s">
        <v>22</v>
      </c>
      <c r="F23" s="19">
        <f>(86*F$17)/100</f>
        <v>86</v>
      </c>
      <c r="G23" s="20">
        <f>(F23*100)/(F$18*Reference!$C41)</f>
        <v>70.261437908496731</v>
      </c>
      <c r="H23" s="6">
        <f>G23-AVERAGE(G$19:G$29)</f>
        <v>-81.511049452754634</v>
      </c>
      <c r="I23" s="18" t="s">
        <v>22</v>
      </c>
      <c r="J23" s="19">
        <f>(97*J$17)/100</f>
        <v>97</v>
      </c>
      <c r="K23" s="20">
        <f>(J23*100)/(J$18*Reference!$C41)</f>
        <v>70.442992011619452</v>
      </c>
      <c r="L23" s="6">
        <f>K23-AVERAGE(K$19:K$29)</f>
        <v>-81.351966050354491</v>
      </c>
      <c r="M23" s="18" t="s">
        <v>22</v>
      </c>
      <c r="N23" s="19">
        <f>(2169*N$17)/100</f>
        <v>2169</v>
      </c>
      <c r="O23" s="20">
        <f>(N23*100)/(N$18*Reference!$C41)</f>
        <v>180.20937188434695</v>
      </c>
      <c r="P23" s="6">
        <f>O23-AVERAGE(O$19:O$29)</f>
        <v>16.157673174134857</v>
      </c>
      <c r="Q23" s="18" t="s">
        <v>22</v>
      </c>
      <c r="R23" s="19">
        <f>(832*R$17)/100</f>
        <v>832</v>
      </c>
      <c r="S23" s="20">
        <f>(R23*100)/(R$18*Reference!$C41)</f>
        <v>104.57516339869281</v>
      </c>
      <c r="T23" s="6">
        <f>S23-AVERAGE(S$19:S$29)</f>
        <v>-28.804589902055483</v>
      </c>
      <c r="U23" s="18" t="s">
        <v>22</v>
      </c>
      <c r="V23" s="19">
        <f>(544*V$17)/100</f>
        <v>544</v>
      </c>
      <c r="W23" s="20">
        <f>(V23*100)/(V$18*Reference!$C41)</f>
        <v>62.745098039215684</v>
      </c>
      <c r="X23" s="6">
        <f>W23-AVERAGE(W$19:W$29)</f>
        <v>-113.84897864989298</v>
      </c>
      <c r="Y23" s="18" t="s">
        <v>22</v>
      </c>
      <c r="Z23" s="19">
        <f>(155*Z$17)/100</f>
        <v>155</v>
      </c>
      <c r="AA23" s="20">
        <f>(Z23*100)/(Z$18*Reference!$C41)</f>
        <v>126.63398692810459</v>
      </c>
      <c r="AB23" s="6">
        <f>AA23-AVERAGE(AA$19:AA$29)</f>
        <v>-23.004078918025144</v>
      </c>
      <c r="AC23" s="12" t="s">
        <v>22</v>
      </c>
      <c r="AD23" s="5">
        <f>(513*AD$17)/100</f>
        <v>513</v>
      </c>
      <c r="AE23" s="20">
        <f>(AD23*100)/(AD$18*Reference!$C41)</f>
        <v>167.64705882352942</v>
      </c>
      <c r="AF23" s="6">
        <f>AE23-AVERAGE(AE$19:AE$29)</f>
        <v>-15.827998772002815</v>
      </c>
      <c r="AG23" s="12" t="s">
        <v>22</v>
      </c>
      <c r="AH23" s="5">
        <f>(302*AH$17)/100</f>
        <v>302</v>
      </c>
      <c r="AI23" s="20">
        <f>(AH23*100)/(AH$18*Calculator!$C41)</f>
        <v>113.87631975867271</v>
      </c>
      <c r="AJ23" s="6">
        <f>AI23-AVERAGE(AI$19:AI$29)</f>
        <v>-2.1318460542403699</v>
      </c>
      <c r="AK23" s="12" t="s">
        <v>22</v>
      </c>
      <c r="AL23" s="5">
        <f>(478*AL$17)/100</f>
        <v>478</v>
      </c>
      <c r="AM23" s="20">
        <f>(AL23*100)/(AL$18*Calculator!$C41)</f>
        <v>80.107256577844822</v>
      </c>
      <c r="AN23" s="6">
        <f>AM23-AVERAGE(AM$19:AM$29)</f>
        <v>-51.012187910606485</v>
      </c>
      <c r="AO23" s="12" t="s">
        <v>22</v>
      </c>
      <c r="AP23" s="5">
        <f>(2030*AP$17)/100</f>
        <v>2030</v>
      </c>
      <c r="AQ23" s="20">
        <f>(AP23*100)/(AP$18*Reference!$C41)</f>
        <v>180.10824239197939</v>
      </c>
      <c r="AR23" s="6">
        <f>AQ23-AVERAGE(AQ$19:AQ$29)</f>
        <v>16.14123054658404</v>
      </c>
      <c r="AS23" s="12" t="s">
        <v>22</v>
      </c>
      <c r="AT23" s="5">
        <f>(637*AT$17)/100</f>
        <v>637</v>
      </c>
      <c r="AU23" s="20">
        <f>(AT23*100)/(AT$18*Reference!$C41)</f>
        <v>95.345008232300557</v>
      </c>
      <c r="AV23" s="6">
        <f>AU23-AVERAGE(AU$19:AU$29)</f>
        <v>-54.082243128559497</v>
      </c>
      <c r="AW23" s="12" t="s">
        <v>22</v>
      </c>
      <c r="AX23" s="5">
        <f>(983*AX$17)/100</f>
        <v>983</v>
      </c>
      <c r="AY23" s="20">
        <f>(AX23*100)/(AX$18*Reference!$C41)</f>
        <v>98.339335734293712</v>
      </c>
      <c r="AZ23" s="6">
        <f>AY23-AVERAGE(AY$19:AY$29)</f>
        <v>-43.840218132716132</v>
      </c>
      <c r="BA23" s="12" t="s">
        <v>22</v>
      </c>
      <c r="BB23" s="5">
        <f>(3900*BB$17)/100</f>
        <v>3900</v>
      </c>
      <c r="BC23" s="20">
        <f>(BB23*100)/(BB$18*Reference!$C41)</f>
        <v>176.60643934248066</v>
      </c>
      <c r="BD23" s="6">
        <f>BC23-AVERAGE(BC$19:BC$29)</f>
        <v>-35.461964694055837</v>
      </c>
    </row>
    <row r="24" spans="1:57">
      <c r="A24" s="14" t="s">
        <v>10</v>
      </c>
      <c r="B24" s="19">
        <f>(719*B$17)/100</f>
        <v>719</v>
      </c>
      <c r="C24" s="20"/>
      <c r="D24" s="14"/>
      <c r="E24" s="18" t="s">
        <v>10</v>
      </c>
      <c r="F24" s="19">
        <f>(56*F$17)/100</f>
        <v>56</v>
      </c>
      <c r="G24" s="20"/>
      <c r="H24" s="14"/>
      <c r="I24" s="18" t="s">
        <v>10</v>
      </c>
      <c r="J24" s="19">
        <f>(63*J$17)/100</f>
        <v>63</v>
      </c>
      <c r="K24" s="20"/>
      <c r="L24" s="14"/>
      <c r="M24" s="18" t="s">
        <v>10</v>
      </c>
      <c r="N24" s="19">
        <f>(699*N$17)/100</f>
        <v>699</v>
      </c>
      <c r="O24" s="20"/>
      <c r="P24" s="6"/>
      <c r="Q24" s="18" t="s">
        <v>10</v>
      </c>
      <c r="R24" s="19">
        <f>(110*R$17)/100</f>
        <v>110</v>
      </c>
      <c r="S24" s="20"/>
      <c r="T24" s="6"/>
      <c r="U24" s="18" t="s">
        <v>10</v>
      </c>
      <c r="V24" s="19">
        <f>(560*V$17)/100</f>
        <v>560</v>
      </c>
      <c r="W24" s="20"/>
      <c r="X24" s="6"/>
      <c r="Y24" s="18" t="s">
        <v>10</v>
      </c>
      <c r="Z24" s="19">
        <f>(43*Z$17)/100</f>
        <v>43</v>
      </c>
      <c r="AA24" s="20"/>
      <c r="AB24" s="6"/>
      <c r="AC24" s="12" t="s">
        <v>10</v>
      </c>
      <c r="AD24" s="5">
        <f>(155*AD$17)/100</f>
        <v>155</v>
      </c>
      <c r="AE24" s="20"/>
      <c r="AF24" s="6"/>
      <c r="AG24" s="12" t="s">
        <v>10</v>
      </c>
      <c r="AH24" s="5">
        <f>(78*AH$17)/100</f>
        <v>78</v>
      </c>
      <c r="AI24" s="20"/>
      <c r="AJ24" s="14"/>
      <c r="AK24" s="12" t="s">
        <v>10</v>
      </c>
      <c r="AL24" s="5">
        <f>(129*AL$17)/100</f>
        <v>129</v>
      </c>
      <c r="AM24" s="20"/>
      <c r="AN24" s="14"/>
      <c r="AO24" s="12" t="s">
        <v>10</v>
      </c>
      <c r="AP24" s="5">
        <f>(654 *AP$17)/100</f>
        <v>654</v>
      </c>
      <c r="AQ24" s="20"/>
      <c r="AR24" s="6"/>
      <c r="AS24" s="12" t="s">
        <v>10</v>
      </c>
      <c r="AT24" s="5">
        <f>(207 *AT$17)/100</f>
        <v>207</v>
      </c>
      <c r="AU24" s="20"/>
      <c r="AV24" s="6"/>
      <c r="AW24" s="12" t="s">
        <v>10</v>
      </c>
      <c r="AX24" s="5">
        <f>(202 *AX$17)/100</f>
        <v>202</v>
      </c>
      <c r="AY24" s="20"/>
      <c r="AZ24" s="6"/>
      <c r="BA24" s="12" t="s">
        <v>10</v>
      </c>
      <c r="BB24" s="5">
        <f>(900 *BB$17)/100</f>
        <v>900</v>
      </c>
      <c r="BC24" s="20"/>
      <c r="BD24" s="6"/>
    </row>
    <row r="25" spans="1:57">
      <c r="A25" s="14" t="s">
        <v>23</v>
      </c>
      <c r="B25" s="19">
        <f>(254*B$17)/100</f>
        <v>254</v>
      </c>
      <c r="C25" s="20">
        <f>((B$24+B$25)*100)/(B18*Reference!$C$43)</f>
        <v>156.30522088353413</v>
      </c>
      <c r="D25" s="6">
        <f>C25-AVERAGE(C$19:C$29)</f>
        <v>-42.629397323723225</v>
      </c>
      <c r="E25" s="18" t="s">
        <v>23</v>
      </c>
      <c r="F25" s="19">
        <f>(49*F$17)/100</f>
        <v>49</v>
      </c>
      <c r="G25" s="20">
        <f>((F$24+F$25)*100)/(F18*Reference!$C$43)</f>
        <v>175</v>
      </c>
      <c r="H25" s="6">
        <f>G25-AVERAGE(G$19:G$29)</f>
        <v>23.227512638748635</v>
      </c>
      <c r="I25" s="18" t="s">
        <v>23</v>
      </c>
      <c r="J25" s="19">
        <f>(55*J$17)/100</f>
        <v>55</v>
      </c>
      <c r="K25" s="20">
        <f>((J$24+J$25)*100)/(J18*Reference!$C$43)</f>
        <v>174.81481481481481</v>
      </c>
      <c r="L25" s="6">
        <f>K25-AVERAGE(K$19:K$29)</f>
        <v>23.019856752840866</v>
      </c>
      <c r="M25" s="18" t="s">
        <v>23</v>
      </c>
      <c r="N25" s="19">
        <f>(253*N$17)/100</f>
        <v>253</v>
      </c>
      <c r="O25" s="20">
        <f>((N$24+N$25)*100)/(N18*Reference!$C$43)</f>
        <v>161.35593220338984</v>
      </c>
      <c r="P25" s="6">
        <f>O25-AVERAGE(O$19:O$29)</f>
        <v>-2.6957665068222525</v>
      </c>
      <c r="Q25" s="18" t="s">
        <v>23</v>
      </c>
      <c r="R25" s="19">
        <f>(192*R$17)/100</f>
        <v>192</v>
      </c>
      <c r="S25" s="20">
        <f>((R$24+R$25)*100)/(R18*Reference!$C$43)</f>
        <v>77.435897435897431</v>
      </c>
      <c r="T25" s="6">
        <f>S25-AVERAGE(S$19:S$29)</f>
        <v>-55.94385586485086</v>
      </c>
      <c r="U25" s="18" t="s">
        <v>23</v>
      </c>
      <c r="V25" s="19">
        <f>(342*V$17)/100</f>
        <v>342</v>
      </c>
      <c r="W25" s="20">
        <f>((V$24+V$25)*100)/(V18*Reference!$C$43)</f>
        <v>212.23529411764707</v>
      </c>
      <c r="X25" s="6">
        <f>W25-AVERAGE(W$19:W$29)</f>
        <v>35.641217428538397</v>
      </c>
      <c r="Y25" s="18" t="s">
        <v>23</v>
      </c>
      <c r="Z25" s="19">
        <f>(31*Z$17)/100</f>
        <v>31</v>
      </c>
      <c r="AA25" s="20">
        <f>((Z$24+Z$25)*100)/(Z18*Reference!$C$43)</f>
        <v>123.33333333333333</v>
      </c>
      <c r="AB25" s="6">
        <f>AA25-AVERAGE(AA$19:AA$29)</f>
        <v>-26.304732512796406</v>
      </c>
      <c r="AC25" s="12" t="s">
        <v>23</v>
      </c>
      <c r="AD25" s="5">
        <f>(35*AD$17)/100</f>
        <v>35</v>
      </c>
      <c r="AE25" s="20">
        <f>((AD$24+AD$25)*100)/(AD18*Reference!$C$43)</f>
        <v>126.66666666666667</v>
      </c>
      <c r="AF25" s="6">
        <f>AE25-AVERAGE(AE$19:AE$29)</f>
        <v>-56.808390928865563</v>
      </c>
      <c r="AG25" s="12" t="s">
        <v>23</v>
      </c>
      <c r="AH25" s="5">
        <f>(30*AH$17)/100</f>
        <v>30</v>
      </c>
      <c r="AI25" s="20">
        <f>((AH$24+AH$25)*100)/(AH18*Calculator!$C$43)</f>
        <v>83.07692307692308</v>
      </c>
      <c r="AJ25" s="6">
        <f>AI25-AVERAGE(AI$19:AI$29)</f>
        <v>-32.931242735989997</v>
      </c>
      <c r="AK25" s="12" t="s">
        <v>23</v>
      </c>
      <c r="AL25" s="5">
        <f>(0*AL$17)/100</f>
        <v>0</v>
      </c>
      <c r="AM25" s="20">
        <f>((AL$24+AL$25)*100)/(AL18*Calculator!$C$43)</f>
        <v>44.102564102564102</v>
      </c>
      <c r="AN25" s="6">
        <f>AM25-AVERAGE(AM$19:AM$29)</f>
        <v>-87.016880385887205</v>
      </c>
      <c r="AO25" s="12" t="s">
        <v>23</v>
      </c>
      <c r="AP25" s="5">
        <f>(237 *AP$17)/100</f>
        <v>237</v>
      </c>
      <c r="AQ25" s="20">
        <f>((AP$24+AP$25)*100)/(AP18*Reference!$C$43)</f>
        <v>161.26696832579185</v>
      </c>
      <c r="AR25" s="6">
        <f>AQ25-AVERAGE(AQ$19:AQ$29)</f>
        <v>-2.7000435196034971</v>
      </c>
      <c r="AS25" s="12" t="s">
        <v>23</v>
      </c>
      <c r="AT25" s="5">
        <f>(455 *AT$17)/100</f>
        <v>455</v>
      </c>
      <c r="AU25" s="20">
        <f>((AT$24+AT$25)*100)/(AT18*Reference!$C$43)</f>
        <v>202.13740458015266</v>
      </c>
      <c r="AV25" s="6">
        <f>AU25-AVERAGE(AU$19:AU$29)</f>
        <v>52.710153219292607</v>
      </c>
      <c r="AW25" s="12" t="s">
        <v>23</v>
      </c>
      <c r="AX25" s="5">
        <f>(239 *AX$17)/100</f>
        <v>239</v>
      </c>
      <c r="AY25" s="20">
        <f>((AX$24+AX$25)*100)/(AX18*Reference!$C$43)</f>
        <v>89.999999999999986</v>
      </c>
      <c r="AZ25" s="6">
        <f>AY25-AVERAGE(AY$19:AY$29)</f>
        <v>-52.179553867009858</v>
      </c>
      <c r="BA25" s="12" t="s">
        <v>23</v>
      </c>
      <c r="BB25" s="5">
        <f>(900 *BB$17)/100</f>
        <v>900</v>
      </c>
      <c r="BC25" s="20">
        <f>((BB$24+BB$25)*100)/(BB18*Reference!$C$43)</f>
        <v>166.28175519630486</v>
      </c>
      <c r="BD25" s="6">
        <f>BC25-AVERAGE(BC$19:BC$29)</f>
        <v>-45.786648840231635</v>
      </c>
    </row>
    <row r="26" spans="1:57">
      <c r="A26" s="14" t="s">
        <v>12</v>
      </c>
      <c r="B26" s="19">
        <f>(1431*B$17)/100</f>
        <v>1431</v>
      </c>
      <c r="C26" s="20"/>
      <c r="D26" s="14"/>
      <c r="E26" s="18" t="s">
        <v>12</v>
      </c>
      <c r="F26" s="19">
        <f>(127*F$17)/100</f>
        <v>127</v>
      </c>
      <c r="G26" s="20"/>
      <c r="H26" s="14"/>
      <c r="I26" s="18" t="s">
        <v>12</v>
      </c>
      <c r="J26" s="19">
        <f>(144*J$17)/100</f>
        <v>144</v>
      </c>
      <c r="K26" s="20"/>
      <c r="L26" s="14"/>
      <c r="M26" s="18" t="s">
        <v>12</v>
      </c>
      <c r="N26" s="19">
        <f>(922*N$17)/100</f>
        <v>922</v>
      </c>
      <c r="O26" s="20"/>
      <c r="P26" s="6"/>
      <c r="Q26" s="18" t="s">
        <v>12</v>
      </c>
      <c r="R26" s="19">
        <f>(618*R$17)/100</f>
        <v>618</v>
      </c>
      <c r="S26" s="20"/>
      <c r="T26" s="6"/>
      <c r="U26" s="18" t="s">
        <v>12</v>
      </c>
      <c r="V26" s="19">
        <f>(899*V$17)/100</f>
        <v>899</v>
      </c>
      <c r="W26" s="20"/>
      <c r="X26" s="6"/>
      <c r="Y26" s="18" t="s">
        <v>12</v>
      </c>
      <c r="Z26" s="19">
        <f>(116*Z$17)/100</f>
        <v>116</v>
      </c>
      <c r="AA26" s="20"/>
      <c r="AB26" s="6"/>
      <c r="AC26" s="12" t="s">
        <v>12</v>
      </c>
      <c r="AD26" s="5">
        <f>(284*AD$17)/100</f>
        <v>284</v>
      </c>
      <c r="AE26" s="20"/>
      <c r="AF26" s="6"/>
      <c r="AG26" s="12" t="s">
        <v>12</v>
      </c>
      <c r="AH26" s="5">
        <f>(190*AH$17)/100</f>
        <v>190</v>
      </c>
      <c r="AI26" s="20"/>
      <c r="AJ26" s="14"/>
      <c r="AK26" s="12" t="s">
        <v>12</v>
      </c>
      <c r="AL26" s="5">
        <f>(486*AL$17)/100</f>
        <v>486</v>
      </c>
      <c r="AM26" s="20"/>
      <c r="AN26" s="14"/>
      <c r="AO26" s="12" t="s">
        <v>12</v>
      </c>
      <c r="AP26" s="5">
        <f>(863 *AP$17)/100</f>
        <v>863</v>
      </c>
      <c r="AQ26" s="20"/>
      <c r="AR26" s="6"/>
      <c r="AS26" s="12" t="s">
        <v>12</v>
      </c>
      <c r="AT26" s="5">
        <f>(655 *AT$17)/100</f>
        <v>655</v>
      </c>
      <c r="AU26" s="20"/>
      <c r="AV26" s="6"/>
      <c r="AW26" s="12" t="s">
        <v>12</v>
      </c>
      <c r="AX26" s="5">
        <f>(941 *AX$17)/100</f>
        <v>941</v>
      </c>
      <c r="AY26" s="20"/>
      <c r="AZ26" s="6"/>
      <c r="BA26" s="12" t="s">
        <v>12</v>
      </c>
      <c r="BB26" s="5">
        <f>(2500 *BB$17)/100</f>
        <v>2500</v>
      </c>
      <c r="BC26" s="20"/>
      <c r="BD26" s="6"/>
    </row>
    <row r="27" spans="1:57">
      <c r="A27" s="14" t="s">
        <v>24</v>
      </c>
      <c r="B27" s="19">
        <f>(1454*B$17)/100</f>
        <v>1454</v>
      </c>
      <c r="C27" s="20">
        <f>((B$26+B$27)*100)/(B18*Reference!$C$45)</f>
        <v>246.51798684098097</v>
      </c>
      <c r="D27" s="6">
        <f>C27-AVERAGE(C$19:C$29)</f>
        <v>47.583368633723609</v>
      </c>
      <c r="E27" s="18" t="s">
        <v>24</v>
      </c>
      <c r="F27" s="19">
        <f>(80*F$17)/100</f>
        <v>80</v>
      </c>
      <c r="G27" s="20">
        <f>((F$26+F$27)*100)/(F18*Reference!$C$45)</f>
        <v>183.51063829787233</v>
      </c>
      <c r="H27" s="6">
        <f>G27-AVERAGE(G$19:G$29)</f>
        <v>31.738150936620968</v>
      </c>
      <c r="I27" s="18" t="s">
        <v>24</v>
      </c>
      <c r="J27" s="19">
        <f>(90*J$17)/100</f>
        <v>90</v>
      </c>
      <c r="K27" s="20">
        <f>((J$26+J$27)*100)/(J18*Reference!$C$45)</f>
        <v>184.39716312056737</v>
      </c>
      <c r="L27" s="6">
        <f>K27-AVERAGE(K$19:K$29)</f>
        <v>32.602205058593427</v>
      </c>
      <c r="M27" s="18" t="s">
        <v>24</v>
      </c>
      <c r="N27" s="19">
        <f>(797*N$17)/100</f>
        <v>797</v>
      </c>
      <c r="O27" s="20">
        <f>((N$26+N$27)*100)/(N18*Reference!$C$45)</f>
        <v>154.97655968265417</v>
      </c>
      <c r="P27" s="6">
        <f>O27-AVERAGE(O$19:O$29)</f>
        <v>-9.075139027557924</v>
      </c>
      <c r="Q27" s="18" t="s">
        <v>24</v>
      </c>
      <c r="R27" s="19">
        <f>(585*R$17)/100</f>
        <v>585</v>
      </c>
      <c r="S27" s="20">
        <f>((R$26+R$27)*100)/(R18*Reference!$C$45)</f>
        <v>164.07528641571196</v>
      </c>
      <c r="T27" s="6">
        <f>S27-AVERAGE(S$19:S$29)</f>
        <v>30.695533114963666</v>
      </c>
      <c r="U27" s="18" t="s">
        <v>24</v>
      </c>
      <c r="V27" s="19">
        <f>(710*V$17)/100</f>
        <v>710</v>
      </c>
      <c r="W27" s="20">
        <f>((V$26+V$27)*100)/(V18*Reference!$C$45)</f>
        <v>201.37672090112642</v>
      </c>
      <c r="X27" s="6">
        <f>W27-AVERAGE(W$19:W$29)</f>
        <v>24.782644212017743</v>
      </c>
      <c r="Y27" s="18" t="s">
        <v>24</v>
      </c>
      <c r="Z27" s="19">
        <f>(60*Z$17)/100</f>
        <v>60</v>
      </c>
      <c r="AA27" s="20">
        <f>((Z$26+Z$27)*100)/(Z18*Reference!$C$45)</f>
        <v>156.02836879432624</v>
      </c>
      <c r="AB27" s="6">
        <f>AA27-AVERAGE(AA$19:AA$29)</f>
        <v>6.3903029481965063</v>
      </c>
      <c r="AC27" s="12" t="s">
        <v>24</v>
      </c>
      <c r="AD27" s="5">
        <f>(281*AD$17)/100</f>
        <v>281</v>
      </c>
      <c r="AE27" s="20">
        <f>((AD$26+AD$27)*100)/(AD18*Reference!$C$45)</f>
        <v>200.35460992907801</v>
      </c>
      <c r="AF27" s="6">
        <f>AE27-AVERAGE(AE$19:AE$29)</f>
        <v>16.879552333545774</v>
      </c>
      <c r="AG27" s="12" t="s">
        <v>24</v>
      </c>
      <c r="AH27" s="5">
        <f>(108*AH$17)/100</f>
        <v>108</v>
      </c>
      <c r="AI27" s="20">
        <f>((AH$26+AH$27)*100)/(AH18*Calculator!$C$45)</f>
        <v>121.93126022913256</v>
      </c>
      <c r="AJ27" s="6">
        <f>AI27-AVERAGE(AI$19:AI$29)</f>
        <v>5.9230944162194845</v>
      </c>
      <c r="AK27" s="12" t="s">
        <v>24</v>
      </c>
      <c r="AL27" s="5">
        <f>(352*AL$17)/100</f>
        <v>352</v>
      </c>
      <c r="AM27" s="20">
        <f>((AL$26+AL$27)*100)/(AL18*Calculator!$C$45)</f>
        <v>152.39134388070559</v>
      </c>
      <c r="AN27" s="6">
        <f>AM27-AVERAGE(AM$19:AM$29)</f>
        <v>21.271899392254284</v>
      </c>
      <c r="AO27" s="12" t="s">
        <v>24</v>
      </c>
      <c r="AP27" s="5">
        <f>(746 *AP$17)/100</f>
        <v>746</v>
      </c>
      <c r="AQ27" s="20">
        <f>((AP$26+AP$27)*100)/(AP18*Reference!$C$45)</f>
        <v>154.90516992394339</v>
      </c>
      <c r="AR27" s="6">
        <f>AQ27-AVERAGE(AQ$19:AQ$29)</f>
        <v>-9.0618419214519577</v>
      </c>
      <c r="AS27" s="12" t="s">
        <v>24</v>
      </c>
      <c r="AT27" s="5">
        <f>(395 *AT$17)/100</f>
        <v>395</v>
      </c>
      <c r="AU27" s="20">
        <f>((AT$26+AT$27)*100)/(AT18*Reference!$C$45)</f>
        <v>170.53759948026638</v>
      </c>
      <c r="AV27" s="6">
        <f>AU27-AVERAGE(AU$19:AU$29)</f>
        <v>21.110348119406325</v>
      </c>
      <c r="AW27" s="12" t="s">
        <v>24</v>
      </c>
      <c r="AX27" s="5">
        <f>(735 *AX$17)/100</f>
        <v>735</v>
      </c>
      <c r="AY27" s="20">
        <f>((AX$26+AX$27)*100)/(AX18*Reference!$C$45)</f>
        <v>181.93660442900563</v>
      </c>
      <c r="AZ27" s="6">
        <f>AY27-AVERAGE(AY$19:AY$29)</f>
        <v>39.757050561995783</v>
      </c>
      <c r="BA27" s="12" t="s">
        <v>24</v>
      </c>
      <c r="BB27" s="5">
        <f>(1100 *BB$17)/100</f>
        <v>1100</v>
      </c>
      <c r="BC27" s="20">
        <f>((BB$26+BB$27)*100)/(BB18*Reference!$C$45)</f>
        <v>176.89548425138815</v>
      </c>
      <c r="BD27" s="6">
        <f>BC27-AVERAGE(BC$19:BC$29)</f>
        <v>-35.172919785148338</v>
      </c>
    </row>
    <row r="28" spans="1:57">
      <c r="A28" s="14" t="s">
        <v>25</v>
      </c>
      <c r="B28" s="19">
        <f>(1806*B$17)/100</f>
        <v>1806</v>
      </c>
      <c r="C28" s="20">
        <f>(B28*100)/(B$18*Reference!$C46)</f>
        <v>226.65662650602411</v>
      </c>
      <c r="D28" s="6">
        <f>C28-AVERAGE(C$19:C$29)</f>
        <v>27.722008298766752</v>
      </c>
      <c r="E28" s="18" t="s">
        <v>25</v>
      </c>
      <c r="F28" s="19">
        <f>(145*F$17)/100</f>
        <v>145</v>
      </c>
      <c r="G28" s="20">
        <f>(F28*100)/(F$18*Reference!$C46)</f>
        <v>188.80208333333334</v>
      </c>
      <c r="H28" s="6">
        <f>G28-AVERAGE(G$19:G$29)</f>
        <v>37.029595972081978</v>
      </c>
      <c r="I28" s="18" t="s">
        <v>25</v>
      </c>
      <c r="J28" s="19">
        <f>(164*J$17)/100</f>
        <v>164</v>
      </c>
      <c r="K28" s="20">
        <f>(J28*100)/(J$18*Reference!$C46)</f>
        <v>189.81481481481481</v>
      </c>
      <c r="L28" s="6">
        <f>K28-AVERAGE(K$19:K$29)</f>
        <v>38.019856752840866</v>
      </c>
      <c r="M28" s="18" t="s">
        <v>25</v>
      </c>
      <c r="N28" s="19">
        <f>(1217*N$17)/100</f>
        <v>1217</v>
      </c>
      <c r="O28" s="20">
        <f>(N28*100)/(N$18*Reference!$C46)</f>
        <v>161.14936440677965</v>
      </c>
      <c r="P28" s="6">
        <f>O28-AVERAGE(O$19:O$29)</f>
        <v>-2.9023343034324398</v>
      </c>
      <c r="Q28" s="18" t="s">
        <v>25</v>
      </c>
      <c r="R28" s="19">
        <f>(650*R$17)/100</f>
        <v>650</v>
      </c>
      <c r="S28" s="20">
        <f>(R28*100)/(R$18*Reference!$C46)</f>
        <v>130.20833333333334</v>
      </c>
      <c r="T28" s="6">
        <f>S28-AVERAGE(S$19:S$29)</f>
        <v>-3.1714199674149484</v>
      </c>
      <c r="U28" s="18" t="s">
        <v>25</v>
      </c>
      <c r="V28" s="19">
        <f>(947*V$17)/100</f>
        <v>947</v>
      </c>
      <c r="W28" s="20">
        <f>(V28*100)/(V$18*Reference!$C46)</f>
        <v>174.08088235294119</v>
      </c>
      <c r="X28" s="6">
        <f>W28-AVERAGE(W$19:W$29)</f>
        <v>-2.5131943361674871</v>
      </c>
      <c r="Y28" s="18" t="s">
        <v>25</v>
      </c>
      <c r="Z28" s="19">
        <f>(138*Z$17)/100</f>
        <v>138</v>
      </c>
      <c r="AA28" s="20">
        <f>(Z28*100)/(Z$18*Reference!$C46)</f>
        <v>179.6875</v>
      </c>
      <c r="AB28" s="6">
        <f>AA28-AVERAGE(AA$19:AA$29)</f>
        <v>30.049434153870266</v>
      </c>
      <c r="AC28" s="12" t="s">
        <v>25</v>
      </c>
      <c r="AD28" s="5">
        <f>(448*AD$17)/100</f>
        <v>448</v>
      </c>
      <c r="AE28" s="20">
        <f>(AD28*100)/(AD$18*Reference!$C46)</f>
        <v>233.33333333333334</v>
      </c>
      <c r="AF28" s="6">
        <f>AE28-AVERAGE(AE$19:AE$29)</f>
        <v>49.858275737801108</v>
      </c>
      <c r="AG28" s="12" t="s">
        <v>25</v>
      </c>
      <c r="AH28" s="5">
        <f>(223*AH$17)/100</f>
        <v>223</v>
      </c>
      <c r="AI28" s="20">
        <f>(AH28*100)/(AH$18*Calculator!$C46)</f>
        <v>134.01442307692307</v>
      </c>
      <c r="AJ28" s="6">
        <f>AI28-AVERAGE(AI$19:AI$29)</f>
        <v>18.006257264009989</v>
      </c>
      <c r="AK28" s="12" t="s">
        <v>25</v>
      </c>
      <c r="AL28" s="5">
        <f>(547*AL$17)/100</f>
        <v>547</v>
      </c>
      <c r="AM28" s="20">
        <f>(AL28*100)/(AL$18*Calculator!$C46)</f>
        <v>146.10042735042737</v>
      </c>
      <c r="AN28" s="6">
        <f>AM28-AVERAGE(AM$19:AM$29)</f>
        <v>14.980982861976059</v>
      </c>
      <c r="AO28" s="12" t="s">
        <v>25</v>
      </c>
      <c r="AP28" s="5">
        <f>(1139*AP$17)/100</f>
        <v>1139</v>
      </c>
      <c r="AQ28" s="20">
        <f>(AP28*100)/(AP$18*Reference!$C46)</f>
        <v>161.05769230769229</v>
      </c>
      <c r="AR28" s="6">
        <f>AQ28-AVERAGE(AQ$19:AQ$29)</f>
        <v>-2.9093195377030554</v>
      </c>
      <c r="AS28" s="12" t="s">
        <v>25</v>
      </c>
      <c r="AT28" s="5">
        <f>(688*AT$17)/100</f>
        <v>688</v>
      </c>
      <c r="AU28" s="20">
        <f>(AT28*100)/(AT$18*Reference!$C46)</f>
        <v>164.12213740458014</v>
      </c>
      <c r="AV28" s="6">
        <f>AU28-AVERAGE(AU$19:AU$29)</f>
        <v>14.694886043720089</v>
      </c>
      <c r="AW28" s="12" t="s">
        <v>25</v>
      </c>
      <c r="AX28" s="5">
        <f>(1177*AX$17)/100</f>
        <v>1177</v>
      </c>
      <c r="AY28" s="20">
        <f>(AX28*100)/(AX$18*Reference!$C46)</f>
        <v>187.65943877551018</v>
      </c>
      <c r="AZ28" s="6">
        <f>AY28-AVERAGE(AY$19:AY$29)</f>
        <v>45.479884908500338</v>
      </c>
      <c r="BA28" s="12" t="s">
        <v>25</v>
      </c>
      <c r="BB28" s="5">
        <f>(3000*BB$17)/100</f>
        <v>3000</v>
      </c>
      <c r="BC28" s="20">
        <f>(BB28*100)/(BB$18*Reference!$C46)</f>
        <v>216.51270207852195</v>
      </c>
      <c r="BD28" s="6">
        <f>BC28-AVERAGE(BC$19:BC$29)</f>
        <v>4.4442980419854621</v>
      </c>
    </row>
    <row r="29" spans="1:57">
      <c r="A29" s="14" t="s">
        <v>26</v>
      </c>
      <c r="B29" s="19">
        <f>(962*B$17)/100</f>
        <v>962</v>
      </c>
      <c r="C29" s="20">
        <f>(B29*100)/(B$18*Reference!$C47)</f>
        <v>214.63632307005801</v>
      </c>
      <c r="D29" s="6">
        <f>C29-AVERAGE(C$19:C$29)</f>
        <v>15.701704862800653</v>
      </c>
      <c r="E29" s="18" t="s">
        <v>26</v>
      </c>
      <c r="F29" s="19">
        <f>(56*F$17)/100</f>
        <v>56</v>
      </c>
      <c r="G29" s="20">
        <f>(F29*100)/(F$18*Reference!$C47)</f>
        <v>129.62962962962965</v>
      </c>
      <c r="H29" s="6">
        <f>G29-AVERAGE(G$19:G$29)</f>
        <v>-22.142857731621717</v>
      </c>
      <c r="I29" s="18" t="s">
        <v>26</v>
      </c>
      <c r="J29" s="19">
        <f>(63*J$17)/100</f>
        <v>63</v>
      </c>
      <c r="K29" s="20">
        <f>(J29*100)/(J$18*Reference!$C47)</f>
        <v>129.62962962962962</v>
      </c>
      <c r="L29" s="6">
        <f>K29-AVERAGE(K$19:K$29)</f>
        <v>-22.165328432344324</v>
      </c>
      <c r="M29" s="18" t="s">
        <v>26</v>
      </c>
      <c r="N29" s="19">
        <f>(695*N$17)/100</f>
        <v>695</v>
      </c>
      <c r="O29" s="20">
        <f>(N29*100)/(N$18*Reference!$C47)</f>
        <v>163.60640301318267</v>
      </c>
      <c r="P29" s="6">
        <f>O29-AVERAGE(O$19:O$29)</f>
        <v>-0.4452956970294224</v>
      </c>
      <c r="Q29" s="18" t="s">
        <v>26</v>
      </c>
      <c r="R29" s="19">
        <f>(443*R$17)/100</f>
        <v>443</v>
      </c>
      <c r="S29" s="20">
        <f>(R29*100)/(R$18*Reference!$C47)</f>
        <v>157.76353276353277</v>
      </c>
      <c r="T29" s="6">
        <f>S29-AVERAGE(S$19:S$29)</f>
        <v>24.383779462784474</v>
      </c>
      <c r="U29" s="18" t="s">
        <v>26</v>
      </c>
      <c r="V29" s="19">
        <f>(499*V$17)/100</f>
        <v>499</v>
      </c>
      <c r="W29" s="20">
        <f>(V29*100)/(V$18*Reference!$C47)</f>
        <v>163.07189542483661</v>
      </c>
      <c r="X29" s="6">
        <f>W29-AVERAGE(W$19:W$29)</f>
        <v>-13.522181264272064</v>
      </c>
      <c r="Y29" s="18" t="s">
        <v>26</v>
      </c>
      <c r="Z29" s="19">
        <f>(63*Z$17)/100</f>
        <v>63</v>
      </c>
      <c r="AA29" s="20">
        <f>(Z29*100)/(Z$18*Reference!$C47)</f>
        <v>145.83333333333334</v>
      </c>
      <c r="AB29" s="6">
        <f>AA29-AVERAGE(AA$19:AA$29)</f>
        <v>-3.8047325127963916</v>
      </c>
      <c r="AC29" s="12" t="s">
        <v>26</v>
      </c>
      <c r="AD29" s="5">
        <f>(167*AD$17)/100</f>
        <v>167</v>
      </c>
      <c r="AE29" s="20">
        <f>(AD29*100)/(AD$18*Reference!$C47)</f>
        <v>154.62962962962962</v>
      </c>
      <c r="AF29" s="6">
        <f>AE29-AVERAGE(AE$19:AE$29)</f>
        <v>-28.845427965902616</v>
      </c>
      <c r="AG29" s="12" t="s">
        <v>26</v>
      </c>
      <c r="AH29" s="5">
        <f>(101*AH$17)/100</f>
        <v>101</v>
      </c>
      <c r="AI29" s="20">
        <f>(AH29*100)/(AH$18*Calculator!$C47)</f>
        <v>107.9059829059829</v>
      </c>
      <c r="AJ29" s="6">
        <f>AI29-AVERAGE(AI$19:AI$29)</f>
        <v>-8.1021829069301816</v>
      </c>
      <c r="AK29" s="12" t="s">
        <v>26</v>
      </c>
      <c r="AL29" s="5">
        <f>(243*AL$17)/100</f>
        <v>243</v>
      </c>
      <c r="AM29" s="20">
        <f>(AL29*100)/(AL$18*Calculator!$C47)</f>
        <v>115.38461538461539</v>
      </c>
      <c r="AN29" s="6">
        <f>AM29-AVERAGE(AM$19:AM$29)</f>
        <v>-15.734829103835921</v>
      </c>
      <c r="AO29" s="12" t="s">
        <v>26</v>
      </c>
      <c r="AP29" s="5">
        <f>(651 *AP$17)/100</f>
        <v>651</v>
      </c>
      <c r="AQ29" s="20">
        <f>(AP29*100)/(AP$18*Reference!$C47)</f>
        <v>163.6500754147813</v>
      </c>
      <c r="AR29" s="6">
        <f>AQ29-AVERAGE(AQ$19:AQ$29)</f>
        <v>-0.31693643061404941</v>
      </c>
      <c r="AS29" s="12" t="s">
        <v>26</v>
      </c>
      <c r="AT29" s="5">
        <f>(275 *AT$17)/100</f>
        <v>275</v>
      </c>
      <c r="AU29" s="20">
        <f>(AT29*100)/(AT$18*Reference!$C47)</f>
        <v>116.6242578456319</v>
      </c>
      <c r="AV29" s="6">
        <f>AU29-AVERAGE(AU$19:AU$29)</f>
        <v>-32.802993515228152</v>
      </c>
      <c r="AW29" s="12" t="s">
        <v>26</v>
      </c>
      <c r="AX29" s="5">
        <f>(339 *AX$17)/100</f>
        <v>339</v>
      </c>
      <c r="AY29" s="20">
        <f>(AX29*100)/(AX$18*Reference!$C47)</f>
        <v>96.088435374149654</v>
      </c>
      <c r="AZ29" s="6">
        <f>AY29-AVERAGE(AY$19:AY$29)</f>
        <v>-46.09111849286019</v>
      </c>
      <c r="BA29" s="12" t="s">
        <v>26</v>
      </c>
      <c r="BB29" s="5">
        <f>(2900 *BB$17)/100</f>
        <v>2900</v>
      </c>
      <c r="BC29" s="20">
        <f>(BB29*100)/(BB$18*Reference!$C47)</f>
        <v>372.08108801642288</v>
      </c>
      <c r="BD29" s="6">
        <f>BC29-AVERAGE(BC$19:BC$29)</f>
        <v>160.01268397988639</v>
      </c>
    </row>
    <row r="30" spans="1:57">
      <c r="A30" s="12" t="s">
        <v>94</v>
      </c>
      <c r="B30" s="19"/>
      <c r="C30" s="14"/>
      <c r="D30" s="16"/>
      <c r="E30" s="12" t="s">
        <v>94</v>
      </c>
      <c r="F30" s="19"/>
      <c r="G30" s="14"/>
      <c r="H30" s="6"/>
      <c r="I30" s="12" t="s">
        <v>94</v>
      </c>
      <c r="J30" s="19"/>
      <c r="K30" s="14"/>
      <c r="L30" s="14"/>
      <c r="M30" s="12" t="s">
        <v>94</v>
      </c>
      <c r="N30" s="19"/>
      <c r="O30" s="14"/>
      <c r="P30" s="6"/>
      <c r="Q30" s="12" t="s">
        <v>94</v>
      </c>
      <c r="R30" s="19"/>
      <c r="S30" s="14"/>
      <c r="T30" s="14"/>
      <c r="U30" s="12" t="s">
        <v>94</v>
      </c>
      <c r="V30" s="19"/>
      <c r="W30" s="14"/>
      <c r="X30" s="14"/>
      <c r="Y30" s="12" t="s">
        <v>94</v>
      </c>
      <c r="Z30" s="19"/>
      <c r="AA30" s="14"/>
      <c r="AB30" s="14"/>
      <c r="AC30" s="12" t="s">
        <v>94</v>
      </c>
      <c r="AD30" s="5"/>
      <c r="AE30" s="44"/>
      <c r="AF30" s="3"/>
      <c r="AG30" s="12" t="s">
        <v>94</v>
      </c>
      <c r="AH30" s="5"/>
      <c r="AI30" s="44"/>
      <c r="AJ30" s="3"/>
      <c r="AK30" s="12" t="s">
        <v>94</v>
      </c>
      <c r="AL30" s="5"/>
      <c r="AM30" s="44"/>
      <c r="AN30" s="3"/>
      <c r="AO30" s="12" t="s">
        <v>94</v>
      </c>
      <c r="AP30" s="5"/>
      <c r="AQ30" s="44"/>
      <c r="AR30" s="3"/>
      <c r="AS30" s="12" t="s">
        <v>94</v>
      </c>
      <c r="AT30" s="5"/>
      <c r="AU30" s="44"/>
      <c r="AV30" s="3"/>
      <c r="AW30" s="12" t="s">
        <v>94</v>
      </c>
      <c r="AX30" s="5"/>
      <c r="AY30" s="44"/>
      <c r="AZ30" s="3"/>
      <c r="BA30" s="12" t="s">
        <v>94</v>
      </c>
      <c r="BB30" s="5"/>
      <c r="BC30" s="44"/>
      <c r="BD30" s="3"/>
    </row>
    <row r="31" spans="1:57" ht="16.5" thickBot="1">
      <c r="A31" s="21" t="s">
        <v>46</v>
      </c>
      <c r="B31" s="31"/>
      <c r="C31" s="10">
        <f>((B21+B22+B28)*100)/(B$18*(Reference!$C$39+$C$40+$C$46))</f>
        <v>203.52839931153187</v>
      </c>
      <c r="D31" s="80">
        <f>MAX(D21,D22,D28)-MIN(D21,D22,D28)</f>
        <v>39.435012778386294</v>
      </c>
      <c r="E31" s="21" t="s">
        <v>46</v>
      </c>
      <c r="F31" s="28"/>
      <c r="G31" s="10">
        <f>((F21+F22+F28)*100)/(F$18*(Reference!$C$39+$C$40+$C$46))</f>
        <v>165.55059523809524</v>
      </c>
      <c r="H31" s="80">
        <f>MAX(H21,H22,H28)-MIN(H21,H22,H28)</f>
        <v>39.559659090909093</v>
      </c>
      <c r="I31" s="21" t="s">
        <v>46</v>
      </c>
      <c r="J31" s="28"/>
      <c r="K31" s="10">
        <f>((J21+J22+J28)*100)/(J$18*(Reference!$C$39+$C$40+$C$46))</f>
        <v>166.00529100529099</v>
      </c>
      <c r="L31" s="80">
        <f>MAX(L21,L22,L28)-MIN(L21,L22,L28)</f>
        <v>40.319865319865301</v>
      </c>
      <c r="M31" s="21" t="s">
        <v>46</v>
      </c>
      <c r="N31" s="38" t="s">
        <v>110</v>
      </c>
      <c r="O31" s="10">
        <f>((N21+N22+N28)*100)/(N$18*(Reference!$C$39+$C$40+$C$46))</f>
        <v>159.8441283292978</v>
      </c>
      <c r="P31" s="80">
        <f>MAX(P21,P22,P28)-MIN(P21,P22,P28)</f>
        <v>36.486902927580871</v>
      </c>
      <c r="Q31" s="21" t="s">
        <v>46</v>
      </c>
      <c r="R31" s="28"/>
      <c r="S31" s="10">
        <f>((R21+R22+R28)*100)/(R$18*(Reference!$C$39+$C$40+$C$46))</f>
        <v>144.57417582417582</v>
      </c>
      <c r="T31" s="80">
        <f>MAX(T21,T22,T28)-MIN(T21,T22,T28)</f>
        <v>47.996794871794862</v>
      </c>
      <c r="U31" s="21" t="s">
        <v>46</v>
      </c>
      <c r="V31" s="28"/>
      <c r="W31" s="10">
        <f>((V21+V22+V28)*100)/(V$18*(Reference!$C$39+$C$40+$C$46))</f>
        <v>156.30252100840337</v>
      </c>
      <c r="X31" s="80">
        <f>MAX(X21,X22,X28)-MIN(X21,X22,X28)</f>
        <v>35.150401069518722</v>
      </c>
      <c r="Y31" s="21" t="s">
        <v>46</v>
      </c>
      <c r="Z31" s="28"/>
      <c r="AA31" s="10">
        <f>((Z21+Z22+Z28)*100)/(Z$18*(Reference!$C$39+$C$40+$C$46))</f>
        <v>140.25297619047618</v>
      </c>
      <c r="AB31" s="80">
        <f>MAX(AB21,AB22,AB28)-MIN(AB21,AB22,AB28)</f>
        <v>68.32386363636364</v>
      </c>
      <c r="AC31" s="21" t="s">
        <v>46</v>
      </c>
      <c r="AD31" s="38"/>
      <c r="AE31" s="45">
        <f>((AD21+AD22+AD28)*100)/(AD$18*(Reference!$C$39+$C$40+$C$46))</f>
        <v>204.3154761904762</v>
      </c>
      <c r="AF31" s="80">
        <f>MAX(AF21,AF22,AF28)-MIN(AF21,AF22,AF28)</f>
        <v>55.454545454545467</v>
      </c>
      <c r="AG31" s="21" t="s">
        <v>46</v>
      </c>
      <c r="AH31" s="38"/>
      <c r="AI31" s="45">
        <f>((AH21+AH22+AH28)*100)/(AH$18*(Calculator!$C$39+$C$40+$C$46))</f>
        <v>122.76785714285715</v>
      </c>
      <c r="AJ31" s="80">
        <f>MAX(AJ21,AJ22,AJ28)-MIN(AJ21,AJ22,AJ28)</f>
        <v>34.965034965034974</v>
      </c>
      <c r="AK31" s="21" t="s">
        <v>46</v>
      </c>
      <c r="AL31" s="38"/>
      <c r="AM31" s="45">
        <f>((AL21+AL22+AL28)*100)/(AL$18*(Calculator!$C$39+$C$40+$C$46))</f>
        <v>143.08608058608061</v>
      </c>
      <c r="AN31" s="80">
        <f>MAX(AN21,AN22,AN28)-MIN(AN21,AN22,AN28)</f>
        <v>46.247086247086258</v>
      </c>
      <c r="AO31" s="21" t="s">
        <v>46</v>
      </c>
      <c r="AP31" s="38"/>
      <c r="AQ31" s="45">
        <f>((AP21+AP22+AP28)*100)/(AP$18*(Reference!$C$39+$C$40+$C$46))</f>
        <v>159.70426632191337</v>
      </c>
      <c r="AR31" s="80">
        <f>MAX(AR21,AR22,AR28)-MIN(AR21,AR22,AR28)</f>
        <v>36.495269436445909</v>
      </c>
      <c r="AS31" s="21" t="s">
        <v>46</v>
      </c>
      <c r="AT31" s="38"/>
      <c r="AU31" s="45">
        <f>((AT21+AT22+AT28)*100)/(AT$18*(Reference!$C$39+$C$40+$C$46))</f>
        <v>147.96892039258452</v>
      </c>
      <c r="AV31" s="10">
        <f>MAX(AV21,AV22,AV28)-MIN(AV21,AV22,AV28)</f>
        <v>28.105482303955569</v>
      </c>
      <c r="AW31" s="21" t="s">
        <v>46</v>
      </c>
      <c r="AX31" s="38"/>
      <c r="AY31" s="45">
        <f>((AX21+AX22+AX28)*100)/(AX$18*(Reference!$C$39+$C$40+$C$46))</f>
        <v>142.40160349854224</v>
      </c>
      <c r="AZ31" s="10">
        <f>MAX(AZ21,AZ22,AZ28)-MIN(AZ21,AZ22,AZ28)</f>
        <v>77.362592764378462</v>
      </c>
      <c r="BA31" s="21" t="s">
        <v>46</v>
      </c>
      <c r="BB31" s="38"/>
      <c r="BC31" s="45">
        <f>((BB21+BB22+BB28)*100)/(BB$18*(Reference!$C$39+$C$40+$C$46))</f>
        <v>197.95447047179152</v>
      </c>
      <c r="BD31" s="10">
        <f>MAX(BD21,BD22,BD28)-MIN(BD21,BD22,BD28)</f>
        <v>58.786479109804731</v>
      </c>
    </row>
    <row r="32" spans="1:57" ht="15">
      <c r="A32" s="14"/>
      <c r="B32" s="83" t="s">
        <v>109</v>
      </c>
      <c r="C32" s="7">
        <f>(C31/D31)*B18</f>
        <v>128.51161406583228</v>
      </c>
      <c r="D32" s="7">
        <f>((MIN(C21,C22,C28)*3)-300)*B18</f>
        <v>6515.454545454546</v>
      </c>
      <c r="E32" s="14"/>
      <c r="F32" s="83" t="s">
        <v>109</v>
      </c>
      <c r="G32" s="7">
        <f>(G31/H31)*F18</f>
        <v>10.043600923313669</v>
      </c>
      <c r="H32" s="7">
        <f>((MIN(G21,G22,G28)*3)-300)*F18</f>
        <v>354.54545454545456</v>
      </c>
      <c r="I32" s="14"/>
      <c r="J32" s="83" t="s">
        <v>109</v>
      </c>
      <c r="K32" s="7">
        <f>(K31/L31)*J18</f>
        <v>11.116462869072476</v>
      </c>
      <c r="L32" s="7">
        <f>((MIN(K21,K22,K28)*3)-300)*J18</f>
        <v>400.90909090909099</v>
      </c>
      <c r="M32" s="14"/>
      <c r="N32" s="83" t="s">
        <v>109</v>
      </c>
      <c r="O32" s="7">
        <f>(O31/P31)*N18</f>
        <v>103.38837023407342</v>
      </c>
      <c r="P32" s="7">
        <f>((MIN(O21,O22,O28)*3)-300)*N18</f>
        <v>3392.7272727272739</v>
      </c>
      <c r="Q32" s="14"/>
      <c r="R32" s="83" t="s">
        <v>109</v>
      </c>
      <c r="S32" s="7">
        <f>(S31/T31)*R18</f>
        <v>46.989744812783222</v>
      </c>
      <c r="T32" s="7">
        <f>((MIN(S21,S22,S28)*3)-300)*R18</f>
        <v>1413.75</v>
      </c>
      <c r="U32" s="14"/>
      <c r="V32" s="83" t="s">
        <v>109</v>
      </c>
      <c r="W32" s="7">
        <f>(W31/X31)*V18</f>
        <v>75.593528844455918</v>
      </c>
      <c r="X32" s="7">
        <f>((MIN(W21,W22,W28)*3)-300)*V18</f>
        <v>1985.4545454545457</v>
      </c>
      <c r="Y32" s="14"/>
      <c r="Z32" s="83" t="s">
        <v>109</v>
      </c>
      <c r="AA32" s="7">
        <f>(AA31/AB31)*Z18</f>
        <v>4.9266409266409257</v>
      </c>
      <c r="AB32" s="7">
        <f>((MIN(AA21,AA22,AA28)*3)-300)*Z18</f>
        <v>81.818181818181756</v>
      </c>
      <c r="AC32" s="3"/>
      <c r="AD32" s="83" t="s">
        <v>109</v>
      </c>
      <c r="AE32" s="7">
        <f>(AE31/AF31)*AD18</f>
        <v>22.10626463700234</v>
      </c>
      <c r="AF32" s="7">
        <f>((MIN(AE21,AE22,AE28)*3)-300)*AD18</f>
        <v>1401.8181818181818</v>
      </c>
      <c r="AG32" s="3"/>
      <c r="AH32" s="83" t="s">
        <v>109</v>
      </c>
      <c r="AI32" s="7">
        <f>(AI31/AJ31)*AH18</f>
        <v>18.258035714285711</v>
      </c>
      <c r="AJ32" s="7">
        <f>((MIN(AI21,AI22,AI28)*3)-300)*AH18</f>
        <v>114.54545454545469</v>
      </c>
      <c r="AL32" s="83" t="s">
        <v>109</v>
      </c>
      <c r="AM32" s="7">
        <f>(AM31/AN31)*AL18</f>
        <v>36.199191748271886</v>
      </c>
      <c r="AN32" s="7">
        <f>((MIN(AM21,AM22,AM28)*3)-300)*AL18</f>
        <v>962.72727272727252</v>
      </c>
      <c r="AP32" s="83" t="s">
        <v>109</v>
      </c>
      <c r="AQ32" s="7">
        <f>(AQ31/AR31)*AP18</f>
        <v>96.710185736828535</v>
      </c>
      <c r="AR32" s="7">
        <f>((MIN(AQ21,AQ22,AQ28)*3)-300)*AP18</f>
        <v>3166.3636363636365</v>
      </c>
      <c r="AT32" s="83" t="s">
        <v>109</v>
      </c>
      <c r="AU32" s="7">
        <f>(AU31/AV31)*AT18</f>
        <v>68.968496472663176</v>
      </c>
      <c r="AV32" s="7">
        <f>((MIN(AU21,AU22,AU28)*3)-300)*AT18</f>
        <v>1415.4545454545457</v>
      </c>
      <c r="AX32" s="83" t="s">
        <v>109</v>
      </c>
      <c r="AY32" s="7">
        <f>(AY31/AZ31)*AX18</f>
        <v>36.077790684602995</v>
      </c>
      <c r="AZ32" s="7">
        <f>((MIN(AY21,AY22,AY28)*3)-300)*AX18</f>
        <v>605.45454545454515</v>
      </c>
      <c r="BB32" s="83" t="s">
        <v>109</v>
      </c>
      <c r="BC32" s="7">
        <f>(BC31/BD31)*BB18</f>
        <v>145.80612244897964</v>
      </c>
      <c r="BD32" s="7">
        <f>((MIN(BC21,BC22,BC28)*3)-300)*BB18</f>
        <v>9373.636363636364</v>
      </c>
    </row>
    <row r="33" spans="1:46">
      <c r="A33" s="14"/>
      <c r="B33" s="32"/>
      <c r="C33" s="14"/>
      <c r="D33" s="16"/>
      <c r="E33" s="14"/>
      <c r="F33" s="19"/>
      <c r="G33" s="14"/>
      <c r="H33" s="6"/>
      <c r="I33" s="14"/>
      <c r="J33" s="19"/>
      <c r="K33" s="14"/>
      <c r="L33" s="14"/>
      <c r="M33" s="14"/>
      <c r="N33" s="19"/>
      <c r="O33" s="14"/>
      <c r="P33" s="6"/>
      <c r="Q33" s="14"/>
      <c r="R33" s="19"/>
      <c r="S33" s="14"/>
      <c r="T33" s="14"/>
      <c r="U33" s="14"/>
      <c r="V33" s="19"/>
      <c r="W33" s="14"/>
      <c r="X33" s="14"/>
      <c r="Y33" s="14"/>
      <c r="Z33" s="19"/>
      <c r="AA33" s="14"/>
      <c r="AB33" s="14"/>
      <c r="AC33" s="3"/>
      <c r="AD33" s="5"/>
      <c r="AE33" s="44"/>
      <c r="AF33" s="3"/>
      <c r="AG33" s="3"/>
      <c r="AH33" s="3"/>
      <c r="AI33" s="3"/>
    </row>
    <row r="34" spans="1:46" ht="16.5" thickBot="1">
      <c r="A34" s="84"/>
      <c r="B34" s="5" t="s">
        <v>49</v>
      </c>
      <c r="C34" s="14"/>
      <c r="D34" s="16"/>
      <c r="E34" s="14"/>
      <c r="F34" s="19"/>
      <c r="G34" s="3"/>
      <c r="H34" s="3"/>
      <c r="I34" s="3"/>
      <c r="J34" s="19"/>
      <c r="L34" s="14"/>
      <c r="M34" s="14"/>
      <c r="N34" s="19"/>
      <c r="O34" s="14"/>
      <c r="P34" s="6"/>
      <c r="Q34" s="14"/>
      <c r="R34" s="19"/>
      <c r="S34" s="14"/>
      <c r="T34" s="14"/>
      <c r="U34" s="14"/>
      <c r="V34" s="19"/>
      <c r="W34" s="14"/>
      <c r="X34" s="14"/>
      <c r="Y34" s="14"/>
      <c r="Z34" s="19"/>
      <c r="AA34" s="14"/>
      <c r="AB34" s="14"/>
      <c r="AC34" s="3"/>
      <c r="AD34" s="5"/>
      <c r="AE34" s="44"/>
      <c r="AF34" s="3"/>
      <c r="AG34" s="3"/>
      <c r="AH34" s="3"/>
      <c r="AI34" s="3"/>
    </row>
    <row r="35" spans="1:46" ht="32.25" thickBot="1">
      <c r="A35" s="14"/>
      <c r="B35" s="86" t="s">
        <v>37</v>
      </c>
      <c r="C35" s="85" t="s">
        <v>1</v>
      </c>
      <c r="D35" s="16"/>
      <c r="E35" s="14"/>
      <c r="F35" s="19"/>
      <c r="G35" s="14"/>
      <c r="H35" s="6"/>
      <c r="I35" s="14"/>
      <c r="J35" s="19"/>
      <c r="L35" s="14"/>
      <c r="M35" s="14"/>
      <c r="N35" s="19"/>
      <c r="O35" s="14"/>
      <c r="P35" s="6"/>
      <c r="Q35" s="14"/>
      <c r="R35" s="19"/>
      <c r="S35" s="14"/>
      <c r="T35" s="14"/>
      <c r="U35" s="14"/>
      <c r="V35" s="19"/>
      <c r="W35" s="14"/>
      <c r="X35" s="14"/>
      <c r="Y35" s="14"/>
      <c r="Z35" s="19"/>
      <c r="AA35" s="14"/>
      <c r="AB35" s="14"/>
      <c r="AC35" s="3"/>
      <c r="AD35" s="5"/>
      <c r="AE35" s="44"/>
      <c r="AF35" s="3"/>
      <c r="AG35" s="3"/>
      <c r="AH35" s="3"/>
      <c r="AI35" s="3"/>
      <c r="AT35" s="3"/>
    </row>
    <row r="36" spans="1:46">
      <c r="A36" s="14"/>
      <c r="B36" s="34"/>
      <c r="C36" s="25"/>
      <c r="D36" s="16"/>
      <c r="E36" s="40" t="s">
        <v>38</v>
      </c>
      <c r="F36" s="29"/>
      <c r="G36" s="26"/>
      <c r="H36" s="75" t="s">
        <v>39</v>
      </c>
      <c r="I36" s="26"/>
      <c r="J36" s="69"/>
      <c r="L36" s="68" t="s">
        <v>76</v>
      </c>
      <c r="M36" s="14"/>
      <c r="N36" s="19"/>
      <c r="O36" s="14"/>
      <c r="P36" s="8"/>
      <c r="Q36" s="14"/>
      <c r="R36" s="19"/>
      <c r="S36" s="14"/>
      <c r="T36" s="14"/>
      <c r="U36" s="14"/>
      <c r="V36" s="19"/>
      <c r="W36" s="14"/>
      <c r="X36" s="14"/>
      <c r="Y36" s="14"/>
      <c r="Z36" s="19"/>
      <c r="AA36" s="14"/>
      <c r="AB36" s="14"/>
      <c r="AC36" s="3"/>
      <c r="AD36" s="5"/>
      <c r="AE36" s="44"/>
      <c r="AF36" s="3"/>
      <c r="AG36" s="3"/>
      <c r="AH36" s="3"/>
      <c r="AI36" s="3"/>
    </row>
    <row r="37" spans="1:46">
      <c r="A37" s="14"/>
      <c r="B37" s="34" t="s">
        <v>19</v>
      </c>
      <c r="C37" s="25">
        <v>7</v>
      </c>
      <c r="D37" s="16"/>
      <c r="E37" s="18" t="s">
        <v>19</v>
      </c>
      <c r="F37" s="30">
        <f>MIN(D3,H3,L3,P3,T3,X3,AB3,AF3,AJ3,AN3,AR3,AV3,AZ3,T19,P19,L19,H19,D19,X19,AB19,AF19,AJ19,AN19,AR19,AV19,AZ19)</f>
        <v>-92.936509873906829</v>
      </c>
      <c r="G37" s="14" t="str">
        <f ca="1">IF(ISERROR(MATCH(F37,INDIRECT(ADDRESS(ROW(A3),IFERROR(MATCH(F37,A3:AZ3,0), MATCH(F37,A19:AZ19,0)))),0)),OFFSET(INDIRECT(ADDRESS(19,IFERROR(MATCH(F37,A3:AZ3,0), MATCH(F37,A19:AZ19,0)))),-2,-3),OFFSET(INDIRECT(ADDRESS(3,IFERROR(MATCH(F37,A3:AZ3,0), MATCH(F37,A19:AZ19,0)))),-2,-3))</f>
        <v>Yoghourt</v>
      </c>
      <c r="H37" s="76" t="s">
        <v>19</v>
      </c>
      <c r="I37" s="7">
        <f>MAX(D3,H3,L3,P3,T3,X3,AB3,AF3,AJ3,AN3,AR3,AV3,AZ3,T19,P19,L19,H19,D19,X19,AB19,AF19,AJ19,AN19,AR19,AV19,AZ19)</f>
        <v>135.17062919324425</v>
      </c>
      <c r="J37" s="70" t="str">
        <f ca="1">IF(ISERROR(MATCH(I37,INDIRECT(ADDRESS(ROW(A3),IFERROR(MATCH(I37,A3:AZ3,0), MATCH(I37,A19:AZ19,0)))),0)),OFFSET(INDIRECT(ADDRESS(19,IFERROR(MATCH(I37,A3:AZ3,0), MATCH(I37,A19:AZ19,0)))),-2,-3),OFFSET(INDIRECT(ADDRESS(3,IFERROR(MATCH(I37,A3:AZ3,0), MATCH(I37,A19:AZ19,0)))),-2,-3))</f>
        <v>Sesame toasted</v>
      </c>
      <c r="L37" s="68" t="s">
        <v>77</v>
      </c>
      <c r="M37" s="7"/>
      <c r="N37" s="19"/>
      <c r="O37" s="14"/>
      <c r="P37" s="14"/>
      <c r="Q37" s="14"/>
      <c r="R37" s="14"/>
      <c r="S37" s="14"/>
      <c r="T37" s="14"/>
      <c r="U37" s="14"/>
      <c r="V37" s="14"/>
      <c r="W37" s="14"/>
      <c r="X37" s="14"/>
      <c r="Y37" s="14"/>
      <c r="Z37" s="19"/>
      <c r="AA37" s="14"/>
      <c r="AB37" s="14"/>
      <c r="AC37" s="3"/>
      <c r="AD37" s="5"/>
      <c r="AE37" s="44"/>
      <c r="AF37" s="3"/>
      <c r="AG37" s="3"/>
      <c r="AH37" s="3"/>
      <c r="AI37" s="3"/>
    </row>
    <row r="38" spans="1:46">
      <c r="A38" s="14"/>
      <c r="B38" s="81" t="s">
        <v>20</v>
      </c>
      <c r="C38" s="25">
        <v>27</v>
      </c>
      <c r="D38" s="16"/>
      <c r="E38" s="18" t="s">
        <v>20</v>
      </c>
      <c r="F38" s="30">
        <f t="shared" ref="F38:F47" si="0">MIN(D4,H4,L4,P4,T4,X4,AB4,AF4,AJ4,AN4,AR4,AV4,AZ4,T20,P20,L20,H20,D20,X20,AB20,AF20,AJ20,AN20,AR20,AV20,AZ20)</f>
        <v>-60.60351602073348</v>
      </c>
      <c r="G38" s="14" t="str">
        <f t="shared" ref="G38:G47" ca="1" si="1">IF(ISERROR(MATCH(F38,INDIRECT(ADDRESS(ROW(A4),IFERROR(MATCH(F38,A4:AZ4,0), MATCH(F38,A20:AZ20,0)))),0)),OFFSET(INDIRECT(ADDRESS(19,IFERROR(MATCH(F38,A4:AZ4,0), MATCH(F38,A20:AZ20,0)))),-2,-3),OFFSET(INDIRECT(ADDRESS(3,IFERROR(MATCH(F38,A4:AZ4,0), MATCH(F38,A20:AZ20,0)))),-2,-3))</f>
        <v>Gouda Cheese</v>
      </c>
      <c r="H38" s="76" t="s">
        <v>20</v>
      </c>
      <c r="I38" s="7">
        <f t="shared" ref="I38:I47" si="2">MAX(D4,H4,L4,P4,T4,X4,AB4,AF4,AJ4,AN4,AR4,AV4,AZ4,T20,P20,L20,H20,D20,X20,AB20,AF20,AJ20,AN20,AR20,AV20,AZ20)</f>
        <v>69.597249536659007</v>
      </c>
      <c r="J38" s="70" t="str">
        <f ca="1">IF(ISERROR(MATCH(I38,INDIRECT(ADDRESS(ROW(A4),IFERROR(MATCH(I38,A4:AZ4,0), MATCH(I38,A20:AZ20,0)))),0)),OFFSET(INDIRECT(ADDRESS(19,IFERROR(MATCH(I38,A4:AZ4,0), MATCH(I38,A20:AZ20,0)))),-2,-3),OFFSET(INDIRECT(ADDRESS(3,IFERROR(MATCH(I38,A4:AZ4,0), MATCH(I38,A20:AZ20,0)))),-2,-3))</f>
        <v>Watercress Raw</v>
      </c>
      <c r="L38" s="68" t="s">
        <v>78</v>
      </c>
      <c r="M38" s="7"/>
      <c r="N38" s="19"/>
      <c r="O38" s="14"/>
      <c r="P38" s="14"/>
      <c r="Q38" s="14"/>
      <c r="R38" s="19"/>
      <c r="S38" s="14"/>
      <c r="T38" s="14"/>
      <c r="U38" s="14"/>
      <c r="V38" s="19"/>
      <c r="W38" s="14"/>
      <c r="X38" s="14"/>
      <c r="Y38" s="14"/>
      <c r="Z38" s="19"/>
      <c r="AA38" s="14"/>
      <c r="AB38" s="14"/>
      <c r="AC38" s="3"/>
      <c r="AD38" s="5"/>
      <c r="AE38" s="44"/>
      <c r="AF38" s="3"/>
      <c r="AG38" s="3"/>
      <c r="AH38" s="3"/>
      <c r="AI38" s="3"/>
    </row>
    <row r="39" spans="1:46">
      <c r="A39" s="14"/>
      <c r="B39" s="34" t="s">
        <v>21</v>
      </c>
      <c r="C39" s="25">
        <v>25</v>
      </c>
      <c r="D39" s="16"/>
      <c r="E39" s="18" t="s">
        <v>21</v>
      </c>
      <c r="F39" s="30">
        <f t="shared" si="0"/>
        <v>-31.793880158763329</v>
      </c>
      <c r="G39" s="14" t="str">
        <f t="shared" ca="1" si="1"/>
        <v>Sweet corn</v>
      </c>
      <c r="H39" s="76" t="s">
        <v>21</v>
      </c>
      <c r="I39" s="7">
        <f t="shared" si="2"/>
        <v>46.462875006047824</v>
      </c>
      <c r="J39" s="70" t="str">
        <f ca="1">IF(ISERROR(MATCH(I39,INDIRECT(ADDRESS(ROW(A5),IFERROR(MATCH(I39,A5:AZ5,0), MATCH(I39,A21:AZ21,0)))),0)),OFFSET(INDIRECT(ADDRESS(19,IFERROR(MATCH(I39,A5:AZ5,0), MATCH(I39,A21:AZ21,0)))),-2,-3),OFFSET(INDIRECT(ADDRESS(3,IFERROR(MATCH(I39,A5:AZ5,0), MATCH(I39,A21:AZ21,0)))),-2,-3))</f>
        <v>Chicken breast, roasted</v>
      </c>
      <c r="L39" s="67" t="s">
        <v>79</v>
      </c>
      <c r="M39" s="14"/>
      <c r="N39" s="19"/>
      <c r="O39" s="14"/>
      <c r="P39" s="14"/>
      <c r="Q39" s="14"/>
      <c r="R39" s="19"/>
      <c r="S39" s="14"/>
      <c r="T39" s="14"/>
      <c r="U39" s="14"/>
      <c r="V39" s="19"/>
      <c r="W39" s="14"/>
      <c r="X39" s="14"/>
      <c r="Y39" s="14"/>
      <c r="Z39" s="19"/>
      <c r="AA39" s="14"/>
      <c r="AB39" s="14"/>
      <c r="AC39" s="3"/>
      <c r="AD39" s="5"/>
      <c r="AE39" s="44"/>
      <c r="AF39" s="3"/>
      <c r="AG39" s="3"/>
      <c r="AH39" s="3"/>
      <c r="AI39" s="3"/>
    </row>
    <row r="40" spans="1:46">
      <c r="A40" s="14"/>
      <c r="B40" s="34" t="s">
        <v>8</v>
      </c>
      <c r="C40" s="25">
        <v>55</v>
      </c>
      <c r="D40" s="16"/>
      <c r="E40" s="18" t="s">
        <v>8</v>
      </c>
      <c r="F40" s="30">
        <f t="shared" si="0"/>
        <v>-38.274429482493375</v>
      </c>
      <c r="G40" s="14" t="str">
        <f t="shared" ca="1" si="1"/>
        <v>broccoli boiled</v>
      </c>
      <c r="H40" s="76" t="s">
        <v>8</v>
      </c>
      <c r="I40" s="7">
        <f t="shared" si="2"/>
        <v>71.702623337740164</v>
      </c>
      <c r="J40" s="70" t="str">
        <f ca="1">IF(ISERROR(MATCH(I40,INDIRECT(ADDRESS(ROW(A6),IFERROR(MATCH(I40,A6:AZ6,0), MATCH(I40,A22:AZ22,0)))),0)),OFFSET(INDIRECT(ADDRESS(19,IFERROR(MATCH(I40,A6:AZ6,0), MATCH(I40,A22:AZ22,0)))),-2,-3),OFFSET(INDIRECT(ADDRESS(3,IFERROR(MATCH(I40,A6:AZ6,0), MATCH(I40,A22:AZ22,0)))),-2,-3))</f>
        <v>Sweet corn</v>
      </c>
      <c r="L40" s="67" t="s">
        <v>80</v>
      </c>
      <c r="M40" s="9"/>
      <c r="N40" s="19"/>
      <c r="O40" s="14"/>
      <c r="P40" s="14"/>
      <c r="Q40" s="14"/>
      <c r="R40" s="19"/>
      <c r="S40" s="14"/>
      <c r="T40" s="14"/>
      <c r="U40" s="14"/>
      <c r="V40" s="19"/>
      <c r="W40" s="14"/>
      <c r="X40" s="14"/>
      <c r="Y40" s="14"/>
      <c r="Z40" s="19"/>
      <c r="AA40" s="14"/>
      <c r="AB40" s="14"/>
      <c r="AC40" s="3"/>
      <c r="AD40" s="5"/>
      <c r="AE40" s="44"/>
      <c r="AF40" s="3"/>
      <c r="AG40" s="3"/>
      <c r="AH40" s="3"/>
      <c r="AI40" s="3"/>
    </row>
    <row r="41" spans="1:46">
      <c r="A41" s="14"/>
      <c r="B41" s="34" t="s">
        <v>22</v>
      </c>
      <c r="C41" s="25">
        <v>51</v>
      </c>
      <c r="D41" s="16"/>
      <c r="E41" s="18" t="s">
        <v>22</v>
      </c>
      <c r="F41" s="30">
        <f t="shared" si="0"/>
        <v>-113.84897864989298</v>
      </c>
      <c r="G41" s="14" t="str">
        <f t="shared" ca="1" si="1"/>
        <v>Sesame toasted</v>
      </c>
      <c r="H41" s="76" t="s">
        <v>22</v>
      </c>
      <c r="I41" s="7">
        <f t="shared" si="2"/>
        <v>28.236285753755539</v>
      </c>
      <c r="J41" s="70" t="str">
        <f ca="1">IF(ISERROR(MATCH(I41,INDIRECT(ADDRESS(ROW(A7),IFERROR(MATCH(I41,A7:AZ7,0), MATCH(I41,A23:AZ23,0)))),0)),OFFSET(INDIRECT(ADDRESS(19,IFERROR(MATCH(I41,A7:AZ7,0), MATCH(I41,A23:AZ23,0)))),-2,-3),OFFSET(INDIRECT(ADDRESS(3,IFERROR(MATCH(I41,A7:AZ7,0), MATCH(I41,A23:AZ23,0)))),-2,-3))</f>
        <v>Sweet corn</v>
      </c>
      <c r="K41" s="20"/>
      <c r="L41" s="6"/>
      <c r="M41" s="14"/>
      <c r="N41" s="19"/>
      <c r="O41" s="14"/>
      <c r="P41" s="14"/>
      <c r="Q41" s="14"/>
      <c r="R41" s="19"/>
      <c r="S41" s="14"/>
      <c r="T41" s="14"/>
      <c r="U41" s="14"/>
      <c r="V41" s="19"/>
      <c r="W41" s="14"/>
      <c r="X41" s="14"/>
      <c r="Y41" s="14"/>
      <c r="Z41" s="19"/>
      <c r="AA41" s="14"/>
      <c r="AB41" s="14"/>
      <c r="AC41" s="3"/>
      <c r="AD41" s="5"/>
      <c r="AE41" s="44"/>
      <c r="AF41" s="3"/>
      <c r="AG41" s="3"/>
      <c r="AH41" s="3"/>
      <c r="AI41" s="3"/>
    </row>
    <row r="42" spans="1:46">
      <c r="A42" s="14"/>
      <c r="B42" s="34" t="s">
        <v>10</v>
      </c>
      <c r="C42" s="25">
        <v>0</v>
      </c>
      <c r="D42" s="16"/>
      <c r="E42" s="18" t="s">
        <v>10</v>
      </c>
      <c r="F42" s="30"/>
      <c r="G42" s="14"/>
      <c r="H42" s="76" t="s">
        <v>10</v>
      </c>
      <c r="I42" s="7"/>
      <c r="J42" s="70"/>
      <c r="K42" s="20"/>
      <c r="L42" s="14"/>
      <c r="M42" s="14"/>
      <c r="N42" s="19"/>
      <c r="O42" s="14"/>
      <c r="P42" s="14"/>
      <c r="Q42" s="14"/>
      <c r="R42" s="19"/>
      <c r="S42" s="14"/>
      <c r="T42" s="14"/>
      <c r="U42" s="14"/>
      <c r="V42" s="19"/>
      <c r="W42" s="14"/>
      <c r="X42" s="14"/>
      <c r="Y42" s="14"/>
      <c r="Z42" s="19"/>
      <c r="AA42" s="14"/>
      <c r="AB42" s="14"/>
      <c r="AC42" s="3"/>
      <c r="AD42" s="5"/>
      <c r="AE42" s="44"/>
      <c r="AF42" s="3"/>
      <c r="AG42" s="3"/>
      <c r="AH42" s="3"/>
      <c r="AI42" s="3"/>
    </row>
    <row r="43" spans="1:46">
      <c r="A43" s="14"/>
      <c r="B43" s="34" t="s">
        <v>23</v>
      </c>
      <c r="C43" s="25">
        <v>25</v>
      </c>
      <c r="D43" s="16"/>
      <c r="E43" s="18" t="s">
        <v>23</v>
      </c>
      <c r="F43" s="30">
        <f t="shared" si="0"/>
        <v>-97.616921155772559</v>
      </c>
      <c r="G43" s="14" t="str">
        <f t="shared" ca="1" si="1"/>
        <v>Watercress Raw</v>
      </c>
      <c r="H43" s="76" t="s">
        <v>23</v>
      </c>
      <c r="I43" s="7">
        <f t="shared" si="2"/>
        <v>52.710153219292607</v>
      </c>
      <c r="J43" s="70" t="str">
        <f ca="1">IF(ISERROR(MATCH(I43,INDIRECT(ADDRESS(ROW(A9),IFERROR(MATCH(I43,A9:AZ9,0), MATCH(I43,A25:AZ25,0)))),0)),OFFSET(INDIRECT(ADDRESS(19,IFERROR(MATCH(I43,A9:AZ9,0), MATCH(I43,A25:AZ25,0)))),-2,-3),OFFSET(INDIRECT(ADDRESS(3,IFERROR(MATCH(I43,A9:AZ9,0), MATCH(I43,A25:AZ25,0)))),-2,-3))</f>
        <v>Rolled Oat, raw</v>
      </c>
      <c r="K43" s="20"/>
      <c r="L43" s="8" t="s">
        <v>89</v>
      </c>
      <c r="M43" s="14"/>
      <c r="N43" s="19"/>
      <c r="O43" s="14"/>
      <c r="P43" s="14"/>
      <c r="Q43" s="14"/>
      <c r="R43" s="19"/>
      <c r="S43" s="14"/>
      <c r="T43" s="14"/>
      <c r="U43" s="14"/>
      <c r="V43" s="19"/>
      <c r="W43" s="14"/>
      <c r="X43" s="14"/>
      <c r="Y43" s="14"/>
      <c r="Z43" s="19"/>
      <c r="AA43" s="14"/>
      <c r="AB43" s="14"/>
      <c r="AC43" s="3"/>
      <c r="AD43" s="5"/>
      <c r="AE43" s="44"/>
      <c r="AF43" s="3"/>
      <c r="AG43" s="3"/>
      <c r="AH43" s="3"/>
      <c r="AI43" s="3"/>
    </row>
    <row r="44" spans="1:46">
      <c r="A44" s="14"/>
      <c r="B44" s="34" t="s">
        <v>12</v>
      </c>
      <c r="C44" s="25">
        <v>0</v>
      </c>
      <c r="D44" s="16"/>
      <c r="E44" s="18" t="s">
        <v>12</v>
      </c>
      <c r="F44" s="30"/>
      <c r="G44" s="14"/>
      <c r="H44" s="76" t="s">
        <v>12</v>
      </c>
      <c r="I44" s="7"/>
      <c r="J44" s="70"/>
      <c r="K44" s="20"/>
      <c r="L44" s="78" t="s">
        <v>91</v>
      </c>
      <c r="M44" s="14"/>
      <c r="N44" s="19"/>
      <c r="O44" s="14"/>
      <c r="P44" s="14"/>
      <c r="Q44" s="14"/>
      <c r="R44" s="19"/>
      <c r="S44" s="14"/>
      <c r="T44" s="14"/>
      <c r="U44" s="14"/>
      <c r="V44" s="19"/>
      <c r="W44" s="14"/>
      <c r="X44" s="14"/>
      <c r="Y44" s="14"/>
      <c r="Z44" s="19"/>
      <c r="AA44" s="14"/>
      <c r="AB44" s="14"/>
      <c r="AC44" s="3"/>
      <c r="AD44" s="5"/>
      <c r="AE44" s="44"/>
      <c r="AF44" s="3"/>
      <c r="AG44" s="3"/>
      <c r="AH44" s="3"/>
      <c r="AI44" s="3"/>
    </row>
    <row r="45" spans="1:46">
      <c r="A45" s="14"/>
      <c r="B45" s="34" t="s">
        <v>24</v>
      </c>
      <c r="C45" s="25">
        <v>47</v>
      </c>
      <c r="D45" s="16"/>
      <c r="E45" s="18" t="s">
        <v>24</v>
      </c>
      <c r="F45" s="30">
        <f t="shared" si="0"/>
        <v>-9.075139027557924</v>
      </c>
      <c r="G45" s="14" t="str">
        <f t="shared" ca="1" si="1"/>
        <v>White Tuna can</v>
      </c>
      <c r="H45" s="76" t="s">
        <v>24</v>
      </c>
      <c r="I45" s="7">
        <f t="shared" si="2"/>
        <v>47.583368633723609</v>
      </c>
      <c r="J45" s="70" t="str">
        <f ca="1">IF(ISERROR(MATCH(I45,INDIRECT(ADDRESS(ROW(A11),IFERROR(MATCH(I45,A11:AZ11,0), MATCH(I45,A27:AZ27,0)))),0)),OFFSET(INDIRECT(ADDRESS(19,IFERROR(MATCH(I45,A11:AZ11,0), MATCH(I45,A27:AZ27,0)))),-2,-3),OFFSET(INDIRECT(ADDRESS(3,IFERROR(MATCH(I45,A11:AZ11,0), MATCH(I45,A27:AZ27,0)))),-2,-3))</f>
        <v>Gouda Cheese</v>
      </c>
      <c r="K45" s="20"/>
      <c r="L45" s="8" t="s">
        <v>90</v>
      </c>
      <c r="M45" s="14"/>
      <c r="N45" s="19"/>
      <c r="O45" s="14"/>
      <c r="P45" s="14"/>
      <c r="Q45" s="14"/>
      <c r="R45" s="19"/>
      <c r="S45" s="14"/>
      <c r="T45" s="14"/>
      <c r="U45" s="14"/>
      <c r="V45" s="19"/>
      <c r="W45" s="14"/>
      <c r="X45" s="14"/>
      <c r="Y45" s="14"/>
      <c r="Z45" s="19"/>
      <c r="AA45" s="14"/>
      <c r="AB45" s="14"/>
      <c r="AC45" s="3"/>
      <c r="AD45" s="5"/>
      <c r="AE45" s="44"/>
      <c r="AF45" s="3"/>
      <c r="AG45" s="3"/>
      <c r="AH45" s="3"/>
      <c r="AI45" s="3"/>
    </row>
    <row r="46" spans="1:46">
      <c r="A46" s="14"/>
      <c r="B46" s="34" t="s">
        <v>25</v>
      </c>
      <c r="C46" s="25">
        <v>32</v>
      </c>
      <c r="D46" s="16"/>
      <c r="E46" s="18" t="s">
        <v>25</v>
      </c>
      <c r="F46" s="30">
        <f t="shared" si="0"/>
        <v>-9.9188801587633293</v>
      </c>
      <c r="G46" s="14" t="str">
        <f t="shared" ca="1" si="1"/>
        <v>Sweet corn</v>
      </c>
      <c r="H46" s="76" t="s">
        <v>25</v>
      </c>
      <c r="I46" s="7">
        <f t="shared" si="2"/>
        <v>81.680837064868683</v>
      </c>
      <c r="J46" s="70" t="str">
        <f ca="1">IF(ISERROR(MATCH(I46,INDIRECT(ADDRESS(ROW(A12),IFERROR(MATCH(I46,A12:AZ12,0), MATCH(I46,A28:AZ28,0)))),0)),OFFSET(INDIRECT(ADDRESS(19,IFERROR(MATCH(I46,A12:AZ12,0), MATCH(I46,A28:AZ28,0)))),-2,-3),OFFSET(INDIRECT(ADDRESS(3,IFERROR(MATCH(I46,A12:AZ12,0), MATCH(I46,A28:AZ28,0)))),-2,-3))</f>
        <v>Yoghourt</v>
      </c>
      <c r="K46" s="20"/>
      <c r="L46" s="8" t="s">
        <v>127</v>
      </c>
      <c r="M46" s="14"/>
      <c r="N46" s="19"/>
      <c r="O46" s="14"/>
      <c r="P46" s="14"/>
      <c r="Q46" s="14"/>
      <c r="R46" s="19"/>
      <c r="S46" s="14"/>
      <c r="T46" s="14"/>
      <c r="U46" s="14"/>
      <c r="V46" s="19"/>
      <c r="W46" s="14"/>
      <c r="X46" s="14"/>
      <c r="Y46" s="14"/>
      <c r="Z46" s="19"/>
      <c r="AA46" s="14"/>
      <c r="AB46" s="14"/>
      <c r="AC46" s="3"/>
      <c r="AD46" s="5"/>
      <c r="AE46" s="44"/>
      <c r="AF46" s="3"/>
      <c r="AG46" s="3"/>
      <c r="AH46" s="3"/>
      <c r="AI46" s="3"/>
    </row>
    <row r="47" spans="1:46" ht="16.5" thickBot="1">
      <c r="A47" s="14"/>
      <c r="B47" s="35" t="s">
        <v>26</v>
      </c>
      <c r="C47" s="27">
        <v>18</v>
      </c>
      <c r="D47" s="16"/>
      <c r="E47" s="18" t="s">
        <v>26</v>
      </c>
      <c r="F47" s="30">
        <f t="shared" si="0"/>
        <v>-47.955085406980288</v>
      </c>
      <c r="G47" s="14" t="str">
        <f t="shared" ca="1" si="1"/>
        <v>Watercress Raw</v>
      </c>
      <c r="H47" s="76" t="s">
        <v>26</v>
      </c>
      <c r="I47" s="7">
        <f t="shared" si="2"/>
        <v>24.514687437089293</v>
      </c>
      <c r="J47" s="70" t="str">
        <f ca="1">IF(ISERROR(MATCH(I47,INDIRECT(ADDRESS(ROW(A13),IFERROR(MATCH(I47,A13:AZ13,0), MATCH(I47,A29:AZ29,0)))),0)),OFFSET(INDIRECT(ADDRESS(19,IFERROR(MATCH(I47,A13:AZ13,0), MATCH(I47,A29:AZ29,0)))),-2,-3),OFFSET(INDIRECT(ADDRESS(3,IFERROR(MATCH(I47,A13:AZ13,0), MATCH(I47,A29:AZ29,0)))),-2,-3))</f>
        <v>Hazelnut, roasted</v>
      </c>
      <c r="K47" s="20"/>
      <c r="L47" s="6"/>
      <c r="M47" s="14"/>
      <c r="N47" s="19"/>
      <c r="O47" s="14"/>
      <c r="P47" s="14"/>
      <c r="Q47" s="14"/>
      <c r="R47" s="19"/>
      <c r="S47" s="14"/>
      <c r="T47" s="14"/>
      <c r="U47" s="14"/>
      <c r="V47" s="19"/>
      <c r="W47" s="14"/>
      <c r="X47" s="14"/>
      <c r="Y47" s="14"/>
      <c r="Z47" s="19"/>
      <c r="AA47" s="14"/>
      <c r="AB47" s="14"/>
      <c r="AC47" s="3"/>
      <c r="AD47" s="5"/>
      <c r="AE47" s="44"/>
      <c r="AF47" s="3"/>
      <c r="AG47" s="3"/>
      <c r="AH47" s="3"/>
      <c r="AI47" s="3"/>
    </row>
    <row r="48" spans="1:46" ht="16.5" thickBot="1">
      <c r="A48" s="14"/>
      <c r="B48" s="19"/>
      <c r="C48" s="14"/>
      <c r="D48" s="16"/>
      <c r="E48" s="39" t="s">
        <v>46</v>
      </c>
      <c r="F48" s="30">
        <f>MIN(C16,G16,K16,O16,S16,W16,AA16,AE16,AI16,AM16,AQ16,AU16,AY16,C32,G32,K32,O32,S32,W32,AA32,AE32,AI32,AM32,AQ32,AU32,AY32)</f>
        <v>4.7189309845559855</v>
      </c>
      <c r="G48" s="22" t="str">
        <f ca="1">IF(ISERROR(MATCH(F48,INDIRECT(ADDRESS(ROW(A16),IFERROR(MATCH(F48,A16:AZ16,0), MATCH(F48,A32:AZ32,0)))),0)),OFFSET(INDIRECT(ADDRESS(19,IFERROR(MATCH(F48,A16:AZ16,0), MATCH(F48,A32:AZ32,0)))),-2,-2),OFFSET(INDIRECT(ADDRESS(3,IFERROR(MATCH(F48,A16:AZ16,0), MATCH(F48,A32:AZ32,0)))),-2,-2))</f>
        <v>Sweet corn</v>
      </c>
      <c r="H48" s="77" t="s">
        <v>46</v>
      </c>
      <c r="I48" s="10">
        <f>MAX(C16,G16,K16,O16,S16,W16,AA16,AE16,AI16,AM16,AQ16,AU16,AY16,C32,G32,K32,O32,S32,W32,AA32,AE32,AI32,AM32,AQ32,AU32,AY32)</f>
        <v>149.43508184523802</v>
      </c>
      <c r="J48" s="71" t="str">
        <f ca="1">IF(ISERROR(MATCH(I48,INDIRECT(ADDRESS(ROW(A16),IFERROR(MATCH(I48,A16:AZ16,0), MATCH(I48,A32:AZ32,0)))),0)),OFFSET(INDIRECT(ADDRESS(19,IFERROR(MATCH(I48,A16:AZ16,0), MATCH(I48,A32:AZ32,0)))),-2,-2),OFFSET(INDIRECT(ADDRESS(3,IFERROR(MATCH(I48,A16:AZ16,0), MATCH(I48,A32:AZ32,0)))),-2,-2))</f>
        <v>Hemp seeds shelled</v>
      </c>
      <c r="K48" s="14"/>
      <c r="L48" s="14"/>
      <c r="M48" s="14"/>
      <c r="N48" s="19"/>
      <c r="O48" s="14"/>
      <c r="P48" s="14"/>
      <c r="Q48" s="14"/>
      <c r="R48" s="19"/>
      <c r="S48" s="14"/>
      <c r="T48" s="14"/>
      <c r="U48" s="14"/>
      <c r="V48" s="19"/>
      <c r="W48" s="14"/>
      <c r="X48" s="14"/>
      <c r="Y48" s="14"/>
      <c r="Z48" s="19"/>
      <c r="AA48" s="14"/>
      <c r="AB48" s="14"/>
      <c r="AC48" s="3"/>
      <c r="AD48" s="5"/>
      <c r="AE48" s="44"/>
      <c r="AF48" s="3"/>
      <c r="AG48" s="3"/>
      <c r="AH48" s="3"/>
      <c r="AI48" s="3"/>
    </row>
    <row r="49" spans="1:35">
      <c r="A49" s="14"/>
      <c r="B49" s="19"/>
      <c r="C49" s="14"/>
      <c r="D49" s="16"/>
      <c r="E49" s="14"/>
      <c r="F49" s="19"/>
      <c r="G49" s="14"/>
      <c r="H49" s="14"/>
      <c r="I49" s="14"/>
      <c r="J49" s="19"/>
      <c r="K49" s="7"/>
      <c r="L49" s="7"/>
      <c r="M49" s="14"/>
      <c r="N49" s="19"/>
      <c r="O49" s="14"/>
      <c r="P49" s="14"/>
      <c r="Q49" s="14"/>
      <c r="R49" s="19"/>
      <c r="S49" s="14"/>
      <c r="T49" s="14"/>
      <c r="U49" s="14"/>
      <c r="V49" s="19"/>
      <c r="W49" s="14"/>
      <c r="X49" s="14"/>
      <c r="Y49" s="14"/>
      <c r="Z49" s="19"/>
      <c r="AA49" s="14"/>
      <c r="AB49" s="14"/>
      <c r="AC49" s="3"/>
      <c r="AD49" s="5"/>
      <c r="AE49" s="44"/>
      <c r="AF49" s="3"/>
      <c r="AG49" s="3"/>
      <c r="AH49" s="3"/>
      <c r="AI49" s="3"/>
    </row>
    <row r="50" spans="1:35">
      <c r="A50" s="14"/>
      <c r="B50" s="19"/>
      <c r="C50" s="14"/>
      <c r="D50" s="16"/>
      <c r="E50" s="14"/>
      <c r="F50" s="19"/>
      <c r="G50" s="14"/>
      <c r="H50" s="14"/>
      <c r="I50" s="14"/>
      <c r="J50" s="19"/>
      <c r="K50" s="14"/>
      <c r="L50" s="14"/>
      <c r="M50" s="14"/>
      <c r="N50" s="19"/>
      <c r="O50" s="14"/>
      <c r="P50" s="14"/>
      <c r="Q50" s="14"/>
      <c r="R50" s="19"/>
      <c r="S50" s="14"/>
      <c r="T50" s="14"/>
      <c r="U50" s="14"/>
      <c r="V50" s="19"/>
      <c r="W50" s="14"/>
      <c r="X50" s="14"/>
      <c r="Y50" s="14"/>
      <c r="Z50" s="19"/>
      <c r="AA50" s="14"/>
      <c r="AB50" s="14"/>
      <c r="AC50" s="3"/>
      <c r="AD50" s="5"/>
      <c r="AE50" s="44"/>
      <c r="AF50" s="3"/>
      <c r="AG50" s="3"/>
      <c r="AH50" s="3"/>
      <c r="AI50" s="3"/>
    </row>
    <row r="51" spans="1:35">
      <c r="A51" s="14"/>
      <c r="B51" s="19"/>
      <c r="C51" s="14"/>
      <c r="D51" s="16"/>
      <c r="E51" s="14"/>
      <c r="F51" s="19"/>
      <c r="G51" s="14"/>
      <c r="H51" s="14"/>
      <c r="I51" s="14"/>
      <c r="J51" s="19"/>
      <c r="K51" s="14"/>
      <c r="L51" s="14"/>
      <c r="M51" s="14"/>
      <c r="N51" s="19"/>
      <c r="O51" s="14"/>
      <c r="P51" s="14"/>
      <c r="Q51" s="14"/>
      <c r="R51" s="19"/>
      <c r="S51" s="14"/>
      <c r="T51" s="14"/>
      <c r="U51" s="14"/>
      <c r="V51" s="19"/>
      <c r="W51" s="14"/>
      <c r="X51" s="14"/>
      <c r="Y51" s="14"/>
      <c r="Z51" s="19"/>
      <c r="AA51" s="14"/>
      <c r="AB51" s="14"/>
      <c r="AC51" s="3"/>
      <c r="AD51" s="5"/>
      <c r="AE51" s="44"/>
      <c r="AF51" s="3"/>
      <c r="AG51" s="3"/>
      <c r="AH51" s="3"/>
      <c r="AI51" s="3"/>
    </row>
    <row r="52" spans="1:35">
      <c r="A52" s="3" t="s">
        <v>111</v>
      </c>
      <c r="B52" s="19"/>
      <c r="C52" s="14"/>
      <c r="D52" s="16"/>
      <c r="E52" s="14"/>
      <c r="F52" s="19"/>
      <c r="G52" s="14"/>
      <c r="H52" s="14"/>
      <c r="I52" s="14"/>
      <c r="J52" s="19"/>
      <c r="K52" s="14"/>
      <c r="L52" s="14"/>
      <c r="M52" s="14"/>
      <c r="N52" s="19"/>
      <c r="O52" s="14"/>
      <c r="P52" s="14"/>
      <c r="Q52" s="14"/>
      <c r="R52" s="19"/>
      <c r="S52" s="14"/>
      <c r="T52" s="14"/>
      <c r="U52" s="14"/>
      <c r="V52" s="19"/>
      <c r="W52" s="14"/>
      <c r="X52" s="14"/>
      <c r="Y52" s="14"/>
      <c r="Z52" s="19"/>
      <c r="AA52" s="14"/>
      <c r="AB52" s="14"/>
      <c r="AC52" s="3"/>
      <c r="AD52" s="5"/>
      <c r="AE52" s="44"/>
      <c r="AF52" s="3"/>
      <c r="AG52" s="3"/>
      <c r="AH52" s="3"/>
      <c r="AI52" s="3"/>
    </row>
    <row r="53" spans="1:35">
      <c r="A53" s="3" t="s">
        <v>50</v>
      </c>
      <c r="B53" s="19"/>
      <c r="C53" s="14"/>
      <c r="D53" s="16"/>
      <c r="E53" s="14"/>
      <c r="F53" s="19"/>
      <c r="G53" s="14"/>
      <c r="H53" s="14"/>
      <c r="I53" s="14"/>
      <c r="J53" s="19"/>
      <c r="K53" s="14"/>
      <c r="L53" s="14"/>
      <c r="M53" s="14"/>
      <c r="N53" s="19"/>
      <c r="O53" s="14"/>
      <c r="P53" s="14"/>
      <c r="Q53" s="14"/>
      <c r="R53" s="19"/>
      <c r="S53" s="14"/>
      <c r="T53" s="14"/>
      <c r="U53" s="14"/>
      <c r="V53" s="19"/>
      <c r="W53" s="14"/>
      <c r="X53" s="14"/>
      <c r="Y53" s="14"/>
      <c r="Z53" s="19"/>
      <c r="AA53" s="14"/>
      <c r="AB53" s="14"/>
      <c r="AC53" s="3"/>
      <c r="AD53" s="5"/>
      <c r="AE53" s="44"/>
      <c r="AF53" s="3"/>
      <c r="AG53" s="3"/>
      <c r="AH53" s="3"/>
      <c r="AI53" s="3"/>
    </row>
    <row r="54" spans="1:35">
      <c r="A54" s="3" t="s">
        <v>119</v>
      </c>
      <c r="B54" s="19"/>
      <c r="C54" s="14"/>
      <c r="D54" s="16"/>
      <c r="E54" s="14"/>
      <c r="F54" s="19"/>
      <c r="G54" s="14"/>
      <c r="H54" s="14"/>
      <c r="I54" s="14"/>
      <c r="J54" s="19"/>
      <c r="K54" s="14"/>
      <c r="L54" s="14"/>
      <c r="M54" s="14"/>
      <c r="N54" s="19"/>
      <c r="O54" s="14"/>
      <c r="P54" s="14"/>
      <c r="Q54" s="14"/>
      <c r="R54" s="19"/>
      <c r="S54" s="14"/>
      <c r="T54" s="14"/>
      <c r="U54" s="14"/>
      <c r="V54" s="19"/>
      <c r="W54" s="14"/>
      <c r="X54" s="14"/>
      <c r="Y54" s="14"/>
      <c r="Z54" s="19"/>
      <c r="AA54" s="14"/>
      <c r="AB54" s="14"/>
      <c r="AC54" s="3"/>
      <c r="AD54" s="5"/>
      <c r="AE54" s="44"/>
      <c r="AF54" s="3"/>
      <c r="AG54" s="3"/>
      <c r="AH54" s="3"/>
      <c r="AI54" s="3"/>
    </row>
    <row r="55" spans="1:35">
      <c r="A55" s="47" t="s">
        <v>120</v>
      </c>
      <c r="B55" s="19"/>
      <c r="C55" s="14"/>
      <c r="D55" s="16"/>
      <c r="E55" s="14"/>
      <c r="F55" s="19"/>
      <c r="G55" s="14"/>
      <c r="H55" s="14"/>
      <c r="I55" s="14"/>
      <c r="J55" s="19"/>
      <c r="K55" s="14"/>
      <c r="L55" s="14"/>
      <c r="M55" s="14"/>
      <c r="N55" s="19"/>
      <c r="O55" s="14"/>
      <c r="P55" s="14"/>
      <c r="Q55" s="14"/>
      <c r="R55" s="19"/>
      <c r="S55" s="14"/>
      <c r="T55" s="14"/>
      <c r="U55" s="14"/>
      <c r="V55" s="19"/>
      <c r="W55" s="14"/>
      <c r="X55" s="14"/>
      <c r="Y55" s="14"/>
      <c r="Z55" s="19"/>
      <c r="AA55" s="14"/>
      <c r="AB55" s="14"/>
      <c r="AC55" s="3"/>
      <c r="AD55" s="5"/>
      <c r="AE55" s="44"/>
      <c r="AF55" s="3"/>
      <c r="AG55" s="3"/>
      <c r="AH55" s="3"/>
      <c r="AI55" s="3"/>
    </row>
    <row r="56" spans="1:35">
      <c r="A56" s="47" t="s">
        <v>95</v>
      </c>
      <c r="B56" s="19"/>
      <c r="C56" s="14"/>
      <c r="D56" s="16"/>
      <c r="E56" s="14"/>
      <c r="F56" s="19"/>
      <c r="G56" s="14"/>
      <c r="H56" s="14"/>
      <c r="I56" s="14"/>
      <c r="J56" s="19"/>
      <c r="K56" s="14"/>
      <c r="L56" s="14"/>
      <c r="M56" s="14"/>
      <c r="N56" s="19"/>
      <c r="O56" s="14"/>
      <c r="P56" s="14"/>
      <c r="Q56" s="14"/>
      <c r="R56" s="19"/>
      <c r="S56" s="14"/>
      <c r="T56" s="14"/>
      <c r="U56" s="14"/>
      <c r="V56" s="19"/>
      <c r="W56" s="14"/>
      <c r="X56" s="14"/>
      <c r="Y56" s="14"/>
      <c r="Z56" s="19"/>
      <c r="AA56" s="14"/>
      <c r="AB56" s="14"/>
      <c r="AC56" s="3"/>
      <c r="AD56" s="5"/>
      <c r="AE56" s="44"/>
      <c r="AF56" s="3"/>
      <c r="AG56" s="3"/>
      <c r="AH56" s="3"/>
      <c r="AI56" s="3"/>
    </row>
    <row r="57" spans="1:35">
      <c r="A57" s="47" t="s">
        <v>97</v>
      </c>
      <c r="B57" s="19"/>
      <c r="C57" s="14"/>
      <c r="D57" s="16"/>
      <c r="E57" s="14"/>
      <c r="F57" s="19"/>
      <c r="G57" s="14"/>
      <c r="H57" s="14"/>
      <c r="I57" s="14"/>
      <c r="J57" s="19"/>
      <c r="K57" s="14"/>
      <c r="L57" s="14"/>
      <c r="M57" s="14"/>
      <c r="N57" s="19"/>
      <c r="O57" s="14"/>
      <c r="P57" s="14"/>
      <c r="Q57" s="14"/>
      <c r="R57" s="19"/>
      <c r="S57" s="14"/>
      <c r="T57" s="14"/>
      <c r="U57" s="14"/>
      <c r="V57" s="19"/>
      <c r="W57" s="14"/>
      <c r="X57" s="14"/>
      <c r="Y57" s="14"/>
      <c r="Z57" s="19"/>
      <c r="AA57" s="14"/>
      <c r="AB57" s="14"/>
      <c r="AC57" s="3"/>
      <c r="AD57" s="5"/>
      <c r="AE57" s="44"/>
      <c r="AF57" s="3"/>
      <c r="AG57" s="3"/>
      <c r="AH57" s="3"/>
      <c r="AI57" s="3"/>
    </row>
    <row r="58" spans="1:35">
      <c r="A58" s="47" t="s">
        <v>98</v>
      </c>
      <c r="B58" s="19"/>
      <c r="C58" s="14"/>
      <c r="D58" s="16"/>
      <c r="E58" s="14"/>
      <c r="F58" s="19"/>
      <c r="G58" s="14"/>
      <c r="H58" s="14"/>
      <c r="I58" s="14"/>
      <c r="J58" s="19"/>
      <c r="K58" s="14"/>
      <c r="L58" s="14"/>
      <c r="M58" s="14"/>
      <c r="N58" s="19"/>
      <c r="O58" s="14"/>
      <c r="P58" s="14"/>
      <c r="Q58" s="14"/>
      <c r="R58" s="19"/>
      <c r="S58" s="14"/>
      <c r="T58" s="14"/>
      <c r="U58" s="14"/>
      <c r="V58" s="19"/>
      <c r="W58" s="14"/>
      <c r="X58" s="14"/>
      <c r="Y58" s="14"/>
      <c r="Z58" s="19"/>
      <c r="AA58" s="14"/>
      <c r="AB58" s="14"/>
      <c r="AC58" s="3"/>
      <c r="AD58" s="5"/>
      <c r="AE58" s="44"/>
      <c r="AF58" s="3"/>
      <c r="AG58" s="3"/>
      <c r="AH58" s="3"/>
      <c r="AI58" s="3"/>
    </row>
    <row r="59" spans="1:35">
      <c r="A59" s="47" t="s">
        <v>99</v>
      </c>
      <c r="B59" s="19"/>
      <c r="C59" s="14"/>
      <c r="D59" s="16"/>
      <c r="E59" s="14"/>
      <c r="F59" s="19"/>
      <c r="G59" s="14"/>
      <c r="H59" s="14"/>
      <c r="I59" s="14"/>
      <c r="J59" s="19"/>
      <c r="K59" s="14"/>
      <c r="L59" s="14"/>
      <c r="M59" s="14"/>
      <c r="N59" s="19"/>
      <c r="O59" s="14"/>
      <c r="P59" s="14"/>
      <c r="Q59" s="14"/>
      <c r="R59" s="19"/>
      <c r="S59" s="14"/>
      <c r="T59" s="14"/>
      <c r="U59" s="14"/>
      <c r="V59" s="19"/>
      <c r="W59" s="14"/>
      <c r="X59" s="14"/>
      <c r="Y59" s="14"/>
      <c r="Z59" s="19"/>
      <c r="AA59" s="14"/>
      <c r="AB59" s="14"/>
      <c r="AC59" s="3"/>
      <c r="AD59" s="5"/>
      <c r="AE59" s="44"/>
      <c r="AF59" s="3"/>
      <c r="AG59" s="3"/>
      <c r="AH59" s="3"/>
      <c r="AI59" s="3"/>
    </row>
    <row r="60" spans="1:35">
      <c r="A60" s="14"/>
      <c r="B60" s="19"/>
      <c r="C60" s="14"/>
      <c r="D60" s="16"/>
      <c r="E60" s="14"/>
      <c r="F60" s="19"/>
      <c r="G60" s="14"/>
      <c r="H60" s="14"/>
      <c r="I60" s="14"/>
      <c r="J60" s="19"/>
      <c r="K60" s="14"/>
      <c r="L60" s="14"/>
      <c r="M60" s="14"/>
      <c r="N60" s="19"/>
      <c r="O60" s="14"/>
      <c r="P60" s="14"/>
      <c r="Q60" s="14"/>
      <c r="R60" s="19"/>
      <c r="S60" s="14"/>
      <c r="T60" s="14"/>
      <c r="U60" s="14"/>
      <c r="V60" s="19"/>
      <c r="W60" s="14"/>
      <c r="X60" s="14"/>
      <c r="Y60" s="14"/>
      <c r="Z60" s="19"/>
      <c r="AA60" s="14"/>
      <c r="AB60" s="14"/>
      <c r="AC60" s="3"/>
      <c r="AD60" s="5"/>
      <c r="AE60" s="44"/>
      <c r="AF60" s="3"/>
      <c r="AG60" s="3"/>
      <c r="AH60" s="3"/>
      <c r="AI60" s="3"/>
    </row>
    <row r="61" spans="1:35">
      <c r="A61" s="47" t="s">
        <v>96</v>
      </c>
      <c r="B61" s="19"/>
      <c r="C61" s="14"/>
      <c r="D61" s="16"/>
      <c r="E61" s="14"/>
      <c r="F61" s="19"/>
      <c r="G61" s="14"/>
      <c r="H61" s="14"/>
      <c r="I61" s="14"/>
      <c r="J61" s="19"/>
      <c r="K61" s="14"/>
      <c r="L61" s="14"/>
      <c r="M61" s="14"/>
      <c r="N61" s="19"/>
      <c r="O61" s="14"/>
      <c r="P61" s="14"/>
      <c r="Q61" s="14"/>
      <c r="R61" s="19"/>
      <c r="S61" s="14"/>
      <c r="T61" s="14"/>
      <c r="U61" s="14"/>
      <c r="V61" s="19"/>
      <c r="W61" s="14"/>
      <c r="X61" s="14"/>
      <c r="Y61" s="14"/>
      <c r="Z61" s="19"/>
      <c r="AA61" s="14"/>
      <c r="AB61" s="14"/>
      <c r="AC61" s="3"/>
      <c r="AD61" s="5"/>
      <c r="AE61" s="44"/>
      <c r="AF61" s="3"/>
      <c r="AG61" s="3"/>
      <c r="AH61" s="3"/>
      <c r="AI61" s="3"/>
    </row>
    <row r="62" spans="1:35">
      <c r="A62" s="47" t="s">
        <v>100</v>
      </c>
      <c r="B62" s="19"/>
      <c r="C62" s="14"/>
      <c r="D62" s="16"/>
      <c r="E62" s="14"/>
      <c r="F62" s="19"/>
      <c r="G62" s="14"/>
      <c r="H62" s="14"/>
      <c r="I62" s="14"/>
      <c r="J62" s="19"/>
      <c r="K62" s="14"/>
      <c r="L62" s="14"/>
      <c r="M62" s="14"/>
      <c r="N62" s="19"/>
      <c r="O62" s="14"/>
      <c r="P62" s="14"/>
      <c r="Q62" s="14"/>
      <c r="R62" s="19"/>
      <c r="S62" s="14"/>
      <c r="T62" s="14"/>
      <c r="U62" s="14"/>
      <c r="V62" s="19"/>
      <c r="W62" s="14"/>
      <c r="X62" s="14"/>
      <c r="Y62" s="14"/>
      <c r="Z62" s="19"/>
      <c r="AA62" s="14"/>
      <c r="AB62" s="14"/>
      <c r="AC62" s="3"/>
      <c r="AD62" s="5"/>
      <c r="AE62" s="44"/>
      <c r="AF62" s="3"/>
      <c r="AG62" s="3"/>
      <c r="AH62" s="3"/>
      <c r="AI62" s="3"/>
    </row>
    <row r="63" spans="1:35">
      <c r="A63" s="47" t="s">
        <v>101</v>
      </c>
      <c r="B63" s="19"/>
      <c r="C63" s="14"/>
      <c r="D63" s="16"/>
      <c r="E63" s="14"/>
      <c r="F63" s="19"/>
      <c r="G63" s="14"/>
      <c r="H63" s="14"/>
      <c r="I63" s="14"/>
      <c r="J63" s="19"/>
      <c r="K63" s="14"/>
      <c r="L63" s="14"/>
      <c r="M63" s="14"/>
      <c r="N63" s="19"/>
      <c r="O63" s="14"/>
      <c r="P63" s="14"/>
      <c r="Q63" s="14"/>
      <c r="R63" s="19"/>
      <c r="S63" s="14"/>
      <c r="T63" s="14"/>
      <c r="U63" s="14"/>
      <c r="V63" s="19"/>
      <c r="W63" s="14"/>
      <c r="X63" s="14"/>
      <c r="Y63" s="14"/>
      <c r="Z63" s="19"/>
      <c r="AA63" s="14"/>
      <c r="AB63" s="14"/>
      <c r="AC63" s="3"/>
      <c r="AD63" s="5"/>
      <c r="AE63" s="44"/>
      <c r="AF63" s="3"/>
      <c r="AG63" s="3"/>
      <c r="AH63" s="3"/>
      <c r="AI63" s="3"/>
    </row>
    <row r="64" spans="1:35">
      <c r="A64" s="14"/>
      <c r="B64" s="19"/>
      <c r="C64" s="14"/>
      <c r="D64" s="16"/>
      <c r="E64" s="14"/>
      <c r="F64" s="19"/>
      <c r="G64" s="14"/>
      <c r="H64" s="14"/>
      <c r="I64" s="14"/>
      <c r="J64" s="19"/>
      <c r="K64" s="14"/>
      <c r="L64" s="14"/>
      <c r="M64" s="14"/>
      <c r="N64" s="19"/>
      <c r="O64" s="14"/>
      <c r="P64" s="14"/>
      <c r="Q64" s="14"/>
      <c r="R64" s="19"/>
      <c r="S64" s="14"/>
      <c r="T64" s="14"/>
      <c r="U64" s="14"/>
      <c r="V64" s="19"/>
      <c r="W64" s="14"/>
      <c r="X64" s="14"/>
      <c r="Y64" s="14"/>
      <c r="Z64" s="19"/>
      <c r="AA64" s="14"/>
      <c r="AB64" s="14"/>
      <c r="AC64" s="3"/>
      <c r="AD64" s="5"/>
      <c r="AE64" s="44"/>
      <c r="AF64" s="3"/>
      <c r="AG64" s="3"/>
      <c r="AH64" s="3"/>
      <c r="AI64" s="3"/>
    </row>
    <row r="65" spans="1:35">
      <c r="A65" s="47" t="s">
        <v>52</v>
      </c>
      <c r="B65" s="19"/>
      <c r="C65" s="14"/>
      <c r="D65" s="16"/>
      <c r="E65" s="14"/>
      <c r="F65" s="19"/>
      <c r="G65" s="14"/>
      <c r="H65" s="14"/>
      <c r="I65" s="14"/>
      <c r="J65" s="19"/>
      <c r="K65" s="14"/>
      <c r="L65" s="14"/>
      <c r="M65" s="14"/>
      <c r="N65" s="19"/>
      <c r="O65" s="14"/>
      <c r="P65" s="14"/>
      <c r="Q65" s="14"/>
      <c r="R65" s="19"/>
      <c r="S65" s="14"/>
      <c r="T65" s="14"/>
      <c r="U65" s="14"/>
      <c r="V65" s="19"/>
      <c r="W65" s="14"/>
      <c r="X65" s="14"/>
      <c r="Y65" s="14"/>
      <c r="Z65" s="19"/>
      <c r="AA65" s="14"/>
      <c r="AB65" s="14"/>
      <c r="AC65" s="3"/>
      <c r="AD65" s="5"/>
      <c r="AE65" s="44"/>
      <c r="AF65" s="3"/>
      <c r="AG65" s="3"/>
      <c r="AH65" s="3"/>
      <c r="AI65" s="3"/>
    </row>
    <row r="66" spans="1:35">
      <c r="B66" s="19"/>
      <c r="C66" s="14"/>
      <c r="D66" s="16"/>
      <c r="E66" s="14"/>
      <c r="F66" s="19"/>
      <c r="G66" s="14"/>
      <c r="H66" s="14"/>
      <c r="I66" s="14"/>
      <c r="J66" s="19"/>
      <c r="K66" s="14"/>
      <c r="L66" s="14"/>
      <c r="M66" s="14"/>
      <c r="N66" s="19"/>
      <c r="O66" s="14"/>
      <c r="P66" s="14"/>
      <c r="Q66" s="14"/>
      <c r="R66" s="19"/>
      <c r="S66" s="14"/>
      <c r="T66" s="14"/>
      <c r="U66" s="14"/>
      <c r="V66" s="19"/>
      <c r="W66" s="14"/>
      <c r="X66" s="14"/>
      <c r="Y66" s="14"/>
      <c r="Z66" s="19"/>
      <c r="AA66" s="14"/>
      <c r="AB66" s="14"/>
      <c r="AC66" s="3"/>
      <c r="AD66" s="5"/>
      <c r="AE66" s="44"/>
      <c r="AF66" s="3"/>
      <c r="AG66" s="3"/>
      <c r="AH66" s="3"/>
      <c r="AI66" s="3"/>
    </row>
    <row r="67" spans="1:35">
      <c r="A67" s="14"/>
      <c r="B67" s="19"/>
      <c r="C67" s="14"/>
      <c r="D67" s="16"/>
      <c r="E67" s="14"/>
      <c r="F67" s="19"/>
      <c r="G67" s="14"/>
      <c r="H67" s="14"/>
      <c r="I67" s="14"/>
      <c r="J67" s="19"/>
      <c r="K67" s="14"/>
      <c r="L67" s="14"/>
      <c r="M67" s="14"/>
      <c r="N67" s="19"/>
      <c r="O67" s="14"/>
      <c r="P67" s="14"/>
      <c r="Q67" s="14"/>
      <c r="R67" s="19"/>
      <c r="S67" s="14"/>
      <c r="T67" s="14"/>
      <c r="U67" s="14"/>
      <c r="V67" s="19"/>
      <c r="W67" s="14"/>
      <c r="X67" s="14"/>
      <c r="Y67" s="14"/>
      <c r="Z67" s="19"/>
      <c r="AA67" s="14"/>
      <c r="AB67" s="14"/>
      <c r="AC67" s="3"/>
      <c r="AD67" s="5"/>
      <c r="AE67" s="44"/>
      <c r="AF67" s="3"/>
      <c r="AG67" s="3"/>
      <c r="AH67" s="3"/>
      <c r="AI67" s="3"/>
    </row>
    <row r="68" spans="1:35">
      <c r="A68" s="14"/>
      <c r="B68" s="19"/>
      <c r="C68" s="14"/>
      <c r="D68" s="16"/>
      <c r="E68" s="14"/>
      <c r="F68" s="19"/>
      <c r="G68" s="14"/>
      <c r="H68" s="14"/>
      <c r="I68" s="14"/>
      <c r="J68" s="19"/>
      <c r="K68" s="14"/>
      <c r="L68" s="14"/>
      <c r="M68" s="14"/>
      <c r="N68" s="19"/>
      <c r="O68" s="14"/>
      <c r="P68" s="14"/>
      <c r="Q68" s="14"/>
      <c r="R68" s="19"/>
      <c r="S68" s="14"/>
      <c r="T68" s="14"/>
      <c r="U68" s="14"/>
      <c r="V68" s="19"/>
      <c r="W68" s="14"/>
      <c r="X68" s="14"/>
      <c r="Y68" s="14"/>
      <c r="Z68" s="19"/>
      <c r="AA68" s="14"/>
      <c r="AB68" s="14"/>
      <c r="AC68" s="3"/>
      <c r="AD68" s="5"/>
      <c r="AE68" s="44"/>
      <c r="AF68" s="3"/>
      <c r="AG68" s="3"/>
      <c r="AH68" s="3"/>
      <c r="AI68" s="3"/>
    </row>
    <row r="69" spans="1:35">
      <c r="A69" s="14"/>
      <c r="B69" s="19"/>
      <c r="C69" s="14"/>
      <c r="D69" s="16"/>
      <c r="E69" s="14"/>
      <c r="F69" s="19"/>
      <c r="G69" s="14"/>
      <c r="H69" s="14"/>
      <c r="I69" s="14"/>
      <c r="J69" s="19"/>
      <c r="K69" s="14"/>
      <c r="L69" s="14"/>
      <c r="M69" s="14"/>
      <c r="N69" s="19"/>
      <c r="O69" s="14"/>
      <c r="P69" s="14"/>
      <c r="Q69" s="14"/>
      <c r="R69" s="19"/>
      <c r="S69" s="14"/>
      <c r="T69" s="14"/>
      <c r="U69" s="14"/>
      <c r="V69" s="19"/>
      <c r="W69" s="14"/>
      <c r="X69" s="14"/>
      <c r="Y69" s="14"/>
      <c r="Z69" s="19"/>
      <c r="AA69" s="14"/>
      <c r="AB69" s="14"/>
      <c r="AC69" s="3"/>
      <c r="AD69" s="5"/>
      <c r="AE69" s="44"/>
      <c r="AF69" s="3"/>
      <c r="AG69" s="3"/>
      <c r="AH69" s="3"/>
      <c r="AI69" s="3"/>
    </row>
    <row r="70" spans="1:35">
      <c r="A70" s="14"/>
      <c r="B70" s="19"/>
      <c r="C70" s="14"/>
      <c r="D70" s="16"/>
      <c r="E70" s="14"/>
      <c r="F70" s="19"/>
      <c r="G70" s="14"/>
      <c r="H70" s="14"/>
      <c r="I70" s="14"/>
      <c r="J70" s="19"/>
      <c r="K70" s="14"/>
      <c r="L70" s="14"/>
      <c r="M70" s="14"/>
      <c r="N70" s="19"/>
      <c r="O70" s="14"/>
      <c r="P70" s="14"/>
      <c r="Q70" s="14"/>
      <c r="R70" s="19"/>
      <c r="S70" s="14"/>
      <c r="T70" s="14"/>
      <c r="U70" s="14"/>
      <c r="V70" s="19"/>
      <c r="W70" s="14"/>
      <c r="X70" s="14"/>
      <c r="Y70" s="14"/>
      <c r="Z70" s="19"/>
      <c r="AA70" s="14"/>
      <c r="AB70" s="14"/>
      <c r="AC70" s="3"/>
      <c r="AD70" s="5"/>
      <c r="AE70" s="44"/>
      <c r="AF70" s="3"/>
      <c r="AG70" s="3"/>
      <c r="AH70" s="3"/>
      <c r="AI70" s="3"/>
    </row>
    <row r="71" spans="1:35">
      <c r="A71" s="14"/>
      <c r="B71" s="19"/>
      <c r="C71" s="14"/>
      <c r="D71" s="16"/>
      <c r="E71" s="14"/>
      <c r="F71" s="19"/>
      <c r="G71" s="14"/>
      <c r="H71" s="14"/>
      <c r="I71" s="14"/>
      <c r="J71" s="19"/>
      <c r="K71" s="14"/>
      <c r="L71" s="14"/>
      <c r="M71" s="14"/>
      <c r="N71" s="19"/>
      <c r="O71" s="14"/>
      <c r="P71" s="14"/>
      <c r="Q71" s="14"/>
      <c r="R71" s="19"/>
      <c r="S71" s="14"/>
      <c r="T71" s="14"/>
      <c r="U71" s="14"/>
      <c r="V71" s="19"/>
      <c r="W71" s="14"/>
      <c r="X71" s="14"/>
      <c r="Y71" s="14"/>
      <c r="Z71" s="19"/>
      <c r="AA71" s="14"/>
      <c r="AB71" s="14"/>
      <c r="AC71" s="3"/>
      <c r="AD71" s="5"/>
      <c r="AE71" s="44"/>
      <c r="AF71" s="3"/>
      <c r="AG71" s="3"/>
      <c r="AH71" s="3"/>
      <c r="AI71" s="3"/>
    </row>
    <row r="72" spans="1:35">
      <c r="A72" s="14"/>
      <c r="B72" s="19"/>
      <c r="C72" s="14"/>
      <c r="D72" s="16"/>
      <c r="E72" s="14"/>
      <c r="F72" s="19"/>
      <c r="G72" s="14"/>
      <c r="H72" s="14"/>
      <c r="I72" s="14"/>
      <c r="J72" s="19"/>
      <c r="K72" s="14"/>
      <c r="L72" s="14"/>
      <c r="M72" s="14"/>
      <c r="N72" s="19"/>
      <c r="O72" s="14"/>
      <c r="P72" s="14"/>
      <c r="Q72" s="14"/>
      <c r="R72" s="19"/>
      <c r="S72" s="14"/>
      <c r="T72" s="14"/>
      <c r="U72" s="14"/>
      <c r="V72" s="19"/>
      <c r="W72" s="14"/>
      <c r="X72" s="14"/>
      <c r="Y72" s="14"/>
      <c r="Z72" s="19"/>
      <c r="AA72" s="14"/>
      <c r="AB72" s="14"/>
      <c r="AC72" s="3"/>
      <c r="AD72" s="5"/>
      <c r="AE72" s="44"/>
      <c r="AF72" s="3"/>
      <c r="AG72" s="3"/>
      <c r="AH72" s="3"/>
      <c r="AI72" s="3"/>
    </row>
    <row r="73" spans="1:35">
      <c r="A73" s="14"/>
      <c r="B73" s="19"/>
      <c r="C73" s="14"/>
      <c r="D73" s="16"/>
      <c r="E73" s="14"/>
      <c r="F73" s="19"/>
      <c r="G73" s="14"/>
      <c r="H73" s="14"/>
      <c r="I73" s="14"/>
      <c r="J73" s="19"/>
      <c r="K73" s="14"/>
      <c r="L73" s="14"/>
      <c r="M73" s="14"/>
      <c r="N73" s="19"/>
      <c r="O73" s="14"/>
      <c r="P73" s="14"/>
      <c r="Q73" s="14"/>
      <c r="R73" s="19"/>
      <c r="S73" s="14"/>
      <c r="T73" s="14"/>
      <c r="U73" s="14"/>
      <c r="V73" s="19"/>
      <c r="W73" s="14"/>
      <c r="X73" s="14"/>
      <c r="Y73" s="14"/>
      <c r="Z73" s="19"/>
      <c r="AA73" s="14"/>
      <c r="AB73" s="14"/>
      <c r="AC73" s="3"/>
      <c r="AD73" s="5"/>
      <c r="AE73" s="44"/>
      <c r="AF73" s="3"/>
      <c r="AG73" s="3"/>
      <c r="AH73" s="3"/>
      <c r="AI73" s="3"/>
    </row>
    <row r="74" spans="1:35">
      <c r="A74" s="14"/>
      <c r="B74" s="19"/>
      <c r="C74" s="14"/>
      <c r="D74" s="16"/>
      <c r="E74" s="14"/>
      <c r="F74" s="19"/>
      <c r="G74" s="14"/>
      <c r="H74" s="14"/>
      <c r="I74" s="14"/>
      <c r="J74" s="19"/>
      <c r="K74" s="14"/>
      <c r="L74" s="14"/>
      <c r="M74" s="14"/>
      <c r="N74" s="19"/>
      <c r="O74" s="14"/>
      <c r="P74" s="14"/>
      <c r="Q74" s="14"/>
      <c r="R74" s="19"/>
      <c r="S74" s="14"/>
      <c r="T74" s="14"/>
      <c r="U74" s="14"/>
      <c r="V74" s="19"/>
      <c r="W74" s="14"/>
      <c r="X74" s="14"/>
      <c r="Y74" s="14"/>
      <c r="Z74" s="19"/>
      <c r="AA74" s="14"/>
      <c r="AB74" s="14"/>
      <c r="AC74" s="3"/>
      <c r="AD74" s="5"/>
      <c r="AE74" s="44"/>
      <c r="AF74" s="3"/>
      <c r="AG74" s="3"/>
      <c r="AH74" s="3"/>
      <c r="AI74" s="3"/>
    </row>
    <row r="75" spans="1:35">
      <c r="A75" s="14"/>
      <c r="B75" s="19"/>
      <c r="C75" s="14"/>
      <c r="D75" s="16"/>
      <c r="E75" s="14"/>
      <c r="F75" s="19"/>
      <c r="G75" s="14"/>
      <c r="H75" s="14"/>
      <c r="I75" s="14"/>
      <c r="J75" s="19"/>
      <c r="K75" s="14"/>
      <c r="L75" s="14"/>
      <c r="M75" s="14"/>
      <c r="N75" s="19"/>
      <c r="O75" s="14"/>
      <c r="P75" s="14"/>
      <c r="Q75" s="14"/>
      <c r="R75" s="19"/>
      <c r="S75" s="14"/>
      <c r="T75" s="14"/>
      <c r="U75" s="14"/>
      <c r="V75" s="19"/>
      <c r="W75" s="14"/>
      <c r="X75" s="14"/>
      <c r="Y75" s="14"/>
      <c r="Z75" s="19"/>
      <c r="AA75" s="14"/>
      <c r="AB75" s="14"/>
      <c r="AC75" s="3"/>
      <c r="AD75" s="5"/>
      <c r="AE75" s="44"/>
      <c r="AF75" s="3"/>
      <c r="AG75" s="3"/>
      <c r="AH75" s="3"/>
      <c r="AI75" s="3"/>
    </row>
    <row r="76" spans="1:35">
      <c r="A76" s="14"/>
      <c r="B76" s="19"/>
      <c r="C76" s="14"/>
      <c r="D76" s="16"/>
      <c r="E76" s="14"/>
      <c r="F76" s="19"/>
      <c r="G76" s="14"/>
      <c r="H76" s="14"/>
      <c r="I76" s="14"/>
      <c r="J76" s="19"/>
      <c r="K76" s="14"/>
      <c r="L76" s="14"/>
      <c r="M76" s="14"/>
      <c r="N76" s="19"/>
      <c r="O76" s="14"/>
      <c r="P76" s="14"/>
      <c r="Q76" s="14"/>
      <c r="R76" s="19"/>
      <c r="S76" s="14"/>
      <c r="T76" s="14"/>
      <c r="U76" s="14"/>
      <c r="V76" s="19"/>
      <c r="W76" s="14"/>
      <c r="X76" s="14"/>
      <c r="Y76" s="14"/>
      <c r="Z76" s="19"/>
      <c r="AA76" s="14"/>
      <c r="AB76" s="14"/>
      <c r="AC76" s="3"/>
      <c r="AD76" s="5"/>
      <c r="AE76" s="44"/>
      <c r="AF76" s="3"/>
      <c r="AG76" s="3"/>
      <c r="AH76" s="3"/>
      <c r="AI76" s="3"/>
    </row>
    <row r="77" spans="1:35">
      <c r="A77" s="14"/>
      <c r="B77" s="19"/>
      <c r="C77" s="14"/>
      <c r="D77" s="16"/>
      <c r="E77" s="14"/>
      <c r="F77" s="19"/>
      <c r="G77" s="14"/>
      <c r="H77" s="14"/>
      <c r="I77" s="14"/>
      <c r="J77" s="19"/>
      <c r="K77" s="14"/>
      <c r="L77" s="14"/>
      <c r="M77" s="14"/>
      <c r="N77" s="19"/>
      <c r="O77" s="14"/>
      <c r="P77" s="14"/>
      <c r="Q77" s="14"/>
      <c r="R77" s="19"/>
      <c r="S77" s="14"/>
      <c r="T77" s="14"/>
      <c r="U77" s="14"/>
      <c r="V77" s="19"/>
      <c r="W77" s="14"/>
      <c r="X77" s="14"/>
      <c r="Y77" s="14"/>
      <c r="Z77" s="19"/>
      <c r="AA77" s="14"/>
      <c r="AB77" s="14"/>
      <c r="AC77" s="3"/>
      <c r="AD77" s="5"/>
      <c r="AE77" s="44"/>
      <c r="AF77" s="3"/>
      <c r="AG77" s="3"/>
      <c r="AH77" s="3"/>
      <c r="AI77" s="3"/>
    </row>
    <row r="78" spans="1:35">
      <c r="A78" s="14"/>
      <c r="B78" s="19"/>
      <c r="C78" s="14"/>
      <c r="D78" s="16"/>
      <c r="E78" s="14"/>
      <c r="F78" s="19"/>
      <c r="G78" s="14"/>
      <c r="H78" s="14"/>
      <c r="I78" s="14"/>
      <c r="J78" s="19"/>
      <c r="K78" s="14"/>
      <c r="L78" s="14"/>
      <c r="M78" s="14"/>
      <c r="N78" s="19"/>
      <c r="O78" s="14"/>
      <c r="P78" s="14"/>
      <c r="Q78" s="14"/>
      <c r="R78" s="19"/>
      <c r="S78" s="14"/>
      <c r="T78" s="14"/>
      <c r="U78" s="14"/>
      <c r="V78" s="19"/>
      <c r="W78" s="14"/>
      <c r="X78" s="14"/>
      <c r="Y78" s="14"/>
      <c r="Z78" s="19"/>
      <c r="AA78" s="14"/>
      <c r="AB78" s="14"/>
      <c r="AC78" s="3"/>
      <c r="AD78" s="5"/>
      <c r="AE78" s="44"/>
      <c r="AF78" s="3"/>
      <c r="AG78" s="3"/>
      <c r="AH78" s="3"/>
      <c r="AI78" s="3"/>
    </row>
    <row r="79" spans="1:35">
      <c r="A79" s="14"/>
      <c r="B79" s="19"/>
      <c r="C79" s="14"/>
      <c r="D79" s="16"/>
      <c r="E79" s="14"/>
      <c r="F79" s="19"/>
      <c r="G79" s="14"/>
      <c r="H79" s="14"/>
      <c r="I79" s="14"/>
      <c r="J79" s="19"/>
      <c r="K79" s="14"/>
      <c r="L79" s="14"/>
      <c r="M79" s="14"/>
      <c r="N79" s="19"/>
      <c r="O79" s="14"/>
      <c r="P79" s="14"/>
      <c r="Q79" s="14"/>
      <c r="R79" s="19"/>
      <c r="S79" s="14"/>
      <c r="T79" s="14"/>
      <c r="U79" s="14"/>
      <c r="V79" s="19"/>
      <c r="W79" s="14"/>
      <c r="X79" s="14"/>
      <c r="Y79" s="14"/>
      <c r="Z79" s="19"/>
      <c r="AA79" s="14"/>
      <c r="AB79" s="14"/>
      <c r="AC79" s="3"/>
      <c r="AD79" s="5"/>
      <c r="AE79" s="44"/>
      <c r="AF79" s="3"/>
      <c r="AG79" s="3"/>
      <c r="AH79" s="3"/>
      <c r="AI79" s="3"/>
    </row>
    <row r="80" spans="1:35">
      <c r="A80" s="14"/>
      <c r="B80" s="19"/>
      <c r="C80" s="14"/>
      <c r="D80" s="16"/>
      <c r="E80" s="14"/>
      <c r="F80" s="19"/>
      <c r="G80" s="14"/>
      <c r="H80" s="14"/>
      <c r="I80" s="14"/>
      <c r="J80" s="19"/>
      <c r="K80" s="14"/>
      <c r="L80" s="14"/>
      <c r="M80" s="14"/>
      <c r="N80" s="19"/>
      <c r="O80" s="14"/>
      <c r="P80" s="14"/>
      <c r="Q80" s="14"/>
      <c r="R80" s="19"/>
      <c r="S80" s="14"/>
      <c r="T80" s="14"/>
      <c r="U80" s="14"/>
      <c r="V80" s="19"/>
      <c r="W80" s="14"/>
      <c r="X80" s="14"/>
      <c r="Y80" s="14"/>
      <c r="Z80" s="19"/>
      <c r="AA80" s="14"/>
      <c r="AB80" s="14"/>
      <c r="AC80" s="3"/>
      <c r="AD80" s="5"/>
      <c r="AE80" s="44"/>
      <c r="AF80" s="3"/>
      <c r="AG80" s="3"/>
      <c r="AH80" s="3"/>
      <c r="AI80" s="3"/>
    </row>
    <row r="81" spans="1:35">
      <c r="A81" s="14"/>
      <c r="B81" s="19"/>
      <c r="C81" s="14"/>
      <c r="D81" s="16"/>
      <c r="E81" s="14"/>
      <c r="F81" s="19"/>
      <c r="G81" s="14"/>
      <c r="H81" s="14"/>
      <c r="I81" s="14"/>
      <c r="J81" s="19"/>
      <c r="K81" s="14"/>
      <c r="L81" s="14"/>
      <c r="M81" s="14"/>
      <c r="N81" s="19"/>
      <c r="O81" s="14"/>
      <c r="P81" s="14"/>
      <c r="Q81" s="14"/>
      <c r="R81" s="19"/>
      <c r="S81" s="14"/>
      <c r="T81" s="14"/>
      <c r="U81" s="14"/>
      <c r="V81" s="19"/>
      <c r="W81" s="14"/>
      <c r="X81" s="14"/>
      <c r="Y81" s="14"/>
      <c r="Z81" s="19"/>
      <c r="AA81" s="14"/>
      <c r="AB81" s="14"/>
      <c r="AC81" s="3"/>
      <c r="AD81" s="5"/>
      <c r="AE81" s="44"/>
      <c r="AF81" s="3"/>
      <c r="AG81" s="3"/>
      <c r="AH81" s="3"/>
      <c r="AI81" s="3"/>
    </row>
    <row r="82" spans="1:35">
      <c r="A82" s="14"/>
      <c r="B82" s="19"/>
      <c r="C82" s="14"/>
      <c r="D82" s="16"/>
      <c r="E82" s="14"/>
      <c r="F82" s="19"/>
      <c r="G82" s="14"/>
      <c r="H82" s="14"/>
      <c r="I82" s="14"/>
      <c r="J82" s="19"/>
      <c r="K82" s="14"/>
      <c r="L82" s="14"/>
      <c r="M82" s="14"/>
      <c r="N82" s="19"/>
      <c r="O82" s="14"/>
      <c r="P82" s="14"/>
      <c r="Q82" s="14"/>
      <c r="R82" s="19"/>
      <c r="S82" s="14"/>
      <c r="T82" s="14"/>
      <c r="U82" s="14"/>
      <c r="V82" s="19"/>
      <c r="W82" s="14"/>
      <c r="X82" s="14"/>
      <c r="Y82" s="14"/>
      <c r="Z82" s="19"/>
      <c r="AA82" s="14"/>
      <c r="AB82" s="14"/>
      <c r="AC82" s="3"/>
      <c r="AD82" s="5"/>
      <c r="AE82" s="44"/>
      <c r="AF82" s="3"/>
      <c r="AG82" s="3"/>
      <c r="AH82" s="3"/>
      <c r="AI82" s="3"/>
    </row>
    <row r="83" spans="1:35">
      <c r="A83" s="14"/>
      <c r="B83" s="19"/>
      <c r="C83" s="14"/>
      <c r="D83" s="16"/>
      <c r="E83" s="14"/>
      <c r="F83" s="19"/>
      <c r="G83" s="14"/>
      <c r="H83" s="14"/>
      <c r="I83" s="14"/>
      <c r="J83" s="19"/>
      <c r="K83" s="14"/>
      <c r="L83" s="14"/>
      <c r="M83" s="14"/>
      <c r="N83" s="19"/>
      <c r="O83" s="14"/>
      <c r="P83" s="14"/>
      <c r="Q83" s="14"/>
      <c r="R83" s="19"/>
      <c r="S83" s="14"/>
      <c r="T83" s="14"/>
      <c r="U83" s="14"/>
      <c r="V83" s="19"/>
      <c r="W83" s="14"/>
      <c r="X83" s="14"/>
      <c r="Y83" s="14"/>
      <c r="Z83" s="19"/>
      <c r="AA83" s="14"/>
      <c r="AB83" s="14"/>
      <c r="AC83" s="3"/>
      <c r="AD83" s="5"/>
      <c r="AE83" s="44"/>
      <c r="AF83" s="3"/>
      <c r="AG83" s="3"/>
      <c r="AH83" s="3"/>
      <c r="AI83" s="3"/>
    </row>
    <row r="84" spans="1:35">
      <c r="A84" s="14"/>
      <c r="B84" s="19"/>
      <c r="C84" s="14"/>
      <c r="D84" s="16"/>
      <c r="E84" s="14"/>
      <c r="F84" s="19"/>
      <c r="G84" s="14"/>
      <c r="H84" s="14"/>
      <c r="I84" s="14"/>
      <c r="J84" s="19"/>
      <c r="K84" s="14"/>
      <c r="L84" s="14"/>
      <c r="M84" s="14"/>
      <c r="N84" s="19"/>
      <c r="O84" s="14"/>
      <c r="P84" s="14"/>
      <c r="Q84" s="14"/>
      <c r="R84" s="19"/>
      <c r="S84" s="14"/>
      <c r="T84" s="14"/>
      <c r="U84" s="14"/>
      <c r="V84" s="19"/>
      <c r="W84" s="14"/>
      <c r="X84" s="14"/>
      <c r="Y84" s="14"/>
      <c r="Z84" s="19"/>
      <c r="AA84" s="14"/>
      <c r="AB84" s="14"/>
      <c r="AC84" s="3"/>
      <c r="AD84" s="5"/>
      <c r="AE84" s="44"/>
      <c r="AF84" s="3"/>
      <c r="AG84" s="3"/>
      <c r="AH84" s="3"/>
      <c r="AI84" s="3"/>
    </row>
    <row r="85" spans="1:35">
      <c r="A85" s="14"/>
      <c r="B85" s="19"/>
      <c r="C85" s="14"/>
      <c r="D85" s="16"/>
      <c r="E85" s="14"/>
      <c r="F85" s="19"/>
      <c r="G85" s="14"/>
      <c r="H85" s="14"/>
      <c r="I85" s="14"/>
      <c r="J85" s="19"/>
      <c r="K85" s="14"/>
      <c r="L85" s="14"/>
      <c r="M85" s="14"/>
      <c r="N85" s="19"/>
      <c r="O85" s="14"/>
      <c r="P85" s="14"/>
      <c r="Q85" s="14"/>
      <c r="R85" s="19"/>
      <c r="S85" s="14"/>
      <c r="T85" s="14"/>
      <c r="U85" s="14"/>
      <c r="V85" s="19"/>
      <c r="W85" s="14"/>
      <c r="X85" s="14"/>
      <c r="Y85" s="14"/>
      <c r="Z85" s="19"/>
      <c r="AA85" s="14"/>
      <c r="AB85" s="14"/>
      <c r="AC85" s="3"/>
      <c r="AD85" s="5"/>
      <c r="AE85" s="44"/>
      <c r="AF85" s="3"/>
      <c r="AG85" s="3"/>
      <c r="AH85" s="3"/>
      <c r="AI85" s="3"/>
    </row>
    <row r="86" spans="1:35">
      <c r="A86" s="14"/>
      <c r="B86" s="19"/>
      <c r="C86" s="14"/>
      <c r="D86" s="16"/>
      <c r="E86" s="14"/>
      <c r="F86" s="19"/>
      <c r="G86" s="14"/>
      <c r="H86" s="14"/>
      <c r="I86" s="14"/>
      <c r="J86" s="19"/>
      <c r="K86" s="14"/>
      <c r="L86" s="14"/>
      <c r="M86" s="14"/>
      <c r="N86" s="19"/>
      <c r="O86" s="14"/>
      <c r="P86" s="14"/>
      <c r="Q86" s="14"/>
      <c r="R86" s="19"/>
      <c r="S86" s="14"/>
      <c r="T86" s="14"/>
      <c r="U86" s="14"/>
      <c r="V86" s="19"/>
      <c r="W86" s="14"/>
      <c r="X86" s="14"/>
      <c r="Y86" s="14"/>
      <c r="Z86" s="19"/>
      <c r="AA86" s="14"/>
      <c r="AB86" s="14"/>
      <c r="AC86" s="3"/>
      <c r="AD86" s="5"/>
      <c r="AE86" s="44"/>
      <c r="AF86" s="3"/>
      <c r="AG86" s="3"/>
      <c r="AH86" s="3"/>
      <c r="AI86" s="3"/>
    </row>
    <row r="87" spans="1:35">
      <c r="A87" s="14"/>
      <c r="B87" s="19"/>
      <c r="C87" s="14"/>
      <c r="D87" s="16"/>
      <c r="E87" s="14"/>
      <c r="F87" s="19"/>
      <c r="G87" s="14"/>
      <c r="H87" s="14"/>
      <c r="I87" s="14"/>
      <c r="J87" s="19"/>
      <c r="K87" s="14"/>
      <c r="L87" s="14"/>
      <c r="M87" s="14"/>
      <c r="N87" s="19"/>
      <c r="O87" s="14"/>
      <c r="P87" s="14"/>
      <c r="Q87" s="14"/>
      <c r="R87" s="19"/>
      <c r="S87" s="14"/>
      <c r="T87" s="14"/>
      <c r="U87" s="14"/>
      <c r="V87" s="19"/>
      <c r="W87" s="14"/>
      <c r="X87" s="14"/>
      <c r="Y87" s="14"/>
      <c r="Z87" s="19"/>
      <c r="AA87" s="14"/>
      <c r="AB87" s="14"/>
      <c r="AC87" s="3"/>
      <c r="AD87" s="5"/>
      <c r="AE87" s="44"/>
      <c r="AF87" s="3"/>
      <c r="AG87" s="3"/>
      <c r="AH87" s="3"/>
      <c r="AI87" s="3"/>
    </row>
    <row r="88" spans="1:35">
      <c r="A88" s="14"/>
      <c r="B88" s="19"/>
      <c r="C88" s="14"/>
      <c r="D88" s="16"/>
      <c r="E88" s="14"/>
      <c r="F88" s="19"/>
      <c r="G88" s="14"/>
      <c r="H88" s="14"/>
      <c r="I88" s="14"/>
      <c r="J88" s="19"/>
      <c r="K88" s="14"/>
      <c r="L88" s="14"/>
      <c r="M88" s="14"/>
      <c r="N88" s="19"/>
      <c r="O88" s="14"/>
      <c r="P88" s="14"/>
      <c r="Q88" s="14"/>
      <c r="R88" s="19"/>
      <c r="S88" s="14"/>
      <c r="T88" s="14"/>
      <c r="U88" s="14"/>
      <c r="V88" s="19"/>
      <c r="W88" s="14"/>
      <c r="X88" s="14"/>
      <c r="Y88" s="14"/>
      <c r="Z88" s="19"/>
      <c r="AA88" s="14"/>
      <c r="AB88" s="14"/>
      <c r="AC88" s="3"/>
      <c r="AD88" s="5"/>
      <c r="AE88" s="44"/>
      <c r="AF88" s="3"/>
      <c r="AG88" s="3"/>
      <c r="AH88" s="3"/>
      <c r="AI88" s="3"/>
    </row>
    <row r="89" spans="1:35">
      <c r="A89" s="14"/>
      <c r="B89" s="19"/>
      <c r="C89" s="14"/>
      <c r="D89" s="16"/>
      <c r="E89" s="14"/>
      <c r="F89" s="19"/>
      <c r="G89" s="14"/>
      <c r="H89" s="14"/>
      <c r="I89" s="14"/>
      <c r="J89" s="19"/>
      <c r="K89" s="14"/>
      <c r="L89" s="14"/>
      <c r="M89" s="14"/>
      <c r="N89" s="19"/>
      <c r="O89" s="14"/>
      <c r="P89" s="14"/>
      <c r="Q89" s="14"/>
      <c r="R89" s="19"/>
      <c r="S89" s="14"/>
      <c r="T89" s="14"/>
      <c r="U89" s="14"/>
      <c r="V89" s="19"/>
      <c r="W89" s="14"/>
      <c r="X89" s="14"/>
      <c r="Y89" s="14"/>
      <c r="Z89" s="19"/>
      <c r="AA89" s="14"/>
      <c r="AB89" s="14"/>
      <c r="AC89" s="3"/>
      <c r="AD89" s="5"/>
      <c r="AE89" s="44"/>
      <c r="AF89" s="3"/>
      <c r="AG89" s="3"/>
      <c r="AH89" s="3"/>
      <c r="AI89" s="3"/>
    </row>
    <row r="90" spans="1:35">
      <c r="A90" s="14"/>
      <c r="B90" s="19"/>
      <c r="C90" s="14"/>
      <c r="D90" s="16"/>
      <c r="E90" s="14"/>
      <c r="F90" s="19"/>
      <c r="G90" s="14"/>
      <c r="H90" s="14"/>
      <c r="I90" s="14"/>
      <c r="J90" s="19"/>
      <c r="K90" s="14"/>
      <c r="L90" s="14"/>
      <c r="M90" s="14"/>
      <c r="N90" s="19"/>
      <c r="O90" s="14"/>
      <c r="P90" s="14"/>
      <c r="Q90" s="14"/>
      <c r="R90" s="19"/>
      <c r="S90" s="14"/>
      <c r="T90" s="14"/>
      <c r="U90" s="14"/>
      <c r="V90" s="19"/>
      <c r="W90" s="14"/>
      <c r="X90" s="14"/>
      <c r="Y90" s="14"/>
      <c r="Z90" s="19"/>
      <c r="AA90" s="14"/>
      <c r="AB90" s="14"/>
      <c r="AC90" s="3"/>
      <c r="AD90" s="5"/>
      <c r="AE90" s="44"/>
      <c r="AF90" s="3"/>
      <c r="AG90" s="3"/>
      <c r="AH90" s="3"/>
      <c r="AI90" s="3"/>
    </row>
    <row r="91" spans="1:35">
      <c r="A91" s="14"/>
      <c r="B91" s="19"/>
      <c r="C91" s="14"/>
      <c r="D91" s="16"/>
      <c r="E91" s="14"/>
      <c r="F91" s="19"/>
      <c r="G91" s="14"/>
      <c r="H91" s="14"/>
      <c r="I91" s="14"/>
      <c r="J91" s="19"/>
      <c r="K91" s="14"/>
      <c r="L91" s="14"/>
      <c r="M91" s="14"/>
      <c r="N91" s="19"/>
      <c r="O91" s="14"/>
      <c r="P91" s="14"/>
      <c r="Q91" s="14"/>
      <c r="R91" s="19"/>
      <c r="S91" s="14"/>
      <c r="T91" s="14"/>
      <c r="U91" s="14"/>
      <c r="V91" s="19"/>
      <c r="W91" s="14"/>
      <c r="X91" s="14"/>
      <c r="Y91" s="14"/>
      <c r="Z91" s="19"/>
      <c r="AA91" s="14"/>
      <c r="AB91" s="14"/>
      <c r="AC91" s="3"/>
      <c r="AD91" s="5"/>
      <c r="AE91" s="44"/>
      <c r="AF91" s="3"/>
      <c r="AG91" s="3"/>
      <c r="AH91" s="3"/>
      <c r="AI91" s="3"/>
    </row>
    <row r="92" spans="1:35">
      <c r="A92" s="14"/>
      <c r="B92" s="19"/>
      <c r="C92" s="14"/>
      <c r="D92" s="16"/>
      <c r="E92" s="14"/>
      <c r="F92" s="19"/>
      <c r="G92" s="14"/>
      <c r="H92" s="14"/>
      <c r="I92" s="14"/>
      <c r="J92" s="19"/>
      <c r="K92" s="14"/>
      <c r="L92" s="14"/>
      <c r="M92" s="14"/>
      <c r="N92" s="19"/>
      <c r="O92" s="14"/>
      <c r="P92" s="14"/>
      <c r="Q92" s="14"/>
      <c r="R92" s="19"/>
      <c r="S92" s="14"/>
      <c r="T92" s="14"/>
      <c r="U92" s="14"/>
      <c r="V92" s="19"/>
      <c r="W92" s="14"/>
      <c r="X92" s="14"/>
      <c r="Y92" s="14"/>
      <c r="Z92" s="19"/>
      <c r="AA92" s="14"/>
      <c r="AB92" s="14"/>
      <c r="AC92" s="3"/>
      <c r="AD92" s="5"/>
      <c r="AE92" s="44"/>
      <c r="AF92" s="3"/>
      <c r="AG92" s="3"/>
      <c r="AH92" s="3"/>
      <c r="AI92" s="3"/>
    </row>
    <row r="93" spans="1:35">
      <c r="A93" s="14"/>
      <c r="B93" s="19"/>
      <c r="C93" s="14"/>
      <c r="D93" s="16"/>
      <c r="E93" s="14"/>
      <c r="F93" s="19"/>
      <c r="G93" s="14"/>
      <c r="H93" s="14"/>
      <c r="I93" s="14"/>
      <c r="J93" s="19"/>
      <c r="K93" s="14"/>
      <c r="L93" s="14"/>
      <c r="M93" s="14"/>
      <c r="N93" s="19"/>
      <c r="O93" s="14"/>
      <c r="P93" s="14"/>
      <c r="Q93" s="14"/>
      <c r="R93" s="19"/>
      <c r="S93" s="14"/>
      <c r="T93" s="14"/>
      <c r="U93" s="14"/>
      <c r="V93" s="19"/>
      <c r="W93" s="14"/>
      <c r="X93" s="14"/>
      <c r="Y93" s="14"/>
      <c r="Z93" s="19"/>
      <c r="AA93" s="14"/>
      <c r="AB93" s="14"/>
      <c r="AC93" s="3"/>
      <c r="AD93" s="5"/>
      <c r="AE93" s="44"/>
      <c r="AF93" s="3"/>
      <c r="AG93" s="3"/>
      <c r="AH93" s="3"/>
      <c r="AI93" s="3"/>
    </row>
    <row r="94" spans="1:35">
      <c r="A94" s="14"/>
      <c r="B94" s="19"/>
      <c r="C94" s="14"/>
      <c r="D94" s="16"/>
      <c r="E94" s="14"/>
      <c r="F94" s="19"/>
      <c r="G94" s="14"/>
      <c r="H94" s="14"/>
      <c r="I94" s="14"/>
      <c r="J94" s="19"/>
      <c r="K94" s="14"/>
      <c r="L94" s="14"/>
      <c r="M94" s="14"/>
      <c r="N94" s="19"/>
      <c r="O94" s="14"/>
      <c r="P94" s="14"/>
      <c r="Q94" s="14"/>
      <c r="R94" s="19"/>
      <c r="S94" s="14"/>
      <c r="T94" s="14"/>
      <c r="U94" s="14"/>
      <c r="V94" s="19"/>
      <c r="W94" s="14"/>
      <c r="X94" s="14"/>
      <c r="Y94" s="14"/>
      <c r="Z94" s="19"/>
      <c r="AA94" s="14"/>
      <c r="AB94" s="14"/>
      <c r="AC94" s="3"/>
      <c r="AD94" s="5"/>
      <c r="AE94" s="44"/>
      <c r="AF94" s="3"/>
      <c r="AG94" s="3"/>
      <c r="AH94" s="3"/>
      <c r="AI94" s="3"/>
    </row>
    <row r="95" spans="1:35">
      <c r="A95" s="14"/>
      <c r="B95" s="19"/>
      <c r="C95" s="14"/>
      <c r="D95" s="16"/>
      <c r="E95" s="14"/>
      <c r="F95" s="19"/>
      <c r="G95" s="14"/>
      <c r="H95" s="14"/>
      <c r="I95" s="14"/>
      <c r="J95" s="19"/>
      <c r="K95" s="14"/>
      <c r="L95" s="14"/>
      <c r="M95" s="14"/>
      <c r="N95" s="19"/>
      <c r="O95" s="14"/>
      <c r="P95" s="14"/>
      <c r="Q95" s="14"/>
      <c r="R95" s="19"/>
      <c r="S95" s="14"/>
      <c r="T95" s="14"/>
      <c r="U95" s="14"/>
      <c r="V95" s="19"/>
      <c r="W95" s="14"/>
      <c r="X95" s="14"/>
      <c r="Y95" s="14"/>
      <c r="Z95" s="19"/>
      <c r="AA95" s="14"/>
      <c r="AB95" s="14"/>
      <c r="AC95" s="3"/>
      <c r="AD95" s="5"/>
      <c r="AE95" s="44"/>
      <c r="AF95" s="3"/>
      <c r="AG95" s="3"/>
      <c r="AH95" s="3"/>
      <c r="AI95" s="3"/>
    </row>
    <row r="96" spans="1:35">
      <c r="A96" s="14"/>
      <c r="B96" s="19"/>
      <c r="C96" s="14"/>
      <c r="D96" s="16"/>
      <c r="E96" s="14"/>
      <c r="F96" s="19"/>
      <c r="G96" s="14"/>
      <c r="H96" s="14"/>
      <c r="I96" s="14"/>
      <c r="J96" s="19"/>
      <c r="K96" s="14"/>
      <c r="L96" s="14"/>
      <c r="M96" s="14"/>
      <c r="N96" s="19"/>
      <c r="O96" s="14"/>
      <c r="P96" s="14"/>
      <c r="Q96" s="14"/>
      <c r="R96" s="19"/>
      <c r="S96" s="14"/>
      <c r="T96" s="14"/>
      <c r="U96" s="14"/>
      <c r="V96" s="19"/>
      <c r="W96" s="14"/>
      <c r="X96" s="14"/>
      <c r="Y96" s="14"/>
      <c r="Z96" s="19"/>
      <c r="AA96" s="14"/>
      <c r="AB96" s="14"/>
      <c r="AC96" s="3"/>
      <c r="AD96" s="5"/>
      <c r="AE96" s="44"/>
      <c r="AF96" s="3"/>
      <c r="AG96" s="3"/>
      <c r="AH96" s="3"/>
      <c r="AI96" s="3"/>
    </row>
    <row r="97" spans="1:35">
      <c r="A97" s="14"/>
      <c r="B97" s="19"/>
      <c r="C97" s="14"/>
      <c r="D97" s="16"/>
      <c r="E97" s="14"/>
      <c r="F97" s="19"/>
      <c r="G97" s="14"/>
      <c r="H97" s="14"/>
      <c r="I97" s="14"/>
      <c r="J97" s="19"/>
      <c r="K97" s="14"/>
      <c r="L97" s="14"/>
      <c r="M97" s="14"/>
      <c r="N97" s="19"/>
      <c r="O97" s="14"/>
      <c r="P97" s="14"/>
      <c r="Q97" s="14"/>
      <c r="R97" s="19"/>
      <c r="S97" s="14"/>
      <c r="T97" s="14"/>
      <c r="U97" s="14"/>
      <c r="V97" s="19"/>
      <c r="W97" s="14"/>
      <c r="X97" s="14"/>
      <c r="Y97" s="14"/>
      <c r="Z97" s="19"/>
      <c r="AA97" s="14"/>
      <c r="AB97" s="14"/>
      <c r="AC97" s="3"/>
      <c r="AD97" s="5"/>
      <c r="AE97" s="44"/>
      <c r="AF97" s="3"/>
      <c r="AG97" s="3"/>
      <c r="AH97" s="3"/>
      <c r="AI97" s="3"/>
    </row>
    <row r="98" spans="1:35">
      <c r="A98" s="14"/>
      <c r="B98" s="19"/>
      <c r="C98" s="14"/>
      <c r="D98" s="16"/>
      <c r="E98" s="14"/>
      <c r="F98" s="19"/>
      <c r="G98" s="14"/>
      <c r="H98" s="14"/>
      <c r="I98" s="14"/>
      <c r="J98" s="19"/>
      <c r="K98" s="14"/>
      <c r="L98" s="14"/>
      <c r="M98" s="14"/>
      <c r="N98" s="19"/>
      <c r="O98" s="14"/>
      <c r="P98" s="14"/>
      <c r="Q98" s="14"/>
      <c r="R98" s="19"/>
      <c r="S98" s="14"/>
      <c r="T98" s="14"/>
      <c r="U98" s="14"/>
      <c r="V98" s="19"/>
      <c r="W98" s="14"/>
      <c r="X98" s="14"/>
      <c r="Y98" s="14"/>
      <c r="Z98" s="19"/>
      <c r="AA98" s="14"/>
      <c r="AB98" s="14"/>
      <c r="AC98" s="3"/>
      <c r="AD98" s="5"/>
      <c r="AE98" s="44"/>
      <c r="AF98" s="3"/>
      <c r="AG98" s="3"/>
      <c r="AH98" s="3"/>
      <c r="AI98" s="3"/>
    </row>
    <row r="99" spans="1:35">
      <c r="A99" s="3"/>
      <c r="B99" s="5"/>
      <c r="C99" s="3"/>
      <c r="D99" s="4"/>
      <c r="E99" s="3"/>
      <c r="F99" s="5"/>
      <c r="G99" s="3"/>
      <c r="H99" s="3"/>
      <c r="I99" s="3"/>
      <c r="J99" s="5"/>
      <c r="K99" s="3"/>
      <c r="L99" s="3"/>
      <c r="M99" s="3"/>
      <c r="N99" s="5"/>
      <c r="O99" s="3"/>
      <c r="P99" s="3"/>
      <c r="Q99" s="3"/>
      <c r="R99" s="5"/>
      <c r="S99" s="3"/>
      <c r="T99" s="3"/>
      <c r="U99" s="3"/>
      <c r="V99" s="5"/>
      <c r="W99" s="3"/>
      <c r="X99" s="3"/>
      <c r="Y99" s="3"/>
      <c r="Z99" s="5"/>
      <c r="AA99" s="3"/>
      <c r="AB99" s="3"/>
      <c r="AC99" s="3"/>
      <c r="AD99" s="5"/>
      <c r="AE99" s="44"/>
      <c r="AF99" s="3"/>
      <c r="AG99" s="3"/>
      <c r="AH99" s="3"/>
      <c r="AI99" s="3"/>
    </row>
    <row r="100" spans="1:35">
      <c r="A100" s="3"/>
      <c r="B100" s="5"/>
      <c r="C100" s="3"/>
      <c r="D100" s="4"/>
      <c r="E100" s="3"/>
      <c r="F100" s="5"/>
      <c r="G100" s="3"/>
      <c r="H100" s="3"/>
      <c r="I100" s="3"/>
      <c r="J100" s="5"/>
      <c r="K100" s="3"/>
      <c r="L100" s="3"/>
      <c r="M100" s="3"/>
      <c r="N100" s="5"/>
      <c r="O100" s="3"/>
      <c r="P100" s="3"/>
      <c r="Q100" s="3"/>
      <c r="R100" s="5"/>
      <c r="S100" s="3"/>
      <c r="T100" s="3"/>
      <c r="U100" s="3"/>
      <c r="V100" s="5"/>
      <c r="W100" s="3"/>
      <c r="X100" s="3"/>
      <c r="Y100" s="3"/>
      <c r="Z100" s="5"/>
      <c r="AA100" s="3"/>
      <c r="AB100" s="3"/>
      <c r="AC100" s="3"/>
      <c r="AD100" s="5"/>
      <c r="AE100" s="44"/>
      <c r="AF100" s="3"/>
      <c r="AG100" s="3"/>
      <c r="AH100" s="3"/>
      <c r="AI100" s="3"/>
    </row>
    <row r="101" spans="1:35">
      <c r="A101" s="3"/>
      <c r="B101" s="5"/>
      <c r="C101" s="3"/>
      <c r="D101" s="4"/>
      <c r="E101" s="3"/>
      <c r="F101" s="5"/>
      <c r="G101" s="3"/>
      <c r="H101" s="3"/>
      <c r="I101" s="3"/>
      <c r="J101" s="5"/>
      <c r="K101" s="3"/>
      <c r="L101" s="3"/>
      <c r="M101" s="3"/>
      <c r="N101" s="5"/>
      <c r="O101" s="3"/>
      <c r="P101" s="3"/>
      <c r="Q101" s="3"/>
      <c r="R101" s="5"/>
      <c r="S101" s="3"/>
      <c r="T101" s="3"/>
      <c r="U101" s="3"/>
      <c r="V101" s="5"/>
      <c r="W101" s="3"/>
      <c r="X101" s="3"/>
      <c r="Y101" s="3"/>
      <c r="Z101" s="5"/>
      <c r="AA101" s="3"/>
      <c r="AB101" s="3"/>
      <c r="AC101" s="3"/>
      <c r="AD101" s="5"/>
      <c r="AE101" s="44"/>
      <c r="AF101" s="3"/>
      <c r="AG101" s="3"/>
      <c r="AH101" s="3"/>
      <c r="AI101" s="3"/>
    </row>
    <row r="102" spans="1:35">
      <c r="A102" s="3"/>
      <c r="B102" s="5"/>
      <c r="C102" s="3"/>
      <c r="D102" s="4"/>
      <c r="E102" s="3"/>
      <c r="F102" s="5"/>
      <c r="G102" s="3"/>
      <c r="H102" s="3"/>
      <c r="I102" s="3"/>
      <c r="J102" s="5"/>
      <c r="K102" s="3"/>
      <c r="L102" s="3"/>
      <c r="M102" s="3"/>
      <c r="N102" s="5"/>
      <c r="O102" s="3"/>
      <c r="P102" s="3"/>
      <c r="Q102" s="3"/>
      <c r="R102" s="5"/>
      <c r="S102" s="3"/>
      <c r="T102" s="3"/>
      <c r="U102" s="3"/>
      <c r="V102" s="5"/>
      <c r="W102" s="3"/>
      <c r="X102" s="3"/>
      <c r="Y102" s="3"/>
      <c r="Z102" s="5"/>
      <c r="AA102" s="3"/>
      <c r="AB102" s="3"/>
      <c r="AC102" s="3"/>
      <c r="AD102" s="5"/>
      <c r="AE102" s="44"/>
      <c r="AF102" s="3"/>
      <c r="AG102" s="3"/>
      <c r="AH102" s="3"/>
      <c r="AI102" s="3"/>
    </row>
    <row r="103" spans="1:35">
      <c r="A103" s="3"/>
      <c r="B103" s="5"/>
      <c r="C103" s="3"/>
      <c r="D103" s="4"/>
      <c r="E103" s="3"/>
      <c r="F103" s="5"/>
      <c r="G103" s="3"/>
      <c r="H103" s="3"/>
      <c r="I103" s="3"/>
      <c r="J103" s="5"/>
      <c r="K103" s="3"/>
      <c r="L103" s="3"/>
      <c r="M103" s="3"/>
      <c r="N103" s="5"/>
      <c r="O103" s="3"/>
      <c r="P103" s="3"/>
      <c r="Q103" s="3"/>
      <c r="R103" s="5"/>
      <c r="S103" s="3"/>
      <c r="T103" s="3"/>
      <c r="U103" s="3"/>
      <c r="V103" s="5"/>
      <c r="W103" s="3"/>
      <c r="X103" s="3"/>
      <c r="Y103" s="3"/>
      <c r="Z103" s="5"/>
      <c r="AA103" s="3"/>
      <c r="AB103" s="3"/>
      <c r="AC103" s="3"/>
      <c r="AD103" s="5"/>
      <c r="AE103" s="44"/>
      <c r="AF103" s="3"/>
      <c r="AG103" s="3"/>
      <c r="AH103" s="3"/>
      <c r="AI103" s="3"/>
    </row>
  </sheetData>
  <conditionalFormatting sqref="C19:C23 C25 C27:C29 G19:G23 G25 G27:G29 K19:K23 K25 K27:K29 O19:O23 O25 O27:O29 S19:S23 S25 S27:S29 G3:G7 C3:C7 C9 C11:C13 K3:K7 O3:O7 S3:S7 G9 K9 S9 O9 G11:G13 K11:K13 O11:O13 S11:S13 K45:K47 K43 K41 W19:W23 W25 W27:W29 W3:W7 W9 W11:W13 AA19:AA23 AA25 AA27:AA29 AA3:AA7 AA9 AA11:AA13 AE19:AE23 AE25 AE27:AE29 AE3:AE7 AE9 AE11:AE13 AI3:AI7 AI9 AI11:AI13 AI19:AI23 AI25 AI27:AI29 L39:L40 AM3:AM7 AM9 AM11:AM13 AM19:AM23 AM25 AM27:AM29 AQ3:AQ13 AU3:AU13 AQ19:AQ29 AU19:AU29 AY3:AY13 AY19:AY29 BC3:BC13 BC19:BC29 BG3:BG13">
    <cfRule type="colorScale" priority="194">
      <colorScale>
        <cfvo type="num" val="0"/>
        <cfvo type="num" val="100"/>
        <cfvo type="num" val="250"/>
        <color rgb="FF64BE7C"/>
        <color rgb="FFFFEB84"/>
        <color rgb="FFF86A6D"/>
      </colorScale>
    </cfRule>
  </conditionalFormatting>
  <conditionalFormatting sqref="E16">
    <cfRule type="colorScale" priority="192">
      <colorScale>
        <cfvo type="min" val="0"/>
        <cfvo type="max" val="0"/>
        <color rgb="FFFFEF9C"/>
        <color rgb="FF63BE7B"/>
      </colorScale>
    </cfRule>
    <cfRule type="colorScale" priority="193">
      <colorScale>
        <cfvo type="min" val="0"/>
        <cfvo type="percentile" val="50"/>
        <cfvo type="max" val="0"/>
        <color rgb="FFF8696B"/>
        <color rgb="FFFFEB84"/>
        <color rgb="FF63BE7B"/>
      </colorScale>
    </cfRule>
  </conditionalFormatting>
  <conditionalFormatting sqref="F37:F47">
    <cfRule type="colorScale" priority="190">
      <colorScale>
        <cfvo type="min" val="0"/>
        <cfvo type="max" val="0"/>
        <color rgb="FFFF7128"/>
        <color rgb="FFFFEF9C"/>
      </colorScale>
    </cfRule>
  </conditionalFormatting>
  <conditionalFormatting sqref="I37:I47">
    <cfRule type="colorScale" priority="189">
      <colorScale>
        <cfvo type="min" val="0"/>
        <cfvo type="max" val="0"/>
        <color rgb="FFFFEF9C"/>
        <color rgb="FFFF7128"/>
      </colorScale>
    </cfRule>
  </conditionalFormatting>
  <conditionalFormatting sqref="L41:L47">
    <cfRule type="colorScale" priority="187">
      <colorScale>
        <cfvo type="percentile" val="0"/>
        <cfvo type="percentile" val="50"/>
        <cfvo type="percentile" val="100"/>
        <color rgb="FFF8696B"/>
        <color rgb="FFFFEB84"/>
        <color rgb="FF75923C"/>
      </colorScale>
    </cfRule>
  </conditionalFormatting>
  <conditionalFormatting sqref="D19:D29 P19:P29 T19:T29 T3:T13 P3:P13 L3:L13 D3:D13 H19:H29 L19:L29 AJ19:AJ29 H3:H13 X19:X29 X3:X13 AB19:AB29 AB3:AB13 AF19:AF29 AF3:AF13 AJ3:AJ13 L41:L47 AN3:AN13 AN19:AN29 AR3:AR13 AR19:AR29 AV3:AV13 AV19:AV29 AZ19:AZ29 AZ3:AZ13 BD19:BD29 BD3:BD13 BH3:BH13">
    <cfRule type="colorScale" priority="186">
      <colorScale>
        <cfvo type="percentile" val="10"/>
        <cfvo type="percentile" val="50"/>
        <cfvo type="percentile" val="90"/>
        <color rgb="FFF8696B"/>
        <color rgb="FFFFEB84"/>
        <color rgb="FF75923C"/>
      </colorScale>
    </cfRule>
  </conditionalFormatting>
  <conditionalFormatting sqref="M37:M38">
    <cfRule type="colorScale" priority="170">
      <colorScale>
        <cfvo type="num" val="-90"/>
        <cfvo type="num" val="0"/>
        <cfvo type="num" val="90"/>
        <color rgb="FFF8696B"/>
        <color rgb="FFFFEB84"/>
        <color rgb="FF63BE7B"/>
      </colorScale>
    </cfRule>
  </conditionalFormatting>
  <conditionalFormatting sqref="M40">
    <cfRule type="colorScale" priority="169">
      <colorScale>
        <cfvo type="num" val="0"/>
        <cfvo type="num" val="100"/>
        <color rgb="FF75923C"/>
        <color rgb="FFF86A6D"/>
      </colorScale>
    </cfRule>
  </conditionalFormatting>
  <conditionalFormatting sqref="C15 G31 K31 O31 S31 W31 AA31 G15 K15 S15 O15 AA15 W15 C31 K49 AE31 AE15 AI15 AI31 AM31 AM15 AQ31 AQ15 AU31 AU15 AY31 AY15 BC15 BC31 BG15">
    <cfRule type="colorScale" priority="159">
      <colorScale>
        <cfvo type="num" val="-50"/>
        <cfvo type="num" val="100"/>
        <cfvo type="num" val="200"/>
        <color rgb="FF75923C"/>
        <color rgb="FFFFEB84"/>
        <color rgb="FFF86A6D"/>
      </colorScale>
    </cfRule>
  </conditionalFormatting>
  <conditionalFormatting sqref="H31 D31 D15 H15 L15 P15 P31 L31 L49 T15 T31 X31 X15 AB31 AB15 AF31 AF15 AJ31 AJ15 AN31 AN15 AR31 AR15 AV31 AV15 AZ31 AZ15 BD15 BD31 BH15">
    <cfRule type="colorScale" priority="134">
      <colorScale>
        <cfvo type="num" val="15"/>
        <cfvo type="num" val="25"/>
        <cfvo type="num" val="50"/>
        <color rgb="FF75923C"/>
        <color rgb="FFFFEB84"/>
        <color rgb="FFF86A6D"/>
      </colorScale>
    </cfRule>
  </conditionalFormatting>
  <conditionalFormatting sqref="F48">
    <cfRule type="colorScale" priority="111">
      <colorScale>
        <cfvo type="min" val="0"/>
        <cfvo type="max" val="0"/>
        <color rgb="FFFF7128"/>
        <color rgb="FFFFEF9C"/>
      </colorScale>
    </cfRule>
  </conditionalFormatting>
  <conditionalFormatting sqref="I48">
    <cfRule type="colorScale" priority="110">
      <colorScale>
        <cfvo type="min" val="0"/>
        <cfvo type="max" val="0"/>
        <color rgb="FFFFEF9C"/>
        <color rgb="FFFF7128"/>
      </colorScale>
    </cfRule>
  </conditionalFormatting>
  <conditionalFormatting sqref="C32">
    <cfRule type="colorScale" priority="71">
      <colorScale>
        <cfvo type="num" val="0"/>
        <cfvo type="num" val="75"/>
        <cfvo type="num" val="150"/>
        <color rgb="FFF8696B"/>
        <color rgb="FFFFEB84"/>
        <color rgb="FF63BE7B"/>
      </colorScale>
    </cfRule>
    <cfRule type="colorScale" priority="72">
      <colorScale>
        <cfvo type="min" val="0"/>
        <cfvo type="percentile" val="50"/>
        <cfvo type="max" val="0"/>
        <color rgb="FFF8696B"/>
        <color rgb="FFFFEB84"/>
        <color rgb="FF63BE7B"/>
      </colorScale>
    </cfRule>
  </conditionalFormatting>
  <conditionalFormatting sqref="G32">
    <cfRule type="colorScale" priority="69">
      <colorScale>
        <cfvo type="num" val="0"/>
        <cfvo type="num" val="75"/>
        <cfvo type="num" val="150"/>
        <color rgb="FFF8696B"/>
        <color rgb="FFFFEB84"/>
        <color rgb="FF63BE7B"/>
      </colorScale>
    </cfRule>
    <cfRule type="colorScale" priority="70">
      <colorScale>
        <cfvo type="min" val="0"/>
        <cfvo type="percentile" val="50"/>
        <cfvo type="max" val="0"/>
        <color rgb="FFF8696B"/>
        <color rgb="FFFFEB84"/>
        <color rgb="FF63BE7B"/>
      </colorScale>
    </cfRule>
  </conditionalFormatting>
  <conditionalFormatting sqref="C16">
    <cfRule type="colorScale" priority="67">
      <colorScale>
        <cfvo type="num" val="0"/>
        <cfvo type="num" val="75"/>
        <cfvo type="num" val="150"/>
        <color rgb="FFF8696B"/>
        <color rgb="FFFFEB84"/>
        <color rgb="FF63BE7B"/>
      </colorScale>
    </cfRule>
    <cfRule type="colorScale" priority="68">
      <colorScale>
        <cfvo type="min" val="0"/>
        <cfvo type="percentile" val="50"/>
        <cfvo type="max" val="0"/>
        <color rgb="FFF8696B"/>
        <color rgb="FFFFEB84"/>
        <color rgb="FF63BE7B"/>
      </colorScale>
    </cfRule>
  </conditionalFormatting>
  <conditionalFormatting sqref="G16">
    <cfRule type="colorScale" priority="65">
      <colorScale>
        <cfvo type="num" val="0"/>
        <cfvo type="num" val="75"/>
        <cfvo type="num" val="150"/>
        <color rgb="FFF8696B"/>
        <color rgb="FFFFEB84"/>
        <color rgb="FF63BE7B"/>
      </colorScale>
    </cfRule>
    <cfRule type="colorScale" priority="66">
      <colorScale>
        <cfvo type="min" val="0"/>
        <cfvo type="percentile" val="50"/>
        <cfvo type="max" val="0"/>
        <color rgb="FFF8696B"/>
        <color rgb="FFFFEB84"/>
        <color rgb="FF63BE7B"/>
      </colorScale>
    </cfRule>
  </conditionalFormatting>
  <conditionalFormatting sqref="K16">
    <cfRule type="colorScale" priority="63">
      <colorScale>
        <cfvo type="num" val="0"/>
        <cfvo type="num" val="75"/>
        <cfvo type="num" val="150"/>
        <color rgb="FFF8696B"/>
        <color rgb="FFFFEB84"/>
        <color rgb="FF63BE7B"/>
      </colorScale>
    </cfRule>
    <cfRule type="colorScale" priority="64">
      <colorScale>
        <cfvo type="min" val="0"/>
        <cfvo type="percentile" val="50"/>
        <cfvo type="max" val="0"/>
        <color rgb="FFF8696B"/>
        <color rgb="FFFFEB84"/>
        <color rgb="FF63BE7B"/>
      </colorScale>
    </cfRule>
  </conditionalFormatting>
  <conditionalFormatting sqref="O16">
    <cfRule type="colorScale" priority="61">
      <colorScale>
        <cfvo type="num" val="0"/>
        <cfvo type="num" val="75"/>
        <cfvo type="num" val="150"/>
        <color rgb="FFF8696B"/>
        <color rgb="FFFFEB84"/>
        <color rgb="FF63BE7B"/>
      </colorScale>
    </cfRule>
    <cfRule type="colorScale" priority="62">
      <colorScale>
        <cfvo type="min" val="0"/>
        <cfvo type="percentile" val="50"/>
        <cfvo type="max" val="0"/>
        <color rgb="FFF8696B"/>
        <color rgb="FFFFEB84"/>
        <color rgb="FF63BE7B"/>
      </colorScale>
    </cfRule>
  </conditionalFormatting>
  <conditionalFormatting sqref="K32">
    <cfRule type="colorScale" priority="59">
      <colorScale>
        <cfvo type="num" val="0"/>
        <cfvo type="num" val="75"/>
        <cfvo type="num" val="150"/>
        <color rgb="FFF8696B"/>
        <color rgb="FFFFEB84"/>
        <color rgb="FF63BE7B"/>
      </colorScale>
    </cfRule>
    <cfRule type="colorScale" priority="60">
      <colorScale>
        <cfvo type="min" val="0"/>
        <cfvo type="percentile" val="50"/>
        <cfvo type="max" val="0"/>
        <color rgb="FFF8696B"/>
        <color rgb="FFFFEB84"/>
        <color rgb="FF63BE7B"/>
      </colorScale>
    </cfRule>
  </conditionalFormatting>
  <conditionalFormatting sqref="O32">
    <cfRule type="colorScale" priority="57">
      <colorScale>
        <cfvo type="num" val="0"/>
        <cfvo type="num" val="75"/>
        <cfvo type="num" val="150"/>
        <color rgb="FFF8696B"/>
        <color rgb="FFFFEB84"/>
        <color rgb="FF63BE7B"/>
      </colorScale>
    </cfRule>
    <cfRule type="colorScale" priority="58">
      <colorScale>
        <cfvo type="min" val="0"/>
        <cfvo type="percentile" val="50"/>
        <cfvo type="max" val="0"/>
        <color rgb="FFF8696B"/>
        <color rgb="FFFFEB84"/>
        <color rgb="FF63BE7B"/>
      </colorScale>
    </cfRule>
  </conditionalFormatting>
  <conditionalFormatting sqref="S16">
    <cfRule type="colorScale" priority="55">
      <colorScale>
        <cfvo type="num" val="0"/>
        <cfvo type="num" val="75"/>
        <cfvo type="num" val="150"/>
        <color rgb="FFF8696B"/>
        <color rgb="FFFFEB84"/>
        <color rgb="FF63BE7B"/>
      </colorScale>
    </cfRule>
    <cfRule type="colorScale" priority="56">
      <colorScale>
        <cfvo type="min" val="0"/>
        <cfvo type="percentile" val="50"/>
        <cfvo type="max" val="0"/>
        <color rgb="FFF8696B"/>
        <color rgb="FFFFEB84"/>
        <color rgb="FF63BE7B"/>
      </colorScale>
    </cfRule>
  </conditionalFormatting>
  <conditionalFormatting sqref="S32">
    <cfRule type="colorScale" priority="53">
      <colorScale>
        <cfvo type="num" val="0"/>
        <cfvo type="num" val="75"/>
        <cfvo type="num" val="150"/>
        <color rgb="FFF8696B"/>
        <color rgb="FFFFEB84"/>
        <color rgb="FF63BE7B"/>
      </colorScale>
    </cfRule>
    <cfRule type="colorScale" priority="54">
      <colorScale>
        <cfvo type="min" val="0"/>
        <cfvo type="percentile" val="50"/>
        <cfvo type="max" val="0"/>
        <color rgb="FFF8696B"/>
        <color rgb="FFFFEB84"/>
        <color rgb="FF63BE7B"/>
      </colorScale>
    </cfRule>
  </conditionalFormatting>
  <conditionalFormatting sqref="W16">
    <cfRule type="colorScale" priority="51">
      <colorScale>
        <cfvo type="num" val="0"/>
        <cfvo type="num" val="75"/>
        <cfvo type="num" val="150"/>
        <color rgb="FFF8696B"/>
        <color rgb="FFFFEB84"/>
        <color rgb="FF63BE7B"/>
      </colorScale>
    </cfRule>
    <cfRule type="colorScale" priority="52">
      <colorScale>
        <cfvo type="min" val="0"/>
        <cfvo type="percentile" val="50"/>
        <cfvo type="max" val="0"/>
        <color rgb="FFF8696B"/>
        <color rgb="FFFFEB84"/>
        <color rgb="FF63BE7B"/>
      </colorScale>
    </cfRule>
  </conditionalFormatting>
  <conditionalFormatting sqref="W32">
    <cfRule type="colorScale" priority="49">
      <colorScale>
        <cfvo type="num" val="0"/>
        <cfvo type="num" val="75"/>
        <cfvo type="num" val="150"/>
        <color rgb="FFF8696B"/>
        <color rgb="FFFFEB84"/>
        <color rgb="FF63BE7B"/>
      </colorScale>
    </cfRule>
    <cfRule type="colorScale" priority="50">
      <colorScale>
        <cfvo type="min" val="0"/>
        <cfvo type="percentile" val="50"/>
        <cfvo type="max" val="0"/>
        <color rgb="FFF8696B"/>
        <color rgb="FFFFEB84"/>
        <color rgb="FF63BE7B"/>
      </colorScale>
    </cfRule>
  </conditionalFormatting>
  <conditionalFormatting sqref="AA16">
    <cfRule type="colorScale" priority="47">
      <colorScale>
        <cfvo type="num" val="0"/>
        <cfvo type="num" val="75"/>
        <cfvo type="num" val="150"/>
        <color rgb="FFF8696B"/>
        <color rgb="FFFFEB84"/>
        <color rgb="FF63BE7B"/>
      </colorScale>
    </cfRule>
    <cfRule type="colorScale" priority="48">
      <colorScale>
        <cfvo type="min" val="0"/>
        <cfvo type="percentile" val="50"/>
        <cfvo type="max" val="0"/>
        <color rgb="FFF8696B"/>
        <color rgb="FFFFEB84"/>
        <color rgb="FF63BE7B"/>
      </colorScale>
    </cfRule>
  </conditionalFormatting>
  <conditionalFormatting sqref="AA32">
    <cfRule type="colorScale" priority="45">
      <colorScale>
        <cfvo type="num" val="0"/>
        <cfvo type="num" val="75"/>
        <cfvo type="num" val="150"/>
        <color rgb="FFF8696B"/>
        <color rgb="FFFFEB84"/>
        <color rgb="FF63BE7B"/>
      </colorScale>
    </cfRule>
    <cfRule type="colorScale" priority="46">
      <colorScale>
        <cfvo type="min" val="0"/>
        <cfvo type="percentile" val="50"/>
        <cfvo type="max" val="0"/>
        <color rgb="FFF8696B"/>
        <color rgb="FFFFEB84"/>
        <color rgb="FF63BE7B"/>
      </colorScale>
    </cfRule>
  </conditionalFormatting>
  <conditionalFormatting sqref="AE16">
    <cfRule type="colorScale" priority="43">
      <colorScale>
        <cfvo type="num" val="0"/>
        <cfvo type="num" val="75"/>
        <cfvo type="num" val="150"/>
        <color rgb="FFF8696B"/>
        <color rgb="FFFFEB84"/>
        <color rgb="FF63BE7B"/>
      </colorScale>
    </cfRule>
    <cfRule type="colorScale" priority="44">
      <colorScale>
        <cfvo type="min" val="0"/>
        <cfvo type="percentile" val="50"/>
        <cfvo type="max" val="0"/>
        <color rgb="FFF8696B"/>
        <color rgb="FFFFEB84"/>
        <color rgb="FF63BE7B"/>
      </colorScale>
    </cfRule>
  </conditionalFormatting>
  <conditionalFormatting sqref="AE32">
    <cfRule type="colorScale" priority="41">
      <colorScale>
        <cfvo type="num" val="0"/>
        <cfvo type="num" val="75"/>
        <cfvo type="num" val="150"/>
        <color rgb="FFF8696B"/>
        <color rgb="FFFFEB84"/>
        <color rgb="FF63BE7B"/>
      </colorScale>
    </cfRule>
    <cfRule type="colorScale" priority="42">
      <colorScale>
        <cfvo type="min" val="0"/>
        <cfvo type="percentile" val="50"/>
        <cfvo type="max" val="0"/>
        <color rgb="FFF8696B"/>
        <color rgb="FFFFEB84"/>
        <color rgb="FF63BE7B"/>
      </colorScale>
    </cfRule>
  </conditionalFormatting>
  <conditionalFormatting sqref="AI16">
    <cfRule type="colorScale" priority="39">
      <colorScale>
        <cfvo type="num" val="0"/>
        <cfvo type="num" val="75"/>
        <cfvo type="num" val="150"/>
        <color rgb="FFF8696B"/>
        <color rgb="FFFFEB84"/>
        <color rgb="FF63BE7B"/>
      </colorScale>
    </cfRule>
    <cfRule type="colorScale" priority="40">
      <colorScale>
        <cfvo type="min" val="0"/>
        <cfvo type="percentile" val="50"/>
        <cfvo type="max" val="0"/>
        <color rgb="FFF8696B"/>
        <color rgb="FFFFEB84"/>
        <color rgb="FF63BE7B"/>
      </colorScale>
    </cfRule>
  </conditionalFormatting>
  <conditionalFormatting sqref="AI32">
    <cfRule type="colorScale" priority="37">
      <colorScale>
        <cfvo type="num" val="0"/>
        <cfvo type="num" val="75"/>
        <cfvo type="num" val="150"/>
        <color rgb="FFF8696B"/>
        <color rgb="FFFFEB84"/>
        <color rgb="FF63BE7B"/>
      </colorScale>
    </cfRule>
    <cfRule type="colorScale" priority="38">
      <colorScale>
        <cfvo type="min" val="0"/>
        <cfvo type="percentile" val="50"/>
        <cfvo type="max" val="0"/>
        <color rgb="FFF8696B"/>
        <color rgb="FFFFEB84"/>
        <color rgb="FF63BE7B"/>
      </colorScale>
    </cfRule>
  </conditionalFormatting>
  <conditionalFormatting sqref="AM16">
    <cfRule type="colorScale" priority="35">
      <colorScale>
        <cfvo type="num" val="0"/>
        <cfvo type="num" val="75"/>
        <cfvo type="num" val="150"/>
        <color rgb="FFF8696B"/>
        <color rgb="FFFFEB84"/>
        <color rgb="FF63BE7B"/>
      </colorScale>
    </cfRule>
    <cfRule type="colorScale" priority="36">
      <colorScale>
        <cfvo type="min" val="0"/>
        <cfvo type="percentile" val="50"/>
        <cfvo type="max" val="0"/>
        <color rgb="FFF8696B"/>
        <color rgb="FFFFEB84"/>
        <color rgb="FF63BE7B"/>
      </colorScale>
    </cfRule>
  </conditionalFormatting>
  <conditionalFormatting sqref="AM32">
    <cfRule type="colorScale" priority="33">
      <colorScale>
        <cfvo type="num" val="0"/>
        <cfvo type="num" val="75"/>
        <cfvo type="num" val="150"/>
        <color rgb="FFF8696B"/>
        <color rgb="FFFFEB84"/>
        <color rgb="FF63BE7B"/>
      </colorScale>
    </cfRule>
    <cfRule type="colorScale" priority="34">
      <colorScale>
        <cfvo type="min" val="0"/>
        <cfvo type="percentile" val="50"/>
        <cfvo type="max" val="0"/>
        <color rgb="FFF8696B"/>
        <color rgb="FFFFEB84"/>
        <color rgb="FF63BE7B"/>
      </colorScale>
    </cfRule>
  </conditionalFormatting>
  <conditionalFormatting sqref="AQ16">
    <cfRule type="colorScale" priority="31">
      <colorScale>
        <cfvo type="num" val="0"/>
        <cfvo type="num" val="75"/>
        <cfvo type="num" val="150"/>
        <color rgb="FFF8696B"/>
        <color rgb="FFFFEB84"/>
        <color rgb="FF63BE7B"/>
      </colorScale>
    </cfRule>
    <cfRule type="colorScale" priority="32">
      <colorScale>
        <cfvo type="min" val="0"/>
        <cfvo type="percentile" val="50"/>
        <cfvo type="max" val="0"/>
        <color rgb="FFF8696B"/>
        <color rgb="FFFFEB84"/>
        <color rgb="FF63BE7B"/>
      </colorScale>
    </cfRule>
  </conditionalFormatting>
  <conditionalFormatting sqref="AQ32">
    <cfRule type="colorScale" priority="29">
      <colorScale>
        <cfvo type="num" val="0"/>
        <cfvo type="num" val="75"/>
        <cfvo type="num" val="150"/>
        <color rgb="FFF8696B"/>
        <color rgb="FFFFEB84"/>
        <color rgb="FF63BE7B"/>
      </colorScale>
    </cfRule>
    <cfRule type="colorScale" priority="30">
      <colorScale>
        <cfvo type="min" val="0"/>
        <cfvo type="percentile" val="50"/>
        <cfvo type="max" val="0"/>
        <color rgb="FFF8696B"/>
        <color rgb="FFFFEB84"/>
        <color rgb="FF63BE7B"/>
      </colorScale>
    </cfRule>
  </conditionalFormatting>
  <conditionalFormatting sqref="AU16">
    <cfRule type="colorScale" priority="27">
      <colorScale>
        <cfvo type="num" val="0"/>
        <cfvo type="num" val="75"/>
        <cfvo type="num" val="150"/>
        <color rgb="FFF8696B"/>
        <color rgb="FFFFEB84"/>
        <color rgb="FF63BE7B"/>
      </colorScale>
    </cfRule>
    <cfRule type="colorScale" priority="28">
      <colorScale>
        <cfvo type="min" val="0"/>
        <cfvo type="percentile" val="50"/>
        <cfvo type="max" val="0"/>
        <color rgb="FFF8696B"/>
        <color rgb="FFFFEB84"/>
        <color rgb="FF63BE7B"/>
      </colorScale>
    </cfRule>
  </conditionalFormatting>
  <conditionalFormatting sqref="AU32">
    <cfRule type="colorScale" priority="25">
      <colorScale>
        <cfvo type="num" val="0"/>
        <cfvo type="num" val="75"/>
        <cfvo type="num" val="150"/>
        <color rgb="FFF8696B"/>
        <color rgb="FFFFEB84"/>
        <color rgb="FF63BE7B"/>
      </colorScale>
    </cfRule>
    <cfRule type="colorScale" priority="26">
      <colorScale>
        <cfvo type="min" val="0"/>
        <cfvo type="percentile" val="50"/>
        <cfvo type="max" val="0"/>
        <color rgb="FFF8696B"/>
        <color rgb="FFFFEB84"/>
        <color rgb="FF63BE7B"/>
      </colorScale>
    </cfRule>
  </conditionalFormatting>
  <conditionalFormatting sqref="AY16">
    <cfRule type="colorScale" priority="23">
      <colorScale>
        <cfvo type="num" val="0"/>
        <cfvo type="num" val="75"/>
        <cfvo type="num" val="150"/>
        <color rgb="FFF8696B"/>
        <color rgb="FFFFEB84"/>
        <color rgb="FF63BE7B"/>
      </colorScale>
    </cfRule>
    <cfRule type="colorScale" priority="24">
      <colorScale>
        <cfvo type="min" val="0"/>
        <cfvo type="percentile" val="50"/>
        <cfvo type="max" val="0"/>
        <color rgb="FFF8696B"/>
        <color rgb="FFFFEB84"/>
        <color rgb="FF63BE7B"/>
      </colorScale>
    </cfRule>
  </conditionalFormatting>
  <conditionalFormatting sqref="AY32">
    <cfRule type="colorScale" priority="21">
      <colorScale>
        <cfvo type="num" val="0"/>
        <cfvo type="num" val="75"/>
        <cfvo type="num" val="150"/>
        <color rgb="FFF8696B"/>
        <color rgb="FFFFEB84"/>
        <color rgb="FF63BE7B"/>
      </colorScale>
    </cfRule>
    <cfRule type="colorScale" priority="22">
      <colorScale>
        <cfvo type="min" val="0"/>
        <cfvo type="percentile" val="50"/>
        <cfvo type="max" val="0"/>
        <color rgb="FFF8696B"/>
        <color rgb="FFFFEB84"/>
        <color rgb="FF63BE7B"/>
      </colorScale>
    </cfRule>
  </conditionalFormatting>
  <conditionalFormatting sqref="D16 D32 H32 H16 L32 L16 P16 P32 T32 T16 X16 X32 AF32 AB32 AB16 AF16 AJ32 AJ16 AN16 AN32 AR32 AR16 AV32 AV16 AZ16 AZ32">
    <cfRule type="colorScale" priority="20">
      <colorScale>
        <cfvo type="min" val="0"/>
        <cfvo type="percentile" val="50"/>
        <cfvo type="max" val="0"/>
        <color rgb="FFF8696B"/>
        <color rgb="FFFFEB84"/>
        <color rgb="FF63BE7B"/>
      </colorScale>
    </cfRule>
  </conditionalFormatting>
  <conditionalFormatting sqref="BC16">
    <cfRule type="colorScale" priority="13">
      <colorScale>
        <cfvo type="num" val="0"/>
        <cfvo type="num" val="75"/>
        <cfvo type="num" val="150"/>
        <color rgb="FFF8696B"/>
        <color rgb="FFFFEB84"/>
        <color rgb="FF63BE7B"/>
      </colorScale>
    </cfRule>
    <cfRule type="colorScale" priority="14">
      <colorScale>
        <cfvo type="min" val="0"/>
        <cfvo type="percentile" val="50"/>
        <cfvo type="max" val="0"/>
        <color rgb="FFF8696B"/>
        <color rgb="FFFFEB84"/>
        <color rgb="FF63BE7B"/>
      </colorScale>
    </cfRule>
  </conditionalFormatting>
  <conditionalFormatting sqref="BC32">
    <cfRule type="colorScale" priority="11">
      <colorScale>
        <cfvo type="num" val="0"/>
        <cfvo type="num" val="75"/>
        <cfvo type="num" val="150"/>
        <color rgb="FFF8696B"/>
        <color rgb="FFFFEB84"/>
        <color rgb="FF63BE7B"/>
      </colorScale>
    </cfRule>
    <cfRule type="colorScale" priority="12">
      <colorScale>
        <cfvo type="min" val="0"/>
        <cfvo type="percentile" val="50"/>
        <cfvo type="max" val="0"/>
        <color rgb="FFF8696B"/>
        <color rgb="FFFFEB84"/>
        <color rgb="FF63BE7B"/>
      </colorScale>
    </cfRule>
  </conditionalFormatting>
  <conditionalFormatting sqref="BD32 BD16">
    <cfRule type="colorScale" priority="10">
      <colorScale>
        <cfvo type="min" val="0"/>
        <cfvo type="percentile" val="50"/>
        <cfvo type="max" val="0"/>
        <color rgb="FFF8696B"/>
        <color rgb="FFFFEB84"/>
        <color rgb="FF63BE7B"/>
      </colorScale>
    </cfRule>
  </conditionalFormatting>
  <conditionalFormatting sqref="BG16">
    <cfRule type="colorScale" priority="3">
      <colorScale>
        <cfvo type="num" val="0"/>
        <cfvo type="num" val="75"/>
        <cfvo type="num" val="150"/>
        <color rgb="FFF8696B"/>
        <color rgb="FFFFEB84"/>
        <color rgb="FF63BE7B"/>
      </colorScale>
    </cfRule>
    <cfRule type="colorScale" priority="4">
      <colorScale>
        <cfvo type="min" val="0"/>
        <cfvo type="percentile" val="50"/>
        <cfvo type="max" val="0"/>
        <color rgb="FFF8696B"/>
        <color rgb="FFFFEB84"/>
        <color rgb="FF63BE7B"/>
      </colorScale>
    </cfRule>
  </conditionalFormatting>
  <conditionalFormatting sqref="BH16">
    <cfRule type="colorScale" priority="2">
      <colorScale>
        <cfvo type="min" val="0"/>
        <cfvo type="percentile" val="50"/>
        <cfvo type="max" val="0"/>
        <color rgb="FFF8696B"/>
        <color rgb="FFFFEB84"/>
        <color rgb="FF63BE7B"/>
      </colorScale>
    </cfRule>
  </conditionalFormatting>
  <conditionalFormatting sqref="BH16">
    <cfRule type="colorScale" priority="1">
      <colorScale>
        <cfvo type="min" val="0"/>
        <cfvo type="percentile" val="50"/>
        <cfvo type="max" val="0"/>
        <color rgb="FFF8696B"/>
        <color rgb="FFFFEB84"/>
        <color rgb="FF63BE7B"/>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B3:J29"/>
  <sheetViews>
    <sheetView workbookViewId="0">
      <selection activeCell="K12" sqref="K12"/>
    </sheetView>
  </sheetViews>
  <sheetFormatPr defaultRowHeight="15"/>
  <cols>
    <col min="3" max="3" width="9.140625" style="65"/>
    <col min="8" max="8" width="11.28515625" customWidth="1"/>
    <col min="9" max="9" width="13.42578125" customWidth="1"/>
  </cols>
  <sheetData>
    <row r="3" spans="2:9">
      <c r="C3" s="65" t="s">
        <v>46</v>
      </c>
      <c r="F3" t="s">
        <v>16</v>
      </c>
      <c r="I3" t="s">
        <v>4</v>
      </c>
    </row>
    <row r="4" spans="2:9">
      <c r="B4">
        <f ca="1">LARGE(OFFSET(Reference!$C$16,0,(ROW()-3)*3,1,3),ROW(A1))</f>
        <v>215.45454545454547</v>
      </c>
      <c r="C4" s="65">
        <f>MAX(LARGE(Reference!A16:AZ16,ROW(A1)),LARGE(Reference!A32:AZ32,ROW(A1)))</f>
        <v>6515.454545454546</v>
      </c>
      <c r="D4" t="e">
        <f ca="1">IF(ISERROR(MATCH(C4,INDIRECT("Reference!ADDRESS(ROW(Reference!A16);IFERROR(MATCH(C4;Reference!A16:AZ16;0); MATCH(C4;Reference!A32:AZ32;0)))"),0)),OFFSET(INDIRECT("Reference!ADDRESS(19;IFERROR(MATCH(C4;Reference!A16:AZ16;0);MATCH(C4;Reference!A32:AZ32;0)))"),-2,-2),OFFSET(INDIRECT("Reference!ADDRESS(3;IFERROR(MATCH(C4;Reference!A16:AZ16;0);MATCH(C4;Reference!A32:AZ32;0)))"),-2,-2))</f>
        <v>#REF!</v>
      </c>
      <c r="F4">
        <f>MAX(LARGE(Reference!A2:AZ2,ROW(A1)),LARGE(Reference!A18:AZ18,ROW(A1)))</f>
        <v>36.700000000000003</v>
      </c>
      <c r="H4">
        <f ca="1">OFFSET(INDIRECT(ADDRESS(3,IFERROR(MATCH(C4,Reference!A16:AZ16,0),MATCH(C4,Reference!A32:AZ32,0)))),-2,-2)</f>
        <v>0</v>
      </c>
      <c r="I4" s="65" t="s">
        <v>112</v>
      </c>
    </row>
    <row r="5" spans="2:9">
      <c r="B5" t="e">
        <f ca="1">LARGE(OFFSET(Reference!$C$16,0,(ROW()-3)*3,1,3),ROW(A2))</f>
        <v>#NUM!</v>
      </c>
      <c r="C5" s="65">
        <f>MIN(LARGE(Reference!A16:AZ16,ROW(A1)),LARGE(Reference!A32:AZ32,ROW(A1)))</f>
        <v>4033.6363636363635</v>
      </c>
      <c r="D5" t="e">
        <f ca="1">INDIRECT("ADDRESS(ROW(Reference!A16))")</f>
        <v>#REF!</v>
      </c>
      <c r="F5">
        <f>MIN(LARGE(Reference!A2:AZ2,ROW(A1)),LARGE(Reference!A18:AZ18,ROW(A1)))</f>
        <v>24.9</v>
      </c>
      <c r="I5" s="65" t="s">
        <v>113</v>
      </c>
    </row>
    <row r="6" spans="2:9">
      <c r="B6" t="e">
        <f ca="1">LARGE(OFFSET(Reference!$C$16,0,(ROW()-3)*3,1,3),ROW(A3))</f>
        <v>#NUM!</v>
      </c>
      <c r="C6" s="65">
        <f>MAX(LARGE(Reference!A16:AZ16,ROW(A2)),LARGE(Reference!A32:AZ32,ROW(A2)))</f>
        <v>3398.1818181818185</v>
      </c>
      <c r="F6">
        <f>MAX(LARGE(Reference!A2:AZ2,ROW(A2)),LARGE(Reference!A18:AZ18,ROW(A2)))</f>
        <v>31</v>
      </c>
      <c r="I6" s="65" t="s">
        <v>114</v>
      </c>
    </row>
    <row r="7" spans="2:9">
      <c r="B7" t="e">
        <f ca="1">LARGE(OFFSET(Reference!$C$16,0,(ROW()-3)*3,1,3),ROW(A4))</f>
        <v>#NUM!</v>
      </c>
      <c r="C7" s="65">
        <f>MIN(LARGE(Reference!A16:AZ16,ROW(A2)),LARGE(Reference!A32:AZ32,ROW(A2)))</f>
        <v>3392.7272727272739</v>
      </c>
      <c r="F7">
        <f>MIN(LARGE(Reference!A2:AZ2,ROW(A2)),LARGE(Reference!A18:AZ18,ROW(A2)))</f>
        <v>23.6</v>
      </c>
      <c r="I7" s="65" t="s">
        <v>115</v>
      </c>
    </row>
    <row r="8" spans="2:9">
      <c r="B8" t="e">
        <f ca="1">LARGE(OFFSET(Reference!$C$16,0,(ROW()-3)*3,1,3),ROW(A5))</f>
        <v>#NUM!</v>
      </c>
      <c r="C8" s="65">
        <f>MAX(LARGE(Reference!A16:AZ16,ROW(A3)),LARGE(Reference!A32:AZ32,ROW(A3)))</f>
        <v>3166.3636363636365</v>
      </c>
      <c r="F8">
        <f>MAX(LARGE(Reference!A2:AZ2,ROW(A3)),LARGE(Reference!A18:AZ18,ROW(A3)))</f>
        <v>30.1</v>
      </c>
      <c r="I8" s="65" t="s">
        <v>116</v>
      </c>
    </row>
    <row r="9" spans="2:9">
      <c r="B9" t="e">
        <f ca="1">LARGE(OFFSET(Reference!$C$16,0,(ROW()-3)*3,1,3),ROW(A6))</f>
        <v>#NUM!</v>
      </c>
      <c r="C9" s="65">
        <f>MIN(LARGE(Reference!A16:AZ16,ROW(A3)),LARGE(Reference!A32:AZ32,ROW(A3)))</f>
        <v>2323.6363636363631</v>
      </c>
      <c r="F9" s="65">
        <f>MIN(LARGE(Reference!A2:AZ2,ROW(A3)),LARGE(Reference!A18:AZ18,ROW(A3)))</f>
        <v>22.1</v>
      </c>
      <c r="I9" s="65" t="s">
        <v>117</v>
      </c>
    </row>
    <row r="10" spans="2:9">
      <c r="B10" t="e">
        <f ca="1">LARGE(OFFSET(Reference!$C$16,0,(ROW()-3)*3,1,3),ROW(A7))</f>
        <v>#NUM!</v>
      </c>
      <c r="C10" s="65">
        <f>MAX(LARGE(Reference!A16:AZ16,ROW(A4)),LARGE(Reference!A32:AZ32,ROW(A4)))</f>
        <v>1985.4545454545457</v>
      </c>
      <c r="F10">
        <f>MAX(LARGE(Reference!A2:AZ2,ROW(A4)),LARGE(Reference!A18:AZ18,ROW(A4)))</f>
        <v>19.600000000000001</v>
      </c>
    </row>
    <row r="11" spans="2:9">
      <c r="B11" t="e">
        <f ca="1">LARGE(OFFSET(Reference!$C$16,0,(ROW()-3)*3,1,3),ROW(A8))</f>
        <v>#NUM!</v>
      </c>
      <c r="C11" s="65">
        <f>MIN(LARGE(Reference!A16:AZ16,ROW(A4)),LARGE(Reference!A32:AZ32,ROW(A4)))</f>
        <v>1330.9090909090903</v>
      </c>
      <c r="F11">
        <f>MIN(LARGE(Reference!A2:AZ2,ROW(A4)),LARGE(Reference!A18:AZ18,ROW(A4)))</f>
        <v>15</v>
      </c>
    </row>
    <row r="12" spans="2:9">
      <c r="C12" s="65">
        <f>MAX(LARGE(Reference!A16:AZ16,ROW(A5)),LARGE(Reference!A32:AZ32,ROW(A5)))</f>
        <v>1415.4545454545457</v>
      </c>
      <c r="F12">
        <f>MAX(LARGE(Reference!A2:AZ2,ROW(A5)),LARGE(Reference!A18:AZ18,ROW(A5)))</f>
        <v>17</v>
      </c>
    </row>
    <row r="13" spans="2:9">
      <c r="C13" s="65">
        <f>MIN(LARGE(Reference!A16:AZ16,ROW(A5)),LARGE(Reference!A32:AZ32,ROW(A5)))</f>
        <v>1322.7272727272727</v>
      </c>
      <c r="F13">
        <f>MIN(LARGE(Reference!A2:AZ2,ROW(A5)),LARGE(Reference!A18:AZ18,ROW(A5)))</f>
        <v>13.6</v>
      </c>
    </row>
    <row r="14" spans="2:9">
      <c r="C14" s="65">
        <f>MAX(LARGE(Reference!A16:AZ16,ROW(A6)),LARGE(Reference!A32:AZ32,ROW(A6)))</f>
        <v>1413.75</v>
      </c>
      <c r="F14">
        <f>MAX(LARGE(Reference!A2:AZ2,ROW(A6)),LARGE(Reference!A18:AZ18,ROW(A6)))</f>
        <v>15.6</v>
      </c>
    </row>
    <row r="15" spans="2:9">
      <c r="C15" s="65">
        <f>MIN(LARGE(Reference!A16:AZ16,ROW(A6)),LARGE(Reference!A32:AZ32,ROW(A6)))</f>
        <v>867.27272727272737</v>
      </c>
      <c r="F15">
        <f>MIN(LARGE(Reference!A2:AZ2,ROW(A6)),LARGE(Reference!A18:AZ18,ROW(A6)))</f>
        <v>9.6999999999999993</v>
      </c>
    </row>
    <row r="16" spans="2:9">
      <c r="C16" s="65">
        <f>MAX(LARGE(Reference!A16:AZ16,ROW(A7)),LARGE(Reference!A32:AZ32,ROW(A7)))</f>
        <v>1401.8181818181818</v>
      </c>
      <c r="F16">
        <f>MAX(LARGE(Reference!A2:AZ2,ROW(A7)),LARGE(Reference!A18:AZ18,ROW(A7)))</f>
        <v>13.1</v>
      </c>
      <c r="I16" s="65"/>
    </row>
    <row r="17" spans="3:10">
      <c r="C17" s="65">
        <f>MIN(LARGE(Reference!A16:AZ16,ROW(A7)),LARGE(Reference!A32:AZ32,ROW(A7)))</f>
        <v>859.09090909090924</v>
      </c>
      <c r="F17">
        <f>MIN(LARGE(Reference!A2:AZ2,ROW(A7)),LARGE(Reference!A18:AZ18,ROW(A7)))</f>
        <v>9</v>
      </c>
    </row>
    <row r="18" spans="3:10">
      <c r="C18" s="65">
        <f>MAX(LARGE(Reference!A16:AZ16,ROW(A8)),LARGE(Reference!A32:AZ32,ROW(A8)))</f>
        <v>962.72727272727252</v>
      </c>
      <c r="F18">
        <f>MAX(LARGE(Reference!A2:AZ2,ROW(A8)),LARGE(Reference!A18:AZ18,ROW(A8)))</f>
        <v>11.7</v>
      </c>
    </row>
    <row r="19" spans="3:10">
      <c r="C19" s="65">
        <f>MIN(LARGE(Reference!A16:AZ16,ROW(A8)),LARGE(Reference!A32:AZ32,ROW(A8)))</f>
        <v>853.63636363636374</v>
      </c>
      <c r="F19">
        <f>MIN(LARGE(Reference!A2:AZ2,ROW(A8)),LARGE(Reference!A18:AZ18,ROW(A8)))</f>
        <v>8.9</v>
      </c>
    </row>
    <row r="20" spans="3:10" ht="16.5" thickBot="1">
      <c r="C20" s="65">
        <f>MAX(LARGE(Reference!A16:AZ16,ROW(A9)),LARGE(Reference!A32:AZ32,ROW(A9)))</f>
        <v>771.8181818181821</v>
      </c>
      <c r="F20">
        <f>MAX(LARGE(Reference!A2:AZ2,ROW(A9)),LARGE(Reference!A18:AZ18,ROW(A9)))</f>
        <v>6.3</v>
      </c>
      <c r="H20" s="77"/>
      <c r="I20" s="10"/>
      <c r="J20" s="71"/>
    </row>
    <row r="21" spans="3:10">
      <c r="C21" s="65">
        <f>MIN(LARGE(Reference!A16:AZ16,ROW(A9)),LARGE(Reference!A32:AZ32,ROW(A9)))</f>
        <v>605.45454545454515</v>
      </c>
      <c r="F21">
        <f>MIN(LARGE(Reference!A2:AZ2,ROW(A9)),LARGE(Reference!A18:AZ18,ROW(A9)))</f>
        <v>6</v>
      </c>
    </row>
    <row r="22" spans="3:10">
      <c r="C22" s="65">
        <f>MAX(LARGE(Reference!A16:AZ16,ROW(A10)),LARGE(Reference!A32:AZ32,ROW(A10)))</f>
        <v>660.00000000000034</v>
      </c>
      <c r="F22">
        <f>MAX(LARGE(Reference!A2:AZ2,ROW(A10)),LARGE(Reference!A18:AZ18,ROW(A10)))</f>
        <v>5.8</v>
      </c>
    </row>
    <row r="23" spans="3:10" ht="16.5" thickBot="1">
      <c r="C23" s="65">
        <f>MIN(LARGE(Reference!A16:AZ16,ROW(A10)),LARGE(Reference!A32:AZ32,ROW(A10)))</f>
        <v>400.90909090909099</v>
      </c>
      <c r="F23">
        <f>MIN(LARGE(Reference!A2:AZ2,ROW(A10)),LARGE(Reference!A18:AZ18,ROW(A10)))</f>
        <v>5.2</v>
      </c>
      <c r="H23" s="77"/>
      <c r="I23" s="77"/>
      <c r="J23" s="77"/>
    </row>
    <row r="24" spans="3:10" ht="15.75" thickBot="1">
      <c r="C24" s="65">
        <f>MAX(LARGE(Reference!A16:AZ16,ROW(A11)),LARGE(Reference!A32:AZ32,ROW(A11)))</f>
        <v>354.54545454545456</v>
      </c>
      <c r="F24">
        <f>MAX(LARGE(Reference!A2:AZ2,ROW(A11)),LARGE(Reference!A18:AZ18,ROW(A11)))</f>
        <v>3.5</v>
      </c>
      <c r="H24" s="10"/>
      <c r="I24" s="10"/>
      <c r="J24" s="10"/>
    </row>
    <row r="25" spans="3:10" ht="15.75" thickBot="1">
      <c r="C25" s="65">
        <f>MIN(LARGE(Reference!A16:AZ16,ROW(A11)),LARGE(Reference!A32:AZ32,ROW(A11)))</f>
        <v>240.00000000000003</v>
      </c>
      <c r="F25">
        <f>MIN(LARGE(Reference!A2:AZ2,ROW(A11)),LARGE(Reference!A18:AZ18,ROW(A11)))</f>
        <v>2.7</v>
      </c>
      <c r="H25" s="71"/>
      <c r="I25" s="71"/>
      <c r="J25" s="71"/>
    </row>
    <row r="26" spans="3:10">
      <c r="C26" s="65">
        <f>MAX(LARGE(Reference!A16:AZ16,ROW(A12)),LARGE(Reference!A32:AZ32,ROW(A12)))</f>
        <v>215.45454545454547</v>
      </c>
      <c r="F26">
        <f>MAX(LARGE(Reference!A2:AZ2,ROW(A12)),LARGE(Reference!A18:AZ18,ROW(A12)))</f>
        <v>2.6</v>
      </c>
    </row>
    <row r="27" spans="3:10">
      <c r="C27" s="65">
        <f>MIN(LARGE(Reference!A16:AZ16,ROW(A12)),LARGE(Reference!A32:AZ32,ROW(A12)))</f>
        <v>128.51161406583228</v>
      </c>
      <c r="F27">
        <f>MIN(LARGE(Reference!A2:AZ2,ROW(A12)),LARGE(Reference!A18:AZ18,ROW(A12)))</f>
        <v>2.4</v>
      </c>
    </row>
    <row r="28" spans="3:10">
      <c r="C28" s="65">
        <f>MAX(LARGE(Reference!A16:AZ16,ROW(A13)),LARGE(Reference!A32:AZ32,ROW(A13)))</f>
        <v>149.43508184523802</v>
      </c>
      <c r="F28">
        <f>MAX(LARGE(Reference!A2:AZ2,ROW(A13)),LARGE(Reference!A18:AZ18,ROW(A13)))</f>
        <v>2.4</v>
      </c>
    </row>
    <row r="29" spans="3:10">
      <c r="C29" s="65">
        <f>MIN(LARGE(Reference!A16:AZ16,ROW(A13)),LARGE(Reference!A32:AZ32,ROW(A13)))</f>
        <v>114.54545454545469</v>
      </c>
      <c r="F29">
        <f>MIN(LARGE(Reference!A2:AZ2,ROW(A13)),LARGE(Reference!A18:AZ18,ROW(A13)))</f>
        <v>2.2999999999999998</v>
      </c>
    </row>
  </sheetData>
  <conditionalFormatting sqref="I20">
    <cfRule type="colorScale" priority="2">
      <colorScale>
        <cfvo type="min" val="0"/>
        <cfvo type="max" val="0"/>
        <color rgb="FFFFEF9C"/>
        <color rgb="FFFF7128"/>
      </colorScale>
    </cfRule>
  </conditionalFormatting>
  <conditionalFormatting sqref="H24:J24">
    <cfRule type="colorScale" priority="1">
      <colorScale>
        <cfvo type="min" val="0"/>
        <cfvo type="max" val="0"/>
        <color rgb="FFFFEF9C"/>
        <color rgb="FFFF7128"/>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Calculator</vt:lpstr>
      <vt:lpstr>Reference</vt:lpstr>
      <vt:lpstr>Sheet3</vt:lpstr>
    </vt:vector>
  </TitlesOfParts>
  <Company>Grizli777</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Human01</dc:creator>
  <cp:lastModifiedBy>Human01</cp:lastModifiedBy>
  <dcterms:created xsi:type="dcterms:W3CDTF">2016-04-21T00:51:39Z</dcterms:created>
  <dcterms:modified xsi:type="dcterms:W3CDTF">2017-03-23T19:23:02Z</dcterms:modified>
</cp:coreProperties>
</file>